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xWindow="6825" yWindow="540" windowWidth="26520" windowHeight="16575"/>
  </bookViews>
  <sheets>
    <sheet name="anopheline-sialome-cds-cds" sheetId="2" r:id="rId1"/>
  </sheet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A892" i="2"/>
  <c r="BZ892"/>
  <c r="BY892"/>
  <c r="BX892"/>
  <c r="BW892"/>
  <c r="BV892"/>
  <c r="BU892"/>
  <c r="BT892"/>
  <c r="BS892"/>
  <c r="BR892"/>
  <c r="BQ892"/>
  <c r="BP892"/>
  <c r="BO892"/>
  <c r="BN892"/>
  <c r="BM892"/>
  <c r="BL892"/>
  <c r="BG892"/>
  <c r="BE892"/>
  <c r="BD892"/>
  <c r="BA892"/>
  <c r="AX892"/>
  <c r="AQ892"/>
  <c r="AJ892"/>
  <c r="AC892"/>
  <c r="W892"/>
  <c r="J892"/>
  <c r="G892"/>
  <c r="A892"/>
  <c r="CK891"/>
  <c r="CJ891"/>
  <c r="CI891"/>
  <c r="CH891"/>
  <c r="CG891"/>
  <c r="CF891"/>
  <c r="CE891"/>
  <c r="CD891"/>
  <c r="CC891"/>
  <c r="CB891"/>
  <c r="CA891"/>
  <c r="BZ891"/>
  <c r="BY891"/>
  <c r="BX891"/>
  <c r="BW891"/>
  <c r="BV891"/>
  <c r="BU891"/>
  <c r="BT891"/>
  <c r="BS891"/>
  <c r="BR891"/>
  <c r="BQ891"/>
  <c r="BP891"/>
  <c r="BO891"/>
  <c r="BN891"/>
  <c r="BM891"/>
  <c r="BL891"/>
  <c r="BG891"/>
  <c r="BE891"/>
  <c r="BD891"/>
  <c r="BA891"/>
  <c r="AX891"/>
  <c r="AQ891"/>
  <c r="AJ891"/>
  <c r="AC891"/>
  <c r="W891"/>
  <c r="J891"/>
  <c r="G891"/>
  <c r="A891"/>
  <c r="CK890"/>
  <c r="CJ890"/>
  <c r="CI890"/>
  <c r="CH890"/>
  <c r="CG890"/>
  <c r="CF890"/>
  <c r="CE890"/>
  <c r="CD890"/>
  <c r="CC890"/>
  <c r="CB890"/>
  <c r="CA890"/>
  <c r="BZ890"/>
  <c r="BY890"/>
  <c r="BX890"/>
  <c r="BW890"/>
  <c r="BV890"/>
  <c r="BU890"/>
  <c r="BT890"/>
  <c r="BS890"/>
  <c r="BR890"/>
  <c r="BQ890"/>
  <c r="BP890"/>
  <c r="BO890"/>
  <c r="BN890"/>
  <c r="BM890"/>
  <c r="BL890"/>
  <c r="BG890"/>
  <c r="BE890"/>
  <c r="BD890"/>
  <c r="BA890"/>
  <c r="AX890"/>
  <c r="AQ890"/>
  <c r="AJ890"/>
  <c r="AC890"/>
  <c r="W890"/>
  <c r="J890"/>
  <c r="G890"/>
  <c r="A890"/>
  <c r="CI889"/>
  <c r="CH889"/>
  <c r="CG889"/>
  <c r="CF889"/>
  <c r="CE889"/>
  <c r="CD889"/>
  <c r="CC889"/>
  <c r="CB889"/>
  <c r="CA889"/>
  <c r="BZ889"/>
  <c r="BY889"/>
  <c r="BX889"/>
  <c r="BW889"/>
  <c r="BV889"/>
  <c r="BU889"/>
  <c r="BT889"/>
  <c r="BS889"/>
  <c r="BR889"/>
  <c r="BQ889"/>
  <c r="BP889"/>
  <c r="BO889"/>
  <c r="BN889"/>
  <c r="BM889"/>
  <c r="BL889"/>
  <c r="BI889"/>
  <c r="BG889"/>
  <c r="BE889"/>
  <c r="BD889"/>
  <c r="BA889"/>
  <c r="AX889"/>
  <c r="AQ889"/>
  <c r="AJ889"/>
  <c r="AC889"/>
  <c r="W889"/>
  <c r="Q889"/>
  <c r="J889"/>
  <c r="G889"/>
  <c r="A889"/>
  <c r="CI888"/>
  <c r="CH888"/>
  <c r="CG888"/>
  <c r="CF888"/>
  <c r="CE888"/>
  <c r="CD888"/>
  <c r="CC888"/>
  <c r="CB888"/>
  <c r="CA888"/>
  <c r="BZ888"/>
  <c r="BY888"/>
  <c r="BX888"/>
  <c r="BW888"/>
  <c r="BV888"/>
  <c r="BU888"/>
  <c r="BT888"/>
  <c r="BS888"/>
  <c r="BR888"/>
  <c r="BQ888"/>
  <c r="BP888"/>
  <c r="BO888"/>
  <c r="BN888"/>
  <c r="BM888"/>
  <c r="BL888"/>
  <c r="BI888"/>
  <c r="BG888"/>
  <c r="BE888"/>
  <c r="BD888"/>
  <c r="BA888"/>
  <c r="AX888"/>
  <c r="AQ888"/>
  <c r="AJ888"/>
  <c r="AC888"/>
  <c r="W888"/>
  <c r="Q888"/>
  <c r="J888"/>
  <c r="G888"/>
  <c r="A888"/>
  <c r="CK887"/>
  <c r="CJ887"/>
  <c r="CI887"/>
  <c r="CH887"/>
  <c r="CG887"/>
  <c r="CF887"/>
  <c r="CE887"/>
  <c r="CD887"/>
  <c r="CC887"/>
  <c r="CB887"/>
  <c r="CA887"/>
  <c r="BZ887"/>
  <c r="BY887"/>
  <c r="BX887"/>
  <c r="BW887"/>
  <c r="BV887"/>
  <c r="BU887"/>
  <c r="BT887"/>
  <c r="BS887"/>
  <c r="BR887"/>
  <c r="BQ887"/>
  <c r="BP887"/>
  <c r="BO887"/>
  <c r="BN887"/>
  <c r="BM887"/>
  <c r="BL887"/>
  <c r="BI887"/>
  <c r="BG887"/>
  <c r="BE887"/>
  <c r="BD887"/>
  <c r="BA887"/>
  <c r="AX887"/>
  <c r="AQ887"/>
  <c r="AJ887"/>
  <c r="AC887"/>
  <c r="W887"/>
  <c r="Q887"/>
  <c r="J887"/>
  <c r="G887"/>
  <c r="A887"/>
  <c r="CM886"/>
  <c r="CL886"/>
  <c r="CK886"/>
  <c r="CJ886"/>
  <c r="CI886"/>
  <c r="CH886"/>
  <c r="CG886"/>
  <c r="CF886"/>
  <c r="CE886"/>
  <c r="CD886"/>
  <c r="CC886"/>
  <c r="CB886"/>
  <c r="CA886"/>
  <c r="BZ886"/>
  <c r="BY886"/>
  <c r="BX886"/>
  <c r="BW886"/>
  <c r="BV886"/>
  <c r="BU886"/>
  <c r="BT886"/>
  <c r="BS886"/>
  <c r="BR886"/>
  <c r="BQ886"/>
  <c r="BP886"/>
  <c r="BO886"/>
  <c r="BN886"/>
  <c r="BM886"/>
  <c r="BL886"/>
  <c r="BI886"/>
  <c r="BG886"/>
  <c r="BE886"/>
  <c r="BD886"/>
  <c r="BA886"/>
  <c r="AX886"/>
  <c r="AQ886"/>
  <c r="AJ886"/>
  <c r="AC886"/>
  <c r="W886"/>
  <c r="Q886"/>
  <c r="J886"/>
  <c r="G886"/>
  <c r="A886"/>
  <c r="CM885"/>
  <c r="CL885"/>
  <c r="CK885"/>
  <c r="CJ885"/>
  <c r="CI885"/>
  <c r="CH885"/>
  <c r="CG885"/>
  <c r="CF885"/>
  <c r="CE885"/>
  <c r="CD885"/>
  <c r="CC885"/>
  <c r="CB885"/>
  <c r="CA885"/>
  <c r="BZ885"/>
  <c r="BY885"/>
  <c r="BX885"/>
  <c r="BW885"/>
  <c r="BV885"/>
  <c r="BU885"/>
  <c r="BT885"/>
  <c r="BS885"/>
  <c r="BR885"/>
  <c r="BQ885"/>
  <c r="BP885"/>
  <c r="BO885"/>
  <c r="BN885"/>
  <c r="BM885"/>
  <c r="BL885"/>
  <c r="BI885"/>
  <c r="BG885"/>
  <c r="BE885"/>
  <c r="BD885"/>
  <c r="BA885"/>
  <c r="AX885"/>
  <c r="AQ885"/>
  <c r="AJ885"/>
  <c r="AC885"/>
  <c r="W885"/>
  <c r="Q885"/>
  <c r="J885"/>
  <c r="G885"/>
  <c r="A885"/>
  <c r="CM884"/>
  <c r="CL884"/>
  <c r="CK884"/>
  <c r="CJ884"/>
  <c r="CI884"/>
  <c r="CH884"/>
  <c r="CG884"/>
  <c r="CF884"/>
  <c r="CE884"/>
  <c r="CD884"/>
  <c r="CC884"/>
  <c r="CB884"/>
  <c r="CA884"/>
  <c r="BZ884"/>
  <c r="BY884"/>
  <c r="BX884"/>
  <c r="BW884"/>
  <c r="BV884"/>
  <c r="BU884"/>
  <c r="BT884"/>
  <c r="BS884"/>
  <c r="BR884"/>
  <c r="BQ884"/>
  <c r="BP884"/>
  <c r="BO884"/>
  <c r="BN884"/>
  <c r="BM884"/>
  <c r="BL884"/>
  <c r="BI884"/>
  <c r="BG884"/>
  <c r="BE884"/>
  <c r="BD884"/>
  <c r="BA884"/>
  <c r="AX884"/>
  <c r="AQ884"/>
  <c r="AJ884"/>
  <c r="AC884"/>
  <c r="W884"/>
  <c r="J884"/>
  <c r="G884"/>
  <c r="A884"/>
  <c r="CM883"/>
  <c r="CL883"/>
  <c r="CK883"/>
  <c r="CJ883"/>
  <c r="CI883"/>
  <c r="CH883"/>
  <c r="CG883"/>
  <c r="CF883"/>
  <c r="CE883"/>
  <c r="CD883"/>
  <c r="CC883"/>
  <c r="CB883"/>
  <c r="CA883"/>
  <c r="BZ883"/>
  <c r="BY883"/>
  <c r="BX883"/>
  <c r="BW883"/>
  <c r="BV883"/>
  <c r="BU883"/>
  <c r="BT883"/>
  <c r="BS883"/>
  <c r="BR883"/>
  <c r="BQ883"/>
  <c r="BP883"/>
  <c r="BO883"/>
  <c r="BN883"/>
  <c r="BM883"/>
  <c r="BL883"/>
  <c r="BI883"/>
  <c r="BG883"/>
  <c r="BE883"/>
  <c r="BD883"/>
  <c r="BA883"/>
  <c r="AX883"/>
  <c r="AQ883"/>
  <c r="AJ883"/>
  <c r="AC883"/>
  <c r="W883"/>
  <c r="Q883"/>
  <c r="J883"/>
  <c r="G883"/>
  <c r="A883"/>
  <c r="CM882"/>
  <c r="CL882"/>
  <c r="CK882"/>
  <c r="CJ882"/>
  <c r="CI882"/>
  <c r="CH882"/>
  <c r="CG882"/>
  <c r="CF882"/>
  <c r="CE882"/>
  <c r="CD882"/>
  <c r="CC882"/>
  <c r="CB882"/>
  <c r="CA882"/>
  <c r="BZ882"/>
  <c r="BY882"/>
  <c r="BX882"/>
  <c r="BW882"/>
  <c r="BV882"/>
  <c r="BU882"/>
  <c r="BT882"/>
  <c r="BS882"/>
  <c r="BR882"/>
  <c r="BQ882"/>
  <c r="BP882"/>
  <c r="BO882"/>
  <c r="BN882"/>
  <c r="BM882"/>
  <c r="BL882"/>
  <c r="BI882"/>
  <c r="BG882"/>
  <c r="BE882"/>
  <c r="BD882"/>
  <c r="BA882"/>
  <c r="AX882"/>
  <c r="AQ882"/>
  <c r="AJ882"/>
  <c r="AC882"/>
  <c r="W882"/>
  <c r="J882"/>
  <c r="G882"/>
  <c r="A882"/>
  <c r="CO881"/>
  <c r="CN881"/>
  <c r="CM881"/>
  <c r="CL881"/>
  <c r="CK881"/>
  <c r="CJ881"/>
  <c r="CI881"/>
  <c r="CH881"/>
  <c r="CG881"/>
  <c r="CF881"/>
  <c r="CE881"/>
  <c r="CD881"/>
  <c r="CC881"/>
  <c r="CB881"/>
  <c r="CA881"/>
  <c r="BZ881"/>
  <c r="BY881"/>
  <c r="BX881"/>
  <c r="BW881"/>
  <c r="BV881"/>
  <c r="BU881"/>
  <c r="BT881"/>
  <c r="BS881"/>
  <c r="BR881"/>
  <c r="BQ881"/>
  <c r="BP881"/>
  <c r="BO881"/>
  <c r="BN881"/>
  <c r="BM881"/>
  <c r="BL881"/>
  <c r="BI881"/>
  <c r="BG881"/>
  <c r="BE881"/>
  <c r="BD881"/>
  <c r="BA881"/>
  <c r="AX881"/>
  <c r="AQ881"/>
  <c r="AJ881"/>
  <c r="AC881"/>
  <c r="W881"/>
  <c r="J881"/>
  <c r="G881"/>
  <c r="A881"/>
  <c r="CO880"/>
  <c r="CN880"/>
  <c r="CM880"/>
  <c r="CL880"/>
  <c r="CK880"/>
  <c r="CJ880"/>
  <c r="CI880"/>
  <c r="CH880"/>
  <c r="CG880"/>
  <c r="CF880"/>
  <c r="CE880"/>
  <c r="CD880"/>
  <c r="CC880"/>
  <c r="CB880"/>
  <c r="CA880"/>
  <c r="BZ880"/>
  <c r="BY880"/>
  <c r="BX880"/>
  <c r="BW880"/>
  <c r="BV880"/>
  <c r="BU880"/>
  <c r="BT880"/>
  <c r="BS880"/>
  <c r="BR880"/>
  <c r="BQ880"/>
  <c r="BP880"/>
  <c r="BO880"/>
  <c r="BN880"/>
  <c r="BM880"/>
  <c r="BL880"/>
  <c r="BI880"/>
  <c r="BG880"/>
  <c r="BE880"/>
  <c r="BD880"/>
  <c r="BA880"/>
  <c r="AX880"/>
  <c r="AQ880"/>
  <c r="AJ880"/>
  <c r="AC880"/>
  <c r="W880"/>
  <c r="J880"/>
  <c r="G880"/>
  <c r="A880"/>
  <c r="CO879"/>
  <c r="CN879"/>
  <c r="CM879"/>
  <c r="CL879"/>
  <c r="CK879"/>
  <c r="CJ879"/>
  <c r="CI879"/>
  <c r="CH879"/>
  <c r="CG879"/>
  <c r="CF879"/>
  <c r="CE879"/>
  <c r="CD879"/>
  <c r="CC879"/>
  <c r="CB879"/>
  <c r="CA879"/>
  <c r="BZ879"/>
  <c r="BY879"/>
  <c r="BX879"/>
  <c r="BW879"/>
  <c r="BV879"/>
  <c r="BU879"/>
  <c r="BT879"/>
  <c r="BS879"/>
  <c r="BR879"/>
  <c r="BQ879"/>
  <c r="BP879"/>
  <c r="BO879"/>
  <c r="BN879"/>
  <c r="BM879"/>
  <c r="BL879"/>
  <c r="BI879"/>
  <c r="BG879"/>
  <c r="BE879"/>
  <c r="BD879"/>
  <c r="BA879"/>
  <c r="AX879"/>
  <c r="AQ879"/>
  <c r="AJ879"/>
  <c r="AC879"/>
  <c r="W879"/>
  <c r="J879"/>
  <c r="G879"/>
  <c r="A879"/>
  <c r="CO878"/>
  <c r="CN878"/>
  <c r="CM878"/>
  <c r="CL878"/>
  <c r="CK878"/>
  <c r="CJ878"/>
  <c r="CI878"/>
  <c r="CH878"/>
  <c r="CG878"/>
  <c r="CF878"/>
  <c r="CE878"/>
  <c r="CD878"/>
  <c r="CC878"/>
  <c r="CB878"/>
  <c r="CA878"/>
  <c r="BZ878"/>
  <c r="BY878"/>
  <c r="BX878"/>
  <c r="BW878"/>
  <c r="BV878"/>
  <c r="BU878"/>
  <c r="BT878"/>
  <c r="BS878"/>
  <c r="BR878"/>
  <c r="BQ878"/>
  <c r="BP878"/>
  <c r="BO878"/>
  <c r="BN878"/>
  <c r="BM878"/>
  <c r="BL878"/>
  <c r="BI878"/>
  <c r="BG878"/>
  <c r="BE878"/>
  <c r="BD878"/>
  <c r="BA878"/>
  <c r="AX878"/>
  <c r="AQ878"/>
  <c r="AJ878"/>
  <c r="AC878"/>
  <c r="W878"/>
  <c r="J878"/>
  <c r="G878"/>
  <c r="A878"/>
  <c r="CO877"/>
  <c r="CN877"/>
  <c r="CM877"/>
  <c r="CL877"/>
  <c r="CK877"/>
  <c r="CJ877"/>
  <c r="CI877"/>
  <c r="CH877"/>
  <c r="CG877"/>
  <c r="CF877"/>
  <c r="CE877"/>
  <c r="CD877"/>
  <c r="CC877"/>
  <c r="CB877"/>
  <c r="CA877"/>
  <c r="BZ877"/>
  <c r="BY877"/>
  <c r="BX877"/>
  <c r="BW877"/>
  <c r="BV877"/>
  <c r="BU877"/>
  <c r="BT877"/>
  <c r="BS877"/>
  <c r="BR877"/>
  <c r="BQ877"/>
  <c r="BP877"/>
  <c r="BO877"/>
  <c r="BN877"/>
  <c r="BM877"/>
  <c r="BL877"/>
  <c r="BG877"/>
  <c r="BE877"/>
  <c r="BD877"/>
  <c r="BA877"/>
  <c r="AX877"/>
  <c r="AQ877"/>
  <c r="AJ877"/>
  <c r="AC877"/>
  <c r="W877"/>
  <c r="J877"/>
  <c r="G877"/>
  <c r="A877"/>
  <c r="CO876"/>
  <c r="CN876"/>
  <c r="CM876"/>
  <c r="CL876"/>
  <c r="CK876"/>
  <c r="CJ876"/>
  <c r="CI876"/>
  <c r="CH876"/>
  <c r="CG876"/>
  <c r="CF876"/>
  <c r="CE876"/>
  <c r="CD876"/>
  <c r="CC876"/>
  <c r="CB876"/>
  <c r="CA876"/>
  <c r="BZ876"/>
  <c r="BY876"/>
  <c r="BX876"/>
  <c r="BW876"/>
  <c r="BV876"/>
  <c r="BU876"/>
  <c r="BT876"/>
  <c r="BS876"/>
  <c r="BR876"/>
  <c r="BQ876"/>
  <c r="BP876"/>
  <c r="BO876"/>
  <c r="BN876"/>
  <c r="BM876"/>
  <c r="BL876"/>
  <c r="BI876"/>
  <c r="BG876"/>
  <c r="BE876"/>
  <c r="BD876"/>
  <c r="BA876"/>
  <c r="AX876"/>
  <c r="AQ876"/>
  <c r="AJ876"/>
  <c r="AC876"/>
  <c r="W876"/>
  <c r="J876"/>
  <c r="G876"/>
  <c r="A876"/>
  <c r="CO875"/>
  <c r="CN875"/>
  <c r="CM875"/>
  <c r="CL875"/>
  <c r="CK875"/>
  <c r="CJ875"/>
  <c r="CI875"/>
  <c r="CH875"/>
  <c r="CG875"/>
  <c r="CF875"/>
  <c r="CE875"/>
  <c r="CD875"/>
  <c r="CC875"/>
  <c r="CB875"/>
  <c r="CA875"/>
  <c r="BZ875"/>
  <c r="BY875"/>
  <c r="BX875"/>
  <c r="BW875"/>
  <c r="BV875"/>
  <c r="BU875"/>
  <c r="BT875"/>
  <c r="BS875"/>
  <c r="BR875"/>
  <c r="BQ875"/>
  <c r="BP875"/>
  <c r="BO875"/>
  <c r="BN875"/>
  <c r="BM875"/>
  <c r="BL875"/>
  <c r="BG875"/>
  <c r="BE875"/>
  <c r="BD875"/>
  <c r="BA875"/>
  <c r="AX875"/>
  <c r="AQ875"/>
  <c r="AJ875"/>
  <c r="AC875"/>
  <c r="W875"/>
  <c r="J875"/>
  <c r="G875"/>
  <c r="A875"/>
  <c r="CO874"/>
  <c r="CN874"/>
  <c r="CM874"/>
  <c r="CL874"/>
  <c r="CK874"/>
  <c r="CJ874"/>
  <c r="CI874"/>
  <c r="CH874"/>
  <c r="CG874"/>
  <c r="CF874"/>
  <c r="CE874"/>
  <c r="CD874"/>
  <c r="CC874"/>
  <c r="CB874"/>
  <c r="CA874"/>
  <c r="BZ874"/>
  <c r="BY874"/>
  <c r="BX874"/>
  <c r="BW874"/>
  <c r="BV874"/>
  <c r="BU874"/>
  <c r="BT874"/>
  <c r="BS874"/>
  <c r="BR874"/>
  <c r="BQ874"/>
  <c r="BP874"/>
  <c r="BO874"/>
  <c r="BN874"/>
  <c r="BM874"/>
  <c r="BL874"/>
  <c r="BI874"/>
  <c r="BG874"/>
  <c r="BE874"/>
  <c r="BD874"/>
  <c r="BA874"/>
  <c r="AX874"/>
  <c r="AQ874"/>
  <c r="AJ874"/>
  <c r="AC874"/>
  <c r="W874"/>
  <c r="J874"/>
  <c r="G874"/>
  <c r="A874"/>
  <c r="CM872"/>
  <c r="CL872"/>
  <c r="CK872"/>
  <c r="CJ872"/>
  <c r="CI872"/>
  <c r="CH872"/>
  <c r="CG872"/>
  <c r="CF872"/>
  <c r="CE872"/>
  <c r="CD872"/>
  <c r="CC872"/>
  <c r="CB872"/>
  <c r="CA872"/>
  <c r="BZ872"/>
  <c r="BY872"/>
  <c r="BX872"/>
  <c r="BW872"/>
  <c r="BV872"/>
  <c r="BU872"/>
  <c r="BT872"/>
  <c r="BS872"/>
  <c r="BR872"/>
  <c r="BQ872"/>
  <c r="BP872"/>
  <c r="BO872"/>
  <c r="BN872"/>
  <c r="BM872"/>
  <c r="BL872"/>
  <c r="BI872"/>
  <c r="BG872"/>
  <c r="BE872"/>
  <c r="BD872"/>
  <c r="BA872"/>
  <c r="AX872"/>
  <c r="AQ872"/>
  <c r="AJ872"/>
  <c r="AC872"/>
  <c r="W872"/>
  <c r="J872"/>
  <c r="G872"/>
  <c r="A872"/>
  <c r="CM871"/>
  <c r="CL871"/>
  <c r="CK871"/>
  <c r="CJ871"/>
  <c r="CI871"/>
  <c r="CH871"/>
  <c r="CG871"/>
  <c r="CF871"/>
  <c r="CE871"/>
  <c r="CD871"/>
  <c r="CC871"/>
  <c r="CB871"/>
  <c r="CA871"/>
  <c r="BZ871"/>
  <c r="BY871"/>
  <c r="BX871"/>
  <c r="BW871"/>
  <c r="BV871"/>
  <c r="BU871"/>
  <c r="BT871"/>
  <c r="BS871"/>
  <c r="BR871"/>
  <c r="BQ871"/>
  <c r="BP871"/>
  <c r="BO871"/>
  <c r="BN871"/>
  <c r="BM871"/>
  <c r="BL871"/>
  <c r="BG871"/>
  <c r="BE871"/>
  <c r="BD871"/>
  <c r="BA871"/>
  <c r="AX871"/>
  <c r="AQ871"/>
  <c r="AJ871"/>
  <c r="AC871"/>
  <c r="W871"/>
  <c r="J871"/>
  <c r="G871"/>
  <c r="A871"/>
  <c r="CE870"/>
  <c r="CD870"/>
  <c r="CC870"/>
  <c r="CB870"/>
  <c r="CA870"/>
  <c r="BZ870"/>
  <c r="BY870"/>
  <c r="BX870"/>
  <c r="BW870"/>
  <c r="BV870"/>
  <c r="BU870"/>
  <c r="BT870"/>
  <c r="BS870"/>
  <c r="BR870"/>
  <c r="BQ870"/>
  <c r="BP870"/>
  <c r="BO870"/>
  <c r="BN870"/>
  <c r="BM870"/>
  <c r="BL870"/>
  <c r="BG870"/>
  <c r="BE870"/>
  <c r="BD870"/>
  <c r="BA870"/>
  <c r="AX870"/>
  <c r="AQ870"/>
  <c r="AJ870"/>
  <c r="AC870"/>
  <c r="W870"/>
  <c r="J870"/>
  <c r="G870"/>
  <c r="A870"/>
  <c r="CE869"/>
  <c r="CD869"/>
  <c r="CC869"/>
  <c r="CB869"/>
  <c r="CA869"/>
  <c r="BZ869"/>
  <c r="BY869"/>
  <c r="BX869"/>
  <c r="BW869"/>
  <c r="BV869"/>
  <c r="BU869"/>
  <c r="BT869"/>
  <c r="BS869"/>
  <c r="BR869"/>
  <c r="BQ869"/>
  <c r="BP869"/>
  <c r="BO869"/>
  <c r="BN869"/>
  <c r="BM869"/>
  <c r="BL869"/>
  <c r="BG869"/>
  <c r="BE869"/>
  <c r="BD869"/>
  <c r="BA869"/>
  <c r="AX869"/>
  <c r="AQ869"/>
  <c r="AJ869"/>
  <c r="AC869"/>
  <c r="W869"/>
  <c r="J869"/>
  <c r="G869"/>
  <c r="A869"/>
  <c r="CG868"/>
  <c r="CF868"/>
  <c r="CE868"/>
  <c r="CD868"/>
  <c r="CC868"/>
  <c r="CB868"/>
  <c r="CA868"/>
  <c r="BZ868"/>
  <c r="BY868"/>
  <c r="BX868"/>
  <c r="BW868"/>
  <c r="BV868"/>
  <c r="BU868"/>
  <c r="BT868"/>
  <c r="BS868"/>
  <c r="BR868"/>
  <c r="BQ868"/>
  <c r="BP868"/>
  <c r="BO868"/>
  <c r="BN868"/>
  <c r="BM868"/>
  <c r="BL868"/>
  <c r="BG868"/>
  <c r="BE868"/>
  <c r="BD868"/>
  <c r="BA868"/>
  <c r="AX868"/>
  <c r="AQ868"/>
  <c r="AJ868"/>
  <c r="AC868"/>
  <c r="W868"/>
  <c r="J868"/>
  <c r="G868"/>
  <c r="A868"/>
  <c r="CM867"/>
  <c r="CL867"/>
  <c r="CK867"/>
  <c r="CJ867"/>
  <c r="CI867"/>
  <c r="CH867"/>
  <c r="CG867"/>
  <c r="CF867"/>
  <c r="CE867"/>
  <c r="CD867"/>
  <c r="CC867"/>
  <c r="CB867"/>
  <c r="CA867"/>
  <c r="BZ867"/>
  <c r="BY867"/>
  <c r="BX867"/>
  <c r="BW867"/>
  <c r="BV867"/>
  <c r="BU867"/>
  <c r="BT867"/>
  <c r="BS867"/>
  <c r="BR867"/>
  <c r="BQ867"/>
  <c r="BP867"/>
  <c r="BO867"/>
  <c r="BN867"/>
  <c r="BM867"/>
  <c r="BL867"/>
  <c r="BI867"/>
  <c r="BG867"/>
  <c r="BE867"/>
  <c r="BD867"/>
  <c r="BA867"/>
  <c r="AX867"/>
  <c r="AQ867"/>
  <c r="AJ867"/>
  <c r="AC867"/>
  <c r="W867"/>
  <c r="J867"/>
  <c r="G867"/>
  <c r="A867"/>
  <c r="CM866"/>
  <c r="CL866"/>
  <c r="CK866"/>
  <c r="CJ866"/>
  <c r="CI866"/>
  <c r="CH866"/>
  <c r="CG866"/>
  <c r="CF866"/>
  <c r="CE866"/>
  <c r="CD866"/>
  <c r="CC866"/>
  <c r="CB866"/>
  <c r="CA866"/>
  <c r="BZ866"/>
  <c r="BY866"/>
  <c r="BX866"/>
  <c r="BW866"/>
  <c r="BV866"/>
  <c r="BU866"/>
  <c r="BT866"/>
  <c r="BS866"/>
  <c r="BR866"/>
  <c r="BQ866"/>
  <c r="BP866"/>
  <c r="BO866"/>
  <c r="BN866"/>
  <c r="BM866"/>
  <c r="BL866"/>
  <c r="BI866"/>
  <c r="BG866"/>
  <c r="BE866"/>
  <c r="BD866"/>
  <c r="BA866"/>
  <c r="AX866"/>
  <c r="AQ866"/>
  <c r="AJ866"/>
  <c r="AC866"/>
  <c r="W866"/>
  <c r="J866"/>
  <c r="G866"/>
  <c r="A866"/>
  <c r="CM865"/>
  <c r="CL865"/>
  <c r="CK865"/>
  <c r="CJ865"/>
  <c r="CI865"/>
  <c r="CH865"/>
  <c r="CG865"/>
  <c r="CF865"/>
  <c r="CE865"/>
  <c r="CD865"/>
  <c r="CC865"/>
  <c r="CB865"/>
  <c r="CA865"/>
  <c r="BZ865"/>
  <c r="BY865"/>
  <c r="BX865"/>
  <c r="BW865"/>
  <c r="BV865"/>
  <c r="BU865"/>
  <c r="BT865"/>
  <c r="BS865"/>
  <c r="BR865"/>
  <c r="BQ865"/>
  <c r="BP865"/>
  <c r="BO865"/>
  <c r="BN865"/>
  <c r="BM865"/>
  <c r="BL865"/>
  <c r="BI865"/>
  <c r="BG865"/>
  <c r="BE865"/>
  <c r="BD865"/>
  <c r="BA865"/>
  <c r="AX865"/>
  <c r="AQ865"/>
  <c r="AJ865"/>
  <c r="AC865"/>
  <c r="W865"/>
  <c r="J865"/>
  <c r="G865"/>
  <c r="A865"/>
  <c r="CM864"/>
  <c r="CL864"/>
  <c r="CK864"/>
  <c r="CJ864"/>
  <c r="CI864"/>
  <c r="CH864"/>
  <c r="CG864"/>
  <c r="CF864"/>
  <c r="CE864"/>
  <c r="CD864"/>
  <c r="CC864"/>
  <c r="CB864"/>
  <c r="CA864"/>
  <c r="BZ864"/>
  <c r="BY864"/>
  <c r="BX864"/>
  <c r="BW864"/>
  <c r="BV864"/>
  <c r="BU864"/>
  <c r="BT864"/>
  <c r="BS864"/>
  <c r="BR864"/>
  <c r="BQ864"/>
  <c r="BP864"/>
  <c r="BO864"/>
  <c r="BN864"/>
  <c r="BM864"/>
  <c r="BL864"/>
  <c r="BI864"/>
  <c r="BG864"/>
  <c r="BE864"/>
  <c r="BD864"/>
  <c r="BA864"/>
  <c r="AX864"/>
  <c r="AQ864"/>
  <c r="AJ864"/>
  <c r="AC864"/>
  <c r="W864"/>
  <c r="J864"/>
  <c r="G864"/>
  <c r="A864"/>
  <c r="CK863"/>
  <c r="CJ863"/>
  <c r="CI863"/>
  <c r="CH863"/>
  <c r="CG863"/>
  <c r="CF863"/>
  <c r="CE863"/>
  <c r="CD863"/>
  <c r="CC863"/>
  <c r="CB863"/>
  <c r="CA863"/>
  <c r="BZ863"/>
  <c r="BY863"/>
  <c r="BX863"/>
  <c r="BW863"/>
  <c r="BV863"/>
  <c r="BU863"/>
  <c r="BT863"/>
  <c r="BS863"/>
  <c r="BR863"/>
  <c r="BQ863"/>
  <c r="BP863"/>
  <c r="BO863"/>
  <c r="BN863"/>
  <c r="BM863"/>
  <c r="BL863"/>
  <c r="BI863"/>
  <c r="BG863"/>
  <c r="BE863"/>
  <c r="BD863"/>
  <c r="BA863"/>
  <c r="AX863"/>
  <c r="AQ863"/>
  <c r="AJ863"/>
  <c r="AC863"/>
  <c r="W863"/>
  <c r="Q863"/>
  <c r="J863"/>
  <c r="G863"/>
  <c r="A863"/>
  <c r="CK862"/>
  <c r="CJ862"/>
  <c r="CI862"/>
  <c r="CH862"/>
  <c r="CG862"/>
  <c r="CF862"/>
  <c r="CE862"/>
  <c r="CD862"/>
  <c r="CC862"/>
  <c r="CB862"/>
  <c r="CA862"/>
  <c r="BZ862"/>
  <c r="BY862"/>
  <c r="BX862"/>
  <c r="BW862"/>
  <c r="BV862"/>
  <c r="BU862"/>
  <c r="BT862"/>
  <c r="BS862"/>
  <c r="BR862"/>
  <c r="BQ862"/>
  <c r="BP862"/>
  <c r="BO862"/>
  <c r="BN862"/>
  <c r="BM862"/>
  <c r="BL862"/>
  <c r="BG862"/>
  <c r="BE862"/>
  <c r="BD862"/>
  <c r="BA862"/>
  <c r="AX862"/>
  <c r="AQ862"/>
  <c r="AJ862"/>
  <c r="AC862"/>
  <c r="W862"/>
  <c r="Q862"/>
  <c r="J862"/>
  <c r="G862"/>
  <c r="A862"/>
  <c r="CK861"/>
  <c r="CJ861"/>
  <c r="CI861"/>
  <c r="CH861"/>
  <c r="CG861"/>
  <c r="CF861"/>
  <c r="CE861"/>
  <c r="CD861"/>
  <c r="CC861"/>
  <c r="CB861"/>
  <c r="CA861"/>
  <c r="BZ861"/>
  <c r="BY861"/>
  <c r="BX861"/>
  <c r="BW861"/>
  <c r="BV861"/>
  <c r="BU861"/>
  <c r="BT861"/>
  <c r="BS861"/>
  <c r="BR861"/>
  <c r="BQ861"/>
  <c r="BP861"/>
  <c r="BO861"/>
  <c r="BN861"/>
  <c r="BM861"/>
  <c r="BL861"/>
  <c r="BG861"/>
  <c r="BE861"/>
  <c r="BD861"/>
  <c r="BA861"/>
  <c r="AX861"/>
  <c r="AQ861"/>
  <c r="AJ861"/>
  <c r="AC861"/>
  <c r="W861"/>
  <c r="J861"/>
  <c r="G861"/>
  <c r="A861"/>
  <c r="CO860"/>
  <c r="CN860"/>
  <c r="CM860"/>
  <c r="CL860"/>
  <c r="CK860"/>
  <c r="CJ860"/>
  <c r="CI860"/>
  <c r="CH860"/>
  <c r="CG860"/>
  <c r="CF860"/>
  <c r="CE860"/>
  <c r="CD860"/>
  <c r="CC860"/>
  <c r="CB860"/>
  <c r="CA860"/>
  <c r="BZ860"/>
  <c r="BY860"/>
  <c r="BX860"/>
  <c r="BW860"/>
  <c r="BV860"/>
  <c r="BU860"/>
  <c r="BT860"/>
  <c r="BS860"/>
  <c r="BR860"/>
  <c r="BQ860"/>
  <c r="BP860"/>
  <c r="BO860"/>
  <c r="BN860"/>
  <c r="BM860"/>
  <c r="BL860"/>
  <c r="BI860"/>
  <c r="BG860"/>
  <c r="BE860"/>
  <c r="BD860"/>
  <c r="BA860"/>
  <c r="AX860"/>
  <c r="AQ860"/>
  <c r="AJ860"/>
  <c r="AC860"/>
  <c r="W860"/>
  <c r="J860"/>
  <c r="G860"/>
  <c r="A860"/>
  <c r="CO859"/>
  <c r="CN859"/>
  <c r="CM859"/>
  <c r="CL859"/>
  <c r="CK859"/>
  <c r="CJ859"/>
  <c r="CI859"/>
  <c r="CH859"/>
  <c r="CG859"/>
  <c r="CF859"/>
  <c r="CE859"/>
  <c r="CD859"/>
  <c r="CC859"/>
  <c r="CB859"/>
  <c r="CA859"/>
  <c r="BZ859"/>
  <c r="BY859"/>
  <c r="BX859"/>
  <c r="BW859"/>
  <c r="BV859"/>
  <c r="BU859"/>
  <c r="BT859"/>
  <c r="BS859"/>
  <c r="BR859"/>
  <c r="BQ859"/>
  <c r="BP859"/>
  <c r="BO859"/>
  <c r="BN859"/>
  <c r="BM859"/>
  <c r="BL859"/>
  <c r="BI859"/>
  <c r="BG859"/>
  <c r="BE859"/>
  <c r="BD859"/>
  <c r="BA859"/>
  <c r="AX859"/>
  <c r="AQ859"/>
  <c r="AJ859"/>
  <c r="AC859"/>
  <c r="W859"/>
  <c r="J859"/>
  <c r="G859"/>
  <c r="A859"/>
  <c r="CO858"/>
  <c r="CN858"/>
  <c r="CM858"/>
  <c r="CL858"/>
  <c r="CK858"/>
  <c r="CJ858"/>
  <c r="CI858"/>
  <c r="CH858"/>
  <c r="CG858"/>
  <c r="CF858"/>
  <c r="CE858"/>
  <c r="CD858"/>
  <c r="CC858"/>
  <c r="CB858"/>
  <c r="CA858"/>
  <c r="BZ858"/>
  <c r="BY858"/>
  <c r="BX858"/>
  <c r="BW858"/>
  <c r="BV858"/>
  <c r="BU858"/>
  <c r="BT858"/>
  <c r="BS858"/>
  <c r="BR858"/>
  <c r="BQ858"/>
  <c r="BP858"/>
  <c r="BO858"/>
  <c r="BN858"/>
  <c r="BM858"/>
  <c r="BL858"/>
  <c r="BI858"/>
  <c r="BG858"/>
  <c r="BE858"/>
  <c r="BD858"/>
  <c r="BA858"/>
  <c r="AX858"/>
  <c r="AQ858"/>
  <c r="AJ858"/>
  <c r="AC858"/>
  <c r="W858"/>
  <c r="Q858"/>
  <c r="J858"/>
  <c r="G858"/>
  <c r="A858"/>
  <c r="CO857"/>
  <c r="CN857"/>
  <c r="CM857"/>
  <c r="CL857"/>
  <c r="CK857"/>
  <c r="CJ857"/>
  <c r="CI857"/>
  <c r="CH857"/>
  <c r="CG857"/>
  <c r="CF857"/>
  <c r="CE857"/>
  <c r="CD857"/>
  <c r="CC857"/>
  <c r="CB857"/>
  <c r="CA857"/>
  <c r="BZ857"/>
  <c r="BY857"/>
  <c r="BX857"/>
  <c r="BW857"/>
  <c r="BV857"/>
  <c r="BU857"/>
  <c r="BT857"/>
  <c r="BS857"/>
  <c r="BR857"/>
  <c r="BQ857"/>
  <c r="BP857"/>
  <c r="BO857"/>
  <c r="BN857"/>
  <c r="BM857"/>
  <c r="BL857"/>
  <c r="BI857"/>
  <c r="BG857"/>
  <c r="BE857"/>
  <c r="BD857"/>
  <c r="BA857"/>
  <c r="AX857"/>
  <c r="AQ857"/>
  <c r="AJ857"/>
  <c r="AC857"/>
  <c r="W857"/>
  <c r="J857"/>
  <c r="G857"/>
  <c r="A857"/>
  <c r="CO856"/>
  <c r="CN856"/>
  <c r="CM856"/>
  <c r="CL856"/>
  <c r="CK856"/>
  <c r="CJ856"/>
  <c r="CI856"/>
  <c r="CH856"/>
  <c r="CG856"/>
  <c r="CF856"/>
  <c r="CE856"/>
  <c r="CD856"/>
  <c r="CC856"/>
  <c r="CB856"/>
  <c r="CA856"/>
  <c r="BZ856"/>
  <c r="BY856"/>
  <c r="BX856"/>
  <c r="BW856"/>
  <c r="BV856"/>
  <c r="BU856"/>
  <c r="BT856"/>
  <c r="BS856"/>
  <c r="BR856"/>
  <c r="BQ856"/>
  <c r="BP856"/>
  <c r="BO856"/>
  <c r="BN856"/>
  <c r="BM856"/>
  <c r="BL856"/>
  <c r="BI856"/>
  <c r="BG856"/>
  <c r="BE856"/>
  <c r="BD856"/>
  <c r="BA856"/>
  <c r="AX856"/>
  <c r="AQ856"/>
  <c r="AJ856"/>
  <c r="AC856"/>
  <c r="W856"/>
  <c r="J856"/>
  <c r="G856"/>
  <c r="A856"/>
  <c r="CO855"/>
  <c r="CN855"/>
  <c r="CM855"/>
  <c r="CL855"/>
  <c r="CK855"/>
  <c r="CJ855"/>
  <c r="CI855"/>
  <c r="CH855"/>
  <c r="CG855"/>
  <c r="CF855"/>
  <c r="CE855"/>
  <c r="CD855"/>
  <c r="CC855"/>
  <c r="CB855"/>
  <c r="CA855"/>
  <c r="BZ855"/>
  <c r="BY855"/>
  <c r="BX855"/>
  <c r="BW855"/>
  <c r="BV855"/>
  <c r="BU855"/>
  <c r="BT855"/>
  <c r="BS855"/>
  <c r="BR855"/>
  <c r="BQ855"/>
  <c r="BP855"/>
  <c r="BO855"/>
  <c r="BN855"/>
  <c r="BM855"/>
  <c r="BL855"/>
  <c r="BI855"/>
  <c r="BG855"/>
  <c r="BE855"/>
  <c r="BD855"/>
  <c r="BA855"/>
  <c r="AX855"/>
  <c r="AQ855"/>
  <c r="AJ855"/>
  <c r="AC855"/>
  <c r="W855"/>
  <c r="J855"/>
  <c r="G855"/>
  <c r="A855"/>
  <c r="CI852"/>
  <c r="CH852"/>
  <c r="CG852"/>
  <c r="CF852"/>
  <c r="CE852"/>
  <c r="CD852"/>
  <c r="CC852"/>
  <c r="CB852"/>
  <c r="CA852"/>
  <c r="BZ852"/>
  <c r="BY852"/>
  <c r="BX852"/>
  <c r="BW852"/>
  <c r="BV852"/>
  <c r="BU852"/>
  <c r="BT852"/>
  <c r="BS852"/>
  <c r="BR852"/>
  <c r="BQ852"/>
  <c r="BP852"/>
  <c r="BO852"/>
  <c r="BN852"/>
  <c r="BM852"/>
  <c r="BL852"/>
  <c r="BG852"/>
  <c r="BE852"/>
  <c r="BD852"/>
  <c r="BA852"/>
  <c r="AX852"/>
  <c r="AQ852"/>
  <c r="AJ852"/>
  <c r="AC852"/>
  <c r="W852"/>
  <c r="J852"/>
  <c r="G852"/>
  <c r="A852"/>
  <c r="CI851"/>
  <c r="CH851"/>
  <c r="CG851"/>
  <c r="CF851"/>
  <c r="CE851"/>
  <c r="CD851"/>
  <c r="CC851"/>
  <c r="CB851"/>
  <c r="CA851"/>
  <c r="BZ851"/>
  <c r="BY851"/>
  <c r="BX851"/>
  <c r="BW851"/>
  <c r="BV851"/>
  <c r="BU851"/>
  <c r="BT851"/>
  <c r="BS851"/>
  <c r="BR851"/>
  <c r="BQ851"/>
  <c r="BP851"/>
  <c r="BO851"/>
  <c r="BN851"/>
  <c r="BM851"/>
  <c r="BL851"/>
  <c r="BG851"/>
  <c r="BE851"/>
  <c r="BD851"/>
  <c r="BA851"/>
  <c r="AX851"/>
  <c r="AQ851"/>
  <c r="AJ851"/>
  <c r="AC851"/>
  <c r="W851"/>
  <c r="J851"/>
  <c r="G851"/>
  <c r="A851"/>
  <c r="CG850"/>
  <c r="CF850"/>
  <c r="CE850"/>
  <c r="CD850"/>
  <c r="CC850"/>
  <c r="CB850"/>
  <c r="CA850"/>
  <c r="BZ850"/>
  <c r="BY850"/>
  <c r="BX850"/>
  <c r="BW850"/>
  <c r="BV850"/>
  <c r="BU850"/>
  <c r="BT850"/>
  <c r="BS850"/>
  <c r="BR850"/>
  <c r="BQ850"/>
  <c r="BP850"/>
  <c r="BO850"/>
  <c r="BN850"/>
  <c r="BM850"/>
  <c r="BL850"/>
  <c r="BG850"/>
  <c r="BE850"/>
  <c r="BD850"/>
  <c r="BA850"/>
  <c r="AX850"/>
  <c r="AQ850"/>
  <c r="AJ850"/>
  <c r="AC850"/>
  <c r="W850"/>
  <c r="Q850"/>
  <c r="J850"/>
  <c r="G850"/>
  <c r="A850"/>
  <c r="CC849"/>
  <c r="CB849"/>
  <c r="CA849"/>
  <c r="BZ849"/>
  <c r="BY849"/>
  <c r="BX849"/>
  <c r="BW849"/>
  <c r="BV849"/>
  <c r="BU849"/>
  <c r="BT849"/>
  <c r="BS849"/>
  <c r="BR849"/>
  <c r="BQ849"/>
  <c r="BP849"/>
  <c r="BO849"/>
  <c r="BN849"/>
  <c r="BM849"/>
  <c r="BL849"/>
  <c r="BG849"/>
  <c r="BE849"/>
  <c r="BD849"/>
  <c r="BA849"/>
  <c r="AX849"/>
  <c r="AQ849"/>
  <c r="AJ849"/>
  <c r="AC849"/>
  <c r="W849"/>
  <c r="J849"/>
  <c r="G849"/>
  <c r="A849"/>
  <c r="CK848"/>
  <c r="CJ848"/>
  <c r="CI848"/>
  <c r="CH848"/>
  <c r="CG848"/>
  <c r="CF848"/>
  <c r="CE848"/>
  <c r="CD848"/>
  <c r="CC848"/>
  <c r="CB848"/>
  <c r="CA848"/>
  <c r="BZ848"/>
  <c r="BY848"/>
  <c r="BX848"/>
  <c r="BW848"/>
  <c r="BV848"/>
  <c r="BU848"/>
  <c r="BT848"/>
  <c r="BS848"/>
  <c r="BR848"/>
  <c r="BQ848"/>
  <c r="BP848"/>
  <c r="BO848"/>
  <c r="BN848"/>
  <c r="BM848"/>
  <c r="BL848"/>
  <c r="BG848"/>
  <c r="BE848"/>
  <c r="BD848"/>
  <c r="BA848"/>
  <c r="AX848"/>
  <c r="AQ848"/>
  <c r="AJ848"/>
  <c r="AC848"/>
  <c r="W848"/>
  <c r="J848"/>
  <c r="G848"/>
  <c r="A848"/>
  <c r="CK847"/>
  <c r="CJ847"/>
  <c r="CI847"/>
  <c r="CH847"/>
  <c r="CG847"/>
  <c r="CF847"/>
  <c r="CE847"/>
  <c r="CD847"/>
  <c r="CC847"/>
  <c r="CB847"/>
  <c r="CA847"/>
  <c r="BZ847"/>
  <c r="BY847"/>
  <c r="BX847"/>
  <c r="BW847"/>
  <c r="BV847"/>
  <c r="BU847"/>
  <c r="BT847"/>
  <c r="BS847"/>
  <c r="BR847"/>
  <c r="BQ847"/>
  <c r="BP847"/>
  <c r="BO847"/>
  <c r="BN847"/>
  <c r="BM847"/>
  <c r="BL847"/>
  <c r="BG847"/>
  <c r="BE847"/>
  <c r="BD847"/>
  <c r="BA847"/>
  <c r="AX847"/>
  <c r="AQ847"/>
  <c r="AJ847"/>
  <c r="AC847"/>
  <c r="W847"/>
  <c r="Q847"/>
  <c r="J847"/>
  <c r="G847"/>
  <c r="A847"/>
  <c r="CI846"/>
  <c r="CH846"/>
  <c r="CG846"/>
  <c r="CF846"/>
  <c r="CE846"/>
  <c r="CD846"/>
  <c r="CC846"/>
  <c r="CB846"/>
  <c r="CA846"/>
  <c r="BZ846"/>
  <c r="BY846"/>
  <c r="BX846"/>
  <c r="BW846"/>
  <c r="BV846"/>
  <c r="BU846"/>
  <c r="BT846"/>
  <c r="BS846"/>
  <c r="BR846"/>
  <c r="BQ846"/>
  <c r="BP846"/>
  <c r="BO846"/>
  <c r="BN846"/>
  <c r="BM846"/>
  <c r="BL846"/>
  <c r="BI846"/>
  <c r="BG846"/>
  <c r="BE846"/>
  <c r="BD846"/>
  <c r="BA846"/>
  <c r="AX846"/>
  <c r="AQ846"/>
  <c r="AJ846"/>
  <c r="AC846"/>
  <c r="W846"/>
  <c r="J846"/>
  <c r="G846"/>
  <c r="A846"/>
  <c r="CK845"/>
  <c r="CJ845"/>
  <c r="CI845"/>
  <c r="CH845"/>
  <c r="CG845"/>
  <c r="CF845"/>
  <c r="CE845"/>
  <c r="CD845"/>
  <c r="CC845"/>
  <c r="CB845"/>
  <c r="CA845"/>
  <c r="BZ845"/>
  <c r="BY845"/>
  <c r="BX845"/>
  <c r="BW845"/>
  <c r="BV845"/>
  <c r="BU845"/>
  <c r="BT845"/>
  <c r="BS845"/>
  <c r="BR845"/>
  <c r="BQ845"/>
  <c r="BP845"/>
  <c r="BO845"/>
  <c r="BN845"/>
  <c r="BM845"/>
  <c r="BL845"/>
  <c r="BG845"/>
  <c r="BE845"/>
  <c r="BD845"/>
  <c r="BA845"/>
  <c r="AX845"/>
  <c r="AQ845"/>
  <c r="AJ845"/>
  <c r="AC845"/>
  <c r="W845"/>
  <c r="J845"/>
  <c r="G845"/>
  <c r="A845"/>
  <c r="CK844"/>
  <c r="CJ844"/>
  <c r="CI844"/>
  <c r="CH844"/>
  <c r="CG844"/>
  <c r="CF844"/>
  <c r="CE844"/>
  <c r="CD844"/>
  <c r="CC844"/>
  <c r="CB844"/>
  <c r="CA844"/>
  <c r="BZ844"/>
  <c r="BY844"/>
  <c r="BX844"/>
  <c r="BW844"/>
  <c r="BV844"/>
  <c r="BU844"/>
  <c r="BT844"/>
  <c r="BS844"/>
  <c r="BR844"/>
  <c r="BQ844"/>
  <c r="BP844"/>
  <c r="BO844"/>
  <c r="BN844"/>
  <c r="BM844"/>
  <c r="BL844"/>
  <c r="BG844"/>
  <c r="BE844"/>
  <c r="BD844"/>
  <c r="BA844"/>
  <c r="AX844"/>
  <c r="AQ844"/>
  <c r="AJ844"/>
  <c r="AC844"/>
  <c r="W844"/>
  <c r="J844"/>
  <c r="G844"/>
  <c r="A844"/>
  <c r="CM843"/>
  <c r="CL843"/>
  <c r="CK843"/>
  <c r="CJ843"/>
  <c r="CI843"/>
  <c r="CH843"/>
  <c r="CG843"/>
  <c r="CF843"/>
  <c r="CE843"/>
  <c r="CD843"/>
  <c r="CC843"/>
  <c r="CB843"/>
  <c r="CA843"/>
  <c r="BZ843"/>
  <c r="BY843"/>
  <c r="BX843"/>
  <c r="BW843"/>
  <c r="BV843"/>
  <c r="BU843"/>
  <c r="BT843"/>
  <c r="BS843"/>
  <c r="BR843"/>
  <c r="BQ843"/>
  <c r="BP843"/>
  <c r="BO843"/>
  <c r="BN843"/>
  <c r="BM843"/>
  <c r="BL843"/>
  <c r="BG843"/>
  <c r="BE843"/>
  <c r="BD843"/>
  <c r="BA843"/>
  <c r="AX843"/>
  <c r="AQ843"/>
  <c r="AJ843"/>
  <c r="AC843"/>
  <c r="W843"/>
  <c r="J843"/>
  <c r="G843"/>
  <c r="A843"/>
  <c r="CM842"/>
  <c r="CL842"/>
  <c r="CK842"/>
  <c r="CJ842"/>
  <c r="CI842"/>
  <c r="CH842"/>
  <c r="CG842"/>
  <c r="CF842"/>
  <c r="CE842"/>
  <c r="CD842"/>
  <c r="CC842"/>
  <c r="CB842"/>
  <c r="CA842"/>
  <c r="BZ842"/>
  <c r="BY842"/>
  <c r="BX842"/>
  <c r="BW842"/>
  <c r="BV842"/>
  <c r="BU842"/>
  <c r="BT842"/>
  <c r="BS842"/>
  <c r="BR842"/>
  <c r="BQ842"/>
  <c r="BP842"/>
  <c r="BO842"/>
  <c r="BN842"/>
  <c r="BM842"/>
  <c r="BL842"/>
  <c r="BG842"/>
  <c r="BE842"/>
  <c r="BD842"/>
  <c r="BA842"/>
  <c r="AX842"/>
  <c r="AQ842"/>
  <c r="AJ842"/>
  <c r="AC842"/>
  <c r="W842"/>
  <c r="J842"/>
  <c r="G842"/>
  <c r="A842"/>
  <c r="CO841"/>
  <c r="CN841"/>
  <c r="CM841"/>
  <c r="CL841"/>
  <c r="CK841"/>
  <c r="CJ841"/>
  <c r="CI841"/>
  <c r="CH841"/>
  <c r="CG841"/>
  <c r="CF841"/>
  <c r="CE841"/>
  <c r="CD841"/>
  <c r="CC841"/>
  <c r="CB841"/>
  <c r="CA841"/>
  <c r="BZ841"/>
  <c r="BY841"/>
  <c r="BX841"/>
  <c r="BW841"/>
  <c r="BV841"/>
  <c r="BU841"/>
  <c r="BT841"/>
  <c r="BS841"/>
  <c r="BR841"/>
  <c r="BQ841"/>
  <c r="BP841"/>
  <c r="BO841"/>
  <c r="BN841"/>
  <c r="BM841"/>
  <c r="BL841"/>
  <c r="BG841"/>
  <c r="BE841"/>
  <c r="BD841"/>
  <c r="BA841"/>
  <c r="AX841"/>
  <c r="AQ841"/>
  <c r="AJ841"/>
  <c r="AC841"/>
  <c r="W841"/>
  <c r="J841"/>
  <c r="G841"/>
  <c r="A841"/>
  <c r="CO840"/>
  <c r="CN840"/>
  <c r="CM840"/>
  <c r="CL840"/>
  <c r="CK840"/>
  <c r="CJ840"/>
  <c r="CI840"/>
  <c r="CH840"/>
  <c r="CG840"/>
  <c r="CF840"/>
  <c r="CE840"/>
  <c r="CD840"/>
  <c r="CC840"/>
  <c r="CB840"/>
  <c r="CA840"/>
  <c r="BZ840"/>
  <c r="BY840"/>
  <c r="BX840"/>
  <c r="BW840"/>
  <c r="BV840"/>
  <c r="BU840"/>
  <c r="BT840"/>
  <c r="BS840"/>
  <c r="BR840"/>
  <c r="BQ840"/>
  <c r="BP840"/>
  <c r="BO840"/>
  <c r="BN840"/>
  <c r="BM840"/>
  <c r="BL840"/>
  <c r="BG840"/>
  <c r="BE840"/>
  <c r="BD840"/>
  <c r="BA840"/>
  <c r="AX840"/>
  <c r="AQ840"/>
  <c r="AJ840"/>
  <c r="AC840"/>
  <c r="W840"/>
  <c r="J840"/>
  <c r="G840"/>
  <c r="A840"/>
  <c r="CO839"/>
  <c r="CN839"/>
  <c r="CM839"/>
  <c r="CL839"/>
  <c r="CK839"/>
  <c r="CJ839"/>
  <c r="CI839"/>
  <c r="CH839"/>
  <c r="CG839"/>
  <c r="CF839"/>
  <c r="CE839"/>
  <c r="CD839"/>
  <c r="CC839"/>
  <c r="CB839"/>
  <c r="CA839"/>
  <c r="BZ839"/>
  <c r="BY839"/>
  <c r="BX839"/>
  <c r="BW839"/>
  <c r="BV839"/>
  <c r="BU839"/>
  <c r="BT839"/>
  <c r="BS839"/>
  <c r="BR839"/>
  <c r="BQ839"/>
  <c r="BP839"/>
  <c r="BO839"/>
  <c r="BN839"/>
  <c r="BM839"/>
  <c r="BL839"/>
  <c r="BG839"/>
  <c r="BE839"/>
  <c r="BD839"/>
  <c r="BA839"/>
  <c r="AX839"/>
  <c r="AQ839"/>
  <c r="AJ839"/>
  <c r="AC839"/>
  <c r="W839"/>
  <c r="J839"/>
  <c r="G839"/>
  <c r="A839"/>
  <c r="CO838"/>
  <c r="CN838"/>
  <c r="CM838"/>
  <c r="CL838"/>
  <c r="CK838"/>
  <c r="CJ838"/>
  <c r="CI838"/>
  <c r="CH838"/>
  <c r="CG838"/>
  <c r="CF838"/>
  <c r="CE838"/>
  <c r="CD838"/>
  <c r="CC838"/>
  <c r="CB838"/>
  <c r="CA838"/>
  <c r="BZ838"/>
  <c r="BY838"/>
  <c r="BX838"/>
  <c r="BW838"/>
  <c r="BV838"/>
  <c r="BU838"/>
  <c r="BT838"/>
  <c r="BS838"/>
  <c r="BR838"/>
  <c r="BQ838"/>
  <c r="BP838"/>
  <c r="BO838"/>
  <c r="BN838"/>
  <c r="BM838"/>
  <c r="BL838"/>
  <c r="BG838"/>
  <c r="BE838"/>
  <c r="BD838"/>
  <c r="BA838"/>
  <c r="AX838"/>
  <c r="AQ838"/>
  <c r="AJ838"/>
  <c r="AC838"/>
  <c r="W838"/>
  <c r="Q838"/>
  <c r="J838"/>
  <c r="G838"/>
  <c r="A838"/>
  <c r="CO837"/>
  <c r="CN837"/>
  <c r="CM837"/>
  <c r="CL837"/>
  <c r="CK837"/>
  <c r="CJ837"/>
  <c r="CI837"/>
  <c r="CH837"/>
  <c r="CG837"/>
  <c r="CF837"/>
  <c r="CE837"/>
  <c r="CD837"/>
  <c r="CC837"/>
  <c r="CB837"/>
  <c r="CA837"/>
  <c r="BZ837"/>
  <c r="BY837"/>
  <c r="BX837"/>
  <c r="BW837"/>
  <c r="BV837"/>
  <c r="BU837"/>
  <c r="BT837"/>
  <c r="BS837"/>
  <c r="BR837"/>
  <c r="BQ837"/>
  <c r="BP837"/>
  <c r="BO837"/>
  <c r="BN837"/>
  <c r="BM837"/>
  <c r="BL837"/>
  <c r="BG837"/>
  <c r="BE837"/>
  <c r="BD837"/>
  <c r="BA837"/>
  <c r="AX837"/>
  <c r="AQ837"/>
  <c r="AJ837"/>
  <c r="AC837"/>
  <c r="W837"/>
  <c r="J837"/>
  <c r="G837"/>
  <c r="A837"/>
  <c r="CO836"/>
  <c r="CN836"/>
  <c r="CM836"/>
  <c r="CL836"/>
  <c r="CK836"/>
  <c r="CJ836"/>
  <c r="CI836"/>
  <c r="CH836"/>
  <c r="CG836"/>
  <c r="CF836"/>
  <c r="CE836"/>
  <c r="CD836"/>
  <c r="CC836"/>
  <c r="CB836"/>
  <c r="CA836"/>
  <c r="BZ836"/>
  <c r="BY836"/>
  <c r="BX836"/>
  <c r="BW836"/>
  <c r="BV836"/>
  <c r="BU836"/>
  <c r="BT836"/>
  <c r="BS836"/>
  <c r="BR836"/>
  <c r="BQ836"/>
  <c r="BP836"/>
  <c r="BO836"/>
  <c r="BN836"/>
  <c r="BM836"/>
  <c r="BL836"/>
  <c r="BG836"/>
  <c r="BE836"/>
  <c r="BD836"/>
  <c r="BA836"/>
  <c r="AX836"/>
  <c r="AQ836"/>
  <c r="AJ836"/>
  <c r="AC836"/>
  <c r="W836"/>
  <c r="J836"/>
  <c r="G836"/>
  <c r="A836"/>
  <c r="CG834"/>
  <c r="CF834"/>
  <c r="CE834"/>
  <c r="CD834"/>
  <c r="CC834"/>
  <c r="CB834"/>
  <c r="CA834"/>
  <c r="BZ834"/>
  <c r="BY834"/>
  <c r="BX834"/>
  <c r="BW834"/>
  <c r="BV834"/>
  <c r="BU834"/>
  <c r="BT834"/>
  <c r="BS834"/>
  <c r="BR834"/>
  <c r="BQ834"/>
  <c r="BP834"/>
  <c r="BO834"/>
  <c r="BN834"/>
  <c r="BM834"/>
  <c r="BL834"/>
  <c r="BG834"/>
  <c r="BE834"/>
  <c r="BD834"/>
  <c r="BA834"/>
  <c r="AX834"/>
  <c r="AQ834"/>
  <c r="AJ834"/>
  <c r="AC834"/>
  <c r="W834"/>
  <c r="J834"/>
  <c r="G834"/>
  <c r="A834"/>
  <c r="CG833"/>
  <c r="CF833"/>
  <c r="CE833"/>
  <c r="CD833"/>
  <c r="CC833"/>
  <c r="CB833"/>
  <c r="CA833"/>
  <c r="BZ833"/>
  <c r="BY833"/>
  <c r="BX833"/>
  <c r="BW833"/>
  <c r="BV833"/>
  <c r="BU833"/>
  <c r="BT833"/>
  <c r="BS833"/>
  <c r="BR833"/>
  <c r="BQ833"/>
  <c r="BP833"/>
  <c r="BO833"/>
  <c r="BN833"/>
  <c r="BM833"/>
  <c r="BL833"/>
  <c r="BI833"/>
  <c r="BG833"/>
  <c r="BE833"/>
  <c r="BD833"/>
  <c r="BA833"/>
  <c r="AX833"/>
  <c r="AQ833"/>
  <c r="AJ833"/>
  <c r="AC833"/>
  <c r="W833"/>
  <c r="J833"/>
  <c r="G833"/>
  <c r="A833"/>
  <c r="CC832"/>
  <c r="CB832"/>
  <c r="CA832"/>
  <c r="BZ832"/>
  <c r="BY832"/>
  <c r="BX832"/>
  <c r="BW832"/>
  <c r="BV832"/>
  <c r="BU832"/>
  <c r="BT832"/>
  <c r="BS832"/>
  <c r="BR832"/>
  <c r="BQ832"/>
  <c r="BP832"/>
  <c r="BO832"/>
  <c r="BN832"/>
  <c r="BM832"/>
  <c r="BL832"/>
  <c r="BG832"/>
  <c r="BE832"/>
  <c r="BD832"/>
  <c r="BA832"/>
  <c r="AX832"/>
  <c r="AQ832"/>
  <c r="AJ832"/>
  <c r="AC832"/>
  <c r="W832"/>
  <c r="J832"/>
  <c r="G832"/>
  <c r="A832"/>
  <c r="CG831"/>
  <c r="CF831"/>
  <c r="CE831"/>
  <c r="CD831"/>
  <c r="CC831"/>
  <c r="CB831"/>
  <c r="CA831"/>
  <c r="BZ831"/>
  <c r="BY831"/>
  <c r="BX831"/>
  <c r="BW831"/>
  <c r="BV831"/>
  <c r="BU831"/>
  <c r="BT831"/>
  <c r="BS831"/>
  <c r="BR831"/>
  <c r="BQ831"/>
  <c r="BP831"/>
  <c r="BO831"/>
  <c r="BN831"/>
  <c r="BM831"/>
  <c r="BL831"/>
  <c r="BG831"/>
  <c r="BE831"/>
  <c r="BD831"/>
  <c r="BA831"/>
  <c r="AX831"/>
  <c r="AQ831"/>
  <c r="AJ831"/>
  <c r="AC831"/>
  <c r="W831"/>
  <c r="J831"/>
  <c r="G831"/>
  <c r="A831"/>
  <c r="CG830"/>
  <c r="CF830"/>
  <c r="CE830"/>
  <c r="CD830"/>
  <c r="CC830"/>
  <c r="CB830"/>
  <c r="CA830"/>
  <c r="BZ830"/>
  <c r="BY830"/>
  <c r="BX830"/>
  <c r="BW830"/>
  <c r="BV830"/>
  <c r="BU830"/>
  <c r="BT830"/>
  <c r="BS830"/>
  <c r="BR830"/>
  <c r="BQ830"/>
  <c r="BP830"/>
  <c r="BO830"/>
  <c r="BN830"/>
  <c r="BM830"/>
  <c r="BL830"/>
  <c r="BI830"/>
  <c r="BG830"/>
  <c r="BE830"/>
  <c r="BD830"/>
  <c r="BA830"/>
  <c r="AX830"/>
  <c r="AQ830"/>
  <c r="AJ830"/>
  <c r="AC830"/>
  <c r="W830"/>
  <c r="J830"/>
  <c r="G830"/>
  <c r="A830"/>
  <c r="CC829"/>
  <c r="CB829"/>
  <c r="CA829"/>
  <c r="BZ829"/>
  <c r="BY829"/>
  <c r="BX829"/>
  <c r="BW829"/>
  <c r="BV829"/>
  <c r="BU829"/>
  <c r="BT829"/>
  <c r="BS829"/>
  <c r="BR829"/>
  <c r="BQ829"/>
  <c r="BP829"/>
  <c r="BO829"/>
  <c r="BN829"/>
  <c r="BM829"/>
  <c r="BL829"/>
  <c r="BG829"/>
  <c r="BE829"/>
  <c r="BD829"/>
  <c r="BA829"/>
  <c r="AX829"/>
  <c r="AQ829"/>
  <c r="AJ829"/>
  <c r="AC829"/>
  <c r="W829"/>
  <c r="J829"/>
  <c r="G829"/>
  <c r="A829"/>
  <c r="CM828"/>
  <c r="CL828"/>
  <c r="CK828"/>
  <c r="CJ828"/>
  <c r="CI828"/>
  <c r="CH828"/>
  <c r="CG828"/>
  <c r="CF828"/>
  <c r="CE828"/>
  <c r="CD828"/>
  <c r="CC828"/>
  <c r="CB828"/>
  <c r="CA828"/>
  <c r="BZ828"/>
  <c r="BY828"/>
  <c r="BX828"/>
  <c r="BW828"/>
  <c r="BV828"/>
  <c r="BU828"/>
  <c r="BT828"/>
  <c r="BS828"/>
  <c r="BR828"/>
  <c r="BQ828"/>
  <c r="BP828"/>
  <c r="BO828"/>
  <c r="BN828"/>
  <c r="BM828"/>
  <c r="BL828"/>
  <c r="BI828"/>
  <c r="BG828"/>
  <c r="BE828"/>
  <c r="BD828"/>
  <c r="BA828"/>
  <c r="AX828"/>
  <c r="AQ828"/>
  <c r="AJ828"/>
  <c r="AC828"/>
  <c r="W828"/>
  <c r="J828"/>
  <c r="G828"/>
  <c r="A828"/>
  <c r="CM827"/>
  <c r="CL827"/>
  <c r="CK827"/>
  <c r="CJ827"/>
  <c r="CI827"/>
  <c r="CH827"/>
  <c r="CG827"/>
  <c r="CF827"/>
  <c r="CE827"/>
  <c r="CD827"/>
  <c r="CC827"/>
  <c r="CB827"/>
  <c r="CA827"/>
  <c r="BZ827"/>
  <c r="BY827"/>
  <c r="BX827"/>
  <c r="BW827"/>
  <c r="BV827"/>
  <c r="BU827"/>
  <c r="BT827"/>
  <c r="BS827"/>
  <c r="BR827"/>
  <c r="BQ827"/>
  <c r="BP827"/>
  <c r="BO827"/>
  <c r="BN827"/>
  <c r="BM827"/>
  <c r="BL827"/>
  <c r="BI827"/>
  <c r="BG827"/>
  <c r="BE827"/>
  <c r="BD827"/>
  <c r="BA827"/>
  <c r="AX827"/>
  <c r="AQ827"/>
  <c r="AJ827"/>
  <c r="AC827"/>
  <c r="W827"/>
  <c r="J827"/>
  <c r="G827"/>
  <c r="A827"/>
  <c r="CM826"/>
  <c r="CL826"/>
  <c r="CK826"/>
  <c r="CJ826"/>
  <c r="CI826"/>
  <c r="CH826"/>
  <c r="CG826"/>
  <c r="CF826"/>
  <c r="CE826"/>
  <c r="CD826"/>
  <c r="CC826"/>
  <c r="CB826"/>
  <c r="CA826"/>
  <c r="BZ826"/>
  <c r="BY826"/>
  <c r="BX826"/>
  <c r="BW826"/>
  <c r="BV826"/>
  <c r="BU826"/>
  <c r="BT826"/>
  <c r="BS826"/>
  <c r="BR826"/>
  <c r="BQ826"/>
  <c r="BP826"/>
  <c r="BO826"/>
  <c r="BN826"/>
  <c r="BM826"/>
  <c r="BL826"/>
  <c r="BI826"/>
  <c r="BG826"/>
  <c r="BE826"/>
  <c r="BD826"/>
  <c r="BA826"/>
  <c r="AX826"/>
  <c r="AQ826"/>
  <c r="AJ826"/>
  <c r="AC826"/>
  <c r="W826"/>
  <c r="J826"/>
  <c r="G826"/>
  <c r="A826"/>
  <c r="CM825"/>
  <c r="CL825"/>
  <c r="CK825"/>
  <c r="CJ825"/>
  <c r="CI825"/>
  <c r="CH825"/>
  <c r="CG825"/>
  <c r="CF825"/>
  <c r="CE825"/>
  <c r="CD825"/>
  <c r="CC825"/>
  <c r="CB825"/>
  <c r="CA825"/>
  <c r="BZ825"/>
  <c r="BY825"/>
  <c r="BX825"/>
  <c r="BW825"/>
  <c r="BV825"/>
  <c r="BU825"/>
  <c r="BT825"/>
  <c r="BS825"/>
  <c r="BR825"/>
  <c r="BQ825"/>
  <c r="BP825"/>
  <c r="BO825"/>
  <c r="BN825"/>
  <c r="BM825"/>
  <c r="BL825"/>
  <c r="BI825"/>
  <c r="BG825"/>
  <c r="BE825"/>
  <c r="BD825"/>
  <c r="BA825"/>
  <c r="AX825"/>
  <c r="AQ825"/>
  <c r="AJ825"/>
  <c r="AC825"/>
  <c r="W825"/>
  <c r="J825"/>
  <c r="G825"/>
  <c r="A825"/>
  <c r="CM824"/>
  <c r="CL824"/>
  <c r="CK824"/>
  <c r="CJ824"/>
  <c r="CI824"/>
  <c r="CH824"/>
  <c r="CG824"/>
  <c r="CF824"/>
  <c r="CE824"/>
  <c r="CD824"/>
  <c r="CC824"/>
  <c r="CB824"/>
  <c r="CA824"/>
  <c r="BZ824"/>
  <c r="BY824"/>
  <c r="BX824"/>
  <c r="BW824"/>
  <c r="BV824"/>
  <c r="BU824"/>
  <c r="BT824"/>
  <c r="BS824"/>
  <c r="BR824"/>
  <c r="BQ824"/>
  <c r="BP824"/>
  <c r="BO824"/>
  <c r="BN824"/>
  <c r="BM824"/>
  <c r="BL824"/>
  <c r="BI824"/>
  <c r="BG824"/>
  <c r="BE824"/>
  <c r="BD824"/>
  <c r="BA824"/>
  <c r="AX824"/>
  <c r="AQ824"/>
  <c r="AJ824"/>
  <c r="AC824"/>
  <c r="W824"/>
  <c r="J824"/>
  <c r="G824"/>
  <c r="A824"/>
  <c r="CG822"/>
  <c r="CF822"/>
  <c r="CE822"/>
  <c r="CD822"/>
  <c r="CC822"/>
  <c r="CB822"/>
  <c r="CA822"/>
  <c r="BZ822"/>
  <c r="BY822"/>
  <c r="BX822"/>
  <c r="BW822"/>
  <c r="BV822"/>
  <c r="BU822"/>
  <c r="BT822"/>
  <c r="BS822"/>
  <c r="BR822"/>
  <c r="BQ822"/>
  <c r="BP822"/>
  <c r="BO822"/>
  <c r="BN822"/>
  <c r="BM822"/>
  <c r="BL822"/>
  <c r="BG822"/>
  <c r="BE822"/>
  <c r="BD822"/>
  <c r="BA822"/>
  <c r="AX822"/>
  <c r="AQ822"/>
  <c r="AJ822"/>
  <c r="AC822"/>
  <c r="W822"/>
  <c r="Q822"/>
  <c r="J822"/>
  <c r="G822"/>
  <c r="A822"/>
  <c r="CG821"/>
  <c r="CF821"/>
  <c r="CE821"/>
  <c r="CD821"/>
  <c r="CC821"/>
  <c r="CB821"/>
  <c r="CA821"/>
  <c r="BZ821"/>
  <c r="BY821"/>
  <c r="BX821"/>
  <c r="BW821"/>
  <c r="BV821"/>
  <c r="BU821"/>
  <c r="BT821"/>
  <c r="BS821"/>
  <c r="BR821"/>
  <c r="BQ821"/>
  <c r="BP821"/>
  <c r="BO821"/>
  <c r="BN821"/>
  <c r="BM821"/>
  <c r="BL821"/>
  <c r="BG821"/>
  <c r="BE821"/>
  <c r="BD821"/>
  <c r="BA821"/>
  <c r="AX821"/>
  <c r="AQ821"/>
  <c r="AJ821"/>
  <c r="AC821"/>
  <c r="W821"/>
  <c r="J821"/>
  <c r="G821"/>
  <c r="A821"/>
  <c r="CE820"/>
  <c r="CD820"/>
  <c r="CC820"/>
  <c r="CB820"/>
  <c r="CA820"/>
  <c r="BZ820"/>
  <c r="BY820"/>
  <c r="BX820"/>
  <c r="BW820"/>
  <c r="BV820"/>
  <c r="BU820"/>
  <c r="BT820"/>
  <c r="BS820"/>
  <c r="BR820"/>
  <c r="BQ820"/>
  <c r="BP820"/>
  <c r="BO820"/>
  <c r="BN820"/>
  <c r="BM820"/>
  <c r="BL820"/>
  <c r="BG820"/>
  <c r="BE820"/>
  <c r="BD820"/>
  <c r="BA820"/>
  <c r="AX820"/>
  <c r="AQ820"/>
  <c r="AJ820"/>
  <c r="AC820"/>
  <c r="W820"/>
  <c r="J820"/>
  <c r="G820"/>
  <c r="A820"/>
  <c r="CE819"/>
  <c r="CD819"/>
  <c r="CC819"/>
  <c r="CB819"/>
  <c r="CA819"/>
  <c r="BZ819"/>
  <c r="BY819"/>
  <c r="BX819"/>
  <c r="BW819"/>
  <c r="BV819"/>
  <c r="BU819"/>
  <c r="BT819"/>
  <c r="BS819"/>
  <c r="BR819"/>
  <c r="BQ819"/>
  <c r="BP819"/>
  <c r="BO819"/>
  <c r="BN819"/>
  <c r="BM819"/>
  <c r="BL819"/>
  <c r="BG819"/>
  <c r="BE819"/>
  <c r="BD819"/>
  <c r="BA819"/>
  <c r="AX819"/>
  <c r="AQ819"/>
  <c r="AJ819"/>
  <c r="AC819"/>
  <c r="W819"/>
  <c r="Q819"/>
  <c r="J819"/>
  <c r="G819"/>
  <c r="A819"/>
  <c r="CM818"/>
  <c r="CL818"/>
  <c r="CK818"/>
  <c r="CJ818"/>
  <c r="CI818"/>
  <c r="CH818"/>
  <c r="CG818"/>
  <c r="CF818"/>
  <c r="CE818"/>
  <c r="CD818"/>
  <c r="CC818"/>
  <c r="CB818"/>
  <c r="CA818"/>
  <c r="BZ818"/>
  <c r="BY818"/>
  <c r="BX818"/>
  <c r="BW818"/>
  <c r="BV818"/>
  <c r="BU818"/>
  <c r="BT818"/>
  <c r="BS818"/>
  <c r="BR818"/>
  <c r="BQ818"/>
  <c r="BP818"/>
  <c r="BO818"/>
  <c r="BN818"/>
  <c r="BM818"/>
  <c r="BL818"/>
  <c r="BI818"/>
  <c r="BG818"/>
  <c r="BE818"/>
  <c r="BD818"/>
  <c r="BA818"/>
  <c r="AX818"/>
  <c r="AQ818"/>
  <c r="AJ818"/>
  <c r="AC818"/>
  <c r="W818"/>
  <c r="Q818"/>
  <c r="J818"/>
  <c r="G818"/>
  <c r="A818"/>
  <c r="CM817"/>
  <c r="CL817"/>
  <c r="CK817"/>
  <c r="CJ817"/>
  <c r="CI817"/>
  <c r="CH817"/>
  <c r="CG817"/>
  <c r="CF817"/>
  <c r="CE817"/>
  <c r="CD817"/>
  <c r="CC817"/>
  <c r="CB817"/>
  <c r="CA817"/>
  <c r="BZ817"/>
  <c r="BY817"/>
  <c r="BX817"/>
  <c r="BW817"/>
  <c r="BV817"/>
  <c r="BU817"/>
  <c r="BT817"/>
  <c r="BS817"/>
  <c r="BR817"/>
  <c r="BQ817"/>
  <c r="BP817"/>
  <c r="BO817"/>
  <c r="BN817"/>
  <c r="BM817"/>
  <c r="BL817"/>
  <c r="BI817"/>
  <c r="BG817"/>
  <c r="BE817"/>
  <c r="BD817"/>
  <c r="BA817"/>
  <c r="AX817"/>
  <c r="AQ817"/>
  <c r="AJ817"/>
  <c r="AC817"/>
  <c r="W817"/>
  <c r="Q817"/>
  <c r="J817"/>
  <c r="G817"/>
  <c r="A817"/>
  <c r="CM816"/>
  <c r="CL816"/>
  <c r="CK816"/>
  <c r="CJ816"/>
  <c r="CI816"/>
  <c r="CH816"/>
  <c r="CG816"/>
  <c r="CF816"/>
  <c r="CE816"/>
  <c r="CD816"/>
  <c r="CC816"/>
  <c r="CB816"/>
  <c r="CA816"/>
  <c r="BZ816"/>
  <c r="BY816"/>
  <c r="BX816"/>
  <c r="BW816"/>
  <c r="BV816"/>
  <c r="BU816"/>
  <c r="BT816"/>
  <c r="BS816"/>
  <c r="BR816"/>
  <c r="BQ816"/>
  <c r="BP816"/>
  <c r="BO816"/>
  <c r="BN816"/>
  <c r="BM816"/>
  <c r="BL816"/>
  <c r="BG816"/>
  <c r="BE816"/>
  <c r="BD816"/>
  <c r="BA816"/>
  <c r="AX816"/>
  <c r="AQ816"/>
  <c r="AJ816"/>
  <c r="AC816"/>
  <c r="W816"/>
  <c r="Q816"/>
  <c r="J816"/>
  <c r="G816"/>
  <c r="A816"/>
  <c r="CM815"/>
  <c r="CL815"/>
  <c r="CK815"/>
  <c r="CJ815"/>
  <c r="CI815"/>
  <c r="CH815"/>
  <c r="CG815"/>
  <c r="CF815"/>
  <c r="CE815"/>
  <c r="CD815"/>
  <c r="CC815"/>
  <c r="CB815"/>
  <c r="CA815"/>
  <c r="BZ815"/>
  <c r="BY815"/>
  <c r="BX815"/>
  <c r="BW815"/>
  <c r="BV815"/>
  <c r="BU815"/>
  <c r="BT815"/>
  <c r="BS815"/>
  <c r="BR815"/>
  <c r="BQ815"/>
  <c r="BP815"/>
  <c r="BO815"/>
  <c r="BN815"/>
  <c r="BM815"/>
  <c r="BL815"/>
  <c r="BI815"/>
  <c r="BG815"/>
  <c r="BE815"/>
  <c r="BD815"/>
  <c r="BA815"/>
  <c r="AX815"/>
  <c r="AQ815"/>
  <c r="AJ815"/>
  <c r="AC815"/>
  <c r="W815"/>
  <c r="Q815"/>
  <c r="J815"/>
  <c r="G815"/>
  <c r="A815"/>
  <c r="CK814"/>
  <c r="CJ814"/>
  <c r="CI814"/>
  <c r="CH814"/>
  <c r="CG814"/>
  <c r="CF814"/>
  <c r="CE814"/>
  <c r="CD814"/>
  <c r="CC814"/>
  <c r="CB814"/>
  <c r="CA814"/>
  <c r="BZ814"/>
  <c r="BY814"/>
  <c r="BX814"/>
  <c r="BW814"/>
  <c r="BV814"/>
  <c r="BU814"/>
  <c r="BT814"/>
  <c r="BS814"/>
  <c r="BR814"/>
  <c r="BQ814"/>
  <c r="BP814"/>
  <c r="BO814"/>
  <c r="BN814"/>
  <c r="BM814"/>
  <c r="BL814"/>
  <c r="BI814"/>
  <c r="BG814"/>
  <c r="BE814"/>
  <c r="BD814"/>
  <c r="BA814"/>
  <c r="AX814"/>
  <c r="AQ814"/>
  <c r="AJ814"/>
  <c r="AC814"/>
  <c r="W814"/>
  <c r="Q814"/>
  <c r="J814"/>
  <c r="G814"/>
  <c r="A814"/>
  <c r="CK813"/>
  <c r="CJ813"/>
  <c r="CI813"/>
  <c r="CH813"/>
  <c r="CG813"/>
  <c r="CF813"/>
  <c r="CE813"/>
  <c r="CD813"/>
  <c r="CC813"/>
  <c r="CB813"/>
  <c r="CA813"/>
  <c r="BZ813"/>
  <c r="BY813"/>
  <c r="BX813"/>
  <c r="BW813"/>
  <c r="BV813"/>
  <c r="BU813"/>
  <c r="BT813"/>
  <c r="BS813"/>
  <c r="BR813"/>
  <c r="BQ813"/>
  <c r="BP813"/>
  <c r="BO813"/>
  <c r="BN813"/>
  <c r="BM813"/>
  <c r="BL813"/>
  <c r="BG813"/>
  <c r="BE813"/>
  <c r="BD813"/>
  <c r="BA813"/>
  <c r="AX813"/>
  <c r="AQ813"/>
  <c r="AJ813"/>
  <c r="AC813"/>
  <c r="W813"/>
  <c r="Q813"/>
  <c r="J813"/>
  <c r="G813"/>
  <c r="A813"/>
  <c r="CK812"/>
  <c r="CJ812"/>
  <c r="CI812"/>
  <c r="CH812"/>
  <c r="CG812"/>
  <c r="CF812"/>
  <c r="CE812"/>
  <c r="CD812"/>
  <c r="CC812"/>
  <c r="CB812"/>
  <c r="CA812"/>
  <c r="BZ812"/>
  <c r="BY812"/>
  <c r="BX812"/>
  <c r="BW812"/>
  <c r="BV812"/>
  <c r="BU812"/>
  <c r="BT812"/>
  <c r="BS812"/>
  <c r="BR812"/>
  <c r="BQ812"/>
  <c r="BP812"/>
  <c r="BO812"/>
  <c r="BN812"/>
  <c r="BM812"/>
  <c r="BL812"/>
  <c r="BG812"/>
  <c r="BE812"/>
  <c r="BD812"/>
  <c r="BA812"/>
  <c r="AX812"/>
  <c r="AQ812"/>
  <c r="AJ812"/>
  <c r="AC812"/>
  <c r="W812"/>
  <c r="Q812"/>
  <c r="J812"/>
  <c r="G812"/>
  <c r="A812"/>
  <c r="CO811"/>
  <c r="CN811"/>
  <c r="CM811"/>
  <c r="CL811"/>
  <c r="CK811"/>
  <c r="CJ811"/>
  <c r="CI811"/>
  <c r="CH811"/>
  <c r="CG811"/>
  <c r="CF811"/>
  <c r="CE811"/>
  <c r="CD811"/>
  <c r="CC811"/>
  <c r="CB811"/>
  <c r="CA811"/>
  <c r="BZ811"/>
  <c r="BY811"/>
  <c r="BX811"/>
  <c r="BW811"/>
  <c r="BV811"/>
  <c r="BU811"/>
  <c r="BT811"/>
  <c r="BS811"/>
  <c r="BR811"/>
  <c r="BQ811"/>
  <c r="BP811"/>
  <c r="BO811"/>
  <c r="BN811"/>
  <c r="BM811"/>
  <c r="BL811"/>
  <c r="BI811"/>
  <c r="BG811"/>
  <c r="BE811"/>
  <c r="BD811"/>
  <c r="BA811"/>
  <c r="AX811"/>
  <c r="AQ811"/>
  <c r="AJ811"/>
  <c r="AC811"/>
  <c r="W811"/>
  <c r="Q811"/>
  <c r="J811"/>
  <c r="G811"/>
  <c r="A811"/>
  <c r="CO810"/>
  <c r="CN810"/>
  <c r="CM810"/>
  <c r="CL810"/>
  <c r="CK810"/>
  <c r="CJ810"/>
  <c r="CI810"/>
  <c r="CH810"/>
  <c r="CG810"/>
  <c r="CF810"/>
  <c r="CE810"/>
  <c r="CD810"/>
  <c r="CC810"/>
  <c r="CB810"/>
  <c r="CA810"/>
  <c r="BZ810"/>
  <c r="BY810"/>
  <c r="BX810"/>
  <c r="BW810"/>
  <c r="BV810"/>
  <c r="BU810"/>
  <c r="BT810"/>
  <c r="BS810"/>
  <c r="BR810"/>
  <c r="BQ810"/>
  <c r="BP810"/>
  <c r="BO810"/>
  <c r="BN810"/>
  <c r="BM810"/>
  <c r="BL810"/>
  <c r="BI810"/>
  <c r="BG810"/>
  <c r="BE810"/>
  <c r="BD810"/>
  <c r="BA810"/>
  <c r="AX810"/>
  <c r="AQ810"/>
  <c r="AJ810"/>
  <c r="AC810"/>
  <c r="W810"/>
  <c r="Q810"/>
  <c r="J810"/>
  <c r="G810"/>
  <c r="A810"/>
  <c r="CO809"/>
  <c r="CN809"/>
  <c r="CM809"/>
  <c r="CL809"/>
  <c r="CK809"/>
  <c r="CJ809"/>
  <c r="CI809"/>
  <c r="CH809"/>
  <c r="CG809"/>
  <c r="CF809"/>
  <c r="CE809"/>
  <c r="CD809"/>
  <c r="CC809"/>
  <c r="CB809"/>
  <c r="CA809"/>
  <c r="BZ809"/>
  <c r="BY809"/>
  <c r="BX809"/>
  <c r="BW809"/>
  <c r="BV809"/>
  <c r="BU809"/>
  <c r="BT809"/>
  <c r="BS809"/>
  <c r="BR809"/>
  <c r="BQ809"/>
  <c r="BP809"/>
  <c r="BO809"/>
  <c r="BN809"/>
  <c r="BM809"/>
  <c r="BL809"/>
  <c r="BI809"/>
  <c r="BG809"/>
  <c r="BE809"/>
  <c r="BD809"/>
  <c r="BA809"/>
  <c r="AX809"/>
  <c r="AQ809"/>
  <c r="AJ809"/>
  <c r="AC809"/>
  <c r="W809"/>
  <c r="Q809"/>
  <c r="J809"/>
  <c r="G809"/>
  <c r="A809"/>
  <c r="CO808"/>
  <c r="CN808"/>
  <c r="CM808"/>
  <c r="CL808"/>
  <c r="CK808"/>
  <c r="CJ808"/>
  <c r="CI808"/>
  <c r="CH808"/>
  <c r="CG808"/>
  <c r="CF808"/>
  <c r="CE808"/>
  <c r="CD808"/>
  <c r="CC808"/>
  <c r="CB808"/>
  <c r="CA808"/>
  <c r="BZ808"/>
  <c r="BY808"/>
  <c r="BX808"/>
  <c r="BW808"/>
  <c r="BV808"/>
  <c r="BU808"/>
  <c r="BT808"/>
  <c r="BS808"/>
  <c r="BR808"/>
  <c r="BQ808"/>
  <c r="BP808"/>
  <c r="BO808"/>
  <c r="BN808"/>
  <c r="BM808"/>
  <c r="BL808"/>
  <c r="BI808"/>
  <c r="BG808"/>
  <c r="BE808"/>
  <c r="BD808"/>
  <c r="BA808"/>
  <c r="AX808"/>
  <c r="AQ808"/>
  <c r="AJ808"/>
  <c r="AC808"/>
  <c r="W808"/>
  <c r="Q808"/>
  <c r="J808"/>
  <c r="G808"/>
  <c r="A808"/>
  <c r="CO807"/>
  <c r="CN807"/>
  <c r="CM807"/>
  <c r="CL807"/>
  <c r="CK807"/>
  <c r="CJ807"/>
  <c r="CI807"/>
  <c r="CH807"/>
  <c r="CG807"/>
  <c r="CF807"/>
  <c r="CE807"/>
  <c r="CD807"/>
  <c r="CC807"/>
  <c r="CB807"/>
  <c r="CA807"/>
  <c r="BZ807"/>
  <c r="BY807"/>
  <c r="BX807"/>
  <c r="BW807"/>
  <c r="BV807"/>
  <c r="BU807"/>
  <c r="BT807"/>
  <c r="BS807"/>
  <c r="BR807"/>
  <c r="BQ807"/>
  <c r="BP807"/>
  <c r="BO807"/>
  <c r="BN807"/>
  <c r="BM807"/>
  <c r="BL807"/>
  <c r="BI807"/>
  <c r="BG807"/>
  <c r="BE807"/>
  <c r="BD807"/>
  <c r="BA807"/>
  <c r="AX807"/>
  <c r="AQ807"/>
  <c r="AJ807"/>
  <c r="AC807"/>
  <c r="W807"/>
  <c r="Q807"/>
  <c r="J807"/>
  <c r="G807"/>
  <c r="A807"/>
  <c r="CO806"/>
  <c r="CN806"/>
  <c r="CM806"/>
  <c r="CL806"/>
  <c r="CK806"/>
  <c r="CJ806"/>
  <c r="CI806"/>
  <c r="CH806"/>
  <c r="CG806"/>
  <c r="CF806"/>
  <c r="CE806"/>
  <c r="CD806"/>
  <c r="CC806"/>
  <c r="CB806"/>
  <c r="CA806"/>
  <c r="BZ806"/>
  <c r="BY806"/>
  <c r="BX806"/>
  <c r="BW806"/>
  <c r="BV806"/>
  <c r="BU806"/>
  <c r="BT806"/>
  <c r="BS806"/>
  <c r="BR806"/>
  <c r="BQ806"/>
  <c r="BP806"/>
  <c r="BO806"/>
  <c r="BN806"/>
  <c r="BM806"/>
  <c r="BL806"/>
  <c r="BI806"/>
  <c r="BG806"/>
  <c r="BE806"/>
  <c r="BD806"/>
  <c r="BA806"/>
  <c r="AX806"/>
  <c r="AQ806"/>
  <c r="AJ806"/>
  <c r="AC806"/>
  <c r="W806"/>
  <c r="Q806"/>
  <c r="J806"/>
  <c r="G806"/>
  <c r="A806"/>
  <c r="CM803"/>
  <c r="CL803"/>
  <c r="CK803"/>
  <c r="CJ803"/>
  <c r="CI803"/>
  <c r="CH803"/>
  <c r="CG803"/>
  <c r="CF803"/>
  <c r="CE803"/>
  <c r="CD803"/>
  <c r="CC803"/>
  <c r="CB803"/>
  <c r="CA803"/>
  <c r="BZ803"/>
  <c r="BY803"/>
  <c r="BX803"/>
  <c r="BW803"/>
  <c r="BV803"/>
  <c r="BU803"/>
  <c r="BT803"/>
  <c r="BS803"/>
  <c r="BR803"/>
  <c r="BQ803"/>
  <c r="BP803"/>
  <c r="BO803"/>
  <c r="BN803"/>
  <c r="BM803"/>
  <c r="BL803"/>
  <c r="BG803"/>
  <c r="BE803"/>
  <c r="BD803"/>
  <c r="BA803"/>
  <c r="AX803"/>
  <c r="AQ803"/>
  <c r="AJ803"/>
  <c r="AC803"/>
  <c r="W803"/>
  <c r="Q803"/>
  <c r="J803"/>
  <c r="G803"/>
  <c r="A803"/>
  <c r="CO802"/>
  <c r="CN802"/>
  <c r="CM802"/>
  <c r="CL802"/>
  <c r="CK802"/>
  <c r="CJ802"/>
  <c r="CI802"/>
  <c r="CH802"/>
  <c r="CG802"/>
  <c r="CF802"/>
  <c r="CE802"/>
  <c r="CD802"/>
  <c r="CC802"/>
  <c r="CB802"/>
  <c r="CA802"/>
  <c r="BZ802"/>
  <c r="BY802"/>
  <c r="BX802"/>
  <c r="BW802"/>
  <c r="BV802"/>
  <c r="BU802"/>
  <c r="BT802"/>
  <c r="BS802"/>
  <c r="BR802"/>
  <c r="BQ802"/>
  <c r="BP802"/>
  <c r="BO802"/>
  <c r="BN802"/>
  <c r="BM802"/>
  <c r="BL802"/>
  <c r="BG802"/>
  <c r="BE802"/>
  <c r="BD802"/>
  <c r="BA802"/>
  <c r="AX802"/>
  <c r="AQ802"/>
  <c r="AJ802"/>
  <c r="AC802"/>
  <c r="W802"/>
  <c r="Q802"/>
  <c r="J802"/>
  <c r="G802"/>
  <c r="A802"/>
  <c r="CO801"/>
  <c r="CN801"/>
  <c r="CM801"/>
  <c r="CL801"/>
  <c r="CK801"/>
  <c r="CJ801"/>
  <c r="CI801"/>
  <c r="CH801"/>
  <c r="CG801"/>
  <c r="CF801"/>
  <c r="CE801"/>
  <c r="CD801"/>
  <c r="CC801"/>
  <c r="CB801"/>
  <c r="CA801"/>
  <c r="BZ801"/>
  <c r="BY801"/>
  <c r="BX801"/>
  <c r="BW801"/>
  <c r="BV801"/>
  <c r="BU801"/>
  <c r="BT801"/>
  <c r="BS801"/>
  <c r="BR801"/>
  <c r="BQ801"/>
  <c r="BP801"/>
  <c r="BO801"/>
  <c r="BN801"/>
  <c r="BM801"/>
  <c r="BL801"/>
  <c r="BG801"/>
  <c r="BE801"/>
  <c r="BD801"/>
  <c r="BA801"/>
  <c r="AX801"/>
  <c r="AQ801"/>
  <c r="AJ801"/>
  <c r="AC801"/>
  <c r="W801"/>
  <c r="Q801"/>
  <c r="J801"/>
  <c r="G801"/>
  <c r="A801"/>
  <c r="CO800"/>
  <c r="CN800"/>
  <c r="CM800"/>
  <c r="CL800"/>
  <c r="CK800"/>
  <c r="CJ800"/>
  <c r="CI800"/>
  <c r="CH800"/>
  <c r="CG800"/>
  <c r="CF800"/>
  <c r="CE800"/>
  <c r="CD800"/>
  <c r="CC800"/>
  <c r="CB800"/>
  <c r="CA800"/>
  <c r="BZ800"/>
  <c r="BY800"/>
  <c r="BX800"/>
  <c r="BW800"/>
  <c r="BV800"/>
  <c r="BU800"/>
  <c r="BT800"/>
  <c r="BS800"/>
  <c r="BR800"/>
  <c r="BQ800"/>
  <c r="BP800"/>
  <c r="BO800"/>
  <c r="BN800"/>
  <c r="BM800"/>
  <c r="BL800"/>
  <c r="BG800"/>
  <c r="BE800"/>
  <c r="BD800"/>
  <c r="BA800"/>
  <c r="AX800"/>
  <c r="AQ800"/>
  <c r="AJ800"/>
  <c r="AC800"/>
  <c r="W800"/>
  <c r="Q800"/>
  <c r="J800"/>
  <c r="G800"/>
  <c r="A800"/>
  <c r="CO799"/>
  <c r="CN799"/>
  <c r="CM799"/>
  <c r="CL799"/>
  <c r="CK799"/>
  <c r="CJ799"/>
  <c r="CI799"/>
  <c r="CH799"/>
  <c r="CG799"/>
  <c r="CF799"/>
  <c r="CE799"/>
  <c r="CD799"/>
  <c r="CC799"/>
  <c r="CB799"/>
  <c r="CA799"/>
  <c r="BZ799"/>
  <c r="BY799"/>
  <c r="BX799"/>
  <c r="BW799"/>
  <c r="BV799"/>
  <c r="BU799"/>
  <c r="BT799"/>
  <c r="BS799"/>
  <c r="BR799"/>
  <c r="BQ799"/>
  <c r="BP799"/>
  <c r="BO799"/>
  <c r="BN799"/>
  <c r="BM799"/>
  <c r="BL799"/>
  <c r="BG799"/>
  <c r="BE799"/>
  <c r="BD799"/>
  <c r="BA799"/>
  <c r="AX799"/>
  <c r="AQ799"/>
  <c r="AJ799"/>
  <c r="AC799"/>
  <c r="W799"/>
  <c r="Q799"/>
  <c r="J799"/>
  <c r="G799"/>
  <c r="A799"/>
  <c r="CO798"/>
  <c r="CN798"/>
  <c r="CM798"/>
  <c r="CL798"/>
  <c r="CK798"/>
  <c r="CJ798"/>
  <c r="CI798"/>
  <c r="CH798"/>
  <c r="CG798"/>
  <c r="CF798"/>
  <c r="CE798"/>
  <c r="CD798"/>
  <c r="CC798"/>
  <c r="CB798"/>
  <c r="CA798"/>
  <c r="BZ798"/>
  <c r="BY798"/>
  <c r="BX798"/>
  <c r="BW798"/>
  <c r="BV798"/>
  <c r="BU798"/>
  <c r="BT798"/>
  <c r="BS798"/>
  <c r="BR798"/>
  <c r="BQ798"/>
  <c r="BP798"/>
  <c r="BO798"/>
  <c r="BN798"/>
  <c r="BM798"/>
  <c r="BL798"/>
  <c r="BG798"/>
  <c r="BE798"/>
  <c r="BD798"/>
  <c r="BA798"/>
  <c r="AX798"/>
  <c r="AQ798"/>
  <c r="AC798"/>
  <c r="W798"/>
  <c r="Q798"/>
  <c r="J798"/>
  <c r="G798"/>
  <c r="A798"/>
  <c r="CK796"/>
  <c r="CJ796"/>
  <c r="CI796"/>
  <c r="CH796"/>
  <c r="CG796"/>
  <c r="CF796"/>
  <c r="CE796"/>
  <c r="CD796"/>
  <c r="CC796"/>
  <c r="CB796"/>
  <c r="CA796"/>
  <c r="BZ796"/>
  <c r="BY796"/>
  <c r="BX796"/>
  <c r="BW796"/>
  <c r="BV796"/>
  <c r="BU796"/>
  <c r="BT796"/>
  <c r="BS796"/>
  <c r="BR796"/>
  <c r="BQ796"/>
  <c r="BP796"/>
  <c r="BO796"/>
  <c r="BN796"/>
  <c r="BM796"/>
  <c r="BL796"/>
  <c r="BG796"/>
  <c r="BE796"/>
  <c r="BD796"/>
  <c r="BA796"/>
  <c r="AX796"/>
  <c r="AQ796"/>
  <c r="AC796"/>
  <c r="W796"/>
  <c r="Q796"/>
  <c r="J796"/>
  <c r="G796"/>
  <c r="A796"/>
  <c r="CK795"/>
  <c r="CJ795"/>
  <c r="CI795"/>
  <c r="CH795"/>
  <c r="CG795"/>
  <c r="CF795"/>
  <c r="CE795"/>
  <c r="CD795"/>
  <c r="CC795"/>
  <c r="CB795"/>
  <c r="CA795"/>
  <c r="BZ795"/>
  <c r="BY795"/>
  <c r="BX795"/>
  <c r="BW795"/>
  <c r="BV795"/>
  <c r="BU795"/>
  <c r="BT795"/>
  <c r="BS795"/>
  <c r="BR795"/>
  <c r="BQ795"/>
  <c r="BP795"/>
  <c r="BO795"/>
  <c r="BN795"/>
  <c r="BM795"/>
  <c r="BL795"/>
  <c r="BG795"/>
  <c r="BE795"/>
  <c r="BD795"/>
  <c r="BA795"/>
  <c r="AX795"/>
  <c r="AQ795"/>
  <c r="AC795"/>
  <c r="W795"/>
  <c r="J795"/>
  <c r="G795"/>
  <c r="A795"/>
  <c r="CE794"/>
  <c r="CD794"/>
  <c r="CC794"/>
  <c r="CB794"/>
  <c r="CA794"/>
  <c r="BZ794"/>
  <c r="BY794"/>
  <c r="BX794"/>
  <c r="BW794"/>
  <c r="BV794"/>
  <c r="BU794"/>
  <c r="BT794"/>
  <c r="BS794"/>
  <c r="BR794"/>
  <c r="BQ794"/>
  <c r="BP794"/>
  <c r="BO794"/>
  <c r="BN794"/>
  <c r="BM794"/>
  <c r="BL794"/>
  <c r="BG794"/>
  <c r="BE794"/>
  <c r="BD794"/>
  <c r="BA794"/>
  <c r="AX794"/>
  <c r="AQ794"/>
  <c r="AC794"/>
  <c r="W794"/>
  <c r="Q794"/>
  <c r="J794"/>
  <c r="G794"/>
  <c r="A794"/>
  <c r="CG793"/>
  <c r="CF793"/>
  <c r="CE793"/>
  <c r="CD793"/>
  <c r="CC793"/>
  <c r="CB793"/>
  <c r="CA793"/>
  <c r="BZ793"/>
  <c r="BY793"/>
  <c r="BX793"/>
  <c r="BW793"/>
  <c r="BV793"/>
  <c r="BU793"/>
  <c r="BT793"/>
  <c r="BS793"/>
  <c r="BR793"/>
  <c r="BQ793"/>
  <c r="BP793"/>
  <c r="BO793"/>
  <c r="BN793"/>
  <c r="BM793"/>
  <c r="BL793"/>
  <c r="BG793"/>
  <c r="BE793"/>
  <c r="BD793"/>
  <c r="BA793"/>
  <c r="AX793"/>
  <c r="AQ793"/>
  <c r="AC793"/>
  <c r="W793"/>
  <c r="J793"/>
  <c r="G793"/>
  <c r="A793"/>
  <c r="CC792"/>
  <c r="CB792"/>
  <c r="CA792"/>
  <c r="BZ792"/>
  <c r="BY792"/>
  <c r="BX792"/>
  <c r="BW792"/>
  <c r="BV792"/>
  <c r="BU792"/>
  <c r="BT792"/>
  <c r="BS792"/>
  <c r="BR792"/>
  <c r="BQ792"/>
  <c r="BP792"/>
  <c r="BO792"/>
  <c r="BN792"/>
  <c r="BM792"/>
  <c r="BL792"/>
  <c r="BG792"/>
  <c r="BE792"/>
  <c r="BD792"/>
  <c r="BA792"/>
  <c r="AX792"/>
  <c r="AQ792"/>
  <c r="AC792"/>
  <c r="W792"/>
  <c r="Q792"/>
  <c r="J792"/>
  <c r="G792"/>
  <c r="A792"/>
  <c r="CC791"/>
  <c r="CB791"/>
  <c r="CA791"/>
  <c r="BZ791"/>
  <c r="BY791"/>
  <c r="BX791"/>
  <c r="BW791"/>
  <c r="BV791"/>
  <c r="BU791"/>
  <c r="BT791"/>
  <c r="BS791"/>
  <c r="BR791"/>
  <c r="BQ791"/>
  <c r="BP791"/>
  <c r="BO791"/>
  <c r="BN791"/>
  <c r="BM791"/>
  <c r="BL791"/>
  <c r="BG791"/>
  <c r="BE791"/>
  <c r="BD791"/>
  <c r="BA791"/>
  <c r="AX791"/>
  <c r="AQ791"/>
  <c r="AC791"/>
  <c r="W791"/>
  <c r="J791"/>
  <c r="G791"/>
  <c r="A791"/>
  <c r="CG790"/>
  <c r="CF790"/>
  <c r="CE790"/>
  <c r="CD790"/>
  <c r="CC790"/>
  <c r="CB790"/>
  <c r="CA790"/>
  <c r="BZ790"/>
  <c r="BY790"/>
  <c r="BX790"/>
  <c r="BW790"/>
  <c r="BV790"/>
  <c r="BU790"/>
  <c r="BT790"/>
  <c r="BS790"/>
  <c r="BR790"/>
  <c r="BQ790"/>
  <c r="BP790"/>
  <c r="BO790"/>
  <c r="BN790"/>
  <c r="BM790"/>
  <c r="BL790"/>
  <c r="BG790"/>
  <c r="BE790"/>
  <c r="BD790"/>
  <c r="BA790"/>
  <c r="AX790"/>
  <c r="AQ790"/>
  <c r="AC790"/>
  <c r="W790"/>
  <c r="J790"/>
  <c r="G790"/>
  <c r="A790"/>
  <c r="CG789"/>
  <c r="CF789"/>
  <c r="CE789"/>
  <c r="CD789"/>
  <c r="CC789"/>
  <c r="CB789"/>
  <c r="CA789"/>
  <c r="BZ789"/>
  <c r="BY789"/>
  <c r="BX789"/>
  <c r="BW789"/>
  <c r="BV789"/>
  <c r="BU789"/>
  <c r="BT789"/>
  <c r="BS789"/>
  <c r="BR789"/>
  <c r="BQ789"/>
  <c r="BP789"/>
  <c r="BO789"/>
  <c r="BN789"/>
  <c r="BM789"/>
  <c r="BL789"/>
  <c r="BG789"/>
  <c r="BE789"/>
  <c r="BD789"/>
  <c r="BA789"/>
  <c r="AX789"/>
  <c r="AQ789"/>
  <c r="AC789"/>
  <c r="W789"/>
  <c r="J789"/>
  <c r="G789"/>
  <c r="A789"/>
  <c r="CG788"/>
  <c r="CF788"/>
  <c r="CE788"/>
  <c r="CD788"/>
  <c r="CC788"/>
  <c r="CB788"/>
  <c r="CA788"/>
  <c r="BZ788"/>
  <c r="BY788"/>
  <c r="BX788"/>
  <c r="BW788"/>
  <c r="BV788"/>
  <c r="BU788"/>
  <c r="BT788"/>
  <c r="BS788"/>
  <c r="BR788"/>
  <c r="BQ788"/>
  <c r="BP788"/>
  <c r="BO788"/>
  <c r="BN788"/>
  <c r="BM788"/>
  <c r="BL788"/>
  <c r="BG788"/>
  <c r="BE788"/>
  <c r="BD788"/>
  <c r="BA788"/>
  <c r="AX788"/>
  <c r="AQ788"/>
  <c r="AC788"/>
  <c r="W788"/>
  <c r="J788"/>
  <c r="G788"/>
  <c r="A788"/>
  <c r="CO787"/>
  <c r="CN787"/>
  <c r="CM787"/>
  <c r="CL787"/>
  <c r="CK787"/>
  <c r="CJ787"/>
  <c r="CI787"/>
  <c r="CH787"/>
  <c r="CG787"/>
  <c r="CF787"/>
  <c r="CE787"/>
  <c r="CD787"/>
  <c r="CC787"/>
  <c r="CB787"/>
  <c r="CA787"/>
  <c r="BZ787"/>
  <c r="BY787"/>
  <c r="BX787"/>
  <c r="BW787"/>
  <c r="BV787"/>
  <c r="BU787"/>
  <c r="BT787"/>
  <c r="BS787"/>
  <c r="BR787"/>
  <c r="BQ787"/>
  <c r="BP787"/>
  <c r="BO787"/>
  <c r="BN787"/>
  <c r="BM787"/>
  <c r="BL787"/>
  <c r="BG787"/>
  <c r="BE787"/>
  <c r="BD787"/>
  <c r="BA787"/>
  <c r="AX787"/>
  <c r="AQ787"/>
  <c r="AC787"/>
  <c r="W787"/>
  <c r="Q787"/>
  <c r="J787"/>
  <c r="G787"/>
  <c r="A787"/>
  <c r="CO786"/>
  <c r="CN786"/>
  <c r="CM786"/>
  <c r="CL786"/>
  <c r="CK786"/>
  <c r="CJ786"/>
  <c r="CI786"/>
  <c r="CH786"/>
  <c r="CG786"/>
  <c r="CF786"/>
  <c r="CE786"/>
  <c r="CD786"/>
  <c r="CC786"/>
  <c r="CB786"/>
  <c r="CA786"/>
  <c r="BZ786"/>
  <c r="BY786"/>
  <c r="BX786"/>
  <c r="BW786"/>
  <c r="BV786"/>
  <c r="BU786"/>
  <c r="BT786"/>
  <c r="BS786"/>
  <c r="BR786"/>
  <c r="BQ786"/>
  <c r="BP786"/>
  <c r="BO786"/>
  <c r="BN786"/>
  <c r="BM786"/>
  <c r="BL786"/>
  <c r="BG786"/>
  <c r="BE786"/>
  <c r="BD786"/>
  <c r="BA786"/>
  <c r="AX786"/>
  <c r="AQ786"/>
  <c r="AC786"/>
  <c r="W786"/>
  <c r="Q786"/>
  <c r="J786"/>
  <c r="G786"/>
  <c r="A786"/>
  <c r="CO785"/>
  <c r="CN785"/>
  <c r="CM785"/>
  <c r="CL785"/>
  <c r="CK785"/>
  <c r="CJ785"/>
  <c r="CI785"/>
  <c r="CH785"/>
  <c r="CG785"/>
  <c r="CF785"/>
  <c r="CE785"/>
  <c r="CD785"/>
  <c r="CC785"/>
  <c r="CB785"/>
  <c r="CA785"/>
  <c r="BZ785"/>
  <c r="BY785"/>
  <c r="BX785"/>
  <c r="BW785"/>
  <c r="BV785"/>
  <c r="BU785"/>
  <c r="BT785"/>
  <c r="BS785"/>
  <c r="BR785"/>
  <c r="BQ785"/>
  <c r="BP785"/>
  <c r="BO785"/>
  <c r="BN785"/>
  <c r="BM785"/>
  <c r="BL785"/>
  <c r="BG785"/>
  <c r="BE785"/>
  <c r="BD785"/>
  <c r="BA785"/>
  <c r="AX785"/>
  <c r="AQ785"/>
  <c r="AC785"/>
  <c r="W785"/>
  <c r="Q785"/>
  <c r="J785"/>
  <c r="G785"/>
  <c r="A785"/>
  <c r="CO784"/>
  <c r="CN784"/>
  <c r="CM784"/>
  <c r="CL784"/>
  <c r="CK784"/>
  <c r="CJ784"/>
  <c r="CI784"/>
  <c r="CH784"/>
  <c r="CG784"/>
  <c r="CF784"/>
  <c r="CE784"/>
  <c r="CD784"/>
  <c r="CC784"/>
  <c r="CB784"/>
  <c r="CA784"/>
  <c r="BZ784"/>
  <c r="BY784"/>
  <c r="BX784"/>
  <c r="BW784"/>
  <c r="BV784"/>
  <c r="BU784"/>
  <c r="BT784"/>
  <c r="BS784"/>
  <c r="BR784"/>
  <c r="BQ784"/>
  <c r="BP784"/>
  <c r="BO784"/>
  <c r="BN784"/>
  <c r="BM784"/>
  <c r="BL784"/>
  <c r="BG784"/>
  <c r="BE784"/>
  <c r="BD784"/>
  <c r="BA784"/>
  <c r="AX784"/>
  <c r="AQ784"/>
  <c r="AC784"/>
  <c r="W784"/>
  <c r="Q784"/>
  <c r="J784"/>
  <c r="G784"/>
  <c r="A784"/>
  <c r="CO783"/>
  <c r="CN783"/>
  <c r="CM783"/>
  <c r="CL783"/>
  <c r="CK783"/>
  <c r="CJ783"/>
  <c r="CI783"/>
  <c r="CH783"/>
  <c r="CG783"/>
  <c r="CF783"/>
  <c r="CE783"/>
  <c r="CD783"/>
  <c r="CC783"/>
  <c r="CB783"/>
  <c r="CA783"/>
  <c r="BZ783"/>
  <c r="BY783"/>
  <c r="BX783"/>
  <c r="BW783"/>
  <c r="BV783"/>
  <c r="BU783"/>
  <c r="BT783"/>
  <c r="BS783"/>
  <c r="BR783"/>
  <c r="BQ783"/>
  <c r="BP783"/>
  <c r="BO783"/>
  <c r="BN783"/>
  <c r="BM783"/>
  <c r="BL783"/>
  <c r="BG783"/>
  <c r="BE783"/>
  <c r="BD783"/>
  <c r="BA783"/>
  <c r="AX783"/>
  <c r="AQ783"/>
  <c r="AC783"/>
  <c r="W783"/>
  <c r="Q783"/>
  <c r="J783"/>
  <c r="G783"/>
  <c r="A783"/>
  <c r="CO782"/>
  <c r="CN782"/>
  <c r="CM782"/>
  <c r="CL782"/>
  <c r="CK782"/>
  <c r="CJ782"/>
  <c r="CI782"/>
  <c r="CH782"/>
  <c r="CG782"/>
  <c r="CF782"/>
  <c r="CE782"/>
  <c r="CD782"/>
  <c r="CC782"/>
  <c r="CB782"/>
  <c r="CA782"/>
  <c r="BZ782"/>
  <c r="BY782"/>
  <c r="BX782"/>
  <c r="BW782"/>
  <c r="BV782"/>
  <c r="BU782"/>
  <c r="BT782"/>
  <c r="BS782"/>
  <c r="BR782"/>
  <c r="BQ782"/>
  <c r="BP782"/>
  <c r="BO782"/>
  <c r="BN782"/>
  <c r="BM782"/>
  <c r="BL782"/>
  <c r="BG782"/>
  <c r="BE782"/>
  <c r="BD782"/>
  <c r="BA782"/>
  <c r="AX782"/>
  <c r="AQ782"/>
  <c r="AC782"/>
  <c r="W782"/>
  <c r="Q782"/>
  <c r="J782"/>
  <c r="G782"/>
  <c r="A782"/>
  <c r="CI779"/>
  <c r="CH779"/>
  <c r="CG779"/>
  <c r="CF779"/>
  <c r="CE779"/>
  <c r="CD779"/>
  <c r="CC779"/>
  <c r="CB779"/>
  <c r="CA779"/>
  <c r="BZ779"/>
  <c r="BY779"/>
  <c r="BX779"/>
  <c r="BW779"/>
  <c r="BV779"/>
  <c r="BU779"/>
  <c r="BT779"/>
  <c r="BS779"/>
  <c r="BR779"/>
  <c r="BQ779"/>
  <c r="BP779"/>
  <c r="BO779"/>
  <c r="BN779"/>
  <c r="BM779"/>
  <c r="BL779"/>
  <c r="BG779"/>
  <c r="BE779"/>
  <c r="BD779"/>
  <c r="BA779"/>
  <c r="AX779"/>
  <c r="AQ779"/>
  <c r="AC779"/>
  <c r="W779"/>
  <c r="J779"/>
  <c r="G779"/>
  <c r="A779"/>
  <c r="CI778"/>
  <c r="CH778"/>
  <c r="CG778"/>
  <c r="CF778"/>
  <c r="CE778"/>
  <c r="CD778"/>
  <c r="CC778"/>
  <c r="CB778"/>
  <c r="CA778"/>
  <c r="BZ778"/>
  <c r="BY778"/>
  <c r="BX778"/>
  <c r="BW778"/>
  <c r="BV778"/>
  <c r="BU778"/>
  <c r="BT778"/>
  <c r="BS778"/>
  <c r="BR778"/>
  <c r="BQ778"/>
  <c r="BP778"/>
  <c r="BO778"/>
  <c r="BN778"/>
  <c r="BM778"/>
  <c r="BL778"/>
  <c r="BG778"/>
  <c r="BE778"/>
  <c r="BD778"/>
  <c r="BA778"/>
  <c r="AX778"/>
  <c r="AQ778"/>
  <c r="AC778"/>
  <c r="W778"/>
  <c r="J778"/>
  <c r="G778"/>
  <c r="A778"/>
  <c r="CI777"/>
  <c r="CH777"/>
  <c r="CG777"/>
  <c r="CF777"/>
  <c r="CE777"/>
  <c r="CD777"/>
  <c r="CC777"/>
  <c r="CB777"/>
  <c r="CA777"/>
  <c r="BZ777"/>
  <c r="BY777"/>
  <c r="BX777"/>
  <c r="BW777"/>
  <c r="BV777"/>
  <c r="BU777"/>
  <c r="BT777"/>
  <c r="BS777"/>
  <c r="BR777"/>
  <c r="BQ777"/>
  <c r="BP777"/>
  <c r="BO777"/>
  <c r="BN777"/>
  <c r="BM777"/>
  <c r="BL777"/>
  <c r="BI777"/>
  <c r="BG777"/>
  <c r="BE777"/>
  <c r="BD777"/>
  <c r="BA777"/>
  <c r="AX777"/>
  <c r="AQ777"/>
  <c r="AC777"/>
  <c r="W777"/>
  <c r="J777"/>
  <c r="G777"/>
  <c r="A777"/>
  <c r="CM776"/>
  <c r="CL776"/>
  <c r="CK776"/>
  <c r="CJ776"/>
  <c r="CI776"/>
  <c r="CH776"/>
  <c r="CG776"/>
  <c r="CF776"/>
  <c r="CE776"/>
  <c r="CD776"/>
  <c r="CC776"/>
  <c r="CB776"/>
  <c r="CA776"/>
  <c r="BZ776"/>
  <c r="BY776"/>
  <c r="BX776"/>
  <c r="BW776"/>
  <c r="BV776"/>
  <c r="BU776"/>
  <c r="BT776"/>
  <c r="BS776"/>
  <c r="BR776"/>
  <c r="BQ776"/>
  <c r="BP776"/>
  <c r="BO776"/>
  <c r="BN776"/>
  <c r="BM776"/>
  <c r="BL776"/>
  <c r="BI776"/>
  <c r="BG776"/>
  <c r="BE776"/>
  <c r="BD776"/>
  <c r="BA776"/>
  <c r="AX776"/>
  <c r="AQ776"/>
  <c r="AC776"/>
  <c r="W776"/>
  <c r="J776"/>
  <c r="G776"/>
  <c r="A776"/>
  <c r="CM775"/>
  <c r="CL775"/>
  <c r="CK775"/>
  <c r="CJ775"/>
  <c r="CI775"/>
  <c r="CH775"/>
  <c r="CG775"/>
  <c r="CF775"/>
  <c r="CE775"/>
  <c r="CD775"/>
  <c r="CC775"/>
  <c r="CB775"/>
  <c r="CA775"/>
  <c r="BZ775"/>
  <c r="BY775"/>
  <c r="BX775"/>
  <c r="BW775"/>
  <c r="BV775"/>
  <c r="BU775"/>
  <c r="BT775"/>
  <c r="BS775"/>
  <c r="BR775"/>
  <c r="BQ775"/>
  <c r="BP775"/>
  <c r="BO775"/>
  <c r="BN775"/>
  <c r="BM775"/>
  <c r="BL775"/>
  <c r="BI775"/>
  <c r="BG775"/>
  <c r="BE775"/>
  <c r="BD775"/>
  <c r="BA775"/>
  <c r="AX775"/>
  <c r="AQ775"/>
  <c r="AC775"/>
  <c r="W775"/>
  <c r="J775"/>
  <c r="G775"/>
  <c r="A775"/>
  <c r="CG774"/>
  <c r="CF774"/>
  <c r="CE774"/>
  <c r="CD774"/>
  <c r="CC774"/>
  <c r="CB774"/>
  <c r="CA774"/>
  <c r="BZ774"/>
  <c r="BY774"/>
  <c r="BX774"/>
  <c r="BW774"/>
  <c r="BV774"/>
  <c r="BU774"/>
  <c r="BT774"/>
  <c r="BS774"/>
  <c r="BR774"/>
  <c r="BQ774"/>
  <c r="BP774"/>
  <c r="BO774"/>
  <c r="BN774"/>
  <c r="BM774"/>
  <c r="BL774"/>
  <c r="BI774"/>
  <c r="BG774"/>
  <c r="BE774"/>
  <c r="BD774"/>
  <c r="BA774"/>
  <c r="AX774"/>
  <c r="AQ774"/>
  <c r="AC774"/>
  <c r="W774"/>
  <c r="J774"/>
  <c r="G774"/>
  <c r="A774"/>
  <c r="CG773"/>
  <c r="CF773"/>
  <c r="CE773"/>
  <c r="CD773"/>
  <c r="CC773"/>
  <c r="CB773"/>
  <c r="CA773"/>
  <c r="BZ773"/>
  <c r="BY773"/>
  <c r="BX773"/>
  <c r="BW773"/>
  <c r="BV773"/>
  <c r="BU773"/>
  <c r="BT773"/>
  <c r="BS773"/>
  <c r="BR773"/>
  <c r="BQ773"/>
  <c r="BP773"/>
  <c r="BO773"/>
  <c r="BN773"/>
  <c r="BM773"/>
  <c r="BL773"/>
  <c r="BI773"/>
  <c r="BG773"/>
  <c r="BE773"/>
  <c r="BD773"/>
  <c r="BA773"/>
  <c r="AX773"/>
  <c r="AQ773"/>
  <c r="AC773"/>
  <c r="W773"/>
  <c r="J773"/>
  <c r="G773"/>
  <c r="A773"/>
  <c r="CI772"/>
  <c r="CH772"/>
  <c r="CG772"/>
  <c r="CF772"/>
  <c r="CE772"/>
  <c r="CD772"/>
  <c r="CC772"/>
  <c r="CB772"/>
  <c r="CA772"/>
  <c r="BZ772"/>
  <c r="BY772"/>
  <c r="BX772"/>
  <c r="BW772"/>
  <c r="BV772"/>
  <c r="BU772"/>
  <c r="BT772"/>
  <c r="BS772"/>
  <c r="BR772"/>
  <c r="BQ772"/>
  <c r="BP772"/>
  <c r="BO772"/>
  <c r="BN772"/>
  <c r="BM772"/>
  <c r="BL772"/>
  <c r="BI772"/>
  <c r="BG772"/>
  <c r="BE772"/>
  <c r="BD772"/>
  <c r="BA772"/>
  <c r="AX772"/>
  <c r="AQ772"/>
  <c r="AC772"/>
  <c r="W772"/>
  <c r="J772"/>
  <c r="G772"/>
  <c r="A772"/>
  <c r="CM771"/>
  <c r="CL771"/>
  <c r="CK771"/>
  <c r="CJ771"/>
  <c r="CI771"/>
  <c r="CH771"/>
  <c r="CG771"/>
  <c r="CF771"/>
  <c r="CE771"/>
  <c r="CD771"/>
  <c r="CC771"/>
  <c r="CB771"/>
  <c r="CA771"/>
  <c r="BZ771"/>
  <c r="BY771"/>
  <c r="BX771"/>
  <c r="BW771"/>
  <c r="BV771"/>
  <c r="BU771"/>
  <c r="BT771"/>
  <c r="BS771"/>
  <c r="BR771"/>
  <c r="BQ771"/>
  <c r="BP771"/>
  <c r="BO771"/>
  <c r="BN771"/>
  <c r="BM771"/>
  <c r="BL771"/>
  <c r="BI771"/>
  <c r="BG771"/>
  <c r="BE771"/>
  <c r="BD771"/>
  <c r="BA771"/>
  <c r="AX771"/>
  <c r="AQ771"/>
  <c r="AC771"/>
  <c r="W771"/>
  <c r="J771"/>
  <c r="G771"/>
  <c r="A771"/>
  <c r="CM770"/>
  <c r="CL770"/>
  <c r="CK770"/>
  <c r="CJ770"/>
  <c r="CI770"/>
  <c r="CH770"/>
  <c r="CG770"/>
  <c r="CF770"/>
  <c r="CE770"/>
  <c r="CD770"/>
  <c r="CC770"/>
  <c r="CB770"/>
  <c r="CA770"/>
  <c r="BZ770"/>
  <c r="BY770"/>
  <c r="BX770"/>
  <c r="BW770"/>
  <c r="BV770"/>
  <c r="BU770"/>
  <c r="BT770"/>
  <c r="BS770"/>
  <c r="BR770"/>
  <c r="BQ770"/>
  <c r="BP770"/>
  <c r="BO770"/>
  <c r="BN770"/>
  <c r="BM770"/>
  <c r="BL770"/>
  <c r="BI770"/>
  <c r="BG770"/>
  <c r="BE770"/>
  <c r="BD770"/>
  <c r="BA770"/>
  <c r="AX770"/>
  <c r="AQ770"/>
  <c r="AC770"/>
  <c r="W770"/>
  <c r="J770"/>
  <c r="G770"/>
  <c r="A770"/>
  <c r="CO769"/>
  <c r="CN769"/>
  <c r="CM769"/>
  <c r="CL769"/>
  <c r="CK769"/>
  <c r="CJ769"/>
  <c r="CI769"/>
  <c r="CH769"/>
  <c r="CG769"/>
  <c r="CF769"/>
  <c r="CE769"/>
  <c r="CD769"/>
  <c r="CC769"/>
  <c r="CB769"/>
  <c r="CA769"/>
  <c r="BZ769"/>
  <c r="BY769"/>
  <c r="BX769"/>
  <c r="BW769"/>
  <c r="BV769"/>
  <c r="BU769"/>
  <c r="BT769"/>
  <c r="BS769"/>
  <c r="BR769"/>
  <c r="BQ769"/>
  <c r="BP769"/>
  <c r="BO769"/>
  <c r="BN769"/>
  <c r="BM769"/>
  <c r="BL769"/>
  <c r="BI769"/>
  <c r="BG769"/>
  <c r="BE769"/>
  <c r="BD769"/>
  <c r="BA769"/>
  <c r="AX769"/>
  <c r="AQ769"/>
  <c r="AC769"/>
  <c r="W769"/>
  <c r="J769"/>
  <c r="G769"/>
  <c r="A769"/>
  <c r="CO768"/>
  <c r="CN768"/>
  <c r="CM768"/>
  <c r="CL768"/>
  <c r="CK768"/>
  <c r="CJ768"/>
  <c r="CI768"/>
  <c r="CH768"/>
  <c r="CG768"/>
  <c r="CF768"/>
  <c r="CE768"/>
  <c r="CD768"/>
  <c r="CC768"/>
  <c r="CB768"/>
  <c r="CA768"/>
  <c r="BZ768"/>
  <c r="BY768"/>
  <c r="BX768"/>
  <c r="BW768"/>
  <c r="BV768"/>
  <c r="BU768"/>
  <c r="BT768"/>
  <c r="BS768"/>
  <c r="BR768"/>
  <c r="BQ768"/>
  <c r="BP768"/>
  <c r="BO768"/>
  <c r="BN768"/>
  <c r="BM768"/>
  <c r="BL768"/>
  <c r="BI768"/>
  <c r="BG768"/>
  <c r="BE768"/>
  <c r="BD768"/>
  <c r="BA768"/>
  <c r="AX768"/>
  <c r="AQ768"/>
  <c r="AC768"/>
  <c r="W768"/>
  <c r="J768"/>
  <c r="G768"/>
  <c r="A768"/>
  <c r="CO767"/>
  <c r="CN767"/>
  <c r="CM767"/>
  <c r="CL767"/>
  <c r="CK767"/>
  <c r="CJ767"/>
  <c r="CI767"/>
  <c r="CH767"/>
  <c r="CG767"/>
  <c r="CF767"/>
  <c r="CE767"/>
  <c r="CD767"/>
  <c r="CC767"/>
  <c r="CB767"/>
  <c r="CA767"/>
  <c r="BZ767"/>
  <c r="BY767"/>
  <c r="BX767"/>
  <c r="BW767"/>
  <c r="BV767"/>
  <c r="BU767"/>
  <c r="BT767"/>
  <c r="BS767"/>
  <c r="BR767"/>
  <c r="BQ767"/>
  <c r="BP767"/>
  <c r="BO767"/>
  <c r="BN767"/>
  <c r="BM767"/>
  <c r="BL767"/>
  <c r="BI767"/>
  <c r="BG767"/>
  <c r="BE767"/>
  <c r="BD767"/>
  <c r="BA767"/>
  <c r="AX767"/>
  <c r="AQ767"/>
  <c r="AJ767"/>
  <c r="AC767"/>
  <c r="W767"/>
  <c r="J767"/>
  <c r="G767"/>
  <c r="A767"/>
  <c r="CO766"/>
  <c r="CN766"/>
  <c r="CM766"/>
  <c r="CL766"/>
  <c r="CK766"/>
  <c r="CJ766"/>
  <c r="CI766"/>
  <c r="CH766"/>
  <c r="CG766"/>
  <c r="CF766"/>
  <c r="CE766"/>
  <c r="CD766"/>
  <c r="CC766"/>
  <c r="CB766"/>
  <c r="CA766"/>
  <c r="BZ766"/>
  <c r="BY766"/>
  <c r="BX766"/>
  <c r="BW766"/>
  <c r="BV766"/>
  <c r="BU766"/>
  <c r="BT766"/>
  <c r="BS766"/>
  <c r="BR766"/>
  <c r="BQ766"/>
  <c r="BP766"/>
  <c r="BO766"/>
  <c r="BN766"/>
  <c r="BM766"/>
  <c r="BL766"/>
  <c r="BI766"/>
  <c r="BG766"/>
  <c r="BE766"/>
  <c r="BD766"/>
  <c r="BA766"/>
  <c r="AX766"/>
  <c r="AQ766"/>
  <c r="AJ766"/>
  <c r="AC766"/>
  <c r="W766"/>
  <c r="J766"/>
  <c r="G766"/>
  <c r="A766"/>
  <c r="CE764"/>
  <c r="CD764"/>
  <c r="CC764"/>
  <c r="CB764"/>
  <c r="CA764"/>
  <c r="BZ764"/>
  <c r="BY764"/>
  <c r="BX764"/>
  <c r="BW764"/>
  <c r="BV764"/>
  <c r="BU764"/>
  <c r="BT764"/>
  <c r="BS764"/>
  <c r="BR764"/>
  <c r="BQ764"/>
  <c r="BP764"/>
  <c r="BO764"/>
  <c r="BN764"/>
  <c r="BM764"/>
  <c r="BL764"/>
  <c r="BI764"/>
  <c r="BG764"/>
  <c r="BE764"/>
  <c r="BD764"/>
  <c r="BA764"/>
  <c r="AX764"/>
  <c r="AQ764"/>
  <c r="AJ764"/>
  <c r="AC764"/>
  <c r="W764"/>
  <c r="Q764"/>
  <c r="J764"/>
  <c r="G764"/>
  <c r="A764"/>
  <c r="CE763"/>
  <c r="CD763"/>
  <c r="CC763"/>
  <c r="CB763"/>
  <c r="CA763"/>
  <c r="BZ763"/>
  <c r="BY763"/>
  <c r="BX763"/>
  <c r="BW763"/>
  <c r="BV763"/>
  <c r="BU763"/>
  <c r="BT763"/>
  <c r="BS763"/>
  <c r="BR763"/>
  <c r="BQ763"/>
  <c r="BP763"/>
  <c r="BO763"/>
  <c r="BN763"/>
  <c r="BM763"/>
  <c r="BL763"/>
  <c r="BI763"/>
  <c r="BG763"/>
  <c r="BE763"/>
  <c r="BD763"/>
  <c r="BA763"/>
  <c r="AX763"/>
  <c r="AQ763"/>
  <c r="AJ763"/>
  <c r="AC763"/>
  <c r="W763"/>
  <c r="J763"/>
  <c r="G763"/>
  <c r="A763"/>
  <c r="CE762"/>
  <c r="CD762"/>
  <c r="CC762"/>
  <c r="CB762"/>
  <c r="CA762"/>
  <c r="BZ762"/>
  <c r="BY762"/>
  <c r="BX762"/>
  <c r="BW762"/>
  <c r="BV762"/>
  <c r="BU762"/>
  <c r="BT762"/>
  <c r="BS762"/>
  <c r="BR762"/>
  <c r="BQ762"/>
  <c r="BP762"/>
  <c r="BO762"/>
  <c r="BN762"/>
  <c r="BM762"/>
  <c r="BL762"/>
  <c r="BI762"/>
  <c r="BG762"/>
  <c r="BE762"/>
  <c r="BD762"/>
  <c r="BA762"/>
  <c r="AX762"/>
  <c r="AQ762"/>
  <c r="AJ762"/>
  <c r="AC762"/>
  <c r="W762"/>
  <c r="J762"/>
  <c r="G762"/>
  <c r="A762"/>
  <c r="CI761"/>
  <c r="CH761"/>
  <c r="CG761"/>
  <c r="CF761"/>
  <c r="CE761"/>
  <c r="CD761"/>
  <c r="CC761"/>
  <c r="CB761"/>
  <c r="CA761"/>
  <c r="BZ761"/>
  <c r="BY761"/>
  <c r="BX761"/>
  <c r="BW761"/>
  <c r="BV761"/>
  <c r="BU761"/>
  <c r="BT761"/>
  <c r="BS761"/>
  <c r="BR761"/>
  <c r="BQ761"/>
  <c r="BP761"/>
  <c r="BO761"/>
  <c r="BN761"/>
  <c r="BM761"/>
  <c r="BL761"/>
  <c r="BI761"/>
  <c r="BG761"/>
  <c r="BE761"/>
  <c r="BD761"/>
  <c r="BA761"/>
  <c r="AX761"/>
  <c r="AQ761"/>
  <c r="AJ761"/>
  <c r="AC761"/>
  <c r="W761"/>
  <c r="J761"/>
  <c r="G761"/>
  <c r="A761"/>
  <c r="CI760"/>
  <c r="CH760"/>
  <c r="CG760"/>
  <c r="CF760"/>
  <c r="CE760"/>
  <c r="CD760"/>
  <c r="CC760"/>
  <c r="CB760"/>
  <c r="CA760"/>
  <c r="BZ760"/>
  <c r="BY760"/>
  <c r="BX760"/>
  <c r="BW760"/>
  <c r="BV760"/>
  <c r="BU760"/>
  <c r="BT760"/>
  <c r="BS760"/>
  <c r="BR760"/>
  <c r="BQ760"/>
  <c r="BP760"/>
  <c r="BO760"/>
  <c r="BN760"/>
  <c r="BM760"/>
  <c r="BL760"/>
  <c r="BI760"/>
  <c r="BG760"/>
  <c r="BE760"/>
  <c r="BD760"/>
  <c r="BA760"/>
  <c r="AX760"/>
  <c r="AQ760"/>
  <c r="AJ760"/>
  <c r="AC760"/>
  <c r="W760"/>
  <c r="J760"/>
  <c r="G760"/>
  <c r="A760"/>
  <c r="CG759"/>
  <c r="CF759"/>
  <c r="CE759"/>
  <c r="CD759"/>
  <c r="CC759"/>
  <c r="CB759"/>
  <c r="CA759"/>
  <c r="BZ759"/>
  <c r="BY759"/>
  <c r="BX759"/>
  <c r="BW759"/>
  <c r="BV759"/>
  <c r="BU759"/>
  <c r="BT759"/>
  <c r="BS759"/>
  <c r="BR759"/>
  <c r="BQ759"/>
  <c r="BP759"/>
  <c r="BO759"/>
  <c r="BN759"/>
  <c r="BM759"/>
  <c r="BL759"/>
  <c r="BI759"/>
  <c r="BG759"/>
  <c r="BE759"/>
  <c r="BD759"/>
  <c r="BA759"/>
  <c r="AX759"/>
  <c r="AQ759"/>
  <c r="AJ759"/>
  <c r="AC759"/>
  <c r="W759"/>
  <c r="J759"/>
  <c r="G759"/>
  <c r="A759"/>
  <c r="CG758"/>
  <c r="CF758"/>
  <c r="CE758"/>
  <c r="CD758"/>
  <c r="CC758"/>
  <c r="CB758"/>
  <c r="CA758"/>
  <c r="BZ758"/>
  <c r="BY758"/>
  <c r="BX758"/>
  <c r="BW758"/>
  <c r="BV758"/>
  <c r="BU758"/>
  <c r="BT758"/>
  <c r="BS758"/>
  <c r="BR758"/>
  <c r="BQ758"/>
  <c r="BP758"/>
  <c r="BO758"/>
  <c r="BN758"/>
  <c r="BM758"/>
  <c r="BL758"/>
  <c r="BI758"/>
  <c r="BG758"/>
  <c r="BE758"/>
  <c r="BD758"/>
  <c r="BA758"/>
  <c r="AX758"/>
  <c r="AQ758"/>
  <c r="AJ758"/>
  <c r="AC758"/>
  <c r="W758"/>
  <c r="J758"/>
  <c r="G758"/>
  <c r="A758"/>
  <c r="CG757"/>
  <c r="CF757"/>
  <c r="CE757"/>
  <c r="CD757"/>
  <c r="CC757"/>
  <c r="CB757"/>
  <c r="CA757"/>
  <c r="BZ757"/>
  <c r="BY757"/>
  <c r="BX757"/>
  <c r="BW757"/>
  <c r="BV757"/>
  <c r="BU757"/>
  <c r="BT757"/>
  <c r="BS757"/>
  <c r="BR757"/>
  <c r="BQ757"/>
  <c r="BP757"/>
  <c r="BO757"/>
  <c r="BN757"/>
  <c r="BM757"/>
  <c r="BL757"/>
  <c r="BI757"/>
  <c r="BG757"/>
  <c r="BE757"/>
  <c r="BD757"/>
  <c r="BA757"/>
  <c r="AX757"/>
  <c r="AQ757"/>
  <c r="AJ757"/>
  <c r="AC757"/>
  <c r="W757"/>
  <c r="J757"/>
  <c r="G757"/>
  <c r="A757"/>
  <c r="CO756"/>
  <c r="CN756"/>
  <c r="CM756"/>
  <c r="CL756"/>
  <c r="CK756"/>
  <c r="CJ756"/>
  <c r="CI756"/>
  <c r="CH756"/>
  <c r="CG756"/>
  <c r="CF756"/>
  <c r="CE756"/>
  <c r="CD756"/>
  <c r="CC756"/>
  <c r="CB756"/>
  <c r="CA756"/>
  <c r="BZ756"/>
  <c r="BY756"/>
  <c r="BX756"/>
  <c r="BW756"/>
  <c r="BV756"/>
  <c r="BU756"/>
  <c r="BT756"/>
  <c r="BS756"/>
  <c r="BR756"/>
  <c r="BQ756"/>
  <c r="BP756"/>
  <c r="BO756"/>
  <c r="BN756"/>
  <c r="BM756"/>
  <c r="BL756"/>
  <c r="BI756"/>
  <c r="BG756"/>
  <c r="BE756"/>
  <c r="BD756"/>
  <c r="BA756"/>
  <c r="AX756"/>
  <c r="AQ756"/>
  <c r="AJ756"/>
  <c r="AC756"/>
  <c r="W756"/>
  <c r="J756"/>
  <c r="G756"/>
  <c r="A756"/>
  <c r="CO755"/>
  <c r="CN755"/>
  <c r="CM755"/>
  <c r="CL755"/>
  <c r="CK755"/>
  <c r="CJ755"/>
  <c r="CI755"/>
  <c r="CH755"/>
  <c r="CG755"/>
  <c r="CF755"/>
  <c r="CE755"/>
  <c r="CD755"/>
  <c r="CC755"/>
  <c r="CB755"/>
  <c r="CA755"/>
  <c r="BZ755"/>
  <c r="BY755"/>
  <c r="BX755"/>
  <c r="BW755"/>
  <c r="BV755"/>
  <c r="BU755"/>
  <c r="BT755"/>
  <c r="BS755"/>
  <c r="BR755"/>
  <c r="BQ755"/>
  <c r="BP755"/>
  <c r="BO755"/>
  <c r="BN755"/>
  <c r="BM755"/>
  <c r="BL755"/>
  <c r="BI755"/>
  <c r="BG755"/>
  <c r="BE755"/>
  <c r="BD755"/>
  <c r="BA755"/>
  <c r="AX755"/>
  <c r="AQ755"/>
  <c r="AJ755"/>
  <c r="AC755"/>
  <c r="W755"/>
  <c r="J755"/>
  <c r="G755"/>
  <c r="A755"/>
  <c r="CO754"/>
  <c r="CN754"/>
  <c r="CM754"/>
  <c r="CL754"/>
  <c r="CK754"/>
  <c r="CJ754"/>
  <c r="CI754"/>
  <c r="CH754"/>
  <c r="CG754"/>
  <c r="CF754"/>
  <c r="CE754"/>
  <c r="CD754"/>
  <c r="CC754"/>
  <c r="CB754"/>
  <c r="CA754"/>
  <c r="BZ754"/>
  <c r="BY754"/>
  <c r="BX754"/>
  <c r="BW754"/>
  <c r="BV754"/>
  <c r="BU754"/>
  <c r="BT754"/>
  <c r="BS754"/>
  <c r="BR754"/>
  <c r="BQ754"/>
  <c r="BP754"/>
  <c r="BO754"/>
  <c r="BN754"/>
  <c r="BM754"/>
  <c r="BL754"/>
  <c r="BI754"/>
  <c r="BG754"/>
  <c r="BE754"/>
  <c r="BD754"/>
  <c r="BA754"/>
  <c r="AX754"/>
  <c r="AQ754"/>
  <c r="AJ754"/>
  <c r="AC754"/>
  <c r="W754"/>
  <c r="J754"/>
  <c r="G754"/>
  <c r="A754"/>
  <c r="CO753"/>
  <c r="CN753"/>
  <c r="CM753"/>
  <c r="CL753"/>
  <c r="CK753"/>
  <c r="CJ753"/>
  <c r="CI753"/>
  <c r="CH753"/>
  <c r="CG753"/>
  <c r="CF753"/>
  <c r="CE753"/>
  <c r="CD753"/>
  <c r="CC753"/>
  <c r="CB753"/>
  <c r="CA753"/>
  <c r="BZ753"/>
  <c r="BY753"/>
  <c r="BX753"/>
  <c r="BW753"/>
  <c r="BV753"/>
  <c r="BU753"/>
  <c r="BT753"/>
  <c r="BS753"/>
  <c r="BR753"/>
  <c r="BQ753"/>
  <c r="BP753"/>
  <c r="BO753"/>
  <c r="BN753"/>
  <c r="BM753"/>
  <c r="BL753"/>
  <c r="BI753"/>
  <c r="BG753"/>
  <c r="BE753"/>
  <c r="BD753"/>
  <c r="BA753"/>
  <c r="AX753"/>
  <c r="AQ753"/>
  <c r="AJ753"/>
  <c r="AC753"/>
  <c r="W753"/>
  <c r="J753"/>
  <c r="G753"/>
  <c r="A753"/>
  <c r="CO752"/>
  <c r="CN752"/>
  <c r="CM752"/>
  <c r="CL752"/>
  <c r="CK752"/>
  <c r="CJ752"/>
  <c r="CI752"/>
  <c r="CH752"/>
  <c r="CG752"/>
  <c r="CF752"/>
  <c r="CE752"/>
  <c r="CD752"/>
  <c r="CC752"/>
  <c r="CB752"/>
  <c r="CA752"/>
  <c r="BZ752"/>
  <c r="BY752"/>
  <c r="BX752"/>
  <c r="BW752"/>
  <c r="BV752"/>
  <c r="BU752"/>
  <c r="BT752"/>
  <c r="BS752"/>
  <c r="BR752"/>
  <c r="BQ752"/>
  <c r="BP752"/>
  <c r="BO752"/>
  <c r="BN752"/>
  <c r="BM752"/>
  <c r="BL752"/>
  <c r="BI752"/>
  <c r="BG752"/>
  <c r="BE752"/>
  <c r="BD752"/>
  <c r="BA752"/>
  <c r="AX752"/>
  <c r="AQ752"/>
  <c r="AJ752"/>
  <c r="AC752"/>
  <c r="W752"/>
  <c r="J752"/>
  <c r="G752"/>
  <c r="A752"/>
  <c r="CO751"/>
  <c r="CN751"/>
  <c r="CM751"/>
  <c r="CL751"/>
  <c r="CK751"/>
  <c r="CJ751"/>
  <c r="CI751"/>
  <c r="CH751"/>
  <c r="CG751"/>
  <c r="CF751"/>
  <c r="CE751"/>
  <c r="CD751"/>
  <c r="CC751"/>
  <c r="CB751"/>
  <c r="CA751"/>
  <c r="BZ751"/>
  <c r="BY751"/>
  <c r="BX751"/>
  <c r="BW751"/>
  <c r="BV751"/>
  <c r="BU751"/>
  <c r="BT751"/>
  <c r="BS751"/>
  <c r="BR751"/>
  <c r="BQ751"/>
  <c r="BP751"/>
  <c r="BO751"/>
  <c r="BN751"/>
  <c r="BM751"/>
  <c r="BL751"/>
  <c r="BI751"/>
  <c r="BG751"/>
  <c r="BE751"/>
  <c r="BD751"/>
  <c r="BA751"/>
  <c r="AX751"/>
  <c r="AQ751"/>
  <c r="AJ751"/>
  <c r="AC751"/>
  <c r="W751"/>
  <c r="J751"/>
  <c r="G751"/>
  <c r="A751"/>
  <c r="BU748"/>
  <c r="BT748"/>
  <c r="BS748"/>
  <c r="BR748"/>
  <c r="BQ748"/>
  <c r="BP748"/>
  <c r="BO748"/>
  <c r="BN748"/>
  <c r="BM748"/>
  <c r="BL748"/>
  <c r="BG748"/>
  <c r="BE748"/>
  <c r="BD748"/>
  <c r="BA748"/>
  <c r="AX748"/>
  <c r="AQ748"/>
  <c r="AJ748"/>
  <c r="AC748"/>
  <c r="W748"/>
  <c r="Q748"/>
  <c r="J748"/>
  <c r="G748"/>
  <c r="A748"/>
  <c r="BW747"/>
  <c r="BV747"/>
  <c r="BU747"/>
  <c r="BT747"/>
  <c r="BS747"/>
  <c r="BR747"/>
  <c r="BQ747"/>
  <c r="BP747"/>
  <c r="BO747"/>
  <c r="BN747"/>
  <c r="BM747"/>
  <c r="BL747"/>
  <c r="BG747"/>
  <c r="BE747"/>
  <c r="BD747"/>
  <c r="BA747"/>
  <c r="AX747"/>
  <c r="AQ747"/>
  <c r="AJ747"/>
  <c r="AC747"/>
  <c r="W747"/>
  <c r="J747"/>
  <c r="G747"/>
  <c r="A747"/>
  <c r="CA746"/>
  <c r="BZ746"/>
  <c r="BY746"/>
  <c r="BX746"/>
  <c r="BW746"/>
  <c r="BV746"/>
  <c r="BU746"/>
  <c r="BT746"/>
  <c r="BS746"/>
  <c r="BR746"/>
  <c r="BQ746"/>
  <c r="BP746"/>
  <c r="BO746"/>
  <c r="BN746"/>
  <c r="BM746"/>
  <c r="BL746"/>
  <c r="BG746"/>
  <c r="BE746"/>
  <c r="BD746"/>
  <c r="BA746"/>
  <c r="AX746"/>
  <c r="AQ746"/>
  <c r="AJ746"/>
  <c r="AC746"/>
  <c r="W746"/>
  <c r="J746"/>
  <c r="G746"/>
  <c r="A746"/>
  <c r="CA745"/>
  <c r="BZ745"/>
  <c r="BY745"/>
  <c r="BX745"/>
  <c r="BW745"/>
  <c r="BV745"/>
  <c r="BU745"/>
  <c r="BT745"/>
  <c r="BS745"/>
  <c r="BR745"/>
  <c r="BQ745"/>
  <c r="BP745"/>
  <c r="BO745"/>
  <c r="BN745"/>
  <c r="BM745"/>
  <c r="BL745"/>
  <c r="BG745"/>
  <c r="BE745"/>
  <c r="BD745"/>
  <c r="BA745"/>
  <c r="AX745"/>
  <c r="AQ745"/>
  <c r="AJ745"/>
  <c r="AC745"/>
  <c r="W745"/>
  <c r="J745"/>
  <c r="G745"/>
  <c r="A745"/>
  <c r="CA744"/>
  <c r="BZ744"/>
  <c r="BY744"/>
  <c r="BX744"/>
  <c r="BW744"/>
  <c r="BV744"/>
  <c r="BU744"/>
  <c r="BT744"/>
  <c r="BS744"/>
  <c r="BR744"/>
  <c r="BQ744"/>
  <c r="BP744"/>
  <c r="BO744"/>
  <c r="BN744"/>
  <c r="BM744"/>
  <c r="BL744"/>
  <c r="BG744"/>
  <c r="BE744"/>
  <c r="BD744"/>
  <c r="BA744"/>
  <c r="AX744"/>
  <c r="AQ744"/>
  <c r="AJ744"/>
  <c r="AC744"/>
  <c r="W744"/>
  <c r="J744"/>
  <c r="G744"/>
  <c r="A744"/>
  <c r="BY743"/>
  <c r="BX743"/>
  <c r="BW743"/>
  <c r="BV743"/>
  <c r="BU743"/>
  <c r="BT743"/>
  <c r="BS743"/>
  <c r="BR743"/>
  <c r="BQ743"/>
  <c r="BP743"/>
  <c r="BO743"/>
  <c r="BN743"/>
  <c r="BM743"/>
  <c r="BL743"/>
  <c r="BG743"/>
  <c r="BE743"/>
  <c r="BD743"/>
  <c r="BA743"/>
  <c r="AX743"/>
  <c r="AQ743"/>
  <c r="AJ743"/>
  <c r="AC743"/>
  <c r="W743"/>
  <c r="J743"/>
  <c r="G743"/>
  <c r="A743"/>
  <c r="CK742"/>
  <c r="CJ742"/>
  <c r="CI742"/>
  <c r="CH742"/>
  <c r="CG742"/>
  <c r="CF742"/>
  <c r="CE742"/>
  <c r="CD742"/>
  <c r="CC742"/>
  <c r="CB742"/>
  <c r="CA742"/>
  <c r="BZ742"/>
  <c r="BY742"/>
  <c r="BX742"/>
  <c r="BW742"/>
  <c r="BV742"/>
  <c r="BU742"/>
  <c r="BT742"/>
  <c r="BS742"/>
  <c r="BR742"/>
  <c r="BQ742"/>
  <c r="BP742"/>
  <c r="BO742"/>
  <c r="BN742"/>
  <c r="BM742"/>
  <c r="BL742"/>
  <c r="BG742"/>
  <c r="BE742"/>
  <c r="BD742"/>
  <c r="BA742"/>
  <c r="AX742"/>
  <c r="AQ742"/>
  <c r="AJ742"/>
  <c r="AC742"/>
  <c r="W742"/>
  <c r="J742"/>
  <c r="G742"/>
  <c r="A742"/>
  <c r="CK741"/>
  <c r="CJ741"/>
  <c r="CI741"/>
  <c r="CH741"/>
  <c r="CG741"/>
  <c r="CF741"/>
  <c r="CE741"/>
  <c r="CD741"/>
  <c r="CC741"/>
  <c r="CB741"/>
  <c r="CA741"/>
  <c r="BZ741"/>
  <c r="BY741"/>
  <c r="BX741"/>
  <c r="BW741"/>
  <c r="BV741"/>
  <c r="BU741"/>
  <c r="BT741"/>
  <c r="BS741"/>
  <c r="BR741"/>
  <c r="BQ741"/>
  <c r="BP741"/>
  <c r="BO741"/>
  <c r="BN741"/>
  <c r="BM741"/>
  <c r="BL741"/>
  <c r="BG741"/>
  <c r="BE741"/>
  <c r="BD741"/>
  <c r="BA741"/>
  <c r="AX741"/>
  <c r="AQ741"/>
  <c r="AJ741"/>
  <c r="AC741"/>
  <c r="W741"/>
  <c r="J741"/>
  <c r="G741"/>
  <c r="A741"/>
  <c r="CI740"/>
  <c r="CH740"/>
  <c r="CG740"/>
  <c r="CF740"/>
  <c r="CE740"/>
  <c r="CD740"/>
  <c r="CC740"/>
  <c r="CB740"/>
  <c r="CA740"/>
  <c r="BZ740"/>
  <c r="BY740"/>
  <c r="BX740"/>
  <c r="BW740"/>
  <c r="BV740"/>
  <c r="BU740"/>
  <c r="BT740"/>
  <c r="BS740"/>
  <c r="BR740"/>
  <c r="BQ740"/>
  <c r="BP740"/>
  <c r="BO740"/>
  <c r="BN740"/>
  <c r="BM740"/>
  <c r="BL740"/>
  <c r="BG740"/>
  <c r="BE740"/>
  <c r="BD740"/>
  <c r="BA740"/>
  <c r="AX740"/>
  <c r="AQ740"/>
  <c r="AJ740"/>
  <c r="AC740"/>
  <c r="W740"/>
  <c r="Q740"/>
  <c r="J740"/>
  <c r="G740"/>
  <c r="A740"/>
  <c r="CI739"/>
  <c r="CH739"/>
  <c r="CG739"/>
  <c r="CF739"/>
  <c r="CE739"/>
  <c r="CD739"/>
  <c r="CC739"/>
  <c r="CB739"/>
  <c r="CA739"/>
  <c r="BZ739"/>
  <c r="BY739"/>
  <c r="BX739"/>
  <c r="BW739"/>
  <c r="BV739"/>
  <c r="BU739"/>
  <c r="BT739"/>
  <c r="BS739"/>
  <c r="BR739"/>
  <c r="BQ739"/>
  <c r="BP739"/>
  <c r="BO739"/>
  <c r="BN739"/>
  <c r="BM739"/>
  <c r="BL739"/>
  <c r="BG739"/>
  <c r="BE739"/>
  <c r="BD739"/>
  <c r="BA739"/>
  <c r="AX739"/>
  <c r="AQ739"/>
  <c r="AJ739"/>
  <c r="AC739"/>
  <c r="W739"/>
  <c r="J739"/>
  <c r="G739"/>
  <c r="A739"/>
  <c r="CC738"/>
  <c r="CB738"/>
  <c r="CA738"/>
  <c r="BZ738"/>
  <c r="BY738"/>
  <c r="BX738"/>
  <c r="BW738"/>
  <c r="BV738"/>
  <c r="BU738"/>
  <c r="BT738"/>
  <c r="BS738"/>
  <c r="BR738"/>
  <c r="BQ738"/>
  <c r="BP738"/>
  <c r="BO738"/>
  <c r="BN738"/>
  <c r="BM738"/>
  <c r="BL738"/>
  <c r="BG738"/>
  <c r="BE738"/>
  <c r="BD738"/>
  <c r="BA738"/>
  <c r="AX738"/>
  <c r="AQ738"/>
  <c r="AJ738"/>
  <c r="AC738"/>
  <c r="W738"/>
  <c r="J738"/>
  <c r="G738"/>
  <c r="A738"/>
  <c r="CI737"/>
  <c r="CH737"/>
  <c r="CG737"/>
  <c r="CF737"/>
  <c r="CE737"/>
  <c r="CD737"/>
  <c r="CC737"/>
  <c r="CB737"/>
  <c r="CA737"/>
  <c r="BZ737"/>
  <c r="BY737"/>
  <c r="BX737"/>
  <c r="BW737"/>
  <c r="BV737"/>
  <c r="BU737"/>
  <c r="BT737"/>
  <c r="BS737"/>
  <c r="BR737"/>
  <c r="BQ737"/>
  <c r="BP737"/>
  <c r="BO737"/>
  <c r="BN737"/>
  <c r="BM737"/>
  <c r="BL737"/>
  <c r="BG737"/>
  <c r="BE737"/>
  <c r="BD737"/>
  <c r="BA737"/>
  <c r="AX737"/>
  <c r="AQ737"/>
  <c r="AJ737"/>
  <c r="AC737"/>
  <c r="W737"/>
  <c r="J737"/>
  <c r="G737"/>
  <c r="A737"/>
  <c r="CI736"/>
  <c r="CH736"/>
  <c r="CG736"/>
  <c r="CF736"/>
  <c r="CE736"/>
  <c r="CD736"/>
  <c r="CC736"/>
  <c r="CB736"/>
  <c r="CA736"/>
  <c r="BZ736"/>
  <c r="BY736"/>
  <c r="BX736"/>
  <c r="BW736"/>
  <c r="BV736"/>
  <c r="BU736"/>
  <c r="BT736"/>
  <c r="BS736"/>
  <c r="BR736"/>
  <c r="BQ736"/>
  <c r="BP736"/>
  <c r="BO736"/>
  <c r="BN736"/>
  <c r="BM736"/>
  <c r="BL736"/>
  <c r="BG736"/>
  <c r="BE736"/>
  <c r="BD736"/>
  <c r="BA736"/>
  <c r="AX736"/>
  <c r="AQ736"/>
  <c r="AJ736"/>
  <c r="AC736"/>
  <c r="W736"/>
  <c r="J736"/>
  <c r="G736"/>
  <c r="A736"/>
  <c r="CO735"/>
  <c r="CN735"/>
  <c r="CM735"/>
  <c r="CL735"/>
  <c r="CK735"/>
  <c r="CJ735"/>
  <c r="CI735"/>
  <c r="CH735"/>
  <c r="CG735"/>
  <c r="CF735"/>
  <c r="CE735"/>
  <c r="CD735"/>
  <c r="CC735"/>
  <c r="CB735"/>
  <c r="CA735"/>
  <c r="BZ735"/>
  <c r="BY735"/>
  <c r="BX735"/>
  <c r="BW735"/>
  <c r="BV735"/>
  <c r="BU735"/>
  <c r="BT735"/>
  <c r="BS735"/>
  <c r="BR735"/>
  <c r="BQ735"/>
  <c r="BP735"/>
  <c r="BO735"/>
  <c r="BN735"/>
  <c r="BM735"/>
  <c r="BL735"/>
  <c r="BG735"/>
  <c r="BE735"/>
  <c r="BD735"/>
  <c r="BA735"/>
  <c r="AX735"/>
  <c r="AQ735"/>
  <c r="AJ735"/>
  <c r="AC735"/>
  <c r="W735"/>
  <c r="J735"/>
  <c r="G735"/>
  <c r="A735"/>
  <c r="CO734"/>
  <c r="CN734"/>
  <c r="CM734"/>
  <c r="CL734"/>
  <c r="CK734"/>
  <c r="CJ734"/>
  <c r="CI734"/>
  <c r="CH734"/>
  <c r="CG734"/>
  <c r="CF734"/>
  <c r="CE734"/>
  <c r="CD734"/>
  <c r="CC734"/>
  <c r="CB734"/>
  <c r="CA734"/>
  <c r="BZ734"/>
  <c r="BY734"/>
  <c r="BX734"/>
  <c r="BW734"/>
  <c r="BV734"/>
  <c r="BU734"/>
  <c r="BT734"/>
  <c r="BS734"/>
  <c r="BR734"/>
  <c r="BQ734"/>
  <c r="BP734"/>
  <c r="BO734"/>
  <c r="BN734"/>
  <c r="BM734"/>
  <c r="BL734"/>
  <c r="BG734"/>
  <c r="BE734"/>
  <c r="BD734"/>
  <c r="BA734"/>
  <c r="AX734"/>
  <c r="AQ734"/>
  <c r="AJ734"/>
  <c r="AC734"/>
  <c r="W734"/>
  <c r="J734"/>
  <c r="G734"/>
  <c r="A734"/>
  <c r="CO733"/>
  <c r="CN733"/>
  <c r="CM733"/>
  <c r="CL733"/>
  <c r="CK733"/>
  <c r="CJ733"/>
  <c r="CI733"/>
  <c r="CH733"/>
  <c r="CG733"/>
  <c r="CF733"/>
  <c r="CE733"/>
  <c r="CD733"/>
  <c r="CC733"/>
  <c r="CB733"/>
  <c r="CA733"/>
  <c r="BZ733"/>
  <c r="BY733"/>
  <c r="BX733"/>
  <c r="BW733"/>
  <c r="BV733"/>
  <c r="BU733"/>
  <c r="BT733"/>
  <c r="BS733"/>
  <c r="BR733"/>
  <c r="BQ733"/>
  <c r="BP733"/>
  <c r="BO733"/>
  <c r="BN733"/>
  <c r="BM733"/>
  <c r="BL733"/>
  <c r="BG733"/>
  <c r="BE733"/>
  <c r="BD733"/>
  <c r="BA733"/>
  <c r="AX733"/>
  <c r="AQ733"/>
  <c r="AJ733"/>
  <c r="AC733"/>
  <c r="W733"/>
  <c r="J733"/>
  <c r="G733"/>
  <c r="A733"/>
  <c r="CO732"/>
  <c r="CN732"/>
  <c r="CM732"/>
  <c r="CL732"/>
  <c r="CK732"/>
  <c r="CJ732"/>
  <c r="CI732"/>
  <c r="CH732"/>
  <c r="CG732"/>
  <c r="CF732"/>
  <c r="CE732"/>
  <c r="CD732"/>
  <c r="CC732"/>
  <c r="CB732"/>
  <c r="CA732"/>
  <c r="BZ732"/>
  <c r="BY732"/>
  <c r="BX732"/>
  <c r="BW732"/>
  <c r="BV732"/>
  <c r="BU732"/>
  <c r="BT732"/>
  <c r="BS732"/>
  <c r="BR732"/>
  <c r="BQ732"/>
  <c r="BP732"/>
  <c r="BO732"/>
  <c r="BN732"/>
  <c r="BM732"/>
  <c r="BL732"/>
  <c r="BG732"/>
  <c r="BE732"/>
  <c r="BD732"/>
  <c r="BA732"/>
  <c r="AX732"/>
  <c r="AQ732"/>
  <c r="AJ732"/>
  <c r="AC732"/>
  <c r="W732"/>
  <c r="J732"/>
  <c r="G732"/>
  <c r="A732"/>
  <c r="CO731"/>
  <c r="CN731"/>
  <c r="CM731"/>
  <c r="CL731"/>
  <c r="CK731"/>
  <c r="CJ731"/>
  <c r="CI731"/>
  <c r="CH731"/>
  <c r="CG731"/>
  <c r="CF731"/>
  <c r="CE731"/>
  <c r="CD731"/>
  <c r="CC731"/>
  <c r="CB731"/>
  <c r="CA731"/>
  <c r="BZ731"/>
  <c r="BY731"/>
  <c r="BX731"/>
  <c r="BW731"/>
  <c r="BV731"/>
  <c r="BU731"/>
  <c r="BT731"/>
  <c r="BS731"/>
  <c r="BR731"/>
  <c r="BQ731"/>
  <c r="BP731"/>
  <c r="BO731"/>
  <c r="BN731"/>
  <c r="BM731"/>
  <c r="BL731"/>
  <c r="BG731"/>
  <c r="BE731"/>
  <c r="BD731"/>
  <c r="BA731"/>
  <c r="AX731"/>
  <c r="AQ731"/>
  <c r="AJ731"/>
  <c r="AC731"/>
  <c r="W731"/>
  <c r="J731"/>
  <c r="G731"/>
  <c r="A731"/>
  <c r="CO730"/>
  <c r="CN730"/>
  <c r="CM730"/>
  <c r="CL730"/>
  <c r="CK730"/>
  <c r="CJ730"/>
  <c r="CI730"/>
  <c r="CH730"/>
  <c r="CG730"/>
  <c r="CF730"/>
  <c r="CE730"/>
  <c r="CD730"/>
  <c r="CC730"/>
  <c r="CB730"/>
  <c r="CA730"/>
  <c r="BZ730"/>
  <c r="BY730"/>
  <c r="BX730"/>
  <c r="BW730"/>
  <c r="BV730"/>
  <c r="BU730"/>
  <c r="BT730"/>
  <c r="BS730"/>
  <c r="BR730"/>
  <c r="BQ730"/>
  <c r="BP730"/>
  <c r="BO730"/>
  <c r="BN730"/>
  <c r="BM730"/>
  <c r="BL730"/>
  <c r="BG730"/>
  <c r="BE730"/>
  <c r="BD730"/>
  <c r="BA730"/>
  <c r="AX730"/>
  <c r="AQ730"/>
  <c r="AJ730"/>
  <c r="AC730"/>
  <c r="W730"/>
  <c r="J730"/>
  <c r="G730"/>
  <c r="A730"/>
  <c r="CE728"/>
  <c r="CD728"/>
  <c r="CC728"/>
  <c r="CB728"/>
  <c r="CA728"/>
  <c r="BZ728"/>
  <c r="BY728"/>
  <c r="BX728"/>
  <c r="BW728"/>
  <c r="BV728"/>
  <c r="BU728"/>
  <c r="BT728"/>
  <c r="BS728"/>
  <c r="BR728"/>
  <c r="BQ728"/>
  <c r="BP728"/>
  <c r="BO728"/>
  <c r="BN728"/>
  <c r="BM728"/>
  <c r="BL728"/>
  <c r="BG728"/>
  <c r="BE728"/>
  <c r="BD728"/>
  <c r="BA728"/>
  <c r="AX728"/>
  <c r="AQ728"/>
  <c r="AJ728"/>
  <c r="AC728"/>
  <c r="W728"/>
  <c r="Q728"/>
  <c r="J728"/>
  <c r="G728"/>
  <c r="A728"/>
  <c r="CE727"/>
  <c r="CD727"/>
  <c r="CC727"/>
  <c r="CB727"/>
  <c r="CA727"/>
  <c r="BZ727"/>
  <c r="BY727"/>
  <c r="BX727"/>
  <c r="BW727"/>
  <c r="BV727"/>
  <c r="BU727"/>
  <c r="BT727"/>
  <c r="BS727"/>
  <c r="BR727"/>
  <c r="BQ727"/>
  <c r="BP727"/>
  <c r="BO727"/>
  <c r="BN727"/>
  <c r="BM727"/>
  <c r="BL727"/>
  <c r="BG727"/>
  <c r="BE727"/>
  <c r="BD727"/>
  <c r="BA727"/>
  <c r="AX727"/>
  <c r="AQ727"/>
  <c r="AJ727"/>
  <c r="AC727"/>
  <c r="W727"/>
  <c r="Q727"/>
  <c r="J727"/>
  <c r="G727"/>
  <c r="A727"/>
  <c r="CA726"/>
  <c r="BZ726"/>
  <c r="BY726"/>
  <c r="BX726"/>
  <c r="BW726"/>
  <c r="BV726"/>
  <c r="BU726"/>
  <c r="BT726"/>
  <c r="BS726"/>
  <c r="BR726"/>
  <c r="BQ726"/>
  <c r="BP726"/>
  <c r="BO726"/>
  <c r="BN726"/>
  <c r="BM726"/>
  <c r="BL726"/>
  <c r="BG726"/>
  <c r="BE726"/>
  <c r="BD726"/>
  <c r="BA726"/>
  <c r="AX726"/>
  <c r="AQ726"/>
  <c r="AJ726"/>
  <c r="AC726"/>
  <c r="W726"/>
  <c r="Q726"/>
  <c r="J726"/>
  <c r="G726"/>
  <c r="A726"/>
  <c r="CI725"/>
  <c r="CH725"/>
  <c r="CG725"/>
  <c r="CF725"/>
  <c r="CE725"/>
  <c r="CD725"/>
  <c r="CC725"/>
  <c r="CB725"/>
  <c r="CA725"/>
  <c r="BZ725"/>
  <c r="BY725"/>
  <c r="BX725"/>
  <c r="BW725"/>
  <c r="BV725"/>
  <c r="BU725"/>
  <c r="BT725"/>
  <c r="BS725"/>
  <c r="BR725"/>
  <c r="BQ725"/>
  <c r="BP725"/>
  <c r="BO725"/>
  <c r="BN725"/>
  <c r="BM725"/>
  <c r="BL725"/>
  <c r="BG725"/>
  <c r="BE725"/>
  <c r="BD725"/>
  <c r="BA725"/>
  <c r="AX725"/>
  <c r="AQ725"/>
  <c r="AJ725"/>
  <c r="AC725"/>
  <c r="W725"/>
  <c r="J725"/>
  <c r="G725"/>
  <c r="A725"/>
  <c r="CI724"/>
  <c r="CH724"/>
  <c r="CG724"/>
  <c r="CF724"/>
  <c r="CE724"/>
  <c r="CD724"/>
  <c r="CC724"/>
  <c r="CB724"/>
  <c r="CA724"/>
  <c r="BZ724"/>
  <c r="BY724"/>
  <c r="BX724"/>
  <c r="BW724"/>
  <c r="BV724"/>
  <c r="BU724"/>
  <c r="BT724"/>
  <c r="BS724"/>
  <c r="BR724"/>
  <c r="BQ724"/>
  <c r="BP724"/>
  <c r="BO724"/>
  <c r="BN724"/>
  <c r="BM724"/>
  <c r="BL724"/>
  <c r="BG724"/>
  <c r="BE724"/>
  <c r="BD724"/>
  <c r="BA724"/>
  <c r="AX724"/>
  <c r="AQ724"/>
  <c r="AJ724"/>
  <c r="AC724"/>
  <c r="W724"/>
  <c r="Q724"/>
  <c r="J724"/>
  <c r="G724"/>
  <c r="A724"/>
  <c r="CI723"/>
  <c r="CH723"/>
  <c r="CG723"/>
  <c r="CF723"/>
  <c r="CE723"/>
  <c r="CD723"/>
  <c r="CC723"/>
  <c r="CB723"/>
  <c r="CA723"/>
  <c r="BZ723"/>
  <c r="BY723"/>
  <c r="BX723"/>
  <c r="BW723"/>
  <c r="BV723"/>
  <c r="BU723"/>
  <c r="BT723"/>
  <c r="BS723"/>
  <c r="BR723"/>
  <c r="BQ723"/>
  <c r="BP723"/>
  <c r="BO723"/>
  <c r="BN723"/>
  <c r="BM723"/>
  <c r="BL723"/>
  <c r="BG723"/>
  <c r="BE723"/>
  <c r="BD723"/>
  <c r="BA723"/>
  <c r="AX723"/>
  <c r="AQ723"/>
  <c r="AJ723"/>
  <c r="AC723"/>
  <c r="W723"/>
  <c r="J723"/>
  <c r="G723"/>
  <c r="A723"/>
  <c r="CI722"/>
  <c r="CH722"/>
  <c r="CG722"/>
  <c r="CF722"/>
  <c r="CE722"/>
  <c r="CD722"/>
  <c r="CC722"/>
  <c r="CB722"/>
  <c r="CA722"/>
  <c r="BZ722"/>
  <c r="BY722"/>
  <c r="BX722"/>
  <c r="BW722"/>
  <c r="BV722"/>
  <c r="BU722"/>
  <c r="BT722"/>
  <c r="BS722"/>
  <c r="BR722"/>
  <c r="BQ722"/>
  <c r="BP722"/>
  <c r="BO722"/>
  <c r="BN722"/>
  <c r="BM722"/>
  <c r="BL722"/>
  <c r="BG722"/>
  <c r="BE722"/>
  <c r="BD722"/>
  <c r="BA722"/>
  <c r="AX722"/>
  <c r="AQ722"/>
  <c r="AJ722"/>
  <c r="AC722"/>
  <c r="W722"/>
  <c r="Q722"/>
  <c r="J722"/>
  <c r="G722"/>
  <c r="A722"/>
  <c r="CI721"/>
  <c r="CH721"/>
  <c r="CG721"/>
  <c r="CF721"/>
  <c r="CE721"/>
  <c r="CD721"/>
  <c r="CC721"/>
  <c r="CB721"/>
  <c r="CA721"/>
  <c r="BZ721"/>
  <c r="BY721"/>
  <c r="BX721"/>
  <c r="BW721"/>
  <c r="BV721"/>
  <c r="BU721"/>
  <c r="BT721"/>
  <c r="BS721"/>
  <c r="BR721"/>
  <c r="BQ721"/>
  <c r="BP721"/>
  <c r="BO721"/>
  <c r="BN721"/>
  <c r="BM721"/>
  <c r="BL721"/>
  <c r="BG721"/>
  <c r="BE721"/>
  <c r="BD721"/>
  <c r="BA721"/>
  <c r="AX721"/>
  <c r="AQ721"/>
  <c r="AJ721"/>
  <c r="AC721"/>
  <c r="W721"/>
  <c r="J721"/>
  <c r="G721"/>
  <c r="A721"/>
  <c r="CE720"/>
  <c r="CD720"/>
  <c r="CC720"/>
  <c r="CB720"/>
  <c r="CA720"/>
  <c r="BZ720"/>
  <c r="BY720"/>
  <c r="BX720"/>
  <c r="BW720"/>
  <c r="BV720"/>
  <c r="BU720"/>
  <c r="BT720"/>
  <c r="BS720"/>
  <c r="BR720"/>
  <c r="BQ720"/>
  <c r="BP720"/>
  <c r="BO720"/>
  <c r="BN720"/>
  <c r="BM720"/>
  <c r="BL720"/>
  <c r="BG720"/>
  <c r="BE720"/>
  <c r="BD720"/>
  <c r="BA720"/>
  <c r="AX720"/>
  <c r="AQ720"/>
  <c r="AJ720"/>
  <c r="AC720"/>
  <c r="W720"/>
  <c r="Q720"/>
  <c r="J720"/>
  <c r="G720"/>
  <c r="A720"/>
  <c r="CE719"/>
  <c r="CD719"/>
  <c r="CC719"/>
  <c r="CB719"/>
  <c r="CA719"/>
  <c r="BZ719"/>
  <c r="BY719"/>
  <c r="BX719"/>
  <c r="BW719"/>
  <c r="BV719"/>
  <c r="BU719"/>
  <c r="BT719"/>
  <c r="BS719"/>
  <c r="BR719"/>
  <c r="BQ719"/>
  <c r="BP719"/>
  <c r="BO719"/>
  <c r="BN719"/>
  <c r="BM719"/>
  <c r="BL719"/>
  <c r="BG719"/>
  <c r="BE719"/>
  <c r="BD719"/>
  <c r="BA719"/>
  <c r="AX719"/>
  <c r="AQ719"/>
  <c r="AJ719"/>
  <c r="AC719"/>
  <c r="W719"/>
  <c r="Q719"/>
  <c r="J719"/>
  <c r="G719"/>
  <c r="A719"/>
  <c r="CO718"/>
  <c r="CN718"/>
  <c r="CM718"/>
  <c r="CL718"/>
  <c r="CK718"/>
  <c r="CJ718"/>
  <c r="CI718"/>
  <c r="CH718"/>
  <c r="CG718"/>
  <c r="CF718"/>
  <c r="CE718"/>
  <c r="CD718"/>
  <c r="CC718"/>
  <c r="CB718"/>
  <c r="CA718"/>
  <c r="BZ718"/>
  <c r="BY718"/>
  <c r="BX718"/>
  <c r="BW718"/>
  <c r="BV718"/>
  <c r="BU718"/>
  <c r="BT718"/>
  <c r="BS718"/>
  <c r="BR718"/>
  <c r="BQ718"/>
  <c r="BP718"/>
  <c r="BO718"/>
  <c r="BN718"/>
  <c r="BM718"/>
  <c r="BL718"/>
  <c r="BG718"/>
  <c r="BE718"/>
  <c r="BD718"/>
  <c r="BA718"/>
  <c r="AX718"/>
  <c r="AQ718"/>
  <c r="AJ718"/>
  <c r="AC718"/>
  <c r="W718"/>
  <c r="J718"/>
  <c r="G718"/>
  <c r="A718"/>
  <c r="CO717"/>
  <c r="CN717"/>
  <c r="CM717"/>
  <c r="CL717"/>
  <c r="CK717"/>
  <c r="CJ717"/>
  <c r="CI717"/>
  <c r="CH717"/>
  <c r="CG717"/>
  <c r="CF717"/>
  <c r="CE717"/>
  <c r="CD717"/>
  <c r="CC717"/>
  <c r="CB717"/>
  <c r="CA717"/>
  <c r="BZ717"/>
  <c r="BY717"/>
  <c r="BX717"/>
  <c r="BW717"/>
  <c r="BV717"/>
  <c r="BU717"/>
  <c r="BT717"/>
  <c r="BS717"/>
  <c r="BR717"/>
  <c r="BQ717"/>
  <c r="BP717"/>
  <c r="BO717"/>
  <c r="BN717"/>
  <c r="BM717"/>
  <c r="BL717"/>
  <c r="BG717"/>
  <c r="BE717"/>
  <c r="BD717"/>
  <c r="BA717"/>
  <c r="AQ717"/>
  <c r="AJ717"/>
  <c r="AC717"/>
  <c r="W717"/>
  <c r="Q717"/>
  <c r="J717"/>
  <c r="G717"/>
  <c r="A717"/>
  <c r="CO716"/>
  <c r="CN716"/>
  <c r="CM716"/>
  <c r="CL716"/>
  <c r="CK716"/>
  <c r="CJ716"/>
  <c r="CI716"/>
  <c r="CH716"/>
  <c r="CG716"/>
  <c r="CF716"/>
  <c r="CE716"/>
  <c r="CD716"/>
  <c r="CC716"/>
  <c r="CB716"/>
  <c r="CA716"/>
  <c r="BZ716"/>
  <c r="BY716"/>
  <c r="BX716"/>
  <c r="BW716"/>
  <c r="BV716"/>
  <c r="BU716"/>
  <c r="BT716"/>
  <c r="BS716"/>
  <c r="BR716"/>
  <c r="BQ716"/>
  <c r="BP716"/>
  <c r="BO716"/>
  <c r="BN716"/>
  <c r="BM716"/>
  <c r="BL716"/>
  <c r="BG716"/>
  <c r="BE716"/>
  <c r="BD716"/>
  <c r="BA716"/>
  <c r="AX716"/>
  <c r="AQ716"/>
  <c r="AJ716"/>
  <c r="AC716"/>
  <c r="W716"/>
  <c r="J716"/>
  <c r="G716"/>
  <c r="A716"/>
  <c r="CO715"/>
  <c r="CN715"/>
  <c r="CM715"/>
  <c r="CL715"/>
  <c r="CK715"/>
  <c r="CJ715"/>
  <c r="CI715"/>
  <c r="CH715"/>
  <c r="CG715"/>
  <c r="CF715"/>
  <c r="CE715"/>
  <c r="CD715"/>
  <c r="CC715"/>
  <c r="CB715"/>
  <c r="CA715"/>
  <c r="BZ715"/>
  <c r="BY715"/>
  <c r="BX715"/>
  <c r="BW715"/>
  <c r="BV715"/>
  <c r="BU715"/>
  <c r="BT715"/>
  <c r="BS715"/>
  <c r="BR715"/>
  <c r="BQ715"/>
  <c r="BP715"/>
  <c r="BO715"/>
  <c r="BN715"/>
  <c r="BM715"/>
  <c r="BL715"/>
  <c r="BG715"/>
  <c r="BE715"/>
  <c r="BD715"/>
  <c r="BA715"/>
  <c r="AQ715"/>
  <c r="AJ715"/>
  <c r="AC715"/>
  <c r="W715"/>
  <c r="J715"/>
  <c r="G715"/>
  <c r="A715"/>
  <c r="CO714"/>
  <c r="CN714"/>
  <c r="CM714"/>
  <c r="CL714"/>
  <c r="CK714"/>
  <c r="CJ714"/>
  <c r="CI714"/>
  <c r="CH714"/>
  <c r="CG714"/>
  <c r="CF714"/>
  <c r="CE714"/>
  <c r="CD714"/>
  <c r="CC714"/>
  <c r="CB714"/>
  <c r="CA714"/>
  <c r="BZ714"/>
  <c r="BY714"/>
  <c r="BX714"/>
  <c r="BW714"/>
  <c r="BV714"/>
  <c r="BU714"/>
  <c r="BT714"/>
  <c r="BS714"/>
  <c r="BR714"/>
  <c r="BQ714"/>
  <c r="BP714"/>
  <c r="BO714"/>
  <c r="BN714"/>
  <c r="BM714"/>
  <c r="BL714"/>
  <c r="BG714"/>
  <c r="BE714"/>
  <c r="BD714"/>
  <c r="BA714"/>
  <c r="AQ714"/>
  <c r="AJ714"/>
  <c r="AC714"/>
  <c r="W714"/>
  <c r="J714"/>
  <c r="G714"/>
  <c r="A714"/>
  <c r="CO713"/>
  <c r="CN713"/>
  <c r="CM713"/>
  <c r="CL713"/>
  <c r="CK713"/>
  <c r="CJ713"/>
  <c r="CI713"/>
  <c r="CH713"/>
  <c r="CG713"/>
  <c r="CF713"/>
  <c r="CE713"/>
  <c r="CD713"/>
  <c r="CC713"/>
  <c r="CB713"/>
  <c r="CA713"/>
  <c r="BZ713"/>
  <c r="BY713"/>
  <c r="BX713"/>
  <c r="BW713"/>
  <c r="BV713"/>
  <c r="BU713"/>
  <c r="BT713"/>
  <c r="BS713"/>
  <c r="BR713"/>
  <c r="BQ713"/>
  <c r="BP713"/>
  <c r="BO713"/>
  <c r="BN713"/>
  <c r="BM713"/>
  <c r="BL713"/>
  <c r="BG713"/>
  <c r="BE713"/>
  <c r="BD713"/>
  <c r="BA713"/>
  <c r="AX713"/>
  <c r="AQ713"/>
  <c r="AJ713"/>
  <c r="AC713"/>
  <c r="W713"/>
  <c r="J713"/>
  <c r="G713"/>
  <c r="A713"/>
  <c r="BY711"/>
  <c r="BX711"/>
  <c r="BW711"/>
  <c r="BV711"/>
  <c r="BU711"/>
  <c r="BT711"/>
  <c r="BS711"/>
  <c r="BR711"/>
  <c r="BQ711"/>
  <c r="BP711"/>
  <c r="BO711"/>
  <c r="BN711"/>
  <c r="BM711"/>
  <c r="BL711"/>
  <c r="BG711"/>
  <c r="BE711"/>
  <c r="BD711"/>
  <c r="BA711"/>
  <c r="AX711"/>
  <c r="AQ711"/>
  <c r="AJ711"/>
  <c r="AC711"/>
  <c r="W711"/>
  <c r="Q711"/>
  <c r="J711"/>
  <c r="G711"/>
  <c r="A711"/>
  <c r="CE710"/>
  <c r="CD710"/>
  <c r="CC710"/>
  <c r="CB710"/>
  <c r="CA710"/>
  <c r="BZ710"/>
  <c r="BY710"/>
  <c r="BX710"/>
  <c r="BW710"/>
  <c r="BV710"/>
  <c r="BU710"/>
  <c r="BT710"/>
  <c r="BS710"/>
  <c r="BR710"/>
  <c r="BQ710"/>
  <c r="BP710"/>
  <c r="BO710"/>
  <c r="BN710"/>
  <c r="BM710"/>
  <c r="BL710"/>
  <c r="BG710"/>
  <c r="BE710"/>
  <c r="BD710"/>
  <c r="BA710"/>
  <c r="AX710"/>
  <c r="AQ710"/>
  <c r="AJ710"/>
  <c r="AC710"/>
  <c r="W710"/>
  <c r="Q710"/>
  <c r="J710"/>
  <c r="G710"/>
  <c r="A710"/>
  <c r="CM709"/>
  <c r="CL709"/>
  <c r="CK709"/>
  <c r="CJ709"/>
  <c r="CI709"/>
  <c r="CH709"/>
  <c r="CG709"/>
  <c r="CF709"/>
  <c r="CE709"/>
  <c r="CD709"/>
  <c r="CC709"/>
  <c r="CB709"/>
  <c r="CA709"/>
  <c r="BZ709"/>
  <c r="BY709"/>
  <c r="BX709"/>
  <c r="BW709"/>
  <c r="BV709"/>
  <c r="BU709"/>
  <c r="BT709"/>
  <c r="BS709"/>
  <c r="BR709"/>
  <c r="BQ709"/>
  <c r="BP709"/>
  <c r="BO709"/>
  <c r="BN709"/>
  <c r="BM709"/>
  <c r="BL709"/>
  <c r="BI709"/>
  <c r="BG709"/>
  <c r="BE709"/>
  <c r="BD709"/>
  <c r="BA709"/>
  <c r="AX709"/>
  <c r="AQ709"/>
  <c r="AJ709"/>
  <c r="AC709"/>
  <c r="W709"/>
  <c r="Q709"/>
  <c r="J709"/>
  <c r="G709"/>
  <c r="A709"/>
  <c r="CO708"/>
  <c r="CN708"/>
  <c r="CM708"/>
  <c r="CL708"/>
  <c r="CK708"/>
  <c r="CJ708"/>
  <c r="CI708"/>
  <c r="CH708"/>
  <c r="CG708"/>
  <c r="CF708"/>
  <c r="CE708"/>
  <c r="CD708"/>
  <c r="CC708"/>
  <c r="CB708"/>
  <c r="CA708"/>
  <c r="BZ708"/>
  <c r="BY708"/>
  <c r="BX708"/>
  <c r="BW708"/>
  <c r="BV708"/>
  <c r="BU708"/>
  <c r="BT708"/>
  <c r="BS708"/>
  <c r="BR708"/>
  <c r="BQ708"/>
  <c r="BP708"/>
  <c r="BO708"/>
  <c r="BN708"/>
  <c r="BM708"/>
  <c r="BL708"/>
  <c r="BG708"/>
  <c r="BE708"/>
  <c r="BD708"/>
  <c r="BA708"/>
  <c r="AX708"/>
  <c r="AQ708"/>
  <c r="AJ708"/>
  <c r="AC708"/>
  <c r="W708"/>
  <c r="Q708"/>
  <c r="J708"/>
  <c r="G708"/>
  <c r="A708"/>
  <c r="CO707"/>
  <c r="CN707"/>
  <c r="CM707"/>
  <c r="CL707"/>
  <c r="CK707"/>
  <c r="CJ707"/>
  <c r="CI707"/>
  <c r="CH707"/>
  <c r="CG707"/>
  <c r="CF707"/>
  <c r="CE707"/>
  <c r="CD707"/>
  <c r="CC707"/>
  <c r="CB707"/>
  <c r="CA707"/>
  <c r="BZ707"/>
  <c r="BY707"/>
  <c r="BX707"/>
  <c r="BW707"/>
  <c r="BV707"/>
  <c r="BU707"/>
  <c r="BT707"/>
  <c r="BS707"/>
  <c r="BR707"/>
  <c r="BQ707"/>
  <c r="BP707"/>
  <c r="BO707"/>
  <c r="BN707"/>
  <c r="BM707"/>
  <c r="BL707"/>
  <c r="BI707"/>
  <c r="BG707"/>
  <c r="BE707"/>
  <c r="BD707"/>
  <c r="BA707"/>
  <c r="AX707"/>
  <c r="AQ707"/>
  <c r="AJ707"/>
  <c r="AC707"/>
  <c r="W707"/>
  <c r="Q707"/>
  <c r="J707"/>
  <c r="G707"/>
  <c r="A707"/>
  <c r="CO706"/>
  <c r="CN706"/>
  <c r="CM706"/>
  <c r="CL706"/>
  <c r="CK706"/>
  <c r="CJ706"/>
  <c r="CI706"/>
  <c r="CH706"/>
  <c r="CG706"/>
  <c r="CF706"/>
  <c r="CE706"/>
  <c r="CD706"/>
  <c r="CC706"/>
  <c r="CB706"/>
  <c r="CA706"/>
  <c r="BZ706"/>
  <c r="BY706"/>
  <c r="BX706"/>
  <c r="BW706"/>
  <c r="BV706"/>
  <c r="BU706"/>
  <c r="BT706"/>
  <c r="BS706"/>
  <c r="BR706"/>
  <c r="BQ706"/>
  <c r="BP706"/>
  <c r="BO706"/>
  <c r="BN706"/>
  <c r="BM706"/>
  <c r="BL706"/>
  <c r="BI706"/>
  <c r="BG706"/>
  <c r="BE706"/>
  <c r="BD706"/>
  <c r="BA706"/>
  <c r="AX706"/>
  <c r="AQ706"/>
  <c r="AJ706"/>
  <c r="AC706"/>
  <c r="W706"/>
  <c r="Q706"/>
  <c r="J706"/>
  <c r="G706"/>
  <c r="A706"/>
  <c r="CO705"/>
  <c r="CN705"/>
  <c r="CM705"/>
  <c r="CL705"/>
  <c r="CK705"/>
  <c r="CJ705"/>
  <c r="CI705"/>
  <c r="CH705"/>
  <c r="CG705"/>
  <c r="CF705"/>
  <c r="CE705"/>
  <c r="CD705"/>
  <c r="CC705"/>
  <c r="CB705"/>
  <c r="CA705"/>
  <c r="BZ705"/>
  <c r="BY705"/>
  <c r="BX705"/>
  <c r="BW705"/>
  <c r="BV705"/>
  <c r="BU705"/>
  <c r="BT705"/>
  <c r="BS705"/>
  <c r="BR705"/>
  <c r="BQ705"/>
  <c r="BP705"/>
  <c r="BO705"/>
  <c r="BN705"/>
  <c r="BM705"/>
  <c r="BL705"/>
  <c r="BG705"/>
  <c r="BE705"/>
  <c r="BD705"/>
  <c r="BA705"/>
  <c r="AX705"/>
  <c r="AQ705"/>
  <c r="AJ705"/>
  <c r="AC705"/>
  <c r="W705"/>
  <c r="Q705"/>
  <c r="J705"/>
  <c r="G705"/>
  <c r="A705"/>
  <c r="CO704"/>
  <c r="CN704"/>
  <c r="CM704"/>
  <c r="CL704"/>
  <c r="CK704"/>
  <c r="CJ704"/>
  <c r="CI704"/>
  <c r="CH704"/>
  <c r="CG704"/>
  <c r="CF704"/>
  <c r="CE704"/>
  <c r="CD704"/>
  <c r="CC704"/>
  <c r="CB704"/>
  <c r="CA704"/>
  <c r="BZ704"/>
  <c r="BY704"/>
  <c r="BX704"/>
  <c r="BW704"/>
  <c r="BV704"/>
  <c r="BU704"/>
  <c r="BT704"/>
  <c r="BS704"/>
  <c r="BR704"/>
  <c r="BQ704"/>
  <c r="BP704"/>
  <c r="BO704"/>
  <c r="BN704"/>
  <c r="BM704"/>
  <c r="BL704"/>
  <c r="BI704"/>
  <c r="BG704"/>
  <c r="BE704"/>
  <c r="BD704"/>
  <c r="BA704"/>
  <c r="AX704"/>
  <c r="AQ704"/>
  <c r="AJ704"/>
  <c r="AC704"/>
  <c r="W704"/>
  <c r="Q704"/>
  <c r="J704"/>
  <c r="G704"/>
  <c r="A704"/>
  <c r="CC702"/>
  <c r="CB702"/>
  <c r="CA702"/>
  <c r="BZ702"/>
  <c r="BY702"/>
  <c r="BX702"/>
  <c r="BW702"/>
  <c r="BV702"/>
  <c r="BU702"/>
  <c r="BT702"/>
  <c r="BS702"/>
  <c r="BR702"/>
  <c r="BQ702"/>
  <c r="BP702"/>
  <c r="BO702"/>
  <c r="BN702"/>
  <c r="BM702"/>
  <c r="BL702"/>
  <c r="BG702"/>
  <c r="BE702"/>
  <c r="BD702"/>
  <c r="BA702"/>
  <c r="AX702"/>
  <c r="AQ702"/>
  <c r="AJ702"/>
  <c r="AC702"/>
  <c r="W702"/>
  <c r="Q702"/>
  <c r="J702"/>
  <c r="G702"/>
  <c r="A702"/>
  <c r="CG701"/>
  <c r="CF701"/>
  <c r="CE701"/>
  <c r="CD701"/>
  <c r="CC701"/>
  <c r="CB701"/>
  <c r="CA701"/>
  <c r="BZ701"/>
  <c r="BY701"/>
  <c r="BX701"/>
  <c r="BW701"/>
  <c r="BV701"/>
  <c r="BU701"/>
  <c r="BT701"/>
  <c r="BS701"/>
  <c r="BR701"/>
  <c r="BQ701"/>
  <c r="BP701"/>
  <c r="BO701"/>
  <c r="BN701"/>
  <c r="BM701"/>
  <c r="BL701"/>
  <c r="BG701"/>
  <c r="BE701"/>
  <c r="BD701"/>
  <c r="BA701"/>
  <c r="AX701"/>
  <c r="AQ701"/>
  <c r="AJ701"/>
  <c r="AC701"/>
  <c r="W701"/>
  <c r="Q701"/>
  <c r="J701"/>
  <c r="G701"/>
  <c r="A701"/>
  <c r="CO700"/>
  <c r="CN700"/>
  <c r="CM700"/>
  <c r="CL700"/>
  <c r="CK700"/>
  <c r="CJ700"/>
  <c r="CI700"/>
  <c r="CH700"/>
  <c r="CG700"/>
  <c r="CF700"/>
  <c r="CE700"/>
  <c r="CD700"/>
  <c r="CC700"/>
  <c r="CB700"/>
  <c r="CA700"/>
  <c r="BZ700"/>
  <c r="BY700"/>
  <c r="BX700"/>
  <c r="BW700"/>
  <c r="BV700"/>
  <c r="BU700"/>
  <c r="BT700"/>
  <c r="BS700"/>
  <c r="BR700"/>
  <c r="BQ700"/>
  <c r="BP700"/>
  <c r="BO700"/>
  <c r="BN700"/>
  <c r="BM700"/>
  <c r="BL700"/>
  <c r="BI700"/>
  <c r="BG700"/>
  <c r="BE700"/>
  <c r="BD700"/>
  <c r="BA700"/>
  <c r="AX700"/>
  <c r="AQ700"/>
  <c r="AJ700"/>
  <c r="AC700"/>
  <c r="W700"/>
  <c r="Q700"/>
  <c r="J700"/>
  <c r="G700"/>
  <c r="A700"/>
  <c r="CM699"/>
  <c r="CL699"/>
  <c r="CK699"/>
  <c r="CJ699"/>
  <c r="CI699"/>
  <c r="CH699"/>
  <c r="CG699"/>
  <c r="CF699"/>
  <c r="CE699"/>
  <c r="CD699"/>
  <c r="CC699"/>
  <c r="CB699"/>
  <c r="CA699"/>
  <c r="BZ699"/>
  <c r="BY699"/>
  <c r="BX699"/>
  <c r="BW699"/>
  <c r="BV699"/>
  <c r="BU699"/>
  <c r="BT699"/>
  <c r="BS699"/>
  <c r="BR699"/>
  <c r="BQ699"/>
  <c r="BP699"/>
  <c r="BO699"/>
  <c r="BN699"/>
  <c r="BM699"/>
  <c r="BL699"/>
  <c r="BG699"/>
  <c r="BE699"/>
  <c r="BD699"/>
  <c r="BA699"/>
  <c r="AX699"/>
  <c r="AQ699"/>
  <c r="AJ699"/>
  <c r="AC699"/>
  <c r="W699"/>
  <c r="Q699"/>
  <c r="J699"/>
  <c r="G699"/>
  <c r="A699"/>
  <c r="CO698"/>
  <c r="CN698"/>
  <c r="CM698"/>
  <c r="CL698"/>
  <c r="CK698"/>
  <c r="CJ698"/>
  <c r="CI698"/>
  <c r="CH698"/>
  <c r="CG698"/>
  <c r="CF698"/>
  <c r="CE698"/>
  <c r="CD698"/>
  <c r="CC698"/>
  <c r="CB698"/>
  <c r="CA698"/>
  <c r="BZ698"/>
  <c r="BY698"/>
  <c r="BX698"/>
  <c r="BW698"/>
  <c r="BV698"/>
  <c r="BU698"/>
  <c r="BT698"/>
  <c r="BS698"/>
  <c r="BR698"/>
  <c r="BQ698"/>
  <c r="BP698"/>
  <c r="BO698"/>
  <c r="BN698"/>
  <c r="BM698"/>
  <c r="BL698"/>
  <c r="BG698"/>
  <c r="BE698"/>
  <c r="BD698"/>
  <c r="BA698"/>
  <c r="AX698"/>
  <c r="AQ698"/>
  <c r="AJ698"/>
  <c r="AC698"/>
  <c r="W698"/>
  <c r="Q698"/>
  <c r="J698"/>
  <c r="G698"/>
  <c r="A698"/>
  <c r="CO697"/>
  <c r="CN697"/>
  <c r="CM697"/>
  <c r="CL697"/>
  <c r="CK697"/>
  <c r="CJ697"/>
  <c r="CI697"/>
  <c r="CH697"/>
  <c r="CG697"/>
  <c r="CF697"/>
  <c r="CE697"/>
  <c r="CD697"/>
  <c r="CC697"/>
  <c r="CB697"/>
  <c r="CA697"/>
  <c r="BZ697"/>
  <c r="BY697"/>
  <c r="BX697"/>
  <c r="BW697"/>
  <c r="BV697"/>
  <c r="BU697"/>
  <c r="BT697"/>
  <c r="BS697"/>
  <c r="BR697"/>
  <c r="BQ697"/>
  <c r="BP697"/>
  <c r="BO697"/>
  <c r="BN697"/>
  <c r="BM697"/>
  <c r="BL697"/>
  <c r="BG697"/>
  <c r="BE697"/>
  <c r="BD697"/>
  <c r="BA697"/>
  <c r="AX697"/>
  <c r="AQ697"/>
  <c r="AJ697"/>
  <c r="AC697"/>
  <c r="W697"/>
  <c r="Q697"/>
  <c r="J697"/>
  <c r="G697"/>
  <c r="A697"/>
  <c r="CO696"/>
  <c r="CN696"/>
  <c r="CM696"/>
  <c r="CL696"/>
  <c r="CK696"/>
  <c r="CJ696"/>
  <c r="CI696"/>
  <c r="CH696"/>
  <c r="CG696"/>
  <c r="CF696"/>
  <c r="CE696"/>
  <c r="CD696"/>
  <c r="CC696"/>
  <c r="CB696"/>
  <c r="CA696"/>
  <c r="BZ696"/>
  <c r="BY696"/>
  <c r="BX696"/>
  <c r="BW696"/>
  <c r="BV696"/>
  <c r="BU696"/>
  <c r="BT696"/>
  <c r="BS696"/>
  <c r="BR696"/>
  <c r="BQ696"/>
  <c r="BP696"/>
  <c r="BO696"/>
  <c r="BN696"/>
  <c r="BM696"/>
  <c r="BL696"/>
  <c r="BI696"/>
  <c r="BG696"/>
  <c r="BE696"/>
  <c r="BD696"/>
  <c r="BA696"/>
  <c r="AX696"/>
  <c r="AQ696"/>
  <c r="AJ696"/>
  <c r="AC696"/>
  <c r="W696"/>
  <c r="Q696"/>
  <c r="J696"/>
  <c r="G696"/>
  <c r="A696"/>
  <c r="CO695"/>
  <c r="CN695"/>
  <c r="CM695"/>
  <c r="CL695"/>
  <c r="CK695"/>
  <c r="CJ695"/>
  <c r="CI695"/>
  <c r="CH695"/>
  <c r="CG695"/>
  <c r="CF695"/>
  <c r="CE695"/>
  <c r="CD695"/>
  <c r="CC695"/>
  <c r="CB695"/>
  <c r="CA695"/>
  <c r="BZ695"/>
  <c r="BY695"/>
  <c r="BX695"/>
  <c r="BW695"/>
  <c r="BV695"/>
  <c r="BU695"/>
  <c r="BT695"/>
  <c r="BS695"/>
  <c r="BR695"/>
  <c r="BQ695"/>
  <c r="BP695"/>
  <c r="BO695"/>
  <c r="BN695"/>
  <c r="BM695"/>
  <c r="BL695"/>
  <c r="BI695"/>
  <c r="BG695"/>
  <c r="BE695"/>
  <c r="BD695"/>
  <c r="BA695"/>
  <c r="AX695"/>
  <c r="AQ695"/>
  <c r="AJ695"/>
  <c r="AC695"/>
  <c r="W695"/>
  <c r="Q695"/>
  <c r="J695"/>
  <c r="G695"/>
  <c r="A695"/>
  <c r="CM692"/>
  <c r="CL692"/>
  <c r="CK692"/>
  <c r="CJ692"/>
  <c r="CI692"/>
  <c r="CH692"/>
  <c r="CG692"/>
  <c r="CF692"/>
  <c r="CE692"/>
  <c r="CD692"/>
  <c r="CC692"/>
  <c r="CB692"/>
  <c r="CA692"/>
  <c r="BZ692"/>
  <c r="BY692"/>
  <c r="BX692"/>
  <c r="BW692"/>
  <c r="BV692"/>
  <c r="BU692"/>
  <c r="BT692"/>
  <c r="BS692"/>
  <c r="BR692"/>
  <c r="BQ692"/>
  <c r="BP692"/>
  <c r="BO692"/>
  <c r="BN692"/>
  <c r="BM692"/>
  <c r="BL692"/>
  <c r="BG692"/>
  <c r="BE692"/>
  <c r="BD692"/>
  <c r="BA692"/>
  <c r="AX692"/>
  <c r="AQ692"/>
  <c r="AJ692"/>
  <c r="AC692"/>
  <c r="W692"/>
  <c r="J692"/>
  <c r="G692"/>
  <c r="A692"/>
  <c r="CM691"/>
  <c r="CL691"/>
  <c r="CK691"/>
  <c r="CJ691"/>
  <c r="CI691"/>
  <c r="CH691"/>
  <c r="CG691"/>
  <c r="CF691"/>
  <c r="CE691"/>
  <c r="CD691"/>
  <c r="CC691"/>
  <c r="CB691"/>
  <c r="CA691"/>
  <c r="BZ691"/>
  <c r="BY691"/>
  <c r="BX691"/>
  <c r="BW691"/>
  <c r="BV691"/>
  <c r="BU691"/>
  <c r="BT691"/>
  <c r="BS691"/>
  <c r="BR691"/>
  <c r="BQ691"/>
  <c r="BP691"/>
  <c r="BO691"/>
  <c r="BN691"/>
  <c r="BM691"/>
  <c r="BL691"/>
  <c r="BG691"/>
  <c r="BE691"/>
  <c r="BD691"/>
  <c r="BA691"/>
  <c r="AX691"/>
  <c r="AQ691"/>
  <c r="AJ691"/>
  <c r="AC691"/>
  <c r="W691"/>
  <c r="J691"/>
  <c r="G691"/>
  <c r="A691"/>
  <c r="CA690"/>
  <c r="BZ690"/>
  <c r="BY690"/>
  <c r="BX690"/>
  <c r="BW690"/>
  <c r="BV690"/>
  <c r="BU690"/>
  <c r="BT690"/>
  <c r="BS690"/>
  <c r="BR690"/>
  <c r="BQ690"/>
  <c r="BP690"/>
  <c r="BO690"/>
  <c r="BN690"/>
  <c r="BM690"/>
  <c r="BL690"/>
  <c r="BG690"/>
  <c r="BE690"/>
  <c r="BD690"/>
  <c r="BA690"/>
  <c r="AX690"/>
  <c r="AQ690"/>
  <c r="AJ690"/>
  <c r="AC690"/>
  <c r="W690"/>
  <c r="Q690"/>
  <c r="J690"/>
  <c r="G690"/>
  <c r="A690"/>
  <c r="CA689"/>
  <c r="BZ689"/>
  <c r="BY689"/>
  <c r="BX689"/>
  <c r="BW689"/>
  <c r="BV689"/>
  <c r="BU689"/>
  <c r="BT689"/>
  <c r="BS689"/>
  <c r="BR689"/>
  <c r="BQ689"/>
  <c r="BP689"/>
  <c r="BO689"/>
  <c r="BN689"/>
  <c r="BM689"/>
  <c r="BL689"/>
  <c r="BG689"/>
  <c r="BE689"/>
  <c r="BD689"/>
  <c r="BA689"/>
  <c r="AX689"/>
  <c r="AQ689"/>
  <c r="AJ689"/>
  <c r="AC689"/>
  <c r="W689"/>
  <c r="Q689"/>
  <c r="J689"/>
  <c r="G689"/>
  <c r="A689"/>
  <c r="CE688"/>
  <c r="CD688"/>
  <c r="CC688"/>
  <c r="CB688"/>
  <c r="CA688"/>
  <c r="BZ688"/>
  <c r="BY688"/>
  <c r="BX688"/>
  <c r="BW688"/>
  <c r="BV688"/>
  <c r="BU688"/>
  <c r="BT688"/>
  <c r="BS688"/>
  <c r="BR688"/>
  <c r="BQ688"/>
  <c r="BP688"/>
  <c r="BO688"/>
  <c r="BN688"/>
  <c r="BM688"/>
  <c r="BL688"/>
  <c r="BG688"/>
  <c r="BE688"/>
  <c r="BD688"/>
  <c r="BA688"/>
  <c r="AX688"/>
  <c r="AQ688"/>
  <c r="AJ688"/>
  <c r="AC688"/>
  <c r="W688"/>
  <c r="Q688"/>
  <c r="J688"/>
  <c r="G688"/>
  <c r="A688"/>
  <c r="CE687"/>
  <c r="CD687"/>
  <c r="CC687"/>
  <c r="CB687"/>
  <c r="CA687"/>
  <c r="BZ687"/>
  <c r="BY687"/>
  <c r="BX687"/>
  <c r="BW687"/>
  <c r="BV687"/>
  <c r="BU687"/>
  <c r="BT687"/>
  <c r="BS687"/>
  <c r="BR687"/>
  <c r="BQ687"/>
  <c r="BP687"/>
  <c r="BO687"/>
  <c r="BN687"/>
  <c r="BM687"/>
  <c r="BL687"/>
  <c r="BG687"/>
  <c r="BE687"/>
  <c r="BD687"/>
  <c r="BA687"/>
  <c r="AX687"/>
  <c r="AQ687"/>
  <c r="AJ687"/>
  <c r="AC687"/>
  <c r="W687"/>
  <c r="Q687"/>
  <c r="J687"/>
  <c r="G687"/>
  <c r="A687"/>
  <c r="CE686"/>
  <c r="CD686"/>
  <c r="CC686"/>
  <c r="CB686"/>
  <c r="CA686"/>
  <c r="BZ686"/>
  <c r="BY686"/>
  <c r="BX686"/>
  <c r="BW686"/>
  <c r="BV686"/>
  <c r="BU686"/>
  <c r="BT686"/>
  <c r="BS686"/>
  <c r="BR686"/>
  <c r="BQ686"/>
  <c r="BP686"/>
  <c r="BO686"/>
  <c r="BN686"/>
  <c r="BM686"/>
  <c r="BL686"/>
  <c r="BG686"/>
  <c r="BE686"/>
  <c r="BD686"/>
  <c r="BA686"/>
  <c r="AX686"/>
  <c r="AQ686"/>
  <c r="AJ686"/>
  <c r="AC686"/>
  <c r="W686"/>
  <c r="Q686"/>
  <c r="J686"/>
  <c r="G686"/>
  <c r="A686"/>
  <c r="CK685"/>
  <c r="CJ685"/>
  <c r="CI685"/>
  <c r="CH685"/>
  <c r="CG685"/>
  <c r="CF685"/>
  <c r="CE685"/>
  <c r="CD685"/>
  <c r="CC685"/>
  <c r="CB685"/>
  <c r="CA685"/>
  <c r="BZ685"/>
  <c r="BY685"/>
  <c r="BX685"/>
  <c r="BW685"/>
  <c r="BV685"/>
  <c r="BU685"/>
  <c r="BT685"/>
  <c r="BS685"/>
  <c r="BR685"/>
  <c r="BQ685"/>
  <c r="BP685"/>
  <c r="BO685"/>
  <c r="BN685"/>
  <c r="BM685"/>
  <c r="BL685"/>
  <c r="BG685"/>
  <c r="BE685"/>
  <c r="BD685"/>
  <c r="BA685"/>
  <c r="AX685"/>
  <c r="AQ685"/>
  <c r="AJ685"/>
  <c r="AC685"/>
  <c r="W685"/>
  <c r="Q685"/>
  <c r="J685"/>
  <c r="G685"/>
  <c r="A685"/>
  <c r="CK684"/>
  <c r="CJ684"/>
  <c r="CI684"/>
  <c r="CH684"/>
  <c r="CG684"/>
  <c r="CF684"/>
  <c r="CE684"/>
  <c r="CD684"/>
  <c r="CC684"/>
  <c r="CB684"/>
  <c r="CA684"/>
  <c r="BZ684"/>
  <c r="BY684"/>
  <c r="BX684"/>
  <c r="BW684"/>
  <c r="BV684"/>
  <c r="BU684"/>
  <c r="BT684"/>
  <c r="BS684"/>
  <c r="BR684"/>
  <c r="BQ684"/>
  <c r="BP684"/>
  <c r="BO684"/>
  <c r="BN684"/>
  <c r="BM684"/>
  <c r="BL684"/>
  <c r="BG684"/>
  <c r="BE684"/>
  <c r="BD684"/>
  <c r="BA684"/>
  <c r="AX684"/>
  <c r="AQ684"/>
  <c r="AJ684"/>
  <c r="AC684"/>
  <c r="W684"/>
  <c r="Q684"/>
  <c r="J684"/>
  <c r="G684"/>
  <c r="A684"/>
  <c r="CG683"/>
  <c r="CF683"/>
  <c r="CE683"/>
  <c r="CD683"/>
  <c r="CC683"/>
  <c r="CB683"/>
  <c r="CA683"/>
  <c r="BZ683"/>
  <c r="BY683"/>
  <c r="BX683"/>
  <c r="BW683"/>
  <c r="BV683"/>
  <c r="BU683"/>
  <c r="BT683"/>
  <c r="BS683"/>
  <c r="BR683"/>
  <c r="BQ683"/>
  <c r="BP683"/>
  <c r="BO683"/>
  <c r="BN683"/>
  <c r="BM683"/>
  <c r="BL683"/>
  <c r="BG683"/>
  <c r="BE683"/>
  <c r="BD683"/>
  <c r="BA683"/>
  <c r="AX683"/>
  <c r="AQ683"/>
  <c r="AJ683"/>
  <c r="AC683"/>
  <c r="W683"/>
  <c r="J683"/>
  <c r="G683"/>
  <c r="A683"/>
  <c r="CE682"/>
  <c r="CD682"/>
  <c r="CC682"/>
  <c r="CB682"/>
  <c r="CA682"/>
  <c r="BZ682"/>
  <c r="BY682"/>
  <c r="BX682"/>
  <c r="BW682"/>
  <c r="BV682"/>
  <c r="BU682"/>
  <c r="BT682"/>
  <c r="BS682"/>
  <c r="BR682"/>
  <c r="BQ682"/>
  <c r="BP682"/>
  <c r="BO682"/>
  <c r="BN682"/>
  <c r="BM682"/>
  <c r="BL682"/>
  <c r="BG682"/>
  <c r="BE682"/>
  <c r="BD682"/>
  <c r="BA682"/>
  <c r="AX682"/>
  <c r="AQ682"/>
  <c r="AJ682"/>
  <c r="AC682"/>
  <c r="W682"/>
  <c r="J682"/>
  <c r="G682"/>
  <c r="A682"/>
  <c r="CG681"/>
  <c r="CF681"/>
  <c r="CE681"/>
  <c r="CD681"/>
  <c r="CC681"/>
  <c r="CB681"/>
  <c r="CA681"/>
  <c r="BZ681"/>
  <c r="BY681"/>
  <c r="BX681"/>
  <c r="BW681"/>
  <c r="BV681"/>
  <c r="BU681"/>
  <c r="BT681"/>
  <c r="BS681"/>
  <c r="BR681"/>
  <c r="BQ681"/>
  <c r="BP681"/>
  <c r="BO681"/>
  <c r="BN681"/>
  <c r="BM681"/>
  <c r="BL681"/>
  <c r="BG681"/>
  <c r="BE681"/>
  <c r="BD681"/>
  <c r="BA681"/>
  <c r="AX681"/>
  <c r="AQ681"/>
  <c r="AJ681"/>
  <c r="AC681"/>
  <c r="W681"/>
  <c r="J681"/>
  <c r="G681"/>
  <c r="A681"/>
  <c r="CO680"/>
  <c r="CN680"/>
  <c r="CM680"/>
  <c r="CL680"/>
  <c r="CK680"/>
  <c r="CJ680"/>
  <c r="CI680"/>
  <c r="CH680"/>
  <c r="CG680"/>
  <c r="CF680"/>
  <c r="CE680"/>
  <c r="CD680"/>
  <c r="CC680"/>
  <c r="CB680"/>
  <c r="CA680"/>
  <c r="BZ680"/>
  <c r="BY680"/>
  <c r="BX680"/>
  <c r="BW680"/>
  <c r="BV680"/>
  <c r="BU680"/>
  <c r="BT680"/>
  <c r="BS680"/>
  <c r="BR680"/>
  <c r="BQ680"/>
  <c r="BP680"/>
  <c r="BO680"/>
  <c r="BN680"/>
  <c r="BM680"/>
  <c r="BL680"/>
  <c r="BG680"/>
  <c r="BE680"/>
  <c r="BD680"/>
  <c r="BA680"/>
  <c r="AX680"/>
  <c r="AQ680"/>
  <c r="AJ680"/>
  <c r="AC680"/>
  <c r="W680"/>
  <c r="Q680"/>
  <c r="J680"/>
  <c r="G680"/>
  <c r="A680"/>
  <c r="CO679"/>
  <c r="CN679"/>
  <c r="CM679"/>
  <c r="CL679"/>
  <c r="CK679"/>
  <c r="CJ679"/>
  <c r="CI679"/>
  <c r="CH679"/>
  <c r="CG679"/>
  <c r="CF679"/>
  <c r="CE679"/>
  <c r="CD679"/>
  <c r="CC679"/>
  <c r="CB679"/>
  <c r="CA679"/>
  <c r="BZ679"/>
  <c r="BY679"/>
  <c r="BX679"/>
  <c r="BW679"/>
  <c r="BV679"/>
  <c r="BU679"/>
  <c r="BT679"/>
  <c r="BS679"/>
  <c r="BR679"/>
  <c r="BQ679"/>
  <c r="BP679"/>
  <c r="BO679"/>
  <c r="BN679"/>
  <c r="BM679"/>
  <c r="BL679"/>
  <c r="BG679"/>
  <c r="BE679"/>
  <c r="BD679"/>
  <c r="BA679"/>
  <c r="AX679"/>
  <c r="AQ679"/>
  <c r="AJ679"/>
  <c r="AC679"/>
  <c r="W679"/>
  <c r="Q679"/>
  <c r="J679"/>
  <c r="G679"/>
  <c r="A679"/>
  <c r="CO678"/>
  <c r="CN678"/>
  <c r="CM678"/>
  <c r="CL678"/>
  <c r="CK678"/>
  <c r="CJ678"/>
  <c r="CI678"/>
  <c r="CH678"/>
  <c r="CG678"/>
  <c r="CF678"/>
  <c r="CE678"/>
  <c r="CD678"/>
  <c r="CC678"/>
  <c r="CB678"/>
  <c r="CA678"/>
  <c r="BZ678"/>
  <c r="BY678"/>
  <c r="BX678"/>
  <c r="BW678"/>
  <c r="BV678"/>
  <c r="BU678"/>
  <c r="BT678"/>
  <c r="BS678"/>
  <c r="BR678"/>
  <c r="BQ678"/>
  <c r="BP678"/>
  <c r="BO678"/>
  <c r="BN678"/>
  <c r="BM678"/>
  <c r="BL678"/>
  <c r="BG678"/>
  <c r="BE678"/>
  <c r="BD678"/>
  <c r="BA678"/>
  <c r="AX678"/>
  <c r="AQ678"/>
  <c r="AJ678"/>
  <c r="AC678"/>
  <c r="W678"/>
  <c r="Q678"/>
  <c r="J678"/>
  <c r="G678"/>
  <c r="A678"/>
  <c r="CO677"/>
  <c r="CN677"/>
  <c r="CM677"/>
  <c r="CL677"/>
  <c r="CK677"/>
  <c r="CJ677"/>
  <c r="CI677"/>
  <c r="CH677"/>
  <c r="CG677"/>
  <c r="CF677"/>
  <c r="CE677"/>
  <c r="CD677"/>
  <c r="CC677"/>
  <c r="CB677"/>
  <c r="CA677"/>
  <c r="BZ677"/>
  <c r="BY677"/>
  <c r="BX677"/>
  <c r="BW677"/>
  <c r="BV677"/>
  <c r="BU677"/>
  <c r="BT677"/>
  <c r="BS677"/>
  <c r="BR677"/>
  <c r="BQ677"/>
  <c r="BP677"/>
  <c r="BO677"/>
  <c r="BN677"/>
  <c r="BM677"/>
  <c r="BL677"/>
  <c r="BG677"/>
  <c r="BE677"/>
  <c r="BD677"/>
  <c r="BA677"/>
  <c r="AX677"/>
  <c r="AQ677"/>
  <c r="AJ677"/>
  <c r="AC677"/>
  <c r="W677"/>
  <c r="Q677"/>
  <c r="J677"/>
  <c r="G677"/>
  <c r="A677"/>
  <c r="CO676"/>
  <c r="CN676"/>
  <c r="CM676"/>
  <c r="CL676"/>
  <c r="CK676"/>
  <c r="CJ676"/>
  <c r="CI676"/>
  <c r="CH676"/>
  <c r="CG676"/>
  <c r="CF676"/>
  <c r="CE676"/>
  <c r="CD676"/>
  <c r="CC676"/>
  <c r="CB676"/>
  <c r="CA676"/>
  <c r="BZ676"/>
  <c r="BY676"/>
  <c r="BX676"/>
  <c r="BW676"/>
  <c r="BV676"/>
  <c r="BU676"/>
  <c r="BT676"/>
  <c r="BS676"/>
  <c r="BR676"/>
  <c r="BQ676"/>
  <c r="BP676"/>
  <c r="BO676"/>
  <c r="BN676"/>
  <c r="BM676"/>
  <c r="BL676"/>
  <c r="BG676"/>
  <c r="BE676"/>
  <c r="BD676"/>
  <c r="BA676"/>
  <c r="AX676"/>
  <c r="AQ676"/>
  <c r="AJ676"/>
  <c r="AC676"/>
  <c r="W676"/>
  <c r="Q676"/>
  <c r="J676"/>
  <c r="G676"/>
  <c r="A676"/>
  <c r="CO675"/>
  <c r="CN675"/>
  <c r="CM675"/>
  <c r="CL675"/>
  <c r="CK675"/>
  <c r="CJ675"/>
  <c r="CI675"/>
  <c r="CH675"/>
  <c r="CG675"/>
  <c r="CF675"/>
  <c r="CE675"/>
  <c r="CD675"/>
  <c r="CC675"/>
  <c r="CB675"/>
  <c r="CA675"/>
  <c r="BZ675"/>
  <c r="BY675"/>
  <c r="BX675"/>
  <c r="BW675"/>
  <c r="BV675"/>
  <c r="BU675"/>
  <c r="BT675"/>
  <c r="BS675"/>
  <c r="BR675"/>
  <c r="BQ675"/>
  <c r="BP675"/>
  <c r="BO675"/>
  <c r="BN675"/>
  <c r="BM675"/>
  <c r="BL675"/>
  <c r="BG675"/>
  <c r="BE675"/>
  <c r="BD675"/>
  <c r="BA675"/>
  <c r="AX675"/>
  <c r="AQ675"/>
  <c r="AJ675"/>
  <c r="AC675"/>
  <c r="W675"/>
  <c r="Q675"/>
  <c r="J675"/>
  <c r="G675"/>
  <c r="A675"/>
  <c r="CK672"/>
  <c r="CJ672"/>
  <c r="CI672"/>
  <c r="CH672"/>
  <c r="CG672"/>
  <c r="CF672"/>
  <c r="CE672"/>
  <c r="CD672"/>
  <c r="CC672"/>
  <c r="CB672"/>
  <c r="CA672"/>
  <c r="BZ672"/>
  <c r="BY672"/>
  <c r="BX672"/>
  <c r="BW672"/>
  <c r="BV672"/>
  <c r="BU672"/>
  <c r="BT672"/>
  <c r="BS672"/>
  <c r="BR672"/>
  <c r="BQ672"/>
  <c r="BP672"/>
  <c r="BO672"/>
  <c r="BN672"/>
  <c r="BM672"/>
  <c r="BL672"/>
  <c r="BI672"/>
  <c r="BG672"/>
  <c r="BE672"/>
  <c r="BD672"/>
  <c r="BA672"/>
  <c r="AX672"/>
  <c r="AQ672"/>
  <c r="AJ672"/>
  <c r="AC672"/>
  <c r="W672"/>
  <c r="J672"/>
  <c r="G672"/>
  <c r="A672"/>
  <c r="CK671"/>
  <c r="CJ671"/>
  <c r="CI671"/>
  <c r="CH671"/>
  <c r="CG671"/>
  <c r="CF671"/>
  <c r="CE671"/>
  <c r="CD671"/>
  <c r="CC671"/>
  <c r="CB671"/>
  <c r="CA671"/>
  <c r="BZ671"/>
  <c r="BY671"/>
  <c r="BX671"/>
  <c r="BW671"/>
  <c r="BV671"/>
  <c r="BU671"/>
  <c r="BT671"/>
  <c r="BS671"/>
  <c r="BR671"/>
  <c r="BQ671"/>
  <c r="BP671"/>
  <c r="BO671"/>
  <c r="BN671"/>
  <c r="BM671"/>
  <c r="BL671"/>
  <c r="BI671"/>
  <c r="BG671"/>
  <c r="BE671"/>
  <c r="BD671"/>
  <c r="BA671"/>
  <c r="AX671"/>
  <c r="AQ671"/>
  <c r="AJ671"/>
  <c r="AC671"/>
  <c r="W671"/>
  <c r="Q671"/>
  <c r="J671"/>
  <c r="G671"/>
  <c r="A671"/>
  <c r="CK670"/>
  <c r="CJ670"/>
  <c r="CI670"/>
  <c r="CH670"/>
  <c r="CG670"/>
  <c r="CF670"/>
  <c r="CE670"/>
  <c r="CD670"/>
  <c r="CC670"/>
  <c r="CB670"/>
  <c r="CA670"/>
  <c r="BZ670"/>
  <c r="BY670"/>
  <c r="BX670"/>
  <c r="BW670"/>
  <c r="BV670"/>
  <c r="BU670"/>
  <c r="BT670"/>
  <c r="BS670"/>
  <c r="BR670"/>
  <c r="BQ670"/>
  <c r="BP670"/>
  <c r="BO670"/>
  <c r="BN670"/>
  <c r="BM670"/>
  <c r="BL670"/>
  <c r="BI670"/>
  <c r="BG670"/>
  <c r="BE670"/>
  <c r="BD670"/>
  <c r="BA670"/>
  <c r="AX670"/>
  <c r="AQ670"/>
  <c r="AJ670"/>
  <c r="AC670"/>
  <c r="W670"/>
  <c r="J670"/>
  <c r="G670"/>
  <c r="A670"/>
  <c r="CK669"/>
  <c r="CJ669"/>
  <c r="CI669"/>
  <c r="CH669"/>
  <c r="CG669"/>
  <c r="CF669"/>
  <c r="CE669"/>
  <c r="CD669"/>
  <c r="CC669"/>
  <c r="CB669"/>
  <c r="CA669"/>
  <c r="BZ669"/>
  <c r="BY669"/>
  <c r="BX669"/>
  <c r="BW669"/>
  <c r="BV669"/>
  <c r="BU669"/>
  <c r="BT669"/>
  <c r="BS669"/>
  <c r="BR669"/>
  <c r="BQ669"/>
  <c r="BP669"/>
  <c r="BO669"/>
  <c r="BN669"/>
  <c r="BM669"/>
  <c r="BL669"/>
  <c r="BI669"/>
  <c r="BG669"/>
  <c r="BE669"/>
  <c r="BD669"/>
  <c r="BA669"/>
  <c r="AX669"/>
  <c r="AQ669"/>
  <c r="AJ669"/>
  <c r="AC669"/>
  <c r="W669"/>
  <c r="J669"/>
  <c r="G669"/>
  <c r="A669"/>
  <c r="CI668"/>
  <c r="CH668"/>
  <c r="CG668"/>
  <c r="CF668"/>
  <c r="CE668"/>
  <c r="CD668"/>
  <c r="CC668"/>
  <c r="CB668"/>
  <c r="CA668"/>
  <c r="BZ668"/>
  <c r="BY668"/>
  <c r="BX668"/>
  <c r="BW668"/>
  <c r="BV668"/>
  <c r="BU668"/>
  <c r="BT668"/>
  <c r="BS668"/>
  <c r="BR668"/>
  <c r="BQ668"/>
  <c r="BP668"/>
  <c r="BO668"/>
  <c r="BN668"/>
  <c r="BM668"/>
  <c r="BL668"/>
  <c r="BI668"/>
  <c r="BG668"/>
  <c r="BE668"/>
  <c r="BD668"/>
  <c r="BA668"/>
  <c r="AX668"/>
  <c r="AQ668"/>
  <c r="AJ668"/>
  <c r="AC668"/>
  <c r="W668"/>
  <c r="J668"/>
  <c r="G668"/>
  <c r="A668"/>
  <c r="CK667"/>
  <c r="CJ667"/>
  <c r="CI667"/>
  <c r="CH667"/>
  <c r="CG667"/>
  <c r="CF667"/>
  <c r="CE667"/>
  <c r="CD667"/>
  <c r="CC667"/>
  <c r="CB667"/>
  <c r="CA667"/>
  <c r="BZ667"/>
  <c r="BY667"/>
  <c r="BX667"/>
  <c r="BW667"/>
  <c r="BV667"/>
  <c r="BU667"/>
  <c r="BT667"/>
  <c r="BS667"/>
  <c r="BR667"/>
  <c r="BQ667"/>
  <c r="BP667"/>
  <c r="BO667"/>
  <c r="BN667"/>
  <c r="BM667"/>
  <c r="BL667"/>
  <c r="BI667"/>
  <c r="BG667"/>
  <c r="BE667"/>
  <c r="BD667"/>
  <c r="BA667"/>
  <c r="AX667"/>
  <c r="AQ667"/>
  <c r="AJ667"/>
  <c r="AC667"/>
  <c r="W667"/>
  <c r="J667"/>
  <c r="G667"/>
  <c r="A667"/>
  <c r="CO666"/>
  <c r="CN666"/>
  <c r="CM666"/>
  <c r="CL666"/>
  <c r="CK666"/>
  <c r="CJ666"/>
  <c r="CI666"/>
  <c r="CH666"/>
  <c r="CG666"/>
  <c r="CF666"/>
  <c r="CE666"/>
  <c r="CD666"/>
  <c r="CC666"/>
  <c r="CB666"/>
  <c r="CA666"/>
  <c r="BZ666"/>
  <c r="BY666"/>
  <c r="BX666"/>
  <c r="BW666"/>
  <c r="BV666"/>
  <c r="BU666"/>
  <c r="BT666"/>
  <c r="BS666"/>
  <c r="BR666"/>
  <c r="BQ666"/>
  <c r="BP666"/>
  <c r="BO666"/>
  <c r="BN666"/>
  <c r="BM666"/>
  <c r="BL666"/>
  <c r="BG666"/>
  <c r="BE666"/>
  <c r="BD666"/>
  <c r="BA666"/>
  <c r="AX666"/>
  <c r="AQ666"/>
  <c r="AJ666"/>
  <c r="AC666"/>
  <c r="W666"/>
  <c r="J666"/>
  <c r="G666"/>
  <c r="A666"/>
  <c r="CO665"/>
  <c r="CN665"/>
  <c r="CM665"/>
  <c r="CL665"/>
  <c r="CK665"/>
  <c r="CJ665"/>
  <c r="CI665"/>
  <c r="CH665"/>
  <c r="CG665"/>
  <c r="CF665"/>
  <c r="CE665"/>
  <c r="CD665"/>
  <c r="CC665"/>
  <c r="CB665"/>
  <c r="CA665"/>
  <c r="BZ665"/>
  <c r="BY665"/>
  <c r="BX665"/>
  <c r="BW665"/>
  <c r="BV665"/>
  <c r="BU665"/>
  <c r="BT665"/>
  <c r="BS665"/>
  <c r="BR665"/>
  <c r="BQ665"/>
  <c r="BP665"/>
  <c r="BO665"/>
  <c r="BN665"/>
  <c r="BM665"/>
  <c r="BL665"/>
  <c r="BG665"/>
  <c r="BE665"/>
  <c r="BD665"/>
  <c r="BA665"/>
  <c r="AX665"/>
  <c r="AQ665"/>
  <c r="AJ665"/>
  <c r="AC665"/>
  <c r="W665"/>
  <c r="J665"/>
  <c r="G665"/>
  <c r="A665"/>
  <c r="CM664"/>
  <c r="CL664"/>
  <c r="CK664"/>
  <c r="CJ664"/>
  <c r="CI664"/>
  <c r="CH664"/>
  <c r="CG664"/>
  <c r="CF664"/>
  <c r="CE664"/>
  <c r="CD664"/>
  <c r="CC664"/>
  <c r="CB664"/>
  <c r="CA664"/>
  <c r="BZ664"/>
  <c r="BY664"/>
  <c r="BX664"/>
  <c r="BW664"/>
  <c r="BV664"/>
  <c r="BU664"/>
  <c r="BT664"/>
  <c r="BS664"/>
  <c r="BR664"/>
  <c r="BQ664"/>
  <c r="BP664"/>
  <c r="BO664"/>
  <c r="BN664"/>
  <c r="BM664"/>
  <c r="BL664"/>
  <c r="BI664"/>
  <c r="BG664"/>
  <c r="BE664"/>
  <c r="BD664"/>
  <c r="BA664"/>
  <c r="AX664"/>
  <c r="AQ664"/>
  <c r="AJ664"/>
  <c r="AC664"/>
  <c r="W664"/>
  <c r="J664"/>
  <c r="G664"/>
  <c r="A664"/>
  <c r="CK663"/>
  <c r="CJ663"/>
  <c r="CI663"/>
  <c r="CH663"/>
  <c r="CG663"/>
  <c r="CF663"/>
  <c r="CE663"/>
  <c r="CD663"/>
  <c r="CC663"/>
  <c r="CB663"/>
  <c r="CA663"/>
  <c r="BZ663"/>
  <c r="BY663"/>
  <c r="BX663"/>
  <c r="BW663"/>
  <c r="BV663"/>
  <c r="BU663"/>
  <c r="BT663"/>
  <c r="BS663"/>
  <c r="BR663"/>
  <c r="BQ663"/>
  <c r="BP663"/>
  <c r="BO663"/>
  <c r="BN663"/>
  <c r="BM663"/>
  <c r="BL663"/>
  <c r="BI663"/>
  <c r="BG663"/>
  <c r="BE663"/>
  <c r="BD663"/>
  <c r="BA663"/>
  <c r="AX663"/>
  <c r="AQ663"/>
  <c r="AJ663"/>
  <c r="AC663"/>
  <c r="W663"/>
  <c r="J663"/>
  <c r="G663"/>
  <c r="A663"/>
  <c r="CK662"/>
  <c r="CJ662"/>
  <c r="CI662"/>
  <c r="CH662"/>
  <c r="CG662"/>
  <c r="CF662"/>
  <c r="CE662"/>
  <c r="CD662"/>
  <c r="CC662"/>
  <c r="CB662"/>
  <c r="CA662"/>
  <c r="BZ662"/>
  <c r="BY662"/>
  <c r="BX662"/>
  <c r="BW662"/>
  <c r="BV662"/>
  <c r="BU662"/>
  <c r="BT662"/>
  <c r="BS662"/>
  <c r="BR662"/>
  <c r="BQ662"/>
  <c r="BP662"/>
  <c r="BO662"/>
  <c r="BN662"/>
  <c r="BM662"/>
  <c r="BL662"/>
  <c r="BI662"/>
  <c r="BG662"/>
  <c r="BE662"/>
  <c r="BD662"/>
  <c r="BA662"/>
  <c r="AX662"/>
  <c r="AQ662"/>
  <c r="AJ662"/>
  <c r="AC662"/>
  <c r="W662"/>
  <c r="J662"/>
  <c r="G662"/>
  <c r="A662"/>
  <c r="CO661"/>
  <c r="CN661"/>
  <c r="CM661"/>
  <c r="CL661"/>
  <c r="CK661"/>
  <c r="CJ661"/>
  <c r="CI661"/>
  <c r="CH661"/>
  <c r="CG661"/>
  <c r="CF661"/>
  <c r="CE661"/>
  <c r="CD661"/>
  <c r="CC661"/>
  <c r="CB661"/>
  <c r="CA661"/>
  <c r="BZ661"/>
  <c r="BY661"/>
  <c r="BX661"/>
  <c r="BW661"/>
  <c r="BV661"/>
  <c r="BU661"/>
  <c r="BT661"/>
  <c r="BS661"/>
  <c r="BR661"/>
  <c r="BQ661"/>
  <c r="BP661"/>
  <c r="BO661"/>
  <c r="BN661"/>
  <c r="BM661"/>
  <c r="BL661"/>
  <c r="BI661"/>
  <c r="BG661"/>
  <c r="BE661"/>
  <c r="BD661"/>
  <c r="BA661"/>
  <c r="AX661"/>
  <c r="AQ661"/>
  <c r="AJ661"/>
  <c r="AC661"/>
  <c r="W661"/>
  <c r="J661"/>
  <c r="G661"/>
  <c r="A661"/>
  <c r="CO660"/>
  <c r="CN660"/>
  <c r="CM660"/>
  <c r="CL660"/>
  <c r="CK660"/>
  <c r="CJ660"/>
  <c r="CI660"/>
  <c r="CH660"/>
  <c r="CG660"/>
  <c r="CF660"/>
  <c r="CE660"/>
  <c r="CD660"/>
  <c r="CC660"/>
  <c r="CB660"/>
  <c r="CA660"/>
  <c r="BZ660"/>
  <c r="BY660"/>
  <c r="BX660"/>
  <c r="BW660"/>
  <c r="BV660"/>
  <c r="BU660"/>
  <c r="BT660"/>
  <c r="BS660"/>
  <c r="BR660"/>
  <c r="BQ660"/>
  <c r="BP660"/>
  <c r="BO660"/>
  <c r="BN660"/>
  <c r="BM660"/>
  <c r="BL660"/>
  <c r="BG660"/>
  <c r="BE660"/>
  <c r="BD660"/>
  <c r="BA660"/>
  <c r="AX660"/>
  <c r="AQ660"/>
  <c r="AJ660"/>
  <c r="AC660"/>
  <c r="W660"/>
  <c r="J660"/>
  <c r="G660"/>
  <c r="A660"/>
  <c r="CO659"/>
  <c r="CN659"/>
  <c r="CM659"/>
  <c r="CL659"/>
  <c r="CK659"/>
  <c r="CJ659"/>
  <c r="CI659"/>
  <c r="CH659"/>
  <c r="CG659"/>
  <c r="CF659"/>
  <c r="CE659"/>
  <c r="CD659"/>
  <c r="CC659"/>
  <c r="CB659"/>
  <c r="CA659"/>
  <c r="BZ659"/>
  <c r="BY659"/>
  <c r="BX659"/>
  <c r="BW659"/>
  <c r="BV659"/>
  <c r="BU659"/>
  <c r="BT659"/>
  <c r="BS659"/>
  <c r="BR659"/>
  <c r="BQ659"/>
  <c r="BP659"/>
  <c r="BO659"/>
  <c r="BN659"/>
  <c r="BM659"/>
  <c r="BL659"/>
  <c r="BI659"/>
  <c r="BG659"/>
  <c r="BE659"/>
  <c r="BD659"/>
  <c r="BA659"/>
  <c r="AX659"/>
  <c r="AQ659"/>
  <c r="AJ659"/>
  <c r="AC659"/>
  <c r="W659"/>
  <c r="J659"/>
  <c r="G659"/>
  <c r="A659"/>
  <c r="CO658"/>
  <c r="CN658"/>
  <c r="CM658"/>
  <c r="CL658"/>
  <c r="CK658"/>
  <c r="CJ658"/>
  <c r="CI658"/>
  <c r="CH658"/>
  <c r="CG658"/>
  <c r="CF658"/>
  <c r="CE658"/>
  <c r="CD658"/>
  <c r="CC658"/>
  <c r="CB658"/>
  <c r="CA658"/>
  <c r="BZ658"/>
  <c r="BY658"/>
  <c r="BX658"/>
  <c r="BW658"/>
  <c r="BV658"/>
  <c r="BU658"/>
  <c r="BT658"/>
  <c r="BS658"/>
  <c r="BR658"/>
  <c r="BQ658"/>
  <c r="BP658"/>
  <c r="BO658"/>
  <c r="BN658"/>
  <c r="BM658"/>
  <c r="BL658"/>
  <c r="BI658"/>
  <c r="BG658"/>
  <c r="BE658"/>
  <c r="BD658"/>
  <c r="BA658"/>
  <c r="AX658"/>
  <c r="AQ658"/>
  <c r="AJ658"/>
  <c r="AC658"/>
  <c r="W658"/>
  <c r="J658"/>
  <c r="G658"/>
  <c r="A658"/>
  <c r="CO657"/>
  <c r="CN657"/>
  <c r="CM657"/>
  <c r="CL657"/>
  <c r="CK657"/>
  <c r="CJ657"/>
  <c r="CI657"/>
  <c r="CH657"/>
  <c r="CG657"/>
  <c r="CF657"/>
  <c r="CE657"/>
  <c r="CD657"/>
  <c r="CC657"/>
  <c r="CB657"/>
  <c r="CA657"/>
  <c r="BZ657"/>
  <c r="BY657"/>
  <c r="BX657"/>
  <c r="BW657"/>
  <c r="BV657"/>
  <c r="BU657"/>
  <c r="BT657"/>
  <c r="BS657"/>
  <c r="BR657"/>
  <c r="BQ657"/>
  <c r="BP657"/>
  <c r="BO657"/>
  <c r="BN657"/>
  <c r="BM657"/>
  <c r="BL657"/>
  <c r="BI657"/>
  <c r="BG657"/>
  <c r="BE657"/>
  <c r="BD657"/>
  <c r="BA657"/>
  <c r="AX657"/>
  <c r="AQ657"/>
  <c r="AJ657"/>
  <c r="AC657"/>
  <c r="W657"/>
  <c r="J657"/>
  <c r="G657"/>
  <c r="A657"/>
  <c r="CK655"/>
  <c r="CJ655"/>
  <c r="CI655"/>
  <c r="CH655"/>
  <c r="CG655"/>
  <c r="CF655"/>
  <c r="CE655"/>
  <c r="CD655"/>
  <c r="CC655"/>
  <c r="CB655"/>
  <c r="CA655"/>
  <c r="BZ655"/>
  <c r="BY655"/>
  <c r="BX655"/>
  <c r="BW655"/>
  <c r="BV655"/>
  <c r="BU655"/>
  <c r="BT655"/>
  <c r="BS655"/>
  <c r="BR655"/>
  <c r="BQ655"/>
  <c r="BP655"/>
  <c r="BO655"/>
  <c r="BN655"/>
  <c r="BM655"/>
  <c r="BL655"/>
  <c r="W655"/>
  <c r="Q655"/>
  <c r="J655"/>
  <c r="G655"/>
  <c r="A655"/>
  <c r="CK654"/>
  <c r="CJ654"/>
  <c r="CI654"/>
  <c r="CH654"/>
  <c r="CG654"/>
  <c r="CF654"/>
  <c r="CE654"/>
  <c r="CD654"/>
  <c r="CC654"/>
  <c r="CB654"/>
  <c r="CA654"/>
  <c r="BZ654"/>
  <c r="BY654"/>
  <c r="BX654"/>
  <c r="BW654"/>
  <c r="BV654"/>
  <c r="BU654"/>
  <c r="BT654"/>
  <c r="BS654"/>
  <c r="BR654"/>
  <c r="BQ654"/>
  <c r="BP654"/>
  <c r="BO654"/>
  <c r="BN654"/>
  <c r="BM654"/>
  <c r="BL654"/>
  <c r="BG654"/>
  <c r="BE654"/>
  <c r="BD654"/>
  <c r="BA654"/>
  <c r="AX654"/>
  <c r="AQ654"/>
  <c r="AJ654"/>
  <c r="AC654"/>
  <c r="W654"/>
  <c r="Q654"/>
  <c r="J654"/>
  <c r="G654"/>
  <c r="A654"/>
  <c r="CI653"/>
  <c r="CH653"/>
  <c r="CG653"/>
  <c r="CF653"/>
  <c r="CE653"/>
  <c r="CD653"/>
  <c r="CC653"/>
  <c r="CB653"/>
  <c r="CA653"/>
  <c r="BZ653"/>
  <c r="BY653"/>
  <c r="BX653"/>
  <c r="BW653"/>
  <c r="BV653"/>
  <c r="BU653"/>
  <c r="BT653"/>
  <c r="BS653"/>
  <c r="BR653"/>
  <c r="BQ653"/>
  <c r="BP653"/>
  <c r="BO653"/>
  <c r="BN653"/>
  <c r="BM653"/>
  <c r="BL653"/>
  <c r="BG653"/>
  <c r="BE653"/>
  <c r="BD653"/>
  <c r="BA653"/>
  <c r="AX653"/>
  <c r="AQ653"/>
  <c r="AJ653"/>
  <c r="AC653"/>
  <c r="W653"/>
  <c r="J653"/>
  <c r="G653"/>
  <c r="A653"/>
  <c r="CI652"/>
  <c r="CH652"/>
  <c r="CG652"/>
  <c r="CF652"/>
  <c r="CE652"/>
  <c r="CD652"/>
  <c r="CC652"/>
  <c r="CB652"/>
  <c r="CA652"/>
  <c r="BZ652"/>
  <c r="BY652"/>
  <c r="BX652"/>
  <c r="BW652"/>
  <c r="BV652"/>
  <c r="BU652"/>
  <c r="BT652"/>
  <c r="BS652"/>
  <c r="BR652"/>
  <c r="BQ652"/>
  <c r="BP652"/>
  <c r="BO652"/>
  <c r="BN652"/>
  <c r="BM652"/>
  <c r="BL652"/>
  <c r="BG652"/>
  <c r="BE652"/>
  <c r="BD652"/>
  <c r="BA652"/>
  <c r="AX652"/>
  <c r="AQ652"/>
  <c r="AJ652"/>
  <c r="AC652"/>
  <c r="W652"/>
  <c r="J652"/>
  <c r="G652"/>
  <c r="A652"/>
  <c r="CI651"/>
  <c r="CH651"/>
  <c r="CG651"/>
  <c r="CF651"/>
  <c r="CE651"/>
  <c r="CD651"/>
  <c r="CC651"/>
  <c r="CB651"/>
  <c r="CA651"/>
  <c r="BZ651"/>
  <c r="BY651"/>
  <c r="BX651"/>
  <c r="BW651"/>
  <c r="BV651"/>
  <c r="BU651"/>
  <c r="BT651"/>
  <c r="BS651"/>
  <c r="BR651"/>
  <c r="BQ651"/>
  <c r="BP651"/>
  <c r="BO651"/>
  <c r="BN651"/>
  <c r="BM651"/>
  <c r="BL651"/>
  <c r="BG651"/>
  <c r="BE651"/>
  <c r="BD651"/>
  <c r="BA651"/>
  <c r="AX651"/>
  <c r="AQ651"/>
  <c r="AJ651"/>
  <c r="AC651"/>
  <c r="W651"/>
  <c r="Q651"/>
  <c r="J651"/>
  <c r="G651"/>
  <c r="A651"/>
  <c r="CI650"/>
  <c r="CH650"/>
  <c r="CG650"/>
  <c r="CF650"/>
  <c r="CE650"/>
  <c r="CD650"/>
  <c r="CC650"/>
  <c r="CB650"/>
  <c r="CA650"/>
  <c r="BZ650"/>
  <c r="BY650"/>
  <c r="BX650"/>
  <c r="BW650"/>
  <c r="BV650"/>
  <c r="BU650"/>
  <c r="BT650"/>
  <c r="BS650"/>
  <c r="BR650"/>
  <c r="BQ650"/>
  <c r="BP650"/>
  <c r="BO650"/>
  <c r="BN650"/>
  <c r="BM650"/>
  <c r="BL650"/>
  <c r="BG650"/>
  <c r="BE650"/>
  <c r="BD650"/>
  <c r="BA650"/>
  <c r="AX650"/>
  <c r="AQ650"/>
  <c r="AJ650"/>
  <c r="AC650"/>
  <c r="W650"/>
  <c r="J650"/>
  <c r="G650"/>
  <c r="A650"/>
  <c r="CM649"/>
  <c r="CL649"/>
  <c r="CK649"/>
  <c r="CJ649"/>
  <c r="CI649"/>
  <c r="CH649"/>
  <c r="CG649"/>
  <c r="CF649"/>
  <c r="CE649"/>
  <c r="CD649"/>
  <c r="CC649"/>
  <c r="CB649"/>
  <c r="CA649"/>
  <c r="BZ649"/>
  <c r="BY649"/>
  <c r="BX649"/>
  <c r="BW649"/>
  <c r="BV649"/>
  <c r="BU649"/>
  <c r="BT649"/>
  <c r="BS649"/>
  <c r="BR649"/>
  <c r="BQ649"/>
  <c r="BP649"/>
  <c r="BO649"/>
  <c r="BN649"/>
  <c r="BM649"/>
  <c r="BL649"/>
  <c r="BG649"/>
  <c r="BE649"/>
  <c r="BD649"/>
  <c r="BA649"/>
  <c r="AX649"/>
  <c r="AQ649"/>
  <c r="AJ649"/>
  <c r="AC649"/>
  <c r="W649"/>
  <c r="J649"/>
  <c r="G649"/>
  <c r="A649"/>
  <c r="CM648"/>
  <c r="CL648"/>
  <c r="CK648"/>
  <c r="CJ648"/>
  <c r="CI648"/>
  <c r="CH648"/>
  <c r="CG648"/>
  <c r="CF648"/>
  <c r="CE648"/>
  <c r="CD648"/>
  <c r="CC648"/>
  <c r="CB648"/>
  <c r="CA648"/>
  <c r="BZ648"/>
  <c r="BY648"/>
  <c r="BX648"/>
  <c r="BW648"/>
  <c r="BV648"/>
  <c r="BU648"/>
  <c r="BT648"/>
  <c r="BS648"/>
  <c r="BR648"/>
  <c r="BQ648"/>
  <c r="BP648"/>
  <c r="BO648"/>
  <c r="BN648"/>
  <c r="BM648"/>
  <c r="BL648"/>
  <c r="BG648"/>
  <c r="BE648"/>
  <c r="BD648"/>
  <c r="BA648"/>
  <c r="AX648"/>
  <c r="AQ648"/>
  <c r="AJ648"/>
  <c r="AC648"/>
  <c r="W648"/>
  <c r="J648"/>
  <c r="G648"/>
  <c r="A648"/>
  <c r="CM647"/>
  <c r="CL647"/>
  <c r="CK647"/>
  <c r="CJ647"/>
  <c r="CI647"/>
  <c r="CH647"/>
  <c r="CG647"/>
  <c r="CF647"/>
  <c r="CE647"/>
  <c r="CD647"/>
  <c r="CC647"/>
  <c r="CB647"/>
  <c r="CA647"/>
  <c r="BZ647"/>
  <c r="BY647"/>
  <c r="BX647"/>
  <c r="BW647"/>
  <c r="BV647"/>
  <c r="BU647"/>
  <c r="BT647"/>
  <c r="BS647"/>
  <c r="BR647"/>
  <c r="BQ647"/>
  <c r="BP647"/>
  <c r="BO647"/>
  <c r="BN647"/>
  <c r="BM647"/>
  <c r="BL647"/>
  <c r="BG647"/>
  <c r="BE647"/>
  <c r="BD647"/>
  <c r="BA647"/>
  <c r="AX647"/>
  <c r="AQ647"/>
  <c r="AJ647"/>
  <c r="AC647"/>
  <c r="W647"/>
  <c r="J647"/>
  <c r="G647"/>
  <c r="A647"/>
  <c r="CM646"/>
  <c r="CL646"/>
  <c r="CK646"/>
  <c r="CJ646"/>
  <c r="CI646"/>
  <c r="CH646"/>
  <c r="CG646"/>
  <c r="CF646"/>
  <c r="CE646"/>
  <c r="CD646"/>
  <c r="CC646"/>
  <c r="CB646"/>
  <c r="CA646"/>
  <c r="BZ646"/>
  <c r="BY646"/>
  <c r="BX646"/>
  <c r="BW646"/>
  <c r="BV646"/>
  <c r="BU646"/>
  <c r="BT646"/>
  <c r="BS646"/>
  <c r="BR646"/>
  <c r="BQ646"/>
  <c r="BP646"/>
  <c r="BO646"/>
  <c r="BN646"/>
  <c r="BM646"/>
  <c r="BL646"/>
  <c r="BG646"/>
  <c r="BE646"/>
  <c r="BD646"/>
  <c r="BA646"/>
  <c r="AX646"/>
  <c r="AQ646"/>
  <c r="AJ646"/>
  <c r="AC646"/>
  <c r="W646"/>
  <c r="J646"/>
  <c r="G646"/>
  <c r="A646"/>
  <c r="CK645"/>
  <c r="CJ645"/>
  <c r="CI645"/>
  <c r="CH645"/>
  <c r="CG645"/>
  <c r="CF645"/>
  <c r="CE645"/>
  <c r="CD645"/>
  <c r="CC645"/>
  <c r="CB645"/>
  <c r="CA645"/>
  <c r="BZ645"/>
  <c r="BY645"/>
  <c r="BX645"/>
  <c r="BW645"/>
  <c r="BV645"/>
  <c r="BU645"/>
  <c r="BT645"/>
  <c r="BS645"/>
  <c r="BR645"/>
  <c r="BQ645"/>
  <c r="BP645"/>
  <c r="BO645"/>
  <c r="BN645"/>
  <c r="BM645"/>
  <c r="BL645"/>
  <c r="BG645"/>
  <c r="BE645"/>
  <c r="BD645"/>
  <c r="BA645"/>
  <c r="AX645"/>
  <c r="AQ645"/>
  <c r="AJ645"/>
  <c r="AC645"/>
  <c r="W645"/>
  <c r="J645"/>
  <c r="G645"/>
  <c r="A645"/>
  <c r="CI644"/>
  <c r="CH644"/>
  <c r="CG644"/>
  <c r="CF644"/>
  <c r="CE644"/>
  <c r="CD644"/>
  <c r="CC644"/>
  <c r="CB644"/>
  <c r="CA644"/>
  <c r="BZ644"/>
  <c r="BY644"/>
  <c r="BX644"/>
  <c r="BW644"/>
  <c r="BV644"/>
  <c r="BU644"/>
  <c r="BT644"/>
  <c r="BS644"/>
  <c r="BR644"/>
  <c r="BQ644"/>
  <c r="BP644"/>
  <c r="BO644"/>
  <c r="BN644"/>
  <c r="BM644"/>
  <c r="BL644"/>
  <c r="BG644"/>
  <c r="BE644"/>
  <c r="BD644"/>
  <c r="BA644"/>
  <c r="AX644"/>
  <c r="AQ644"/>
  <c r="AJ644"/>
  <c r="AC644"/>
  <c r="W644"/>
  <c r="J644"/>
  <c r="G644"/>
  <c r="A644"/>
  <c r="CK643"/>
  <c r="CJ643"/>
  <c r="CI643"/>
  <c r="CH643"/>
  <c r="CG643"/>
  <c r="CF643"/>
  <c r="CE643"/>
  <c r="CD643"/>
  <c r="CC643"/>
  <c r="CB643"/>
  <c r="CA643"/>
  <c r="BZ643"/>
  <c r="BY643"/>
  <c r="BX643"/>
  <c r="BW643"/>
  <c r="BV643"/>
  <c r="BU643"/>
  <c r="BT643"/>
  <c r="BS643"/>
  <c r="BR643"/>
  <c r="BQ643"/>
  <c r="BP643"/>
  <c r="BO643"/>
  <c r="BN643"/>
  <c r="BM643"/>
  <c r="BL643"/>
  <c r="BG643"/>
  <c r="BE643"/>
  <c r="BD643"/>
  <c r="BA643"/>
  <c r="AX643"/>
  <c r="AQ643"/>
  <c r="AJ643"/>
  <c r="AC643"/>
  <c r="W643"/>
  <c r="J643"/>
  <c r="G643"/>
  <c r="A643"/>
  <c r="CO642"/>
  <c r="CN642"/>
  <c r="CM642"/>
  <c r="CL642"/>
  <c r="CK642"/>
  <c r="CJ642"/>
  <c r="CI642"/>
  <c r="CH642"/>
  <c r="CG642"/>
  <c r="CF642"/>
  <c r="CE642"/>
  <c r="CD642"/>
  <c r="CC642"/>
  <c r="CB642"/>
  <c r="CA642"/>
  <c r="BZ642"/>
  <c r="BY642"/>
  <c r="BX642"/>
  <c r="BW642"/>
  <c r="BV642"/>
  <c r="BU642"/>
  <c r="BT642"/>
  <c r="BS642"/>
  <c r="BR642"/>
  <c r="BQ642"/>
  <c r="BP642"/>
  <c r="BO642"/>
  <c r="BN642"/>
  <c r="BM642"/>
  <c r="BL642"/>
  <c r="BG642"/>
  <c r="BE642"/>
  <c r="BD642"/>
  <c r="BA642"/>
  <c r="AX642"/>
  <c r="AQ642"/>
  <c r="AJ642"/>
  <c r="AC642"/>
  <c r="W642"/>
  <c r="J642"/>
  <c r="G642"/>
  <c r="A642"/>
  <c r="CO641"/>
  <c r="CN641"/>
  <c r="CM641"/>
  <c r="CL641"/>
  <c r="CK641"/>
  <c r="CJ641"/>
  <c r="CI641"/>
  <c r="CH641"/>
  <c r="CG641"/>
  <c r="CF641"/>
  <c r="CE641"/>
  <c r="CD641"/>
  <c r="CC641"/>
  <c r="CB641"/>
  <c r="CA641"/>
  <c r="BZ641"/>
  <c r="BY641"/>
  <c r="BX641"/>
  <c r="BW641"/>
  <c r="BV641"/>
  <c r="BU641"/>
  <c r="BT641"/>
  <c r="BS641"/>
  <c r="BR641"/>
  <c r="BQ641"/>
  <c r="BP641"/>
  <c r="BO641"/>
  <c r="BN641"/>
  <c r="BM641"/>
  <c r="BL641"/>
  <c r="BG641"/>
  <c r="BE641"/>
  <c r="BD641"/>
  <c r="BA641"/>
  <c r="AX641"/>
  <c r="AQ641"/>
  <c r="AJ641"/>
  <c r="AC641"/>
  <c r="W641"/>
  <c r="J641"/>
  <c r="G641"/>
  <c r="A641"/>
  <c r="CO640"/>
  <c r="CN640"/>
  <c r="CM640"/>
  <c r="CL640"/>
  <c r="CK640"/>
  <c r="CJ640"/>
  <c r="CI640"/>
  <c r="CH640"/>
  <c r="CG640"/>
  <c r="CF640"/>
  <c r="CE640"/>
  <c r="CD640"/>
  <c r="CC640"/>
  <c r="CB640"/>
  <c r="CA640"/>
  <c r="BZ640"/>
  <c r="BY640"/>
  <c r="BX640"/>
  <c r="BW640"/>
  <c r="BV640"/>
  <c r="BU640"/>
  <c r="BT640"/>
  <c r="BS640"/>
  <c r="BR640"/>
  <c r="BQ640"/>
  <c r="BP640"/>
  <c r="BO640"/>
  <c r="BN640"/>
  <c r="BM640"/>
  <c r="BL640"/>
  <c r="BG640"/>
  <c r="BE640"/>
  <c r="BD640"/>
  <c r="BA640"/>
  <c r="AX640"/>
  <c r="AQ640"/>
  <c r="AJ640"/>
  <c r="AC640"/>
  <c r="W640"/>
  <c r="J640"/>
  <c r="G640"/>
  <c r="A640"/>
  <c r="CO639"/>
  <c r="CN639"/>
  <c r="CM639"/>
  <c r="CL639"/>
  <c r="CK639"/>
  <c r="CJ639"/>
  <c r="CI639"/>
  <c r="CH639"/>
  <c r="CG639"/>
  <c r="CF639"/>
  <c r="CE639"/>
  <c r="CD639"/>
  <c r="CC639"/>
  <c r="CB639"/>
  <c r="CA639"/>
  <c r="BZ639"/>
  <c r="BY639"/>
  <c r="BX639"/>
  <c r="BW639"/>
  <c r="BV639"/>
  <c r="BU639"/>
  <c r="BT639"/>
  <c r="BS639"/>
  <c r="BR639"/>
  <c r="BQ639"/>
  <c r="BP639"/>
  <c r="BO639"/>
  <c r="BN639"/>
  <c r="BM639"/>
  <c r="BL639"/>
  <c r="BG639"/>
  <c r="BE639"/>
  <c r="BD639"/>
  <c r="BA639"/>
  <c r="AX639"/>
  <c r="AQ639"/>
  <c r="AJ639"/>
  <c r="AC639"/>
  <c r="W639"/>
  <c r="J639"/>
  <c r="G639"/>
  <c r="A639"/>
  <c r="CO638"/>
  <c r="CN638"/>
  <c r="CM638"/>
  <c r="CL638"/>
  <c r="CK638"/>
  <c r="CJ638"/>
  <c r="CI638"/>
  <c r="CH638"/>
  <c r="CG638"/>
  <c r="CF638"/>
  <c r="CE638"/>
  <c r="CD638"/>
  <c r="CC638"/>
  <c r="CB638"/>
  <c r="CA638"/>
  <c r="BZ638"/>
  <c r="BY638"/>
  <c r="BX638"/>
  <c r="BW638"/>
  <c r="BV638"/>
  <c r="BU638"/>
  <c r="BT638"/>
  <c r="BS638"/>
  <c r="BR638"/>
  <c r="BQ638"/>
  <c r="BP638"/>
  <c r="BO638"/>
  <c r="BN638"/>
  <c r="BM638"/>
  <c r="BL638"/>
  <c r="BG638"/>
  <c r="BE638"/>
  <c r="BD638"/>
  <c r="BA638"/>
  <c r="AX638"/>
  <c r="AQ638"/>
  <c r="AJ638"/>
  <c r="AC638"/>
  <c r="W638"/>
  <c r="J638"/>
  <c r="G638"/>
  <c r="A638"/>
  <c r="CO637"/>
  <c r="CN637"/>
  <c r="CM637"/>
  <c r="CL637"/>
  <c r="CK637"/>
  <c r="CJ637"/>
  <c r="CI637"/>
  <c r="CH637"/>
  <c r="CG637"/>
  <c r="CF637"/>
  <c r="CE637"/>
  <c r="CD637"/>
  <c r="CC637"/>
  <c r="CB637"/>
  <c r="CA637"/>
  <c r="BZ637"/>
  <c r="BY637"/>
  <c r="BX637"/>
  <c r="BW637"/>
  <c r="BV637"/>
  <c r="BU637"/>
  <c r="BT637"/>
  <c r="BS637"/>
  <c r="BR637"/>
  <c r="BQ637"/>
  <c r="BP637"/>
  <c r="BO637"/>
  <c r="BN637"/>
  <c r="BM637"/>
  <c r="BL637"/>
  <c r="BG637"/>
  <c r="BE637"/>
  <c r="BD637"/>
  <c r="BA637"/>
  <c r="AX637"/>
  <c r="AQ637"/>
  <c r="AJ637"/>
  <c r="AC637"/>
  <c r="W637"/>
  <c r="J637"/>
  <c r="G637"/>
  <c r="A637"/>
  <c r="CK635"/>
  <c r="CJ635"/>
  <c r="CI635"/>
  <c r="CH635"/>
  <c r="CG635"/>
  <c r="CF635"/>
  <c r="CE635"/>
  <c r="CD635"/>
  <c r="CC635"/>
  <c r="CB635"/>
  <c r="CA635"/>
  <c r="BZ635"/>
  <c r="BY635"/>
  <c r="BX635"/>
  <c r="BW635"/>
  <c r="BV635"/>
  <c r="BU635"/>
  <c r="BT635"/>
  <c r="BS635"/>
  <c r="BR635"/>
  <c r="BQ635"/>
  <c r="BP635"/>
  <c r="BO635"/>
  <c r="BN635"/>
  <c r="BM635"/>
  <c r="BL635"/>
  <c r="BI635"/>
  <c r="BG635"/>
  <c r="BE635"/>
  <c r="BD635"/>
  <c r="BA635"/>
  <c r="AX635"/>
  <c r="AQ635"/>
  <c r="AJ635"/>
  <c r="AC635"/>
  <c r="W635"/>
  <c r="Q635"/>
  <c r="J635"/>
  <c r="G635"/>
  <c r="A635"/>
  <c r="CK634"/>
  <c r="CJ634"/>
  <c r="CI634"/>
  <c r="CH634"/>
  <c r="CG634"/>
  <c r="CF634"/>
  <c r="CE634"/>
  <c r="CD634"/>
  <c r="CC634"/>
  <c r="CB634"/>
  <c r="CA634"/>
  <c r="BZ634"/>
  <c r="BY634"/>
  <c r="BX634"/>
  <c r="BW634"/>
  <c r="BV634"/>
  <c r="BU634"/>
  <c r="BT634"/>
  <c r="BS634"/>
  <c r="BR634"/>
  <c r="BQ634"/>
  <c r="BP634"/>
  <c r="BO634"/>
  <c r="BN634"/>
  <c r="BM634"/>
  <c r="BL634"/>
  <c r="BI634"/>
  <c r="BG634"/>
  <c r="BE634"/>
  <c r="BD634"/>
  <c r="BA634"/>
  <c r="AX634"/>
  <c r="AQ634"/>
  <c r="AJ634"/>
  <c r="AC634"/>
  <c r="W634"/>
  <c r="Q634"/>
  <c r="J634"/>
  <c r="G634"/>
  <c r="A634"/>
  <c r="CG633"/>
  <c r="CF633"/>
  <c r="CE633"/>
  <c r="CD633"/>
  <c r="CC633"/>
  <c r="CB633"/>
  <c r="CA633"/>
  <c r="BZ633"/>
  <c r="BY633"/>
  <c r="BX633"/>
  <c r="BW633"/>
  <c r="BV633"/>
  <c r="BU633"/>
  <c r="BT633"/>
  <c r="BS633"/>
  <c r="BR633"/>
  <c r="BQ633"/>
  <c r="BP633"/>
  <c r="BO633"/>
  <c r="BN633"/>
  <c r="BM633"/>
  <c r="BL633"/>
  <c r="BI633"/>
  <c r="BG633"/>
  <c r="BE633"/>
  <c r="BD633"/>
  <c r="BA633"/>
  <c r="AX633"/>
  <c r="AQ633"/>
  <c r="AJ633"/>
  <c r="AC633"/>
  <c r="W633"/>
  <c r="J633"/>
  <c r="G633"/>
  <c r="A633"/>
  <c r="CG632"/>
  <c r="CF632"/>
  <c r="CE632"/>
  <c r="CD632"/>
  <c r="CC632"/>
  <c r="CB632"/>
  <c r="CA632"/>
  <c r="BZ632"/>
  <c r="BY632"/>
  <c r="BX632"/>
  <c r="BW632"/>
  <c r="BV632"/>
  <c r="BU632"/>
  <c r="BT632"/>
  <c r="BS632"/>
  <c r="BR632"/>
  <c r="BQ632"/>
  <c r="BP632"/>
  <c r="BO632"/>
  <c r="BN632"/>
  <c r="BM632"/>
  <c r="BL632"/>
  <c r="BG632"/>
  <c r="BE632"/>
  <c r="BD632"/>
  <c r="BA632"/>
  <c r="AX632"/>
  <c r="AQ632"/>
  <c r="AJ632"/>
  <c r="AC632"/>
  <c r="W632"/>
  <c r="J632"/>
  <c r="G632"/>
  <c r="A632"/>
  <c r="CI631"/>
  <c r="CH631"/>
  <c r="CG631"/>
  <c r="CF631"/>
  <c r="CE631"/>
  <c r="CD631"/>
  <c r="CC631"/>
  <c r="CB631"/>
  <c r="CA631"/>
  <c r="BZ631"/>
  <c r="BY631"/>
  <c r="BX631"/>
  <c r="BW631"/>
  <c r="BV631"/>
  <c r="BU631"/>
  <c r="BT631"/>
  <c r="BS631"/>
  <c r="BR631"/>
  <c r="BQ631"/>
  <c r="BP631"/>
  <c r="BO631"/>
  <c r="BN631"/>
  <c r="BM631"/>
  <c r="BL631"/>
  <c r="BG631"/>
  <c r="BE631"/>
  <c r="BD631"/>
  <c r="BA631"/>
  <c r="AX631"/>
  <c r="AQ631"/>
  <c r="AJ631"/>
  <c r="AC631"/>
  <c r="W631"/>
  <c r="J631"/>
  <c r="G631"/>
  <c r="A631"/>
  <c r="CI630"/>
  <c r="CH630"/>
  <c r="CG630"/>
  <c r="CF630"/>
  <c r="CE630"/>
  <c r="CD630"/>
  <c r="CC630"/>
  <c r="CB630"/>
  <c r="CA630"/>
  <c r="BZ630"/>
  <c r="BY630"/>
  <c r="BX630"/>
  <c r="BW630"/>
  <c r="BV630"/>
  <c r="BU630"/>
  <c r="BT630"/>
  <c r="BS630"/>
  <c r="BR630"/>
  <c r="BQ630"/>
  <c r="BP630"/>
  <c r="BO630"/>
  <c r="BN630"/>
  <c r="BM630"/>
  <c r="BL630"/>
  <c r="BG630"/>
  <c r="BE630"/>
  <c r="BD630"/>
  <c r="BA630"/>
  <c r="AX630"/>
  <c r="AQ630"/>
  <c r="AJ630"/>
  <c r="AC630"/>
  <c r="W630"/>
  <c r="J630"/>
  <c r="G630"/>
  <c r="A630"/>
  <c r="CM629"/>
  <c r="CL629"/>
  <c r="CK629"/>
  <c r="CJ629"/>
  <c r="CI629"/>
  <c r="CH629"/>
  <c r="CG629"/>
  <c r="CF629"/>
  <c r="CE629"/>
  <c r="CD629"/>
  <c r="CC629"/>
  <c r="CB629"/>
  <c r="CA629"/>
  <c r="BZ629"/>
  <c r="BY629"/>
  <c r="BX629"/>
  <c r="BW629"/>
  <c r="BV629"/>
  <c r="BU629"/>
  <c r="BT629"/>
  <c r="BS629"/>
  <c r="BR629"/>
  <c r="BQ629"/>
  <c r="BP629"/>
  <c r="BO629"/>
  <c r="BN629"/>
  <c r="BM629"/>
  <c r="BL629"/>
  <c r="BI629"/>
  <c r="BG629"/>
  <c r="BE629"/>
  <c r="BD629"/>
  <c r="BA629"/>
  <c r="AX629"/>
  <c r="AQ629"/>
  <c r="AJ629"/>
  <c r="AC629"/>
  <c r="W629"/>
  <c r="J629"/>
  <c r="G629"/>
  <c r="A629"/>
  <c r="CM628"/>
  <c r="CL628"/>
  <c r="CK628"/>
  <c r="CJ628"/>
  <c r="CI628"/>
  <c r="CH628"/>
  <c r="CG628"/>
  <c r="CF628"/>
  <c r="CE628"/>
  <c r="CD628"/>
  <c r="CC628"/>
  <c r="CB628"/>
  <c r="CA628"/>
  <c r="BZ628"/>
  <c r="BY628"/>
  <c r="BX628"/>
  <c r="BW628"/>
  <c r="BV628"/>
  <c r="BU628"/>
  <c r="BT628"/>
  <c r="BS628"/>
  <c r="BR628"/>
  <c r="BQ628"/>
  <c r="BP628"/>
  <c r="BO628"/>
  <c r="BN628"/>
  <c r="BM628"/>
  <c r="BL628"/>
  <c r="BI628"/>
  <c r="BG628"/>
  <c r="BE628"/>
  <c r="BD628"/>
  <c r="BA628"/>
  <c r="AX628"/>
  <c r="AQ628"/>
  <c r="AJ628"/>
  <c r="AC628"/>
  <c r="W628"/>
  <c r="J628"/>
  <c r="G628"/>
  <c r="A628"/>
  <c r="CM627"/>
  <c r="CL627"/>
  <c r="CK627"/>
  <c r="CJ627"/>
  <c r="CI627"/>
  <c r="CH627"/>
  <c r="CG627"/>
  <c r="CF627"/>
  <c r="CE627"/>
  <c r="CD627"/>
  <c r="CC627"/>
  <c r="CB627"/>
  <c r="CA627"/>
  <c r="BZ627"/>
  <c r="BY627"/>
  <c r="BX627"/>
  <c r="BW627"/>
  <c r="BV627"/>
  <c r="BU627"/>
  <c r="BT627"/>
  <c r="BS627"/>
  <c r="BR627"/>
  <c r="BQ627"/>
  <c r="BP627"/>
  <c r="BO627"/>
  <c r="BN627"/>
  <c r="BM627"/>
  <c r="BL627"/>
  <c r="BI627"/>
  <c r="BG627"/>
  <c r="BE627"/>
  <c r="BD627"/>
  <c r="BA627"/>
  <c r="AX627"/>
  <c r="AQ627"/>
  <c r="AJ627"/>
  <c r="AC627"/>
  <c r="W627"/>
  <c r="Q627"/>
  <c r="J627"/>
  <c r="G627"/>
  <c r="A627"/>
  <c r="CI626"/>
  <c r="CH626"/>
  <c r="CG626"/>
  <c r="CF626"/>
  <c r="CE626"/>
  <c r="CD626"/>
  <c r="CC626"/>
  <c r="CB626"/>
  <c r="CA626"/>
  <c r="BZ626"/>
  <c r="BY626"/>
  <c r="BX626"/>
  <c r="BW626"/>
  <c r="BV626"/>
  <c r="BU626"/>
  <c r="BT626"/>
  <c r="BS626"/>
  <c r="BR626"/>
  <c r="BQ626"/>
  <c r="BP626"/>
  <c r="BO626"/>
  <c r="BN626"/>
  <c r="BM626"/>
  <c r="BL626"/>
  <c r="BI626"/>
  <c r="BG626"/>
  <c r="BE626"/>
  <c r="BD626"/>
  <c r="BA626"/>
  <c r="AX626"/>
  <c r="AQ626"/>
  <c r="AJ626"/>
  <c r="AC626"/>
  <c r="W626"/>
  <c r="Q626"/>
  <c r="J626"/>
  <c r="G626"/>
  <c r="A626"/>
  <c r="CK625"/>
  <c r="CJ625"/>
  <c r="CI625"/>
  <c r="CH625"/>
  <c r="CG625"/>
  <c r="CF625"/>
  <c r="CE625"/>
  <c r="CD625"/>
  <c r="CC625"/>
  <c r="CB625"/>
  <c r="CA625"/>
  <c r="BZ625"/>
  <c r="BY625"/>
  <c r="BX625"/>
  <c r="BW625"/>
  <c r="BV625"/>
  <c r="BU625"/>
  <c r="BT625"/>
  <c r="BS625"/>
  <c r="BR625"/>
  <c r="BQ625"/>
  <c r="BP625"/>
  <c r="BO625"/>
  <c r="BN625"/>
  <c r="BM625"/>
  <c r="BL625"/>
  <c r="BI625"/>
  <c r="BG625"/>
  <c r="BE625"/>
  <c r="BD625"/>
  <c r="BA625"/>
  <c r="AX625"/>
  <c r="AQ625"/>
  <c r="AJ625"/>
  <c r="AC625"/>
  <c r="W625"/>
  <c r="Q625"/>
  <c r="J625"/>
  <c r="G625"/>
  <c r="A625"/>
  <c r="CO624"/>
  <c r="CN624"/>
  <c r="CM624"/>
  <c r="CL624"/>
  <c r="CK624"/>
  <c r="CJ624"/>
  <c r="CI624"/>
  <c r="CH624"/>
  <c r="CG624"/>
  <c r="CF624"/>
  <c r="CE624"/>
  <c r="CD624"/>
  <c r="CC624"/>
  <c r="CB624"/>
  <c r="CA624"/>
  <c r="BZ624"/>
  <c r="BY624"/>
  <c r="BX624"/>
  <c r="BW624"/>
  <c r="BV624"/>
  <c r="BU624"/>
  <c r="BT624"/>
  <c r="BS624"/>
  <c r="BR624"/>
  <c r="BQ624"/>
  <c r="BP624"/>
  <c r="BO624"/>
  <c r="BN624"/>
  <c r="BM624"/>
  <c r="BL624"/>
  <c r="BI624"/>
  <c r="BG624"/>
  <c r="BE624"/>
  <c r="BD624"/>
  <c r="BA624"/>
  <c r="AX624"/>
  <c r="AQ624"/>
  <c r="AJ624"/>
  <c r="AC624"/>
  <c r="W624"/>
  <c r="J624"/>
  <c r="G624"/>
  <c r="A624"/>
  <c r="CO623"/>
  <c r="CN623"/>
  <c r="CM623"/>
  <c r="CL623"/>
  <c r="CK623"/>
  <c r="CJ623"/>
  <c r="CI623"/>
  <c r="CH623"/>
  <c r="CG623"/>
  <c r="CF623"/>
  <c r="CE623"/>
  <c r="CD623"/>
  <c r="CC623"/>
  <c r="CB623"/>
  <c r="CA623"/>
  <c r="BZ623"/>
  <c r="BY623"/>
  <c r="BX623"/>
  <c r="BW623"/>
  <c r="BV623"/>
  <c r="BU623"/>
  <c r="BT623"/>
  <c r="BS623"/>
  <c r="BR623"/>
  <c r="BQ623"/>
  <c r="BP623"/>
  <c r="BO623"/>
  <c r="BN623"/>
  <c r="BM623"/>
  <c r="BL623"/>
  <c r="BI623"/>
  <c r="BG623"/>
  <c r="BE623"/>
  <c r="BD623"/>
  <c r="BA623"/>
  <c r="AX623"/>
  <c r="AQ623"/>
  <c r="AJ623"/>
  <c r="AC623"/>
  <c r="W623"/>
  <c r="J623"/>
  <c r="G623"/>
  <c r="A623"/>
  <c r="CO622"/>
  <c r="CN622"/>
  <c r="CM622"/>
  <c r="CL622"/>
  <c r="CK622"/>
  <c r="CJ622"/>
  <c r="CI622"/>
  <c r="CH622"/>
  <c r="CG622"/>
  <c r="CF622"/>
  <c r="CE622"/>
  <c r="CD622"/>
  <c r="CC622"/>
  <c r="CB622"/>
  <c r="CA622"/>
  <c r="BZ622"/>
  <c r="BY622"/>
  <c r="BX622"/>
  <c r="BW622"/>
  <c r="BV622"/>
  <c r="BU622"/>
  <c r="BT622"/>
  <c r="BS622"/>
  <c r="BR622"/>
  <c r="BQ622"/>
  <c r="BP622"/>
  <c r="BO622"/>
  <c r="BN622"/>
  <c r="BM622"/>
  <c r="BL622"/>
  <c r="BI622"/>
  <c r="BG622"/>
  <c r="BE622"/>
  <c r="BD622"/>
  <c r="BA622"/>
  <c r="AX622"/>
  <c r="AQ622"/>
  <c r="AJ622"/>
  <c r="AC622"/>
  <c r="W622"/>
  <c r="J622"/>
  <c r="G622"/>
  <c r="A622"/>
  <c r="CO621"/>
  <c r="CN621"/>
  <c r="CM621"/>
  <c r="CL621"/>
  <c r="CK621"/>
  <c r="CJ621"/>
  <c r="CI621"/>
  <c r="CH621"/>
  <c r="CG621"/>
  <c r="CF621"/>
  <c r="CE621"/>
  <c r="CD621"/>
  <c r="CC621"/>
  <c r="CB621"/>
  <c r="CA621"/>
  <c r="BZ621"/>
  <c r="BY621"/>
  <c r="BX621"/>
  <c r="BW621"/>
  <c r="BV621"/>
  <c r="BU621"/>
  <c r="BT621"/>
  <c r="BS621"/>
  <c r="BR621"/>
  <c r="BQ621"/>
  <c r="BP621"/>
  <c r="BO621"/>
  <c r="BN621"/>
  <c r="BM621"/>
  <c r="BL621"/>
  <c r="BI621"/>
  <c r="BG621"/>
  <c r="BE621"/>
  <c r="BD621"/>
  <c r="BA621"/>
  <c r="AX621"/>
  <c r="AQ621"/>
  <c r="AJ621"/>
  <c r="AC621"/>
  <c r="W621"/>
  <c r="J621"/>
  <c r="G621"/>
  <c r="A621"/>
  <c r="CO620"/>
  <c r="CN620"/>
  <c r="CM620"/>
  <c r="CL620"/>
  <c r="CK620"/>
  <c r="CJ620"/>
  <c r="CI620"/>
  <c r="CH620"/>
  <c r="CG620"/>
  <c r="CF620"/>
  <c r="CE620"/>
  <c r="CD620"/>
  <c r="CC620"/>
  <c r="CB620"/>
  <c r="CA620"/>
  <c r="BZ620"/>
  <c r="BY620"/>
  <c r="BX620"/>
  <c r="BW620"/>
  <c r="BV620"/>
  <c r="BU620"/>
  <c r="BT620"/>
  <c r="BS620"/>
  <c r="BR620"/>
  <c r="BQ620"/>
  <c r="BP620"/>
  <c r="BO620"/>
  <c r="BN620"/>
  <c r="BM620"/>
  <c r="BL620"/>
  <c r="BI620"/>
  <c r="BG620"/>
  <c r="BE620"/>
  <c r="BD620"/>
  <c r="BA620"/>
  <c r="AX620"/>
  <c r="AQ620"/>
  <c r="AJ620"/>
  <c r="AC620"/>
  <c r="W620"/>
  <c r="J620"/>
  <c r="G620"/>
  <c r="A620"/>
  <c r="CO619"/>
  <c r="CN619"/>
  <c r="CM619"/>
  <c r="CL619"/>
  <c r="CK619"/>
  <c r="CJ619"/>
  <c r="CI619"/>
  <c r="CH619"/>
  <c r="CG619"/>
  <c r="CF619"/>
  <c r="CE619"/>
  <c r="CD619"/>
  <c r="CC619"/>
  <c r="CB619"/>
  <c r="CA619"/>
  <c r="BZ619"/>
  <c r="BY619"/>
  <c r="BX619"/>
  <c r="BW619"/>
  <c r="BV619"/>
  <c r="BU619"/>
  <c r="BT619"/>
  <c r="BS619"/>
  <c r="BR619"/>
  <c r="BQ619"/>
  <c r="BP619"/>
  <c r="BO619"/>
  <c r="BN619"/>
  <c r="BM619"/>
  <c r="BL619"/>
  <c r="BI619"/>
  <c r="BG619"/>
  <c r="BE619"/>
  <c r="BD619"/>
  <c r="BA619"/>
  <c r="AX619"/>
  <c r="AQ619"/>
  <c r="AJ619"/>
  <c r="AC619"/>
  <c r="W619"/>
  <c r="J619"/>
  <c r="G619"/>
  <c r="A619"/>
  <c r="CK617"/>
  <c r="CJ617"/>
  <c r="CI617"/>
  <c r="CH617"/>
  <c r="CG617"/>
  <c r="CF617"/>
  <c r="CE617"/>
  <c r="CD617"/>
  <c r="CC617"/>
  <c r="CB617"/>
  <c r="CA617"/>
  <c r="BZ617"/>
  <c r="BY617"/>
  <c r="BX617"/>
  <c r="BW617"/>
  <c r="BV617"/>
  <c r="BU617"/>
  <c r="BT617"/>
  <c r="BS617"/>
  <c r="BR617"/>
  <c r="BQ617"/>
  <c r="BP617"/>
  <c r="BO617"/>
  <c r="BN617"/>
  <c r="BM617"/>
  <c r="BL617"/>
  <c r="BI617"/>
  <c r="BG617"/>
  <c r="BE617"/>
  <c r="BD617"/>
  <c r="BA617"/>
  <c r="AX617"/>
  <c r="AQ617"/>
  <c r="AJ617"/>
  <c r="AC617"/>
  <c r="W617"/>
  <c r="Q617"/>
  <c r="J617"/>
  <c r="G617"/>
  <c r="A617"/>
  <c r="CK616"/>
  <c r="CJ616"/>
  <c r="CI616"/>
  <c r="CH616"/>
  <c r="CG616"/>
  <c r="CF616"/>
  <c r="CE616"/>
  <c r="CD616"/>
  <c r="CC616"/>
  <c r="CB616"/>
  <c r="CA616"/>
  <c r="BZ616"/>
  <c r="BY616"/>
  <c r="BX616"/>
  <c r="BW616"/>
  <c r="BV616"/>
  <c r="BU616"/>
  <c r="BT616"/>
  <c r="BS616"/>
  <c r="BR616"/>
  <c r="BQ616"/>
  <c r="BP616"/>
  <c r="BO616"/>
  <c r="BN616"/>
  <c r="BM616"/>
  <c r="BL616"/>
  <c r="BI616"/>
  <c r="BG616"/>
  <c r="BE616"/>
  <c r="BD616"/>
  <c r="BA616"/>
  <c r="AX616"/>
  <c r="AQ616"/>
  <c r="AJ616"/>
  <c r="AC616"/>
  <c r="W616"/>
  <c r="J616"/>
  <c r="G616"/>
  <c r="A616"/>
  <c r="CK615"/>
  <c r="CJ615"/>
  <c r="CI615"/>
  <c r="CH615"/>
  <c r="CG615"/>
  <c r="CF615"/>
  <c r="CE615"/>
  <c r="CD615"/>
  <c r="CC615"/>
  <c r="CB615"/>
  <c r="CA615"/>
  <c r="BZ615"/>
  <c r="BY615"/>
  <c r="BX615"/>
  <c r="BW615"/>
  <c r="BV615"/>
  <c r="BU615"/>
  <c r="BT615"/>
  <c r="BS615"/>
  <c r="BR615"/>
  <c r="BQ615"/>
  <c r="BP615"/>
  <c r="BO615"/>
  <c r="BN615"/>
  <c r="BM615"/>
  <c r="BL615"/>
  <c r="BG615"/>
  <c r="BE615"/>
  <c r="BD615"/>
  <c r="BA615"/>
  <c r="AX615"/>
  <c r="AQ615"/>
  <c r="AJ615"/>
  <c r="AC615"/>
  <c r="W615"/>
  <c r="J615"/>
  <c r="G615"/>
  <c r="A615"/>
  <c r="CK614"/>
  <c r="CJ614"/>
  <c r="CI614"/>
  <c r="CH614"/>
  <c r="CG614"/>
  <c r="CF614"/>
  <c r="CE614"/>
  <c r="CD614"/>
  <c r="CC614"/>
  <c r="CB614"/>
  <c r="CA614"/>
  <c r="BZ614"/>
  <c r="BY614"/>
  <c r="BX614"/>
  <c r="BW614"/>
  <c r="BV614"/>
  <c r="BU614"/>
  <c r="BT614"/>
  <c r="BS614"/>
  <c r="BR614"/>
  <c r="BQ614"/>
  <c r="BP614"/>
  <c r="BO614"/>
  <c r="BN614"/>
  <c r="BM614"/>
  <c r="BL614"/>
  <c r="BG614"/>
  <c r="BE614"/>
  <c r="BD614"/>
  <c r="BA614"/>
  <c r="AX614"/>
  <c r="AQ614"/>
  <c r="AJ614"/>
  <c r="AC614"/>
  <c r="W614"/>
  <c r="J614"/>
  <c r="G614"/>
  <c r="A614"/>
  <c r="CI613"/>
  <c r="CH613"/>
  <c r="CG613"/>
  <c r="CF613"/>
  <c r="CE613"/>
  <c r="CD613"/>
  <c r="CC613"/>
  <c r="CB613"/>
  <c r="CA613"/>
  <c r="BZ613"/>
  <c r="BY613"/>
  <c r="BX613"/>
  <c r="BW613"/>
  <c r="BV613"/>
  <c r="BU613"/>
  <c r="BT613"/>
  <c r="BS613"/>
  <c r="BR613"/>
  <c r="BQ613"/>
  <c r="BP613"/>
  <c r="BO613"/>
  <c r="BN613"/>
  <c r="BM613"/>
  <c r="BL613"/>
  <c r="BI613"/>
  <c r="BG613"/>
  <c r="BE613"/>
  <c r="BD613"/>
  <c r="BA613"/>
  <c r="AX613"/>
  <c r="AQ613"/>
  <c r="AJ613"/>
  <c r="AC613"/>
  <c r="W613"/>
  <c r="Q613"/>
  <c r="J613"/>
  <c r="G613"/>
  <c r="A613"/>
  <c r="CI612"/>
  <c r="CH612"/>
  <c r="CG612"/>
  <c r="CF612"/>
  <c r="CE612"/>
  <c r="CD612"/>
  <c r="CC612"/>
  <c r="CB612"/>
  <c r="CA612"/>
  <c r="BZ612"/>
  <c r="BY612"/>
  <c r="BX612"/>
  <c r="BW612"/>
  <c r="BV612"/>
  <c r="BU612"/>
  <c r="BT612"/>
  <c r="BS612"/>
  <c r="BR612"/>
  <c r="BQ612"/>
  <c r="BP612"/>
  <c r="BO612"/>
  <c r="BN612"/>
  <c r="BM612"/>
  <c r="BL612"/>
  <c r="BI612"/>
  <c r="BG612"/>
  <c r="BE612"/>
  <c r="BD612"/>
  <c r="BA612"/>
  <c r="AX612"/>
  <c r="AQ612"/>
  <c r="AJ612"/>
  <c r="AC612"/>
  <c r="W612"/>
  <c r="J612"/>
  <c r="G612"/>
  <c r="A612"/>
  <c r="CM611"/>
  <c r="CL611"/>
  <c r="CK611"/>
  <c r="CJ611"/>
  <c r="CI611"/>
  <c r="CH611"/>
  <c r="CG611"/>
  <c r="CF611"/>
  <c r="CE611"/>
  <c r="CD611"/>
  <c r="CC611"/>
  <c r="CB611"/>
  <c r="CA611"/>
  <c r="BZ611"/>
  <c r="BY611"/>
  <c r="BX611"/>
  <c r="BW611"/>
  <c r="BV611"/>
  <c r="BU611"/>
  <c r="BT611"/>
  <c r="BS611"/>
  <c r="BR611"/>
  <c r="BQ611"/>
  <c r="BP611"/>
  <c r="BO611"/>
  <c r="BN611"/>
  <c r="BM611"/>
  <c r="BL611"/>
  <c r="BI611"/>
  <c r="BG611"/>
  <c r="BE611"/>
  <c r="BD611"/>
  <c r="BA611"/>
  <c r="AX611"/>
  <c r="AQ611"/>
  <c r="AJ611"/>
  <c r="AC611"/>
  <c r="W611"/>
  <c r="Q611"/>
  <c r="J611"/>
  <c r="G611"/>
  <c r="A611"/>
  <c r="CM610"/>
  <c r="CL610"/>
  <c r="CK610"/>
  <c r="CJ610"/>
  <c r="CI610"/>
  <c r="CH610"/>
  <c r="CG610"/>
  <c r="CF610"/>
  <c r="CE610"/>
  <c r="CD610"/>
  <c r="CC610"/>
  <c r="CB610"/>
  <c r="CA610"/>
  <c r="BZ610"/>
  <c r="BY610"/>
  <c r="BX610"/>
  <c r="BW610"/>
  <c r="BV610"/>
  <c r="BU610"/>
  <c r="BT610"/>
  <c r="BS610"/>
  <c r="BR610"/>
  <c r="BQ610"/>
  <c r="BP610"/>
  <c r="BO610"/>
  <c r="BN610"/>
  <c r="BM610"/>
  <c r="BL610"/>
  <c r="BI610"/>
  <c r="BG610"/>
  <c r="BE610"/>
  <c r="BD610"/>
  <c r="BA610"/>
  <c r="AX610"/>
  <c r="AQ610"/>
  <c r="AJ610"/>
  <c r="AC610"/>
  <c r="W610"/>
  <c r="Q610"/>
  <c r="J610"/>
  <c r="G610"/>
  <c r="A610"/>
  <c r="CM609"/>
  <c r="CL609"/>
  <c r="CK609"/>
  <c r="CJ609"/>
  <c r="CI609"/>
  <c r="CH609"/>
  <c r="CG609"/>
  <c r="CF609"/>
  <c r="CE609"/>
  <c r="CD609"/>
  <c r="CC609"/>
  <c r="CB609"/>
  <c r="CA609"/>
  <c r="BZ609"/>
  <c r="BY609"/>
  <c r="BX609"/>
  <c r="BW609"/>
  <c r="BV609"/>
  <c r="BU609"/>
  <c r="BT609"/>
  <c r="BS609"/>
  <c r="BR609"/>
  <c r="BQ609"/>
  <c r="BP609"/>
  <c r="BO609"/>
  <c r="BN609"/>
  <c r="BM609"/>
  <c r="BL609"/>
  <c r="BI609"/>
  <c r="BG609"/>
  <c r="BE609"/>
  <c r="BD609"/>
  <c r="BA609"/>
  <c r="AX609"/>
  <c r="AQ609"/>
  <c r="AJ609"/>
  <c r="AC609"/>
  <c r="W609"/>
  <c r="J609"/>
  <c r="G609"/>
  <c r="A609"/>
  <c r="CM608"/>
  <c r="CL608"/>
  <c r="CK608"/>
  <c r="CJ608"/>
  <c r="CI608"/>
  <c r="CH608"/>
  <c r="CG608"/>
  <c r="CF608"/>
  <c r="CE608"/>
  <c r="CD608"/>
  <c r="CC608"/>
  <c r="CB608"/>
  <c r="CA608"/>
  <c r="BZ608"/>
  <c r="BY608"/>
  <c r="BX608"/>
  <c r="BW608"/>
  <c r="BV608"/>
  <c r="BU608"/>
  <c r="BT608"/>
  <c r="BS608"/>
  <c r="BR608"/>
  <c r="BQ608"/>
  <c r="BP608"/>
  <c r="BO608"/>
  <c r="BN608"/>
  <c r="BM608"/>
  <c r="BL608"/>
  <c r="BI608"/>
  <c r="BG608"/>
  <c r="BE608"/>
  <c r="BD608"/>
  <c r="BA608"/>
  <c r="AX608"/>
  <c r="AQ608"/>
  <c r="AJ608"/>
  <c r="AC608"/>
  <c r="W608"/>
  <c r="Q608"/>
  <c r="J608"/>
  <c r="G608"/>
  <c r="A608"/>
  <c r="CM607"/>
  <c r="CL607"/>
  <c r="CK607"/>
  <c r="CJ607"/>
  <c r="CI607"/>
  <c r="CH607"/>
  <c r="CG607"/>
  <c r="CF607"/>
  <c r="CE607"/>
  <c r="CD607"/>
  <c r="CC607"/>
  <c r="CB607"/>
  <c r="CA607"/>
  <c r="BZ607"/>
  <c r="BY607"/>
  <c r="BX607"/>
  <c r="BW607"/>
  <c r="BV607"/>
  <c r="BU607"/>
  <c r="BT607"/>
  <c r="BS607"/>
  <c r="BR607"/>
  <c r="BQ607"/>
  <c r="BP607"/>
  <c r="BO607"/>
  <c r="BN607"/>
  <c r="BM607"/>
  <c r="BL607"/>
  <c r="BI607"/>
  <c r="BG607"/>
  <c r="BE607"/>
  <c r="BD607"/>
  <c r="BA607"/>
  <c r="AX607"/>
  <c r="AQ607"/>
  <c r="AJ607"/>
  <c r="AC607"/>
  <c r="W607"/>
  <c r="Q607"/>
  <c r="J607"/>
  <c r="G607"/>
  <c r="A607"/>
  <c r="CM606"/>
  <c r="CL606"/>
  <c r="CK606"/>
  <c r="CJ606"/>
  <c r="CI606"/>
  <c r="CH606"/>
  <c r="CG606"/>
  <c r="CF606"/>
  <c r="CE606"/>
  <c r="CD606"/>
  <c r="CC606"/>
  <c r="CB606"/>
  <c r="CA606"/>
  <c r="BZ606"/>
  <c r="BY606"/>
  <c r="BX606"/>
  <c r="BW606"/>
  <c r="BV606"/>
  <c r="BU606"/>
  <c r="BT606"/>
  <c r="BS606"/>
  <c r="BR606"/>
  <c r="BQ606"/>
  <c r="BP606"/>
  <c r="BO606"/>
  <c r="BN606"/>
  <c r="BM606"/>
  <c r="BL606"/>
  <c r="BI606"/>
  <c r="BG606"/>
  <c r="BE606"/>
  <c r="BD606"/>
  <c r="BA606"/>
  <c r="AX606"/>
  <c r="AQ606"/>
  <c r="AJ606"/>
  <c r="AC606"/>
  <c r="W606"/>
  <c r="Q606"/>
  <c r="J606"/>
  <c r="G606"/>
  <c r="A606"/>
  <c r="CM605"/>
  <c r="CL605"/>
  <c r="CK605"/>
  <c r="CJ605"/>
  <c r="CI605"/>
  <c r="CH605"/>
  <c r="CG605"/>
  <c r="CF605"/>
  <c r="CE605"/>
  <c r="CD605"/>
  <c r="CC605"/>
  <c r="CB605"/>
  <c r="CA605"/>
  <c r="BZ605"/>
  <c r="BY605"/>
  <c r="BX605"/>
  <c r="BW605"/>
  <c r="BV605"/>
  <c r="BU605"/>
  <c r="BT605"/>
  <c r="BS605"/>
  <c r="BR605"/>
  <c r="BQ605"/>
  <c r="BP605"/>
  <c r="BO605"/>
  <c r="BN605"/>
  <c r="BM605"/>
  <c r="BL605"/>
  <c r="BI605"/>
  <c r="BG605"/>
  <c r="BE605"/>
  <c r="BD605"/>
  <c r="BA605"/>
  <c r="AX605"/>
  <c r="AQ605"/>
  <c r="AJ605"/>
  <c r="AC605"/>
  <c r="W605"/>
  <c r="Q605"/>
  <c r="J605"/>
  <c r="G605"/>
  <c r="A605"/>
  <c r="CO604"/>
  <c r="CN604"/>
  <c r="CM604"/>
  <c r="CL604"/>
  <c r="CK604"/>
  <c r="CJ604"/>
  <c r="CI604"/>
  <c r="CH604"/>
  <c r="CG604"/>
  <c r="CF604"/>
  <c r="CE604"/>
  <c r="CD604"/>
  <c r="CC604"/>
  <c r="CB604"/>
  <c r="CA604"/>
  <c r="BZ604"/>
  <c r="BY604"/>
  <c r="BX604"/>
  <c r="BW604"/>
  <c r="BV604"/>
  <c r="BU604"/>
  <c r="BT604"/>
  <c r="BS604"/>
  <c r="BR604"/>
  <c r="BQ604"/>
  <c r="BP604"/>
  <c r="BO604"/>
  <c r="BN604"/>
  <c r="BM604"/>
  <c r="BL604"/>
  <c r="BI604"/>
  <c r="BG604"/>
  <c r="BE604"/>
  <c r="BD604"/>
  <c r="BA604"/>
  <c r="AX604"/>
  <c r="AQ604"/>
  <c r="AJ604"/>
  <c r="AC604"/>
  <c r="W604"/>
  <c r="Q604"/>
  <c r="J604"/>
  <c r="G604"/>
  <c r="A604"/>
  <c r="CO603"/>
  <c r="CN603"/>
  <c r="CM603"/>
  <c r="CL603"/>
  <c r="CK603"/>
  <c r="CJ603"/>
  <c r="CI603"/>
  <c r="CH603"/>
  <c r="CG603"/>
  <c r="CF603"/>
  <c r="CE603"/>
  <c r="CD603"/>
  <c r="CC603"/>
  <c r="CB603"/>
  <c r="CA603"/>
  <c r="BZ603"/>
  <c r="BY603"/>
  <c r="BX603"/>
  <c r="BW603"/>
  <c r="BV603"/>
  <c r="BU603"/>
  <c r="BT603"/>
  <c r="BS603"/>
  <c r="BR603"/>
  <c r="BQ603"/>
  <c r="BP603"/>
  <c r="BO603"/>
  <c r="BN603"/>
  <c r="BM603"/>
  <c r="BL603"/>
  <c r="BI603"/>
  <c r="BG603"/>
  <c r="BE603"/>
  <c r="BD603"/>
  <c r="BA603"/>
  <c r="AX603"/>
  <c r="AQ603"/>
  <c r="AJ603"/>
  <c r="AC603"/>
  <c r="W603"/>
  <c r="J603"/>
  <c r="G603"/>
  <c r="A603"/>
  <c r="CO602"/>
  <c r="CN602"/>
  <c r="CM602"/>
  <c r="CL602"/>
  <c r="CK602"/>
  <c r="CJ602"/>
  <c r="CI602"/>
  <c r="CH602"/>
  <c r="CG602"/>
  <c r="CF602"/>
  <c r="CE602"/>
  <c r="CD602"/>
  <c r="CC602"/>
  <c r="CB602"/>
  <c r="CA602"/>
  <c r="BZ602"/>
  <c r="BY602"/>
  <c r="BX602"/>
  <c r="BW602"/>
  <c r="BV602"/>
  <c r="BU602"/>
  <c r="BT602"/>
  <c r="BS602"/>
  <c r="BR602"/>
  <c r="BQ602"/>
  <c r="BP602"/>
  <c r="BO602"/>
  <c r="BN602"/>
  <c r="BM602"/>
  <c r="BL602"/>
  <c r="BI602"/>
  <c r="BG602"/>
  <c r="BE602"/>
  <c r="BD602"/>
  <c r="BA602"/>
  <c r="AX602"/>
  <c r="AQ602"/>
  <c r="AJ602"/>
  <c r="AC602"/>
  <c r="W602"/>
  <c r="J602"/>
  <c r="G602"/>
  <c r="A602"/>
  <c r="CO601"/>
  <c r="CN601"/>
  <c r="CM601"/>
  <c r="CL601"/>
  <c r="CK601"/>
  <c r="CJ601"/>
  <c r="CI601"/>
  <c r="CH601"/>
  <c r="CG601"/>
  <c r="CF601"/>
  <c r="CE601"/>
  <c r="CD601"/>
  <c r="CC601"/>
  <c r="CB601"/>
  <c r="CA601"/>
  <c r="BZ601"/>
  <c r="BY601"/>
  <c r="BX601"/>
  <c r="BW601"/>
  <c r="BV601"/>
  <c r="BU601"/>
  <c r="BT601"/>
  <c r="BS601"/>
  <c r="BR601"/>
  <c r="BQ601"/>
  <c r="BP601"/>
  <c r="BO601"/>
  <c r="BN601"/>
  <c r="BM601"/>
  <c r="BL601"/>
  <c r="BI601"/>
  <c r="BG601"/>
  <c r="BE601"/>
  <c r="BD601"/>
  <c r="BA601"/>
  <c r="AX601"/>
  <c r="AQ601"/>
  <c r="AJ601"/>
  <c r="AC601"/>
  <c r="W601"/>
  <c r="J601"/>
  <c r="G601"/>
  <c r="A601"/>
  <c r="CO600"/>
  <c r="CN600"/>
  <c r="CM600"/>
  <c r="CL600"/>
  <c r="CK600"/>
  <c r="CJ600"/>
  <c r="CI600"/>
  <c r="CH600"/>
  <c r="CG600"/>
  <c r="CF600"/>
  <c r="CE600"/>
  <c r="CD600"/>
  <c r="CC600"/>
  <c r="CB600"/>
  <c r="CA600"/>
  <c r="BZ600"/>
  <c r="BY600"/>
  <c r="BX600"/>
  <c r="BW600"/>
  <c r="BV600"/>
  <c r="BU600"/>
  <c r="BT600"/>
  <c r="BS600"/>
  <c r="BR600"/>
  <c r="BQ600"/>
  <c r="BP600"/>
  <c r="BO600"/>
  <c r="BN600"/>
  <c r="BM600"/>
  <c r="BL600"/>
  <c r="BI600"/>
  <c r="BG600"/>
  <c r="BE600"/>
  <c r="BD600"/>
  <c r="BA600"/>
  <c r="AX600"/>
  <c r="AQ600"/>
  <c r="AJ600"/>
  <c r="AC600"/>
  <c r="W600"/>
  <c r="J600"/>
  <c r="G600"/>
  <c r="A600"/>
  <c r="CO599"/>
  <c r="CN599"/>
  <c r="CM599"/>
  <c r="CL599"/>
  <c r="CK599"/>
  <c r="CJ599"/>
  <c r="CI599"/>
  <c r="CH599"/>
  <c r="CG599"/>
  <c r="CF599"/>
  <c r="CE599"/>
  <c r="CD599"/>
  <c r="CC599"/>
  <c r="CB599"/>
  <c r="CA599"/>
  <c r="BZ599"/>
  <c r="BY599"/>
  <c r="BX599"/>
  <c r="BW599"/>
  <c r="BV599"/>
  <c r="BU599"/>
  <c r="BT599"/>
  <c r="BS599"/>
  <c r="BR599"/>
  <c r="BQ599"/>
  <c r="BP599"/>
  <c r="BO599"/>
  <c r="BN599"/>
  <c r="BM599"/>
  <c r="BL599"/>
  <c r="BI599"/>
  <c r="BG599"/>
  <c r="BE599"/>
  <c r="BD599"/>
  <c r="BA599"/>
  <c r="AX599"/>
  <c r="AQ599"/>
  <c r="AJ599"/>
  <c r="AC599"/>
  <c r="W599"/>
  <c r="J599"/>
  <c r="G599"/>
  <c r="A599"/>
  <c r="CK597"/>
  <c r="CJ597"/>
  <c r="CI597"/>
  <c r="CH597"/>
  <c r="CG597"/>
  <c r="CF597"/>
  <c r="CE597"/>
  <c r="CD597"/>
  <c r="CC597"/>
  <c r="CB597"/>
  <c r="CA597"/>
  <c r="BZ597"/>
  <c r="BY597"/>
  <c r="BX597"/>
  <c r="BW597"/>
  <c r="BV597"/>
  <c r="BU597"/>
  <c r="BT597"/>
  <c r="BS597"/>
  <c r="BR597"/>
  <c r="BQ597"/>
  <c r="BP597"/>
  <c r="BO597"/>
  <c r="BN597"/>
  <c r="BM597"/>
  <c r="BL597"/>
  <c r="BI597"/>
  <c r="BG597"/>
  <c r="BE597"/>
  <c r="BD597"/>
  <c r="BA597"/>
  <c r="AX597"/>
  <c r="AQ597"/>
  <c r="AJ597"/>
  <c r="AC597"/>
  <c r="W597"/>
  <c r="J597"/>
  <c r="G597"/>
  <c r="A597"/>
  <c r="CK596"/>
  <c r="CJ596"/>
  <c r="CI596"/>
  <c r="CH596"/>
  <c r="CG596"/>
  <c r="CF596"/>
  <c r="CE596"/>
  <c r="CD596"/>
  <c r="CC596"/>
  <c r="CB596"/>
  <c r="CA596"/>
  <c r="BZ596"/>
  <c r="BY596"/>
  <c r="BX596"/>
  <c r="BW596"/>
  <c r="BV596"/>
  <c r="BU596"/>
  <c r="BT596"/>
  <c r="BS596"/>
  <c r="BR596"/>
  <c r="BQ596"/>
  <c r="BP596"/>
  <c r="BO596"/>
  <c r="BN596"/>
  <c r="BM596"/>
  <c r="BL596"/>
  <c r="BG596"/>
  <c r="BE596"/>
  <c r="BD596"/>
  <c r="BA596"/>
  <c r="AX596"/>
  <c r="AQ596"/>
  <c r="AJ596"/>
  <c r="AC596"/>
  <c r="W596"/>
  <c r="J596"/>
  <c r="G596"/>
  <c r="A596"/>
  <c r="CC595"/>
  <c r="CB595"/>
  <c r="CA595"/>
  <c r="BZ595"/>
  <c r="BY595"/>
  <c r="BX595"/>
  <c r="BW595"/>
  <c r="BV595"/>
  <c r="BU595"/>
  <c r="BT595"/>
  <c r="BS595"/>
  <c r="BR595"/>
  <c r="BQ595"/>
  <c r="BP595"/>
  <c r="BO595"/>
  <c r="BN595"/>
  <c r="BM595"/>
  <c r="BL595"/>
  <c r="BI595"/>
  <c r="BG595"/>
  <c r="BE595"/>
  <c r="BD595"/>
  <c r="BA595"/>
  <c r="AX595"/>
  <c r="AQ595"/>
  <c r="AJ595"/>
  <c r="AC595"/>
  <c r="W595"/>
  <c r="J595"/>
  <c r="G595"/>
  <c r="A595"/>
  <c r="CC594"/>
  <c r="CB594"/>
  <c r="CA594"/>
  <c r="BZ594"/>
  <c r="BY594"/>
  <c r="BX594"/>
  <c r="BW594"/>
  <c r="BV594"/>
  <c r="BU594"/>
  <c r="BT594"/>
  <c r="BS594"/>
  <c r="BR594"/>
  <c r="BQ594"/>
  <c r="BP594"/>
  <c r="BO594"/>
  <c r="BN594"/>
  <c r="BM594"/>
  <c r="BL594"/>
  <c r="BI594"/>
  <c r="BG594"/>
  <c r="BE594"/>
  <c r="BD594"/>
  <c r="BA594"/>
  <c r="AX594"/>
  <c r="AQ594"/>
  <c r="AJ594"/>
  <c r="AC594"/>
  <c r="W594"/>
  <c r="J594"/>
  <c r="G594"/>
  <c r="A594"/>
  <c r="CE593"/>
  <c r="CD593"/>
  <c r="CC593"/>
  <c r="CB593"/>
  <c r="CA593"/>
  <c r="BZ593"/>
  <c r="BY593"/>
  <c r="BX593"/>
  <c r="BW593"/>
  <c r="BV593"/>
  <c r="BU593"/>
  <c r="BT593"/>
  <c r="BS593"/>
  <c r="BR593"/>
  <c r="BQ593"/>
  <c r="BP593"/>
  <c r="BO593"/>
  <c r="BN593"/>
  <c r="BM593"/>
  <c r="BL593"/>
  <c r="BI593"/>
  <c r="BG593"/>
  <c r="BE593"/>
  <c r="BD593"/>
  <c r="BA593"/>
  <c r="AX593"/>
  <c r="AQ593"/>
  <c r="AJ593"/>
  <c r="AC593"/>
  <c r="W593"/>
  <c r="J593"/>
  <c r="G593"/>
  <c r="A593"/>
  <c r="CE592"/>
  <c r="CD592"/>
  <c r="CC592"/>
  <c r="CB592"/>
  <c r="CA592"/>
  <c r="BZ592"/>
  <c r="BY592"/>
  <c r="BX592"/>
  <c r="BW592"/>
  <c r="BV592"/>
  <c r="BU592"/>
  <c r="BT592"/>
  <c r="BS592"/>
  <c r="BR592"/>
  <c r="BQ592"/>
  <c r="BP592"/>
  <c r="BO592"/>
  <c r="BN592"/>
  <c r="BM592"/>
  <c r="BL592"/>
  <c r="BI592"/>
  <c r="BG592"/>
  <c r="BE592"/>
  <c r="BD592"/>
  <c r="BA592"/>
  <c r="AX592"/>
  <c r="AQ592"/>
  <c r="AJ592"/>
  <c r="AC592"/>
  <c r="W592"/>
  <c r="Q592"/>
  <c r="J592"/>
  <c r="G592"/>
  <c r="A592"/>
  <c r="CK591"/>
  <c r="CJ591"/>
  <c r="CI591"/>
  <c r="CH591"/>
  <c r="CG591"/>
  <c r="CF591"/>
  <c r="CE591"/>
  <c r="CD591"/>
  <c r="CC591"/>
  <c r="CB591"/>
  <c r="CA591"/>
  <c r="BZ591"/>
  <c r="BY591"/>
  <c r="BX591"/>
  <c r="BW591"/>
  <c r="BV591"/>
  <c r="BU591"/>
  <c r="BT591"/>
  <c r="BS591"/>
  <c r="BR591"/>
  <c r="BQ591"/>
  <c r="BP591"/>
  <c r="BO591"/>
  <c r="BN591"/>
  <c r="BM591"/>
  <c r="BL591"/>
  <c r="BI591"/>
  <c r="BG591"/>
  <c r="BE591"/>
  <c r="BD591"/>
  <c r="BA591"/>
  <c r="AX591"/>
  <c r="AQ591"/>
  <c r="AJ591"/>
  <c r="AC591"/>
  <c r="W591"/>
  <c r="J591"/>
  <c r="G591"/>
  <c r="A591"/>
  <c r="CK590"/>
  <c r="CJ590"/>
  <c r="CI590"/>
  <c r="CH590"/>
  <c r="CG590"/>
  <c r="CF590"/>
  <c r="CE590"/>
  <c r="CD590"/>
  <c r="CC590"/>
  <c r="CB590"/>
  <c r="CA590"/>
  <c r="BZ590"/>
  <c r="BY590"/>
  <c r="BX590"/>
  <c r="BW590"/>
  <c r="BV590"/>
  <c r="BU590"/>
  <c r="BT590"/>
  <c r="BS590"/>
  <c r="BR590"/>
  <c r="BQ590"/>
  <c r="BP590"/>
  <c r="BO590"/>
  <c r="BN590"/>
  <c r="BM590"/>
  <c r="BL590"/>
  <c r="BI590"/>
  <c r="BG590"/>
  <c r="BE590"/>
  <c r="BD590"/>
  <c r="BA590"/>
  <c r="AX590"/>
  <c r="AQ590"/>
  <c r="AJ590"/>
  <c r="AC590"/>
  <c r="W590"/>
  <c r="J590"/>
  <c r="G590"/>
  <c r="A590"/>
  <c r="CI589"/>
  <c r="CH589"/>
  <c r="CG589"/>
  <c r="CF589"/>
  <c r="CE589"/>
  <c r="CD589"/>
  <c r="CC589"/>
  <c r="CB589"/>
  <c r="CA589"/>
  <c r="BZ589"/>
  <c r="BY589"/>
  <c r="BX589"/>
  <c r="BW589"/>
  <c r="BV589"/>
  <c r="BU589"/>
  <c r="BT589"/>
  <c r="BS589"/>
  <c r="BR589"/>
  <c r="BQ589"/>
  <c r="BP589"/>
  <c r="BO589"/>
  <c r="BN589"/>
  <c r="BM589"/>
  <c r="BL589"/>
  <c r="BI589"/>
  <c r="BG589"/>
  <c r="BE589"/>
  <c r="BD589"/>
  <c r="BA589"/>
  <c r="AX589"/>
  <c r="AQ589"/>
  <c r="AJ589"/>
  <c r="AC589"/>
  <c r="W589"/>
  <c r="J589"/>
  <c r="G589"/>
  <c r="A589"/>
  <c r="CI588"/>
  <c r="CH588"/>
  <c r="CG588"/>
  <c r="CF588"/>
  <c r="CE588"/>
  <c r="CD588"/>
  <c r="CC588"/>
  <c r="CB588"/>
  <c r="CA588"/>
  <c r="BZ588"/>
  <c r="BY588"/>
  <c r="BX588"/>
  <c r="BW588"/>
  <c r="BV588"/>
  <c r="BU588"/>
  <c r="BT588"/>
  <c r="BS588"/>
  <c r="BR588"/>
  <c r="BQ588"/>
  <c r="BP588"/>
  <c r="BO588"/>
  <c r="BN588"/>
  <c r="BM588"/>
  <c r="BL588"/>
  <c r="BI588"/>
  <c r="BG588"/>
  <c r="BE588"/>
  <c r="BD588"/>
  <c r="BA588"/>
  <c r="AX588"/>
  <c r="AQ588"/>
  <c r="AC588"/>
  <c r="W588"/>
  <c r="J588"/>
  <c r="G588"/>
  <c r="A588"/>
  <c r="CG587"/>
  <c r="CF587"/>
  <c r="CE587"/>
  <c r="CD587"/>
  <c r="CC587"/>
  <c r="CB587"/>
  <c r="CA587"/>
  <c r="BZ587"/>
  <c r="BY587"/>
  <c r="BX587"/>
  <c r="BW587"/>
  <c r="BV587"/>
  <c r="BU587"/>
  <c r="BT587"/>
  <c r="BS587"/>
  <c r="BR587"/>
  <c r="BQ587"/>
  <c r="BP587"/>
  <c r="BO587"/>
  <c r="BN587"/>
  <c r="BM587"/>
  <c r="BL587"/>
  <c r="BI587"/>
  <c r="BG587"/>
  <c r="BE587"/>
  <c r="BD587"/>
  <c r="BA587"/>
  <c r="AX587"/>
  <c r="AQ587"/>
  <c r="AC587"/>
  <c r="W587"/>
  <c r="J587"/>
  <c r="G587"/>
  <c r="A587"/>
  <c r="CG586"/>
  <c r="CF586"/>
  <c r="CE586"/>
  <c r="CD586"/>
  <c r="CC586"/>
  <c r="CB586"/>
  <c r="CA586"/>
  <c r="BZ586"/>
  <c r="BY586"/>
  <c r="BX586"/>
  <c r="BW586"/>
  <c r="BV586"/>
  <c r="BU586"/>
  <c r="BT586"/>
  <c r="BS586"/>
  <c r="BR586"/>
  <c r="BQ586"/>
  <c r="BP586"/>
  <c r="BO586"/>
  <c r="BN586"/>
  <c r="BM586"/>
  <c r="BL586"/>
  <c r="BG586"/>
  <c r="BE586"/>
  <c r="BD586"/>
  <c r="BA586"/>
  <c r="AX586"/>
  <c r="AQ586"/>
  <c r="AC586"/>
  <c r="W586"/>
  <c r="J586"/>
  <c r="G586"/>
  <c r="A586"/>
  <c r="CG585"/>
  <c r="CF585"/>
  <c r="CE585"/>
  <c r="CD585"/>
  <c r="CC585"/>
  <c r="CB585"/>
  <c r="CA585"/>
  <c r="BZ585"/>
  <c r="BY585"/>
  <c r="BX585"/>
  <c r="BW585"/>
  <c r="BV585"/>
  <c r="BU585"/>
  <c r="BT585"/>
  <c r="BS585"/>
  <c r="BR585"/>
  <c r="BQ585"/>
  <c r="BP585"/>
  <c r="BO585"/>
  <c r="BN585"/>
  <c r="BM585"/>
  <c r="BL585"/>
  <c r="BG585"/>
  <c r="BE585"/>
  <c r="BD585"/>
  <c r="BA585"/>
  <c r="AX585"/>
  <c r="AQ585"/>
  <c r="AC585"/>
  <c r="W585"/>
  <c r="J585"/>
  <c r="G585"/>
  <c r="A585"/>
  <c r="CO584"/>
  <c r="CN584"/>
  <c r="CM584"/>
  <c r="CL584"/>
  <c r="CK584"/>
  <c r="CJ584"/>
  <c r="CI584"/>
  <c r="CH584"/>
  <c r="CG584"/>
  <c r="CF584"/>
  <c r="CE584"/>
  <c r="CD584"/>
  <c r="CC584"/>
  <c r="CB584"/>
  <c r="CA584"/>
  <c r="BZ584"/>
  <c r="BY584"/>
  <c r="BX584"/>
  <c r="BW584"/>
  <c r="BV584"/>
  <c r="BU584"/>
  <c r="BT584"/>
  <c r="BS584"/>
  <c r="BR584"/>
  <c r="BQ584"/>
  <c r="BP584"/>
  <c r="BO584"/>
  <c r="BN584"/>
  <c r="BM584"/>
  <c r="BL584"/>
  <c r="BI584"/>
  <c r="BG584"/>
  <c r="BE584"/>
  <c r="BD584"/>
  <c r="BA584"/>
  <c r="AX584"/>
  <c r="AQ584"/>
  <c r="AC584"/>
  <c r="W584"/>
  <c r="J584"/>
  <c r="G584"/>
  <c r="A584"/>
  <c r="CO583"/>
  <c r="CN583"/>
  <c r="CM583"/>
  <c r="CL583"/>
  <c r="CK583"/>
  <c r="CJ583"/>
  <c r="CI583"/>
  <c r="CH583"/>
  <c r="CG583"/>
  <c r="CF583"/>
  <c r="CE583"/>
  <c r="CD583"/>
  <c r="CC583"/>
  <c r="CB583"/>
  <c r="CA583"/>
  <c r="BZ583"/>
  <c r="BY583"/>
  <c r="BX583"/>
  <c r="BW583"/>
  <c r="BV583"/>
  <c r="BU583"/>
  <c r="BT583"/>
  <c r="BS583"/>
  <c r="BR583"/>
  <c r="BQ583"/>
  <c r="BP583"/>
  <c r="BO583"/>
  <c r="BN583"/>
  <c r="BM583"/>
  <c r="BL583"/>
  <c r="BI583"/>
  <c r="BG583"/>
  <c r="BE583"/>
  <c r="BD583"/>
  <c r="BA583"/>
  <c r="AX583"/>
  <c r="AQ583"/>
  <c r="AC583"/>
  <c r="W583"/>
  <c r="J583"/>
  <c r="G583"/>
  <c r="A583"/>
  <c r="CO582"/>
  <c r="CN582"/>
  <c r="CM582"/>
  <c r="CL582"/>
  <c r="CK582"/>
  <c r="CJ582"/>
  <c r="CI582"/>
  <c r="CH582"/>
  <c r="CG582"/>
  <c r="CF582"/>
  <c r="CE582"/>
  <c r="CD582"/>
  <c r="CC582"/>
  <c r="CB582"/>
  <c r="CA582"/>
  <c r="BZ582"/>
  <c r="BY582"/>
  <c r="BX582"/>
  <c r="BW582"/>
  <c r="BV582"/>
  <c r="BU582"/>
  <c r="BT582"/>
  <c r="BS582"/>
  <c r="BR582"/>
  <c r="BQ582"/>
  <c r="BP582"/>
  <c r="BO582"/>
  <c r="BN582"/>
  <c r="BM582"/>
  <c r="BL582"/>
  <c r="BI582"/>
  <c r="BG582"/>
  <c r="BE582"/>
  <c r="BD582"/>
  <c r="BA582"/>
  <c r="AX582"/>
  <c r="AQ582"/>
  <c r="AC582"/>
  <c r="W582"/>
  <c r="J582"/>
  <c r="G582"/>
  <c r="A582"/>
  <c r="CO581"/>
  <c r="CN581"/>
  <c r="CM581"/>
  <c r="CL581"/>
  <c r="CK581"/>
  <c r="CJ581"/>
  <c r="CI581"/>
  <c r="CH581"/>
  <c r="CG581"/>
  <c r="CF581"/>
  <c r="CE581"/>
  <c r="CD581"/>
  <c r="CC581"/>
  <c r="CB581"/>
  <c r="CA581"/>
  <c r="BZ581"/>
  <c r="BY581"/>
  <c r="BX581"/>
  <c r="BW581"/>
  <c r="BV581"/>
  <c r="BU581"/>
  <c r="BT581"/>
  <c r="BS581"/>
  <c r="BR581"/>
  <c r="BQ581"/>
  <c r="BP581"/>
  <c r="BO581"/>
  <c r="BN581"/>
  <c r="BM581"/>
  <c r="BL581"/>
  <c r="BI581"/>
  <c r="BG581"/>
  <c r="BE581"/>
  <c r="BD581"/>
  <c r="BA581"/>
  <c r="AX581"/>
  <c r="AQ581"/>
  <c r="AC581"/>
  <c r="W581"/>
  <c r="J581"/>
  <c r="G581"/>
  <c r="A581"/>
  <c r="CO580"/>
  <c r="CN580"/>
  <c r="CM580"/>
  <c r="CL580"/>
  <c r="CK580"/>
  <c r="CJ580"/>
  <c r="CI580"/>
  <c r="CH580"/>
  <c r="CG580"/>
  <c r="CF580"/>
  <c r="CE580"/>
  <c r="CD580"/>
  <c r="CC580"/>
  <c r="CB580"/>
  <c r="CA580"/>
  <c r="BZ580"/>
  <c r="BY580"/>
  <c r="BX580"/>
  <c r="BW580"/>
  <c r="BV580"/>
  <c r="BU580"/>
  <c r="BT580"/>
  <c r="BS580"/>
  <c r="BR580"/>
  <c r="BQ580"/>
  <c r="BP580"/>
  <c r="BO580"/>
  <c r="BN580"/>
  <c r="BM580"/>
  <c r="BL580"/>
  <c r="BI580"/>
  <c r="BG580"/>
  <c r="BE580"/>
  <c r="BD580"/>
  <c r="BA580"/>
  <c r="AX580"/>
  <c r="AQ580"/>
  <c r="AC580"/>
  <c r="W580"/>
  <c r="J580"/>
  <c r="G580"/>
  <c r="A580"/>
  <c r="CM578"/>
  <c r="CL578"/>
  <c r="CK578"/>
  <c r="CJ578"/>
  <c r="CI578"/>
  <c r="CH578"/>
  <c r="CG578"/>
  <c r="CF578"/>
  <c r="CE578"/>
  <c r="CD578"/>
  <c r="CC578"/>
  <c r="CB578"/>
  <c r="CA578"/>
  <c r="BZ578"/>
  <c r="BY578"/>
  <c r="BX578"/>
  <c r="BW578"/>
  <c r="BV578"/>
  <c r="BU578"/>
  <c r="BT578"/>
  <c r="BS578"/>
  <c r="BR578"/>
  <c r="BQ578"/>
  <c r="BP578"/>
  <c r="BO578"/>
  <c r="BN578"/>
  <c r="BM578"/>
  <c r="BL578"/>
  <c r="BI578"/>
  <c r="BG578"/>
  <c r="BE578"/>
  <c r="BD578"/>
  <c r="BA578"/>
  <c r="AX578"/>
  <c r="AQ578"/>
  <c r="AC578"/>
  <c r="W578"/>
  <c r="J578"/>
  <c r="G578"/>
  <c r="A578"/>
  <c r="CM577"/>
  <c r="CL577"/>
  <c r="CK577"/>
  <c r="CJ577"/>
  <c r="CI577"/>
  <c r="CH577"/>
  <c r="CG577"/>
  <c r="CF577"/>
  <c r="CE577"/>
  <c r="CD577"/>
  <c r="CC577"/>
  <c r="CB577"/>
  <c r="CA577"/>
  <c r="BZ577"/>
  <c r="BY577"/>
  <c r="BX577"/>
  <c r="BW577"/>
  <c r="BV577"/>
  <c r="BU577"/>
  <c r="BT577"/>
  <c r="BS577"/>
  <c r="BR577"/>
  <c r="BQ577"/>
  <c r="BP577"/>
  <c r="BO577"/>
  <c r="BN577"/>
  <c r="BM577"/>
  <c r="BL577"/>
  <c r="BI577"/>
  <c r="BG577"/>
  <c r="BE577"/>
  <c r="BD577"/>
  <c r="BA577"/>
  <c r="AX577"/>
  <c r="AQ577"/>
  <c r="AC577"/>
  <c r="W577"/>
  <c r="J577"/>
  <c r="G577"/>
  <c r="A577"/>
  <c r="CC576"/>
  <c r="CB576"/>
  <c r="CA576"/>
  <c r="BZ576"/>
  <c r="BY576"/>
  <c r="BX576"/>
  <c r="BW576"/>
  <c r="BV576"/>
  <c r="BU576"/>
  <c r="BT576"/>
  <c r="BS576"/>
  <c r="BR576"/>
  <c r="BQ576"/>
  <c r="BP576"/>
  <c r="BO576"/>
  <c r="BN576"/>
  <c r="BM576"/>
  <c r="BL576"/>
  <c r="BG576"/>
  <c r="BE576"/>
  <c r="BD576"/>
  <c r="BA576"/>
  <c r="AX576"/>
  <c r="AQ576"/>
  <c r="AC576"/>
  <c r="W576"/>
  <c r="J576"/>
  <c r="G576"/>
  <c r="A576"/>
  <c r="CC575"/>
  <c r="CB575"/>
  <c r="CA575"/>
  <c r="BZ575"/>
  <c r="BY575"/>
  <c r="BX575"/>
  <c r="BW575"/>
  <c r="BV575"/>
  <c r="BU575"/>
  <c r="BT575"/>
  <c r="BS575"/>
  <c r="BR575"/>
  <c r="BQ575"/>
  <c r="BP575"/>
  <c r="BO575"/>
  <c r="BN575"/>
  <c r="BM575"/>
  <c r="BL575"/>
  <c r="BG575"/>
  <c r="BE575"/>
  <c r="BD575"/>
  <c r="BA575"/>
  <c r="AX575"/>
  <c r="AQ575"/>
  <c r="AC575"/>
  <c r="W575"/>
  <c r="J575"/>
  <c r="G575"/>
  <c r="A575"/>
  <c r="CC574"/>
  <c r="CB574"/>
  <c r="CA574"/>
  <c r="BZ574"/>
  <c r="BY574"/>
  <c r="BX574"/>
  <c r="BW574"/>
  <c r="BV574"/>
  <c r="BU574"/>
  <c r="BT574"/>
  <c r="BS574"/>
  <c r="BR574"/>
  <c r="BQ574"/>
  <c r="BP574"/>
  <c r="BO574"/>
  <c r="BN574"/>
  <c r="BM574"/>
  <c r="BL574"/>
  <c r="BI574"/>
  <c r="BG574"/>
  <c r="BE574"/>
  <c r="BD574"/>
  <c r="BA574"/>
  <c r="AX574"/>
  <c r="AQ574"/>
  <c r="AC574"/>
  <c r="W574"/>
  <c r="J574"/>
  <c r="G574"/>
  <c r="A574"/>
  <c r="CC573"/>
  <c r="CB573"/>
  <c r="CA573"/>
  <c r="BZ573"/>
  <c r="BY573"/>
  <c r="BX573"/>
  <c r="BW573"/>
  <c r="BV573"/>
  <c r="BU573"/>
  <c r="BT573"/>
  <c r="BS573"/>
  <c r="BR573"/>
  <c r="BQ573"/>
  <c r="BP573"/>
  <c r="BO573"/>
  <c r="BN573"/>
  <c r="BM573"/>
  <c r="BL573"/>
  <c r="BI573"/>
  <c r="BG573"/>
  <c r="BE573"/>
  <c r="BD573"/>
  <c r="BA573"/>
  <c r="AX573"/>
  <c r="AQ573"/>
  <c r="AC573"/>
  <c r="W573"/>
  <c r="J573"/>
  <c r="G573"/>
  <c r="A573"/>
  <c r="CI572"/>
  <c r="CH572"/>
  <c r="CG572"/>
  <c r="CF572"/>
  <c r="CE572"/>
  <c r="CD572"/>
  <c r="CC572"/>
  <c r="CB572"/>
  <c r="CA572"/>
  <c r="BZ572"/>
  <c r="BY572"/>
  <c r="BX572"/>
  <c r="BW572"/>
  <c r="BV572"/>
  <c r="BU572"/>
  <c r="BT572"/>
  <c r="BS572"/>
  <c r="BR572"/>
  <c r="BQ572"/>
  <c r="BP572"/>
  <c r="BO572"/>
  <c r="BN572"/>
  <c r="BM572"/>
  <c r="BL572"/>
  <c r="BI572"/>
  <c r="BG572"/>
  <c r="BE572"/>
  <c r="BD572"/>
  <c r="BA572"/>
  <c r="AX572"/>
  <c r="AQ572"/>
  <c r="AC572"/>
  <c r="W572"/>
  <c r="J572"/>
  <c r="G572"/>
  <c r="A572"/>
  <c r="CM571"/>
  <c r="CL571"/>
  <c r="CK571"/>
  <c r="CJ571"/>
  <c r="CI571"/>
  <c r="CH571"/>
  <c r="CG571"/>
  <c r="CF571"/>
  <c r="CE571"/>
  <c r="CD571"/>
  <c r="CC571"/>
  <c r="CB571"/>
  <c r="CA571"/>
  <c r="BZ571"/>
  <c r="BY571"/>
  <c r="BX571"/>
  <c r="BW571"/>
  <c r="BV571"/>
  <c r="BU571"/>
  <c r="BT571"/>
  <c r="BS571"/>
  <c r="BR571"/>
  <c r="BQ571"/>
  <c r="BP571"/>
  <c r="BO571"/>
  <c r="BN571"/>
  <c r="BM571"/>
  <c r="BL571"/>
  <c r="BI571"/>
  <c r="BG571"/>
  <c r="BE571"/>
  <c r="BD571"/>
  <c r="BA571"/>
  <c r="AX571"/>
  <c r="AQ571"/>
  <c r="AC571"/>
  <c r="W571"/>
  <c r="Q571"/>
  <c r="J571"/>
  <c r="G571"/>
  <c r="A571"/>
  <c r="CM570"/>
  <c r="CL570"/>
  <c r="CK570"/>
  <c r="CJ570"/>
  <c r="CI570"/>
  <c r="CH570"/>
  <c r="CG570"/>
  <c r="CF570"/>
  <c r="CE570"/>
  <c r="CD570"/>
  <c r="CC570"/>
  <c r="CB570"/>
  <c r="CA570"/>
  <c r="BZ570"/>
  <c r="BY570"/>
  <c r="BX570"/>
  <c r="BW570"/>
  <c r="BV570"/>
  <c r="BU570"/>
  <c r="BT570"/>
  <c r="BS570"/>
  <c r="BR570"/>
  <c r="BQ570"/>
  <c r="BP570"/>
  <c r="BO570"/>
  <c r="BN570"/>
  <c r="BM570"/>
  <c r="BL570"/>
  <c r="BI570"/>
  <c r="BG570"/>
  <c r="BE570"/>
  <c r="BD570"/>
  <c r="BA570"/>
  <c r="AX570"/>
  <c r="AQ570"/>
  <c r="AC570"/>
  <c r="W570"/>
  <c r="Q570"/>
  <c r="J570"/>
  <c r="G570"/>
  <c r="A570"/>
  <c r="CI569"/>
  <c r="CH569"/>
  <c r="CG569"/>
  <c r="CF569"/>
  <c r="CE569"/>
  <c r="CD569"/>
  <c r="CC569"/>
  <c r="CB569"/>
  <c r="CA569"/>
  <c r="BZ569"/>
  <c r="BY569"/>
  <c r="BX569"/>
  <c r="BW569"/>
  <c r="BV569"/>
  <c r="BU569"/>
  <c r="BT569"/>
  <c r="BS569"/>
  <c r="BR569"/>
  <c r="BQ569"/>
  <c r="BP569"/>
  <c r="BO569"/>
  <c r="BN569"/>
  <c r="BM569"/>
  <c r="BL569"/>
  <c r="BI569"/>
  <c r="BG569"/>
  <c r="BE569"/>
  <c r="BD569"/>
  <c r="BA569"/>
  <c r="AX569"/>
  <c r="AQ569"/>
  <c r="AC569"/>
  <c r="W569"/>
  <c r="J569"/>
  <c r="G569"/>
  <c r="A569"/>
  <c r="CI568"/>
  <c r="CH568"/>
  <c r="CG568"/>
  <c r="CF568"/>
  <c r="CE568"/>
  <c r="CD568"/>
  <c r="CC568"/>
  <c r="CB568"/>
  <c r="CA568"/>
  <c r="BZ568"/>
  <c r="BY568"/>
  <c r="BX568"/>
  <c r="BW568"/>
  <c r="BV568"/>
  <c r="BU568"/>
  <c r="BT568"/>
  <c r="BS568"/>
  <c r="BR568"/>
  <c r="BQ568"/>
  <c r="BP568"/>
  <c r="BO568"/>
  <c r="BN568"/>
  <c r="BM568"/>
  <c r="BL568"/>
  <c r="BI568"/>
  <c r="BG568"/>
  <c r="BE568"/>
  <c r="BD568"/>
  <c r="BA568"/>
  <c r="AX568"/>
  <c r="AQ568"/>
  <c r="AC568"/>
  <c r="W568"/>
  <c r="Q568"/>
  <c r="J568"/>
  <c r="G568"/>
  <c r="A568"/>
  <c r="CI567"/>
  <c r="CH567"/>
  <c r="CG567"/>
  <c r="CF567"/>
  <c r="CE567"/>
  <c r="CD567"/>
  <c r="CC567"/>
  <c r="CB567"/>
  <c r="CA567"/>
  <c r="BZ567"/>
  <c r="BY567"/>
  <c r="BX567"/>
  <c r="BW567"/>
  <c r="BV567"/>
  <c r="BU567"/>
  <c r="BT567"/>
  <c r="BS567"/>
  <c r="BR567"/>
  <c r="BQ567"/>
  <c r="BP567"/>
  <c r="BO567"/>
  <c r="BN567"/>
  <c r="BM567"/>
  <c r="BL567"/>
  <c r="BI567"/>
  <c r="BG567"/>
  <c r="BE567"/>
  <c r="BD567"/>
  <c r="BA567"/>
  <c r="AX567"/>
  <c r="AQ567"/>
  <c r="AC567"/>
  <c r="W567"/>
  <c r="J567"/>
  <c r="G567"/>
  <c r="A567"/>
  <c r="CO566"/>
  <c r="CN566"/>
  <c r="CM566"/>
  <c r="CL566"/>
  <c r="CK566"/>
  <c r="CJ566"/>
  <c r="CI566"/>
  <c r="CH566"/>
  <c r="CG566"/>
  <c r="CF566"/>
  <c r="CE566"/>
  <c r="CD566"/>
  <c r="CC566"/>
  <c r="CB566"/>
  <c r="CA566"/>
  <c r="BZ566"/>
  <c r="BY566"/>
  <c r="BX566"/>
  <c r="BW566"/>
  <c r="BV566"/>
  <c r="BU566"/>
  <c r="BT566"/>
  <c r="BS566"/>
  <c r="BR566"/>
  <c r="BQ566"/>
  <c r="BP566"/>
  <c r="BO566"/>
  <c r="BN566"/>
  <c r="BM566"/>
  <c r="BL566"/>
  <c r="BI566"/>
  <c r="BG566"/>
  <c r="BE566"/>
  <c r="BD566"/>
  <c r="BA566"/>
  <c r="AX566"/>
  <c r="AQ566"/>
  <c r="AC566"/>
  <c r="W566"/>
  <c r="J566"/>
  <c r="G566"/>
  <c r="A566"/>
  <c r="CO565"/>
  <c r="CN565"/>
  <c r="CM565"/>
  <c r="CL565"/>
  <c r="CK565"/>
  <c r="CJ565"/>
  <c r="CI565"/>
  <c r="CH565"/>
  <c r="CG565"/>
  <c r="CF565"/>
  <c r="CE565"/>
  <c r="CD565"/>
  <c r="CC565"/>
  <c r="CB565"/>
  <c r="CA565"/>
  <c r="BZ565"/>
  <c r="BY565"/>
  <c r="BX565"/>
  <c r="BW565"/>
  <c r="BV565"/>
  <c r="BU565"/>
  <c r="BT565"/>
  <c r="BS565"/>
  <c r="BR565"/>
  <c r="BQ565"/>
  <c r="BP565"/>
  <c r="BO565"/>
  <c r="BN565"/>
  <c r="BM565"/>
  <c r="BL565"/>
  <c r="BI565"/>
  <c r="BG565"/>
  <c r="BE565"/>
  <c r="BD565"/>
  <c r="BA565"/>
  <c r="AX565"/>
  <c r="AQ565"/>
  <c r="AC565"/>
  <c r="W565"/>
  <c r="J565"/>
  <c r="G565"/>
  <c r="A565"/>
  <c r="CO564"/>
  <c r="CN564"/>
  <c r="CM564"/>
  <c r="CL564"/>
  <c r="CK564"/>
  <c r="CJ564"/>
  <c r="CI564"/>
  <c r="CH564"/>
  <c r="CG564"/>
  <c r="CF564"/>
  <c r="CE564"/>
  <c r="CD564"/>
  <c r="CC564"/>
  <c r="CB564"/>
  <c r="CA564"/>
  <c r="BZ564"/>
  <c r="BY564"/>
  <c r="BX564"/>
  <c r="BW564"/>
  <c r="BV564"/>
  <c r="BU564"/>
  <c r="BT564"/>
  <c r="BS564"/>
  <c r="BR564"/>
  <c r="BQ564"/>
  <c r="BP564"/>
  <c r="BO564"/>
  <c r="BN564"/>
  <c r="BM564"/>
  <c r="BL564"/>
  <c r="BI564"/>
  <c r="BG564"/>
  <c r="BE564"/>
  <c r="BD564"/>
  <c r="BA564"/>
  <c r="AX564"/>
  <c r="AQ564"/>
  <c r="AC564"/>
  <c r="W564"/>
  <c r="J564"/>
  <c r="G564"/>
  <c r="A564"/>
  <c r="CO563"/>
  <c r="CN563"/>
  <c r="CM563"/>
  <c r="CL563"/>
  <c r="CK563"/>
  <c r="CJ563"/>
  <c r="CI563"/>
  <c r="CH563"/>
  <c r="CG563"/>
  <c r="CF563"/>
  <c r="CE563"/>
  <c r="CD563"/>
  <c r="CC563"/>
  <c r="CB563"/>
  <c r="CA563"/>
  <c r="BZ563"/>
  <c r="BY563"/>
  <c r="BX563"/>
  <c r="BW563"/>
  <c r="BV563"/>
  <c r="BU563"/>
  <c r="BT563"/>
  <c r="BS563"/>
  <c r="BR563"/>
  <c r="BQ563"/>
  <c r="BP563"/>
  <c r="BO563"/>
  <c r="BN563"/>
  <c r="BM563"/>
  <c r="BL563"/>
  <c r="BI563"/>
  <c r="BG563"/>
  <c r="BE563"/>
  <c r="BD563"/>
  <c r="BA563"/>
  <c r="AX563"/>
  <c r="AQ563"/>
  <c r="AC563"/>
  <c r="W563"/>
  <c r="J563"/>
  <c r="G563"/>
  <c r="A563"/>
  <c r="CO562"/>
  <c r="CN562"/>
  <c r="CM562"/>
  <c r="CL562"/>
  <c r="CK562"/>
  <c r="CJ562"/>
  <c r="CI562"/>
  <c r="CH562"/>
  <c r="CG562"/>
  <c r="CF562"/>
  <c r="CE562"/>
  <c r="CD562"/>
  <c r="CC562"/>
  <c r="CB562"/>
  <c r="CA562"/>
  <c r="BZ562"/>
  <c r="BY562"/>
  <c r="BX562"/>
  <c r="BW562"/>
  <c r="BV562"/>
  <c r="BU562"/>
  <c r="BT562"/>
  <c r="BS562"/>
  <c r="BR562"/>
  <c r="BQ562"/>
  <c r="BP562"/>
  <c r="BO562"/>
  <c r="BN562"/>
  <c r="BM562"/>
  <c r="BL562"/>
  <c r="BI562"/>
  <c r="BG562"/>
  <c r="BE562"/>
  <c r="BD562"/>
  <c r="BA562"/>
  <c r="AX562"/>
  <c r="AQ562"/>
  <c r="AC562"/>
  <c r="W562"/>
  <c r="J562"/>
  <c r="G562"/>
  <c r="A562"/>
  <c r="CO561"/>
  <c r="CN561"/>
  <c r="CM561"/>
  <c r="CL561"/>
  <c r="CK561"/>
  <c r="CJ561"/>
  <c r="CI561"/>
  <c r="CH561"/>
  <c r="CG561"/>
  <c r="CF561"/>
  <c r="CE561"/>
  <c r="CD561"/>
  <c r="CC561"/>
  <c r="CB561"/>
  <c r="CA561"/>
  <c r="BZ561"/>
  <c r="BY561"/>
  <c r="BX561"/>
  <c r="BW561"/>
  <c r="BV561"/>
  <c r="BU561"/>
  <c r="BT561"/>
  <c r="BS561"/>
  <c r="BR561"/>
  <c r="BQ561"/>
  <c r="BP561"/>
  <c r="BO561"/>
  <c r="BN561"/>
  <c r="BM561"/>
  <c r="BL561"/>
  <c r="BI561"/>
  <c r="BG561"/>
  <c r="BE561"/>
  <c r="BD561"/>
  <c r="BA561"/>
  <c r="AX561"/>
  <c r="AQ561"/>
  <c r="AC561"/>
  <c r="W561"/>
  <c r="J561"/>
  <c r="G561"/>
  <c r="A561"/>
  <c r="BY559"/>
  <c r="BX559"/>
  <c r="BW559"/>
  <c r="BV559"/>
  <c r="BU559"/>
  <c r="BT559"/>
  <c r="BS559"/>
  <c r="BR559"/>
  <c r="BQ559"/>
  <c r="BP559"/>
  <c r="BO559"/>
  <c r="BN559"/>
  <c r="BM559"/>
  <c r="BL559"/>
  <c r="BI559"/>
  <c r="BG559"/>
  <c r="BE559"/>
  <c r="BD559"/>
  <c r="BA559"/>
  <c r="AX559"/>
  <c r="AQ559"/>
  <c r="AC559"/>
  <c r="W559"/>
  <c r="J559"/>
  <c r="G559"/>
  <c r="A559"/>
  <c r="CE558"/>
  <c r="CD558"/>
  <c r="CC558"/>
  <c r="CB558"/>
  <c r="CA558"/>
  <c r="BZ558"/>
  <c r="BY558"/>
  <c r="BX558"/>
  <c r="BW558"/>
  <c r="BV558"/>
  <c r="BU558"/>
  <c r="BT558"/>
  <c r="BS558"/>
  <c r="BR558"/>
  <c r="BQ558"/>
  <c r="BP558"/>
  <c r="BO558"/>
  <c r="BN558"/>
  <c r="BM558"/>
  <c r="BL558"/>
  <c r="BI558"/>
  <c r="BG558"/>
  <c r="BE558"/>
  <c r="BD558"/>
  <c r="BA558"/>
  <c r="AX558"/>
  <c r="AQ558"/>
  <c r="AJ558"/>
  <c r="AC558"/>
  <c r="W558"/>
  <c r="J558"/>
  <c r="G558"/>
  <c r="A558"/>
  <c r="CE557"/>
  <c r="CD557"/>
  <c r="CC557"/>
  <c r="CB557"/>
  <c r="CA557"/>
  <c r="BZ557"/>
  <c r="BY557"/>
  <c r="BX557"/>
  <c r="BW557"/>
  <c r="BV557"/>
  <c r="BU557"/>
  <c r="BT557"/>
  <c r="BS557"/>
  <c r="BR557"/>
  <c r="BQ557"/>
  <c r="BP557"/>
  <c r="BO557"/>
  <c r="BN557"/>
  <c r="BM557"/>
  <c r="BL557"/>
  <c r="BI557"/>
  <c r="BG557"/>
  <c r="BE557"/>
  <c r="BD557"/>
  <c r="BA557"/>
  <c r="AX557"/>
  <c r="AQ557"/>
  <c r="AJ557"/>
  <c r="AC557"/>
  <c r="W557"/>
  <c r="J557"/>
  <c r="G557"/>
  <c r="A557"/>
  <c r="CG556"/>
  <c r="CF556"/>
  <c r="CE556"/>
  <c r="CD556"/>
  <c r="CC556"/>
  <c r="CB556"/>
  <c r="CA556"/>
  <c r="BZ556"/>
  <c r="BY556"/>
  <c r="BX556"/>
  <c r="BW556"/>
  <c r="BV556"/>
  <c r="BU556"/>
  <c r="BT556"/>
  <c r="BS556"/>
  <c r="BR556"/>
  <c r="BQ556"/>
  <c r="BP556"/>
  <c r="BO556"/>
  <c r="BN556"/>
  <c r="BM556"/>
  <c r="BL556"/>
  <c r="BI556"/>
  <c r="BG556"/>
  <c r="BE556"/>
  <c r="BD556"/>
  <c r="BA556"/>
  <c r="AX556"/>
  <c r="AQ556"/>
  <c r="AJ556"/>
  <c r="AC556"/>
  <c r="W556"/>
  <c r="J556"/>
  <c r="G556"/>
  <c r="A556"/>
  <c r="CG555"/>
  <c r="CF555"/>
  <c r="CE555"/>
  <c r="CD555"/>
  <c r="CC555"/>
  <c r="CB555"/>
  <c r="CA555"/>
  <c r="BZ555"/>
  <c r="BY555"/>
  <c r="BX555"/>
  <c r="BW555"/>
  <c r="BV555"/>
  <c r="BU555"/>
  <c r="BT555"/>
  <c r="BS555"/>
  <c r="BR555"/>
  <c r="BQ555"/>
  <c r="BP555"/>
  <c r="BO555"/>
  <c r="BN555"/>
  <c r="BM555"/>
  <c r="BL555"/>
  <c r="BI555"/>
  <c r="BG555"/>
  <c r="BE555"/>
  <c r="BD555"/>
  <c r="BA555"/>
  <c r="AX555"/>
  <c r="AQ555"/>
  <c r="AJ555"/>
  <c r="AC555"/>
  <c r="W555"/>
  <c r="J555"/>
  <c r="G555"/>
  <c r="A555"/>
  <c r="CM554"/>
  <c r="CL554"/>
  <c r="CK554"/>
  <c r="CJ554"/>
  <c r="CI554"/>
  <c r="CH554"/>
  <c r="CG554"/>
  <c r="CF554"/>
  <c r="CE554"/>
  <c r="CD554"/>
  <c r="CC554"/>
  <c r="CB554"/>
  <c r="CA554"/>
  <c r="BZ554"/>
  <c r="BY554"/>
  <c r="BX554"/>
  <c r="BW554"/>
  <c r="BV554"/>
  <c r="BU554"/>
  <c r="BT554"/>
  <c r="BS554"/>
  <c r="BR554"/>
  <c r="BQ554"/>
  <c r="BP554"/>
  <c r="BO554"/>
  <c r="BN554"/>
  <c r="BM554"/>
  <c r="BL554"/>
  <c r="BI554"/>
  <c r="BG554"/>
  <c r="BE554"/>
  <c r="BD554"/>
  <c r="BA554"/>
  <c r="AX554"/>
  <c r="AQ554"/>
  <c r="AJ554"/>
  <c r="AC554"/>
  <c r="W554"/>
  <c r="J554"/>
  <c r="G554"/>
  <c r="A554"/>
  <c r="CM553"/>
  <c r="CL553"/>
  <c r="CK553"/>
  <c r="CJ553"/>
  <c r="CI553"/>
  <c r="CH553"/>
  <c r="CG553"/>
  <c r="CF553"/>
  <c r="CE553"/>
  <c r="CD553"/>
  <c r="CC553"/>
  <c r="CB553"/>
  <c r="CA553"/>
  <c r="BZ553"/>
  <c r="BY553"/>
  <c r="BX553"/>
  <c r="BW553"/>
  <c r="BV553"/>
  <c r="BU553"/>
  <c r="BT553"/>
  <c r="BS553"/>
  <c r="BR553"/>
  <c r="BQ553"/>
  <c r="BP553"/>
  <c r="BO553"/>
  <c r="BN553"/>
  <c r="BM553"/>
  <c r="BL553"/>
  <c r="BI553"/>
  <c r="BG553"/>
  <c r="BE553"/>
  <c r="BD553"/>
  <c r="BA553"/>
  <c r="AX553"/>
  <c r="AQ553"/>
  <c r="AJ553"/>
  <c r="AC553"/>
  <c r="W553"/>
  <c r="J553"/>
  <c r="G553"/>
  <c r="A553"/>
  <c r="CM552"/>
  <c r="CL552"/>
  <c r="CK552"/>
  <c r="CJ552"/>
  <c r="CI552"/>
  <c r="CH552"/>
  <c r="CG552"/>
  <c r="CF552"/>
  <c r="CE552"/>
  <c r="CD552"/>
  <c r="CC552"/>
  <c r="CB552"/>
  <c r="CA552"/>
  <c r="BZ552"/>
  <c r="BY552"/>
  <c r="BX552"/>
  <c r="BW552"/>
  <c r="BV552"/>
  <c r="BU552"/>
  <c r="BT552"/>
  <c r="BS552"/>
  <c r="BR552"/>
  <c r="BQ552"/>
  <c r="BP552"/>
  <c r="BO552"/>
  <c r="BN552"/>
  <c r="BM552"/>
  <c r="BL552"/>
  <c r="BI552"/>
  <c r="BG552"/>
  <c r="BE552"/>
  <c r="BD552"/>
  <c r="BA552"/>
  <c r="AX552"/>
  <c r="AQ552"/>
  <c r="AJ552"/>
  <c r="AC552"/>
  <c r="W552"/>
  <c r="J552"/>
  <c r="G552"/>
  <c r="A552"/>
  <c r="CM551"/>
  <c r="CL551"/>
  <c r="CK551"/>
  <c r="CJ551"/>
  <c r="CI551"/>
  <c r="CH551"/>
  <c r="CG551"/>
  <c r="CF551"/>
  <c r="CE551"/>
  <c r="CD551"/>
  <c r="CC551"/>
  <c r="CB551"/>
  <c r="CA551"/>
  <c r="BZ551"/>
  <c r="BY551"/>
  <c r="BX551"/>
  <c r="BW551"/>
  <c r="BV551"/>
  <c r="BU551"/>
  <c r="BT551"/>
  <c r="BS551"/>
  <c r="BR551"/>
  <c r="BQ551"/>
  <c r="BP551"/>
  <c r="BO551"/>
  <c r="BN551"/>
  <c r="BM551"/>
  <c r="BL551"/>
  <c r="BI551"/>
  <c r="BG551"/>
  <c r="BE551"/>
  <c r="BD551"/>
  <c r="BA551"/>
  <c r="AX551"/>
  <c r="AQ551"/>
  <c r="AJ551"/>
  <c r="AC551"/>
  <c r="W551"/>
  <c r="J551"/>
  <c r="G551"/>
  <c r="A551"/>
  <c r="CK550"/>
  <c r="CJ550"/>
  <c r="CI550"/>
  <c r="CH550"/>
  <c r="CG550"/>
  <c r="CF550"/>
  <c r="CE550"/>
  <c r="CD550"/>
  <c r="CC550"/>
  <c r="CB550"/>
  <c r="CA550"/>
  <c r="BZ550"/>
  <c r="BY550"/>
  <c r="BX550"/>
  <c r="BW550"/>
  <c r="BV550"/>
  <c r="BU550"/>
  <c r="BT550"/>
  <c r="BS550"/>
  <c r="BR550"/>
  <c r="BQ550"/>
  <c r="BP550"/>
  <c r="BO550"/>
  <c r="BN550"/>
  <c r="BM550"/>
  <c r="BL550"/>
  <c r="BI550"/>
  <c r="BG550"/>
  <c r="BE550"/>
  <c r="BD550"/>
  <c r="BA550"/>
  <c r="AX550"/>
  <c r="AQ550"/>
  <c r="AJ550"/>
  <c r="AC550"/>
  <c r="W550"/>
  <c r="J550"/>
  <c r="G550"/>
  <c r="A550"/>
  <c r="CK549"/>
  <c r="CJ549"/>
  <c r="CI549"/>
  <c r="CH549"/>
  <c r="CG549"/>
  <c r="CF549"/>
  <c r="CE549"/>
  <c r="CD549"/>
  <c r="CC549"/>
  <c r="CB549"/>
  <c r="CA549"/>
  <c r="BZ549"/>
  <c r="BY549"/>
  <c r="BX549"/>
  <c r="BW549"/>
  <c r="BV549"/>
  <c r="BU549"/>
  <c r="BT549"/>
  <c r="BS549"/>
  <c r="BR549"/>
  <c r="BQ549"/>
  <c r="BP549"/>
  <c r="BO549"/>
  <c r="BN549"/>
  <c r="BM549"/>
  <c r="BL549"/>
  <c r="BI549"/>
  <c r="BG549"/>
  <c r="BE549"/>
  <c r="BD549"/>
  <c r="BA549"/>
  <c r="AX549"/>
  <c r="AQ549"/>
  <c r="AJ549"/>
  <c r="AC549"/>
  <c r="W549"/>
  <c r="J549"/>
  <c r="G549"/>
  <c r="A549"/>
  <c r="CK548"/>
  <c r="CJ548"/>
  <c r="CI548"/>
  <c r="CH548"/>
  <c r="CG548"/>
  <c r="CF548"/>
  <c r="CE548"/>
  <c r="CD548"/>
  <c r="CC548"/>
  <c r="CB548"/>
  <c r="CA548"/>
  <c r="BZ548"/>
  <c r="BY548"/>
  <c r="BX548"/>
  <c r="BW548"/>
  <c r="BV548"/>
  <c r="BU548"/>
  <c r="BT548"/>
  <c r="BS548"/>
  <c r="BR548"/>
  <c r="BQ548"/>
  <c r="BP548"/>
  <c r="BO548"/>
  <c r="BN548"/>
  <c r="BM548"/>
  <c r="BL548"/>
  <c r="BI548"/>
  <c r="BG548"/>
  <c r="BE548"/>
  <c r="BD548"/>
  <c r="BA548"/>
  <c r="AX548"/>
  <c r="AQ548"/>
  <c r="AJ548"/>
  <c r="AC548"/>
  <c r="W548"/>
  <c r="J548"/>
  <c r="G548"/>
  <c r="A548"/>
  <c r="CO547"/>
  <c r="CN547"/>
  <c r="CM547"/>
  <c r="CL547"/>
  <c r="CK547"/>
  <c r="CJ547"/>
  <c r="CI547"/>
  <c r="CH547"/>
  <c r="CG547"/>
  <c r="CF547"/>
  <c r="CE547"/>
  <c r="CD547"/>
  <c r="CC547"/>
  <c r="CB547"/>
  <c r="CA547"/>
  <c r="BZ547"/>
  <c r="BY547"/>
  <c r="BX547"/>
  <c r="BW547"/>
  <c r="BV547"/>
  <c r="BU547"/>
  <c r="BT547"/>
  <c r="BS547"/>
  <c r="BR547"/>
  <c r="BQ547"/>
  <c r="BP547"/>
  <c r="BO547"/>
  <c r="BN547"/>
  <c r="BM547"/>
  <c r="BL547"/>
  <c r="BI547"/>
  <c r="BG547"/>
  <c r="BE547"/>
  <c r="BD547"/>
  <c r="BA547"/>
  <c r="AX547"/>
  <c r="AQ547"/>
  <c r="AJ547"/>
  <c r="AC547"/>
  <c r="W547"/>
  <c r="J547"/>
  <c r="G547"/>
  <c r="A547"/>
  <c r="CO546"/>
  <c r="CN546"/>
  <c r="CM546"/>
  <c r="CL546"/>
  <c r="CK546"/>
  <c r="CJ546"/>
  <c r="CI546"/>
  <c r="CH546"/>
  <c r="CG546"/>
  <c r="CF546"/>
  <c r="CE546"/>
  <c r="CD546"/>
  <c r="CC546"/>
  <c r="CB546"/>
  <c r="CA546"/>
  <c r="BZ546"/>
  <c r="BY546"/>
  <c r="BX546"/>
  <c r="BW546"/>
  <c r="BV546"/>
  <c r="BU546"/>
  <c r="BT546"/>
  <c r="BS546"/>
  <c r="BR546"/>
  <c r="BQ546"/>
  <c r="BP546"/>
  <c r="BO546"/>
  <c r="BN546"/>
  <c r="BM546"/>
  <c r="BL546"/>
  <c r="BI546"/>
  <c r="BG546"/>
  <c r="BE546"/>
  <c r="BD546"/>
  <c r="BA546"/>
  <c r="AX546"/>
  <c r="AQ546"/>
  <c r="AJ546"/>
  <c r="AC546"/>
  <c r="W546"/>
  <c r="J546"/>
  <c r="G546"/>
  <c r="A546"/>
  <c r="CO545"/>
  <c r="CN545"/>
  <c r="CM545"/>
  <c r="CL545"/>
  <c r="CK545"/>
  <c r="CJ545"/>
  <c r="CI545"/>
  <c r="CH545"/>
  <c r="CG545"/>
  <c r="CF545"/>
  <c r="CE545"/>
  <c r="CD545"/>
  <c r="CC545"/>
  <c r="CB545"/>
  <c r="CA545"/>
  <c r="BZ545"/>
  <c r="BY545"/>
  <c r="BX545"/>
  <c r="BW545"/>
  <c r="BV545"/>
  <c r="BU545"/>
  <c r="BT545"/>
  <c r="BS545"/>
  <c r="BR545"/>
  <c r="BQ545"/>
  <c r="BP545"/>
  <c r="BO545"/>
  <c r="BN545"/>
  <c r="BM545"/>
  <c r="BL545"/>
  <c r="BI545"/>
  <c r="BG545"/>
  <c r="BE545"/>
  <c r="BD545"/>
  <c r="BA545"/>
  <c r="AX545"/>
  <c r="AQ545"/>
  <c r="AJ545"/>
  <c r="AC545"/>
  <c r="W545"/>
  <c r="J545"/>
  <c r="G545"/>
  <c r="A545"/>
  <c r="CO544"/>
  <c r="CN544"/>
  <c r="CM544"/>
  <c r="CL544"/>
  <c r="CK544"/>
  <c r="CJ544"/>
  <c r="CI544"/>
  <c r="CH544"/>
  <c r="CG544"/>
  <c r="CF544"/>
  <c r="CE544"/>
  <c r="CD544"/>
  <c r="CC544"/>
  <c r="CB544"/>
  <c r="CA544"/>
  <c r="BZ544"/>
  <c r="BY544"/>
  <c r="BX544"/>
  <c r="BW544"/>
  <c r="BV544"/>
  <c r="BU544"/>
  <c r="BT544"/>
  <c r="BS544"/>
  <c r="BR544"/>
  <c r="BQ544"/>
  <c r="BP544"/>
  <c r="BO544"/>
  <c r="BN544"/>
  <c r="BM544"/>
  <c r="BL544"/>
  <c r="BI544"/>
  <c r="BG544"/>
  <c r="BE544"/>
  <c r="BD544"/>
  <c r="BA544"/>
  <c r="AX544"/>
  <c r="AQ544"/>
  <c r="AJ544"/>
  <c r="AC544"/>
  <c r="W544"/>
  <c r="J544"/>
  <c r="G544"/>
  <c r="A544"/>
  <c r="CO543"/>
  <c r="CN543"/>
  <c r="CM543"/>
  <c r="CL543"/>
  <c r="CK543"/>
  <c r="CJ543"/>
  <c r="CI543"/>
  <c r="CH543"/>
  <c r="CG543"/>
  <c r="CF543"/>
  <c r="CE543"/>
  <c r="CD543"/>
  <c r="CC543"/>
  <c r="CB543"/>
  <c r="CA543"/>
  <c r="BZ543"/>
  <c r="BY543"/>
  <c r="BX543"/>
  <c r="BW543"/>
  <c r="BV543"/>
  <c r="BU543"/>
  <c r="BT543"/>
  <c r="BS543"/>
  <c r="BR543"/>
  <c r="BQ543"/>
  <c r="BP543"/>
  <c r="BO543"/>
  <c r="BN543"/>
  <c r="BM543"/>
  <c r="BL543"/>
  <c r="BI543"/>
  <c r="BG543"/>
  <c r="BE543"/>
  <c r="BD543"/>
  <c r="BA543"/>
  <c r="AX543"/>
  <c r="AQ543"/>
  <c r="AJ543"/>
  <c r="AC543"/>
  <c r="W543"/>
  <c r="J543"/>
  <c r="G543"/>
  <c r="A543"/>
  <c r="BU541"/>
  <c r="BT541"/>
  <c r="BS541"/>
  <c r="BR541"/>
  <c r="BQ541"/>
  <c r="BP541"/>
  <c r="BO541"/>
  <c r="BN541"/>
  <c r="BM541"/>
  <c r="BL541"/>
  <c r="BI541"/>
  <c r="BG541"/>
  <c r="BE541"/>
  <c r="BD541"/>
  <c r="BA541"/>
  <c r="AX541"/>
  <c r="AQ541"/>
  <c r="AJ541"/>
  <c r="AC541"/>
  <c r="W541"/>
  <c r="J541"/>
  <c r="G541"/>
  <c r="A541"/>
  <c r="CA540"/>
  <c r="BZ540"/>
  <c r="BY540"/>
  <c r="BX540"/>
  <c r="BW540"/>
  <c r="BV540"/>
  <c r="BU540"/>
  <c r="BT540"/>
  <c r="BS540"/>
  <c r="BR540"/>
  <c r="BQ540"/>
  <c r="BP540"/>
  <c r="BO540"/>
  <c r="BN540"/>
  <c r="BM540"/>
  <c r="BL540"/>
  <c r="BG540"/>
  <c r="BE540"/>
  <c r="BD540"/>
  <c r="BA540"/>
  <c r="AX540"/>
  <c r="AQ540"/>
  <c r="AJ540"/>
  <c r="AC540"/>
  <c r="W540"/>
  <c r="J540"/>
  <c r="G540"/>
  <c r="A540"/>
  <c r="CA539"/>
  <c r="BZ539"/>
  <c r="BY539"/>
  <c r="BX539"/>
  <c r="BW539"/>
  <c r="BV539"/>
  <c r="BU539"/>
  <c r="BT539"/>
  <c r="BS539"/>
  <c r="BR539"/>
  <c r="BQ539"/>
  <c r="BP539"/>
  <c r="BO539"/>
  <c r="BN539"/>
  <c r="BM539"/>
  <c r="BL539"/>
  <c r="BI539"/>
  <c r="BG539"/>
  <c r="BE539"/>
  <c r="BD539"/>
  <c r="BA539"/>
  <c r="AX539"/>
  <c r="AQ539"/>
  <c r="AJ539"/>
  <c r="AC539"/>
  <c r="W539"/>
  <c r="J539"/>
  <c r="G539"/>
  <c r="A539"/>
  <c r="CC538"/>
  <c r="CB538"/>
  <c r="CA538"/>
  <c r="BZ538"/>
  <c r="BY538"/>
  <c r="BX538"/>
  <c r="BW538"/>
  <c r="BV538"/>
  <c r="BU538"/>
  <c r="BT538"/>
  <c r="BS538"/>
  <c r="BR538"/>
  <c r="BQ538"/>
  <c r="BP538"/>
  <c r="BO538"/>
  <c r="BN538"/>
  <c r="BM538"/>
  <c r="BL538"/>
  <c r="BI538"/>
  <c r="BG538"/>
  <c r="BE538"/>
  <c r="BD538"/>
  <c r="BA538"/>
  <c r="AX538"/>
  <c r="AQ538"/>
  <c r="AJ538"/>
  <c r="AC538"/>
  <c r="W538"/>
  <c r="J538"/>
  <c r="G538"/>
  <c r="A538"/>
  <c r="CC537"/>
  <c r="CB537"/>
  <c r="CA537"/>
  <c r="BZ537"/>
  <c r="BY537"/>
  <c r="BX537"/>
  <c r="BW537"/>
  <c r="BV537"/>
  <c r="BU537"/>
  <c r="BT537"/>
  <c r="BS537"/>
  <c r="BR537"/>
  <c r="BQ537"/>
  <c r="BP537"/>
  <c r="BO537"/>
  <c r="BN537"/>
  <c r="BM537"/>
  <c r="BL537"/>
  <c r="BI537"/>
  <c r="BG537"/>
  <c r="BE537"/>
  <c r="BD537"/>
  <c r="BA537"/>
  <c r="AX537"/>
  <c r="AQ537"/>
  <c r="AJ537"/>
  <c r="AC537"/>
  <c r="W537"/>
  <c r="J537"/>
  <c r="G537"/>
  <c r="A537"/>
  <c r="CK536"/>
  <c r="CJ536"/>
  <c r="CI536"/>
  <c r="CH536"/>
  <c r="CG536"/>
  <c r="CF536"/>
  <c r="CE536"/>
  <c r="CD536"/>
  <c r="CC536"/>
  <c r="CB536"/>
  <c r="CA536"/>
  <c r="BZ536"/>
  <c r="BY536"/>
  <c r="BX536"/>
  <c r="BW536"/>
  <c r="BV536"/>
  <c r="BU536"/>
  <c r="BT536"/>
  <c r="BS536"/>
  <c r="BR536"/>
  <c r="BQ536"/>
  <c r="BP536"/>
  <c r="BO536"/>
  <c r="BN536"/>
  <c r="BM536"/>
  <c r="BL536"/>
  <c r="BI536"/>
  <c r="BG536"/>
  <c r="BE536"/>
  <c r="BD536"/>
  <c r="BA536"/>
  <c r="AX536"/>
  <c r="AQ536"/>
  <c r="AJ536"/>
  <c r="AC536"/>
  <c r="W536"/>
  <c r="J536"/>
  <c r="G536"/>
  <c r="A536"/>
  <c r="CK535"/>
  <c r="CJ535"/>
  <c r="CI535"/>
  <c r="CH535"/>
  <c r="CG535"/>
  <c r="CF535"/>
  <c r="CE535"/>
  <c r="CD535"/>
  <c r="CC535"/>
  <c r="CB535"/>
  <c r="CA535"/>
  <c r="BZ535"/>
  <c r="BY535"/>
  <c r="BX535"/>
  <c r="BW535"/>
  <c r="BV535"/>
  <c r="BU535"/>
  <c r="BT535"/>
  <c r="BS535"/>
  <c r="BR535"/>
  <c r="BQ535"/>
  <c r="BP535"/>
  <c r="BO535"/>
  <c r="BN535"/>
  <c r="BM535"/>
  <c r="BL535"/>
  <c r="BI535"/>
  <c r="BG535"/>
  <c r="BE535"/>
  <c r="BD535"/>
  <c r="BA535"/>
  <c r="AX535"/>
  <c r="AQ535"/>
  <c r="AJ535"/>
  <c r="AC535"/>
  <c r="W535"/>
  <c r="J535"/>
  <c r="G535"/>
  <c r="A535"/>
  <c r="CK534"/>
  <c r="CJ534"/>
  <c r="CI534"/>
  <c r="CH534"/>
  <c r="CG534"/>
  <c r="CF534"/>
  <c r="CE534"/>
  <c r="CD534"/>
  <c r="CC534"/>
  <c r="CB534"/>
  <c r="CA534"/>
  <c r="BZ534"/>
  <c r="BY534"/>
  <c r="BX534"/>
  <c r="BW534"/>
  <c r="BV534"/>
  <c r="BU534"/>
  <c r="BT534"/>
  <c r="BS534"/>
  <c r="BR534"/>
  <c r="BQ534"/>
  <c r="BP534"/>
  <c r="BO534"/>
  <c r="BN534"/>
  <c r="BM534"/>
  <c r="BL534"/>
  <c r="BI534"/>
  <c r="BG534"/>
  <c r="BE534"/>
  <c r="BD534"/>
  <c r="BA534"/>
  <c r="AX534"/>
  <c r="AQ534"/>
  <c r="AJ534"/>
  <c r="AC534"/>
  <c r="W534"/>
  <c r="J534"/>
  <c r="G534"/>
  <c r="A534"/>
  <c r="CK533"/>
  <c r="CJ533"/>
  <c r="CI533"/>
  <c r="CH533"/>
  <c r="CG533"/>
  <c r="CF533"/>
  <c r="CE533"/>
  <c r="CD533"/>
  <c r="CC533"/>
  <c r="CB533"/>
  <c r="CA533"/>
  <c r="BZ533"/>
  <c r="BY533"/>
  <c r="BX533"/>
  <c r="BW533"/>
  <c r="BV533"/>
  <c r="BU533"/>
  <c r="BT533"/>
  <c r="BS533"/>
  <c r="BR533"/>
  <c r="BQ533"/>
  <c r="BP533"/>
  <c r="BO533"/>
  <c r="BN533"/>
  <c r="BM533"/>
  <c r="BL533"/>
  <c r="BI533"/>
  <c r="BG533"/>
  <c r="BE533"/>
  <c r="BD533"/>
  <c r="BA533"/>
  <c r="AX533"/>
  <c r="AQ533"/>
  <c r="AJ533"/>
  <c r="AC533"/>
  <c r="W533"/>
  <c r="J533"/>
  <c r="G533"/>
  <c r="A533"/>
  <c r="CG532"/>
  <c r="CF532"/>
  <c r="CE532"/>
  <c r="CD532"/>
  <c r="CC532"/>
  <c r="CB532"/>
  <c r="CA532"/>
  <c r="BZ532"/>
  <c r="BY532"/>
  <c r="BX532"/>
  <c r="BW532"/>
  <c r="BV532"/>
  <c r="BU532"/>
  <c r="BT532"/>
  <c r="BS532"/>
  <c r="BR532"/>
  <c r="BQ532"/>
  <c r="BP532"/>
  <c r="BO532"/>
  <c r="BN532"/>
  <c r="BM532"/>
  <c r="BL532"/>
  <c r="BI532"/>
  <c r="BG532"/>
  <c r="BE532"/>
  <c r="BD532"/>
  <c r="BA532"/>
  <c r="AX532"/>
  <c r="AQ532"/>
  <c r="AJ532"/>
  <c r="AC532"/>
  <c r="W532"/>
  <c r="J532"/>
  <c r="G532"/>
  <c r="A532"/>
  <c r="CI531"/>
  <c r="CH531"/>
  <c r="CG531"/>
  <c r="CF531"/>
  <c r="CE531"/>
  <c r="CD531"/>
  <c r="CC531"/>
  <c r="CB531"/>
  <c r="CA531"/>
  <c r="BZ531"/>
  <c r="BY531"/>
  <c r="BX531"/>
  <c r="BW531"/>
  <c r="BV531"/>
  <c r="BU531"/>
  <c r="BT531"/>
  <c r="BS531"/>
  <c r="BR531"/>
  <c r="BQ531"/>
  <c r="BP531"/>
  <c r="BO531"/>
  <c r="BN531"/>
  <c r="BM531"/>
  <c r="BL531"/>
  <c r="BI531"/>
  <c r="BG531"/>
  <c r="BE531"/>
  <c r="BD531"/>
  <c r="BA531"/>
  <c r="AX531"/>
  <c r="AQ531"/>
  <c r="AJ531"/>
  <c r="AC531"/>
  <c r="W531"/>
  <c r="J531"/>
  <c r="G531"/>
  <c r="A531"/>
  <c r="CI530"/>
  <c r="CH530"/>
  <c r="CG530"/>
  <c r="CF530"/>
  <c r="CE530"/>
  <c r="CD530"/>
  <c r="CC530"/>
  <c r="CB530"/>
  <c r="CA530"/>
  <c r="BZ530"/>
  <c r="BY530"/>
  <c r="BX530"/>
  <c r="BW530"/>
  <c r="BV530"/>
  <c r="BU530"/>
  <c r="BT530"/>
  <c r="BS530"/>
  <c r="BR530"/>
  <c r="BQ530"/>
  <c r="BP530"/>
  <c r="BO530"/>
  <c r="BN530"/>
  <c r="BM530"/>
  <c r="BL530"/>
  <c r="BI530"/>
  <c r="BG530"/>
  <c r="BE530"/>
  <c r="BD530"/>
  <c r="BA530"/>
  <c r="AX530"/>
  <c r="AQ530"/>
  <c r="AJ530"/>
  <c r="AC530"/>
  <c r="W530"/>
  <c r="J530"/>
  <c r="G530"/>
  <c r="A530"/>
  <c r="CO529"/>
  <c r="CN529"/>
  <c r="CM529"/>
  <c r="CL529"/>
  <c r="CK529"/>
  <c r="CJ529"/>
  <c r="CI529"/>
  <c r="CH529"/>
  <c r="CG529"/>
  <c r="CF529"/>
  <c r="CE529"/>
  <c r="CD529"/>
  <c r="CC529"/>
  <c r="CB529"/>
  <c r="CA529"/>
  <c r="BZ529"/>
  <c r="BY529"/>
  <c r="BX529"/>
  <c r="BW529"/>
  <c r="BV529"/>
  <c r="BU529"/>
  <c r="BT529"/>
  <c r="BS529"/>
  <c r="BR529"/>
  <c r="BQ529"/>
  <c r="BP529"/>
  <c r="BO529"/>
  <c r="BN529"/>
  <c r="BM529"/>
  <c r="BL529"/>
  <c r="BI529"/>
  <c r="BG529"/>
  <c r="BE529"/>
  <c r="BD529"/>
  <c r="BA529"/>
  <c r="AX529"/>
  <c r="AQ529"/>
  <c r="AJ529"/>
  <c r="AC529"/>
  <c r="W529"/>
  <c r="J529"/>
  <c r="G529"/>
  <c r="A529"/>
  <c r="CO528"/>
  <c r="CN528"/>
  <c r="CM528"/>
  <c r="CL528"/>
  <c r="CK528"/>
  <c r="CJ528"/>
  <c r="CI528"/>
  <c r="CH528"/>
  <c r="CG528"/>
  <c r="CF528"/>
  <c r="CE528"/>
  <c r="CD528"/>
  <c r="CC528"/>
  <c r="CB528"/>
  <c r="CA528"/>
  <c r="BZ528"/>
  <c r="BY528"/>
  <c r="BX528"/>
  <c r="BW528"/>
  <c r="BV528"/>
  <c r="BU528"/>
  <c r="BT528"/>
  <c r="BS528"/>
  <c r="BR528"/>
  <c r="BQ528"/>
  <c r="BP528"/>
  <c r="BO528"/>
  <c r="BN528"/>
  <c r="BM528"/>
  <c r="BL528"/>
  <c r="BI528"/>
  <c r="BG528"/>
  <c r="BE528"/>
  <c r="BD528"/>
  <c r="BA528"/>
  <c r="AX528"/>
  <c r="AQ528"/>
  <c r="AJ528"/>
  <c r="AC528"/>
  <c r="W528"/>
  <c r="J528"/>
  <c r="G528"/>
  <c r="A528"/>
  <c r="CO527"/>
  <c r="CN527"/>
  <c r="CM527"/>
  <c r="CL527"/>
  <c r="CK527"/>
  <c r="CJ527"/>
  <c r="CI527"/>
  <c r="CH527"/>
  <c r="CG527"/>
  <c r="CF527"/>
  <c r="CE527"/>
  <c r="CD527"/>
  <c r="CC527"/>
  <c r="CB527"/>
  <c r="CA527"/>
  <c r="BZ527"/>
  <c r="BY527"/>
  <c r="BX527"/>
  <c r="BW527"/>
  <c r="BV527"/>
  <c r="BU527"/>
  <c r="BT527"/>
  <c r="BS527"/>
  <c r="BR527"/>
  <c r="BQ527"/>
  <c r="BP527"/>
  <c r="BO527"/>
  <c r="BN527"/>
  <c r="BM527"/>
  <c r="BL527"/>
  <c r="BI527"/>
  <c r="BG527"/>
  <c r="BE527"/>
  <c r="BD527"/>
  <c r="BA527"/>
  <c r="AX527"/>
  <c r="AQ527"/>
  <c r="AJ527"/>
  <c r="AC527"/>
  <c r="W527"/>
  <c r="J527"/>
  <c r="G527"/>
  <c r="A527"/>
  <c r="CO526"/>
  <c r="CN526"/>
  <c r="CM526"/>
  <c r="CL526"/>
  <c r="CK526"/>
  <c r="CJ526"/>
  <c r="CI526"/>
  <c r="CH526"/>
  <c r="CG526"/>
  <c r="CF526"/>
  <c r="CE526"/>
  <c r="CD526"/>
  <c r="CC526"/>
  <c r="CB526"/>
  <c r="CA526"/>
  <c r="BZ526"/>
  <c r="BY526"/>
  <c r="BX526"/>
  <c r="BW526"/>
  <c r="BV526"/>
  <c r="BU526"/>
  <c r="BT526"/>
  <c r="BS526"/>
  <c r="BR526"/>
  <c r="BQ526"/>
  <c r="BP526"/>
  <c r="BO526"/>
  <c r="BN526"/>
  <c r="BM526"/>
  <c r="BL526"/>
  <c r="BI526"/>
  <c r="BG526"/>
  <c r="BE526"/>
  <c r="BD526"/>
  <c r="BA526"/>
  <c r="AX526"/>
  <c r="AQ526"/>
  <c r="AJ526"/>
  <c r="AC526"/>
  <c r="W526"/>
  <c r="J526"/>
  <c r="G526"/>
  <c r="A526"/>
  <c r="CO525"/>
  <c r="CN525"/>
  <c r="CM525"/>
  <c r="CL525"/>
  <c r="CK525"/>
  <c r="CJ525"/>
  <c r="CI525"/>
  <c r="CH525"/>
  <c r="CG525"/>
  <c r="CF525"/>
  <c r="CE525"/>
  <c r="CD525"/>
  <c r="CC525"/>
  <c r="CB525"/>
  <c r="CA525"/>
  <c r="BZ525"/>
  <c r="BY525"/>
  <c r="BX525"/>
  <c r="BW525"/>
  <c r="BV525"/>
  <c r="BU525"/>
  <c r="BT525"/>
  <c r="BS525"/>
  <c r="BR525"/>
  <c r="BQ525"/>
  <c r="BP525"/>
  <c r="BO525"/>
  <c r="BN525"/>
  <c r="BM525"/>
  <c r="BL525"/>
  <c r="BI525"/>
  <c r="BG525"/>
  <c r="BE525"/>
  <c r="BD525"/>
  <c r="BA525"/>
  <c r="AX525"/>
  <c r="AQ525"/>
  <c r="AJ525"/>
  <c r="AC525"/>
  <c r="W525"/>
  <c r="J525"/>
  <c r="G525"/>
  <c r="A525"/>
  <c r="CO524"/>
  <c r="CN524"/>
  <c r="CM524"/>
  <c r="CL524"/>
  <c r="CK524"/>
  <c r="CJ524"/>
  <c r="CI524"/>
  <c r="CH524"/>
  <c r="CG524"/>
  <c r="CF524"/>
  <c r="CE524"/>
  <c r="CD524"/>
  <c r="CC524"/>
  <c r="CB524"/>
  <c r="CA524"/>
  <c r="BZ524"/>
  <c r="BY524"/>
  <c r="BX524"/>
  <c r="BW524"/>
  <c r="BV524"/>
  <c r="BU524"/>
  <c r="BT524"/>
  <c r="BS524"/>
  <c r="BR524"/>
  <c r="BQ524"/>
  <c r="BP524"/>
  <c r="BO524"/>
  <c r="BN524"/>
  <c r="BM524"/>
  <c r="BL524"/>
  <c r="BI524"/>
  <c r="BG524"/>
  <c r="BE524"/>
  <c r="BD524"/>
  <c r="BA524"/>
  <c r="AX524"/>
  <c r="AQ524"/>
  <c r="AJ524"/>
  <c r="AC524"/>
  <c r="W524"/>
  <c r="J524"/>
  <c r="G524"/>
  <c r="A524"/>
  <c r="BW522"/>
  <c r="BV522"/>
  <c r="BU522"/>
  <c r="BT522"/>
  <c r="BS522"/>
  <c r="BR522"/>
  <c r="BQ522"/>
  <c r="BP522"/>
  <c r="BO522"/>
  <c r="BN522"/>
  <c r="BM522"/>
  <c r="BL522"/>
  <c r="BI522"/>
  <c r="BG522"/>
  <c r="BE522"/>
  <c r="BD522"/>
  <c r="BA522"/>
  <c r="AX522"/>
  <c r="AQ522"/>
  <c r="AJ522"/>
  <c r="AC522"/>
  <c r="W522"/>
  <c r="J522"/>
  <c r="G522"/>
  <c r="A522"/>
  <c r="CA521"/>
  <c r="BZ521"/>
  <c r="BY521"/>
  <c r="BX521"/>
  <c r="BW521"/>
  <c r="BV521"/>
  <c r="BU521"/>
  <c r="BT521"/>
  <c r="BS521"/>
  <c r="BR521"/>
  <c r="BQ521"/>
  <c r="BP521"/>
  <c r="BO521"/>
  <c r="BN521"/>
  <c r="BM521"/>
  <c r="BL521"/>
  <c r="BI521"/>
  <c r="BG521"/>
  <c r="BE521"/>
  <c r="BD521"/>
  <c r="BA521"/>
  <c r="AX521"/>
  <c r="AQ521"/>
  <c r="AJ521"/>
  <c r="AC521"/>
  <c r="W521"/>
  <c r="J521"/>
  <c r="G521"/>
  <c r="A521"/>
  <c r="CE520"/>
  <c r="CD520"/>
  <c r="CC520"/>
  <c r="CB520"/>
  <c r="CA520"/>
  <c r="BZ520"/>
  <c r="BY520"/>
  <c r="BX520"/>
  <c r="BW520"/>
  <c r="BV520"/>
  <c r="BU520"/>
  <c r="BT520"/>
  <c r="BS520"/>
  <c r="BR520"/>
  <c r="BQ520"/>
  <c r="BP520"/>
  <c r="BO520"/>
  <c r="BN520"/>
  <c r="BM520"/>
  <c r="BL520"/>
  <c r="BI520"/>
  <c r="BG520"/>
  <c r="BE520"/>
  <c r="BD520"/>
  <c r="BA520"/>
  <c r="AX520"/>
  <c r="AQ520"/>
  <c r="AJ520"/>
  <c r="AC520"/>
  <c r="W520"/>
  <c r="J520"/>
  <c r="G520"/>
  <c r="A520"/>
  <c r="CE519"/>
  <c r="CD519"/>
  <c r="CC519"/>
  <c r="CB519"/>
  <c r="CA519"/>
  <c r="BZ519"/>
  <c r="BY519"/>
  <c r="BX519"/>
  <c r="BW519"/>
  <c r="BV519"/>
  <c r="BU519"/>
  <c r="BT519"/>
  <c r="BS519"/>
  <c r="BR519"/>
  <c r="BQ519"/>
  <c r="BP519"/>
  <c r="BO519"/>
  <c r="BN519"/>
  <c r="BM519"/>
  <c r="BL519"/>
  <c r="BI519"/>
  <c r="BG519"/>
  <c r="BE519"/>
  <c r="BD519"/>
  <c r="BA519"/>
  <c r="AX519"/>
  <c r="AQ519"/>
  <c r="AJ519"/>
  <c r="AC519"/>
  <c r="W519"/>
  <c r="J519"/>
  <c r="G519"/>
  <c r="A519"/>
  <c r="CI518"/>
  <c r="CH518"/>
  <c r="CG518"/>
  <c r="CF518"/>
  <c r="CE518"/>
  <c r="CD518"/>
  <c r="CC518"/>
  <c r="CB518"/>
  <c r="CA518"/>
  <c r="BZ518"/>
  <c r="BY518"/>
  <c r="BX518"/>
  <c r="BW518"/>
  <c r="BV518"/>
  <c r="BU518"/>
  <c r="BT518"/>
  <c r="BS518"/>
  <c r="BR518"/>
  <c r="BQ518"/>
  <c r="BP518"/>
  <c r="BO518"/>
  <c r="BN518"/>
  <c r="BM518"/>
  <c r="BL518"/>
  <c r="BI518"/>
  <c r="BG518"/>
  <c r="BE518"/>
  <c r="BD518"/>
  <c r="BA518"/>
  <c r="AX518"/>
  <c r="AQ518"/>
  <c r="AJ518"/>
  <c r="AC518"/>
  <c r="W518"/>
  <c r="J518"/>
  <c r="G518"/>
  <c r="A518"/>
  <c r="CI517"/>
  <c r="CH517"/>
  <c r="CG517"/>
  <c r="CF517"/>
  <c r="CE517"/>
  <c r="CD517"/>
  <c r="CC517"/>
  <c r="CB517"/>
  <c r="CA517"/>
  <c r="BZ517"/>
  <c r="BY517"/>
  <c r="BX517"/>
  <c r="BW517"/>
  <c r="BV517"/>
  <c r="BU517"/>
  <c r="BT517"/>
  <c r="BS517"/>
  <c r="BR517"/>
  <c r="BQ517"/>
  <c r="BP517"/>
  <c r="BO517"/>
  <c r="BN517"/>
  <c r="BM517"/>
  <c r="BL517"/>
  <c r="BI517"/>
  <c r="BG517"/>
  <c r="BE517"/>
  <c r="BD517"/>
  <c r="BA517"/>
  <c r="AX517"/>
  <c r="AQ517"/>
  <c r="AJ517"/>
  <c r="AC517"/>
  <c r="W517"/>
  <c r="J517"/>
  <c r="G517"/>
  <c r="A517"/>
  <c r="CK516"/>
  <c r="CJ516"/>
  <c r="CI516"/>
  <c r="CH516"/>
  <c r="CG516"/>
  <c r="CF516"/>
  <c r="CE516"/>
  <c r="CD516"/>
  <c r="CC516"/>
  <c r="CB516"/>
  <c r="CA516"/>
  <c r="BZ516"/>
  <c r="BY516"/>
  <c r="BX516"/>
  <c r="BW516"/>
  <c r="BV516"/>
  <c r="BU516"/>
  <c r="BT516"/>
  <c r="BS516"/>
  <c r="BR516"/>
  <c r="BQ516"/>
  <c r="BP516"/>
  <c r="BO516"/>
  <c r="BN516"/>
  <c r="BM516"/>
  <c r="BL516"/>
  <c r="BI516"/>
  <c r="BG516"/>
  <c r="BE516"/>
  <c r="BD516"/>
  <c r="BA516"/>
  <c r="AX516"/>
  <c r="AQ516"/>
  <c r="AJ516"/>
  <c r="AC516"/>
  <c r="W516"/>
  <c r="J516"/>
  <c r="G516"/>
  <c r="A516"/>
  <c r="CK515"/>
  <c r="CJ515"/>
  <c r="CI515"/>
  <c r="CH515"/>
  <c r="CG515"/>
  <c r="CF515"/>
  <c r="CE515"/>
  <c r="CD515"/>
  <c r="CC515"/>
  <c r="CB515"/>
  <c r="CA515"/>
  <c r="BZ515"/>
  <c r="BY515"/>
  <c r="BX515"/>
  <c r="BW515"/>
  <c r="BV515"/>
  <c r="BU515"/>
  <c r="BT515"/>
  <c r="BS515"/>
  <c r="BR515"/>
  <c r="BQ515"/>
  <c r="BP515"/>
  <c r="BO515"/>
  <c r="BN515"/>
  <c r="BM515"/>
  <c r="BL515"/>
  <c r="BI515"/>
  <c r="BG515"/>
  <c r="BE515"/>
  <c r="BD515"/>
  <c r="BA515"/>
  <c r="AX515"/>
  <c r="AQ515"/>
  <c r="AJ515"/>
  <c r="AC515"/>
  <c r="W515"/>
  <c r="Q515"/>
  <c r="J515"/>
  <c r="G515"/>
  <c r="A515"/>
  <c r="CI514"/>
  <c r="CH514"/>
  <c r="CG514"/>
  <c r="CF514"/>
  <c r="CE514"/>
  <c r="CD514"/>
  <c r="CC514"/>
  <c r="CB514"/>
  <c r="CA514"/>
  <c r="BZ514"/>
  <c r="BY514"/>
  <c r="BX514"/>
  <c r="BW514"/>
  <c r="BV514"/>
  <c r="BU514"/>
  <c r="BT514"/>
  <c r="BS514"/>
  <c r="BR514"/>
  <c r="BQ514"/>
  <c r="BP514"/>
  <c r="BO514"/>
  <c r="BN514"/>
  <c r="BM514"/>
  <c r="BL514"/>
  <c r="BI514"/>
  <c r="BG514"/>
  <c r="BE514"/>
  <c r="BD514"/>
  <c r="BA514"/>
  <c r="AX514"/>
  <c r="AQ514"/>
  <c r="AJ514"/>
  <c r="AC514"/>
  <c r="W514"/>
  <c r="J514"/>
  <c r="G514"/>
  <c r="A514"/>
  <c r="CG513"/>
  <c r="CF513"/>
  <c r="CE513"/>
  <c r="CD513"/>
  <c r="CC513"/>
  <c r="CB513"/>
  <c r="CA513"/>
  <c r="BZ513"/>
  <c r="BY513"/>
  <c r="BX513"/>
  <c r="BW513"/>
  <c r="BV513"/>
  <c r="BU513"/>
  <c r="BT513"/>
  <c r="BS513"/>
  <c r="BR513"/>
  <c r="BQ513"/>
  <c r="BP513"/>
  <c r="BO513"/>
  <c r="BN513"/>
  <c r="BM513"/>
  <c r="BL513"/>
  <c r="BI513"/>
  <c r="BG513"/>
  <c r="BE513"/>
  <c r="BD513"/>
  <c r="BA513"/>
  <c r="AX513"/>
  <c r="AQ513"/>
  <c r="AJ513"/>
  <c r="AC513"/>
  <c r="W513"/>
  <c r="J513"/>
  <c r="G513"/>
  <c r="A513"/>
  <c r="CG512"/>
  <c r="CF512"/>
  <c r="CE512"/>
  <c r="CD512"/>
  <c r="CC512"/>
  <c r="CB512"/>
  <c r="CA512"/>
  <c r="BZ512"/>
  <c r="BY512"/>
  <c r="BX512"/>
  <c r="BW512"/>
  <c r="BV512"/>
  <c r="BU512"/>
  <c r="BT512"/>
  <c r="BS512"/>
  <c r="BR512"/>
  <c r="BQ512"/>
  <c r="BP512"/>
  <c r="BO512"/>
  <c r="BN512"/>
  <c r="BM512"/>
  <c r="BL512"/>
  <c r="BI512"/>
  <c r="BG512"/>
  <c r="BE512"/>
  <c r="BD512"/>
  <c r="BA512"/>
  <c r="AX512"/>
  <c r="AQ512"/>
  <c r="AJ512"/>
  <c r="AC512"/>
  <c r="W512"/>
  <c r="J512"/>
  <c r="G512"/>
  <c r="A512"/>
  <c r="CO511"/>
  <c r="CN511"/>
  <c r="CM511"/>
  <c r="CL511"/>
  <c r="CK511"/>
  <c r="CJ511"/>
  <c r="CI511"/>
  <c r="CH511"/>
  <c r="CG511"/>
  <c r="CF511"/>
  <c r="CE511"/>
  <c r="CD511"/>
  <c r="CC511"/>
  <c r="CB511"/>
  <c r="CA511"/>
  <c r="BZ511"/>
  <c r="BY511"/>
  <c r="BX511"/>
  <c r="BW511"/>
  <c r="BV511"/>
  <c r="BU511"/>
  <c r="BT511"/>
  <c r="BS511"/>
  <c r="BR511"/>
  <c r="BQ511"/>
  <c r="BP511"/>
  <c r="BO511"/>
  <c r="BN511"/>
  <c r="BM511"/>
  <c r="BL511"/>
  <c r="BI511"/>
  <c r="BG511"/>
  <c r="BE511"/>
  <c r="BD511"/>
  <c r="BA511"/>
  <c r="AX511"/>
  <c r="AQ511"/>
  <c r="AJ511"/>
  <c r="AC511"/>
  <c r="W511"/>
  <c r="J511"/>
  <c r="G511"/>
  <c r="A511"/>
  <c r="CO510"/>
  <c r="CN510"/>
  <c r="CM510"/>
  <c r="CL510"/>
  <c r="CK510"/>
  <c r="CJ510"/>
  <c r="CI510"/>
  <c r="CH510"/>
  <c r="CG510"/>
  <c r="CF510"/>
  <c r="CE510"/>
  <c r="CD510"/>
  <c r="CC510"/>
  <c r="CB510"/>
  <c r="CA510"/>
  <c r="BZ510"/>
  <c r="BY510"/>
  <c r="BX510"/>
  <c r="BW510"/>
  <c r="BV510"/>
  <c r="BU510"/>
  <c r="BT510"/>
  <c r="BS510"/>
  <c r="BR510"/>
  <c r="BQ510"/>
  <c r="BP510"/>
  <c r="BO510"/>
  <c r="BN510"/>
  <c r="BM510"/>
  <c r="BL510"/>
  <c r="BI510"/>
  <c r="BG510"/>
  <c r="BE510"/>
  <c r="BD510"/>
  <c r="BA510"/>
  <c r="AX510"/>
  <c r="AQ510"/>
  <c r="AJ510"/>
  <c r="AC510"/>
  <c r="W510"/>
  <c r="J510"/>
  <c r="G510"/>
  <c r="A510"/>
  <c r="CO509"/>
  <c r="CN509"/>
  <c r="CM509"/>
  <c r="CL509"/>
  <c r="CK509"/>
  <c r="CJ509"/>
  <c r="CI509"/>
  <c r="CH509"/>
  <c r="CG509"/>
  <c r="CF509"/>
  <c r="CE509"/>
  <c r="CD509"/>
  <c r="CC509"/>
  <c r="CB509"/>
  <c r="CA509"/>
  <c r="BZ509"/>
  <c r="BY509"/>
  <c r="BX509"/>
  <c r="BW509"/>
  <c r="BV509"/>
  <c r="BU509"/>
  <c r="BT509"/>
  <c r="BS509"/>
  <c r="BR509"/>
  <c r="BQ509"/>
  <c r="BP509"/>
  <c r="BO509"/>
  <c r="BN509"/>
  <c r="BM509"/>
  <c r="BL509"/>
  <c r="BI509"/>
  <c r="BG509"/>
  <c r="BE509"/>
  <c r="BD509"/>
  <c r="BA509"/>
  <c r="AX509"/>
  <c r="AQ509"/>
  <c r="AJ509"/>
  <c r="AC509"/>
  <c r="W509"/>
  <c r="J509"/>
  <c r="G509"/>
  <c r="A509"/>
  <c r="CO508"/>
  <c r="CN508"/>
  <c r="CM508"/>
  <c r="CL508"/>
  <c r="CK508"/>
  <c r="CJ508"/>
  <c r="CI508"/>
  <c r="CH508"/>
  <c r="CG508"/>
  <c r="CF508"/>
  <c r="CE508"/>
  <c r="CD508"/>
  <c r="CC508"/>
  <c r="CB508"/>
  <c r="CA508"/>
  <c r="BZ508"/>
  <c r="BY508"/>
  <c r="BX508"/>
  <c r="BW508"/>
  <c r="BV508"/>
  <c r="BU508"/>
  <c r="BT508"/>
  <c r="BS508"/>
  <c r="BR508"/>
  <c r="BQ508"/>
  <c r="BP508"/>
  <c r="BO508"/>
  <c r="BN508"/>
  <c r="BM508"/>
  <c r="BL508"/>
  <c r="BI508"/>
  <c r="BG508"/>
  <c r="BE508"/>
  <c r="BD508"/>
  <c r="BA508"/>
  <c r="AX508"/>
  <c r="AQ508"/>
  <c r="AJ508"/>
  <c r="AC508"/>
  <c r="W508"/>
  <c r="J508"/>
  <c r="G508"/>
  <c r="A508"/>
  <c r="CK507"/>
  <c r="CJ507"/>
  <c r="CI507"/>
  <c r="CH507"/>
  <c r="CG507"/>
  <c r="CF507"/>
  <c r="CE507"/>
  <c r="CD507"/>
  <c r="CC507"/>
  <c r="CB507"/>
  <c r="CA507"/>
  <c r="BZ507"/>
  <c r="BY507"/>
  <c r="BX507"/>
  <c r="BW507"/>
  <c r="BV507"/>
  <c r="BU507"/>
  <c r="BT507"/>
  <c r="BS507"/>
  <c r="BR507"/>
  <c r="BQ507"/>
  <c r="BP507"/>
  <c r="BO507"/>
  <c r="BN507"/>
  <c r="BM507"/>
  <c r="BL507"/>
  <c r="BG507"/>
  <c r="BE507"/>
  <c r="BD507"/>
  <c r="BA507"/>
  <c r="AX507"/>
  <c r="AQ507"/>
  <c r="AJ507"/>
  <c r="AC507"/>
  <c r="W507"/>
  <c r="J507"/>
  <c r="G507"/>
  <c r="A507"/>
  <c r="CO506"/>
  <c r="CN506"/>
  <c r="CM506"/>
  <c r="CL506"/>
  <c r="CK506"/>
  <c r="CJ506"/>
  <c r="CI506"/>
  <c r="CH506"/>
  <c r="CG506"/>
  <c r="CF506"/>
  <c r="CE506"/>
  <c r="CD506"/>
  <c r="CC506"/>
  <c r="CB506"/>
  <c r="CA506"/>
  <c r="BZ506"/>
  <c r="BY506"/>
  <c r="BX506"/>
  <c r="BW506"/>
  <c r="BV506"/>
  <c r="BU506"/>
  <c r="BT506"/>
  <c r="BS506"/>
  <c r="BR506"/>
  <c r="BQ506"/>
  <c r="BP506"/>
  <c r="BO506"/>
  <c r="BN506"/>
  <c r="BM506"/>
  <c r="BL506"/>
  <c r="BI506"/>
  <c r="BG506"/>
  <c r="BE506"/>
  <c r="BD506"/>
  <c r="BA506"/>
  <c r="AX506"/>
  <c r="AQ506"/>
  <c r="AJ506"/>
  <c r="AC506"/>
  <c r="W506"/>
  <c r="J506"/>
  <c r="G506"/>
  <c r="A506"/>
  <c r="CC504"/>
  <c r="CB504"/>
  <c r="CA504"/>
  <c r="BZ504"/>
  <c r="BY504"/>
  <c r="BX504"/>
  <c r="BW504"/>
  <c r="BV504"/>
  <c r="BU504"/>
  <c r="BT504"/>
  <c r="BS504"/>
  <c r="BR504"/>
  <c r="BQ504"/>
  <c r="BP504"/>
  <c r="BO504"/>
  <c r="BN504"/>
  <c r="BM504"/>
  <c r="BL504"/>
  <c r="BI504"/>
  <c r="BG504"/>
  <c r="BE504"/>
  <c r="BD504"/>
  <c r="BA504"/>
  <c r="AX504"/>
  <c r="AQ504"/>
  <c r="AJ504"/>
  <c r="AC504"/>
  <c r="W504"/>
  <c r="J504"/>
  <c r="G504"/>
  <c r="A504"/>
  <c r="CC503"/>
  <c r="CB503"/>
  <c r="CA503"/>
  <c r="BZ503"/>
  <c r="BY503"/>
  <c r="BX503"/>
  <c r="BW503"/>
  <c r="BV503"/>
  <c r="BU503"/>
  <c r="BT503"/>
  <c r="BS503"/>
  <c r="BR503"/>
  <c r="BQ503"/>
  <c r="BP503"/>
  <c r="BO503"/>
  <c r="BN503"/>
  <c r="BM503"/>
  <c r="BL503"/>
  <c r="BI503"/>
  <c r="BG503"/>
  <c r="BE503"/>
  <c r="BD503"/>
  <c r="BA503"/>
  <c r="AX503"/>
  <c r="AQ503"/>
  <c r="AJ503"/>
  <c r="AC503"/>
  <c r="W503"/>
  <c r="J503"/>
  <c r="G503"/>
  <c r="A503"/>
  <c r="CI502"/>
  <c r="CH502"/>
  <c r="CG502"/>
  <c r="CF502"/>
  <c r="CE502"/>
  <c r="CD502"/>
  <c r="CC502"/>
  <c r="CB502"/>
  <c r="CA502"/>
  <c r="BZ502"/>
  <c r="BY502"/>
  <c r="BX502"/>
  <c r="BW502"/>
  <c r="BV502"/>
  <c r="BU502"/>
  <c r="BT502"/>
  <c r="BS502"/>
  <c r="BR502"/>
  <c r="BQ502"/>
  <c r="BP502"/>
  <c r="BO502"/>
  <c r="BN502"/>
  <c r="BM502"/>
  <c r="BL502"/>
  <c r="BI502"/>
  <c r="BG502"/>
  <c r="BE502"/>
  <c r="BD502"/>
  <c r="BA502"/>
  <c r="AX502"/>
  <c r="AQ502"/>
  <c r="AJ502"/>
  <c r="AC502"/>
  <c r="W502"/>
  <c r="J502"/>
  <c r="G502"/>
  <c r="A502"/>
  <c r="CI501"/>
  <c r="CH501"/>
  <c r="CG501"/>
  <c r="CF501"/>
  <c r="CE501"/>
  <c r="CD501"/>
  <c r="CC501"/>
  <c r="CB501"/>
  <c r="CA501"/>
  <c r="BZ501"/>
  <c r="BY501"/>
  <c r="BX501"/>
  <c r="BW501"/>
  <c r="BV501"/>
  <c r="BU501"/>
  <c r="BT501"/>
  <c r="BS501"/>
  <c r="BR501"/>
  <c r="BQ501"/>
  <c r="BP501"/>
  <c r="BO501"/>
  <c r="BN501"/>
  <c r="BM501"/>
  <c r="BL501"/>
  <c r="BI501"/>
  <c r="BG501"/>
  <c r="BE501"/>
  <c r="BD501"/>
  <c r="BA501"/>
  <c r="AX501"/>
  <c r="AQ501"/>
  <c r="AJ501"/>
  <c r="AC501"/>
  <c r="W501"/>
  <c r="J501"/>
  <c r="G501"/>
  <c r="A501"/>
  <c r="CI500"/>
  <c r="CH500"/>
  <c r="CG500"/>
  <c r="CF500"/>
  <c r="CE500"/>
  <c r="CD500"/>
  <c r="CC500"/>
  <c r="CB500"/>
  <c r="CA500"/>
  <c r="BZ500"/>
  <c r="BY500"/>
  <c r="BX500"/>
  <c r="BW500"/>
  <c r="BV500"/>
  <c r="BU500"/>
  <c r="BT500"/>
  <c r="BS500"/>
  <c r="BR500"/>
  <c r="BQ500"/>
  <c r="BP500"/>
  <c r="BO500"/>
  <c r="BN500"/>
  <c r="BM500"/>
  <c r="BL500"/>
  <c r="BI500"/>
  <c r="BG500"/>
  <c r="BE500"/>
  <c r="BD500"/>
  <c r="BA500"/>
  <c r="AX500"/>
  <c r="AQ500"/>
  <c r="AJ500"/>
  <c r="AC500"/>
  <c r="W500"/>
  <c r="J500"/>
  <c r="G500"/>
  <c r="A500"/>
  <c r="CI499"/>
  <c r="CH499"/>
  <c r="CG499"/>
  <c r="CF499"/>
  <c r="CE499"/>
  <c r="CD499"/>
  <c r="CC499"/>
  <c r="CB499"/>
  <c r="CA499"/>
  <c r="BZ499"/>
  <c r="BY499"/>
  <c r="BX499"/>
  <c r="BW499"/>
  <c r="BV499"/>
  <c r="BU499"/>
  <c r="BT499"/>
  <c r="BS499"/>
  <c r="BR499"/>
  <c r="BQ499"/>
  <c r="BP499"/>
  <c r="BO499"/>
  <c r="BN499"/>
  <c r="BM499"/>
  <c r="BL499"/>
  <c r="BI499"/>
  <c r="BG499"/>
  <c r="BE499"/>
  <c r="BD499"/>
  <c r="BA499"/>
  <c r="AX499"/>
  <c r="AQ499"/>
  <c r="AJ499"/>
  <c r="AC499"/>
  <c r="W499"/>
  <c r="J499"/>
  <c r="G499"/>
  <c r="A499"/>
  <c r="CI498"/>
  <c r="CH498"/>
  <c r="CG498"/>
  <c r="CF498"/>
  <c r="CE498"/>
  <c r="CD498"/>
  <c r="CC498"/>
  <c r="CB498"/>
  <c r="CA498"/>
  <c r="BZ498"/>
  <c r="BY498"/>
  <c r="BX498"/>
  <c r="BW498"/>
  <c r="BV498"/>
  <c r="BU498"/>
  <c r="BT498"/>
  <c r="BS498"/>
  <c r="BR498"/>
  <c r="BQ498"/>
  <c r="BP498"/>
  <c r="BO498"/>
  <c r="BN498"/>
  <c r="BM498"/>
  <c r="BL498"/>
  <c r="BI498"/>
  <c r="BG498"/>
  <c r="BE498"/>
  <c r="BD498"/>
  <c r="BA498"/>
  <c r="AX498"/>
  <c r="AQ498"/>
  <c r="AJ498"/>
  <c r="AC498"/>
  <c r="W498"/>
  <c r="J498"/>
  <c r="G498"/>
  <c r="A498"/>
  <c r="CG497"/>
  <c r="CF497"/>
  <c r="CE497"/>
  <c r="CD497"/>
  <c r="CC497"/>
  <c r="CB497"/>
  <c r="CA497"/>
  <c r="BZ497"/>
  <c r="BY497"/>
  <c r="BX497"/>
  <c r="BW497"/>
  <c r="BV497"/>
  <c r="BU497"/>
  <c r="BT497"/>
  <c r="BS497"/>
  <c r="BR497"/>
  <c r="BQ497"/>
  <c r="BP497"/>
  <c r="BO497"/>
  <c r="BN497"/>
  <c r="BM497"/>
  <c r="BL497"/>
  <c r="BI497"/>
  <c r="BG497"/>
  <c r="BE497"/>
  <c r="BD497"/>
  <c r="BA497"/>
  <c r="AX497"/>
  <c r="AQ497"/>
  <c r="AJ497"/>
  <c r="AC497"/>
  <c r="W497"/>
  <c r="J497"/>
  <c r="G497"/>
  <c r="A497"/>
  <c r="CG496"/>
  <c r="CF496"/>
  <c r="CE496"/>
  <c r="CD496"/>
  <c r="CC496"/>
  <c r="CB496"/>
  <c r="CA496"/>
  <c r="BZ496"/>
  <c r="BY496"/>
  <c r="BX496"/>
  <c r="BW496"/>
  <c r="BV496"/>
  <c r="BU496"/>
  <c r="BT496"/>
  <c r="BS496"/>
  <c r="BR496"/>
  <c r="BQ496"/>
  <c r="BP496"/>
  <c r="BO496"/>
  <c r="BN496"/>
  <c r="BM496"/>
  <c r="BL496"/>
  <c r="BI496"/>
  <c r="BG496"/>
  <c r="BE496"/>
  <c r="BD496"/>
  <c r="BA496"/>
  <c r="AX496"/>
  <c r="AQ496"/>
  <c r="AJ496"/>
  <c r="AC496"/>
  <c r="W496"/>
  <c r="J496"/>
  <c r="G496"/>
  <c r="A496"/>
  <c r="CO495"/>
  <c r="CN495"/>
  <c r="CM495"/>
  <c r="CL495"/>
  <c r="CK495"/>
  <c r="CJ495"/>
  <c r="CI495"/>
  <c r="CH495"/>
  <c r="CG495"/>
  <c r="CF495"/>
  <c r="CE495"/>
  <c r="CD495"/>
  <c r="CC495"/>
  <c r="CB495"/>
  <c r="CA495"/>
  <c r="BZ495"/>
  <c r="BY495"/>
  <c r="BX495"/>
  <c r="BW495"/>
  <c r="BV495"/>
  <c r="BU495"/>
  <c r="BT495"/>
  <c r="BS495"/>
  <c r="BR495"/>
  <c r="BQ495"/>
  <c r="BP495"/>
  <c r="BO495"/>
  <c r="BN495"/>
  <c r="BM495"/>
  <c r="BL495"/>
  <c r="BI495"/>
  <c r="BG495"/>
  <c r="BE495"/>
  <c r="BD495"/>
  <c r="BA495"/>
  <c r="AX495"/>
  <c r="AQ495"/>
  <c r="AJ495"/>
  <c r="AC495"/>
  <c r="W495"/>
  <c r="J495"/>
  <c r="G495"/>
  <c r="A495"/>
  <c r="CO494"/>
  <c r="CN494"/>
  <c r="CM494"/>
  <c r="CL494"/>
  <c r="CK494"/>
  <c r="CJ494"/>
  <c r="CI494"/>
  <c r="CH494"/>
  <c r="CG494"/>
  <c r="CF494"/>
  <c r="CE494"/>
  <c r="CD494"/>
  <c r="CC494"/>
  <c r="CB494"/>
  <c r="CA494"/>
  <c r="BZ494"/>
  <c r="BY494"/>
  <c r="BX494"/>
  <c r="BW494"/>
  <c r="BV494"/>
  <c r="BU494"/>
  <c r="BT494"/>
  <c r="BS494"/>
  <c r="BR494"/>
  <c r="BQ494"/>
  <c r="BP494"/>
  <c r="BO494"/>
  <c r="BN494"/>
  <c r="BM494"/>
  <c r="BL494"/>
  <c r="BI494"/>
  <c r="BG494"/>
  <c r="BE494"/>
  <c r="BD494"/>
  <c r="BA494"/>
  <c r="AX494"/>
  <c r="AQ494"/>
  <c r="AJ494"/>
  <c r="AC494"/>
  <c r="W494"/>
  <c r="J494"/>
  <c r="G494"/>
  <c r="A494"/>
  <c r="CO493"/>
  <c r="CN493"/>
  <c r="CM493"/>
  <c r="CL493"/>
  <c r="CK493"/>
  <c r="CJ493"/>
  <c r="CI493"/>
  <c r="CH493"/>
  <c r="CG493"/>
  <c r="CF493"/>
  <c r="CE493"/>
  <c r="CD493"/>
  <c r="CC493"/>
  <c r="CB493"/>
  <c r="CA493"/>
  <c r="BZ493"/>
  <c r="BY493"/>
  <c r="BX493"/>
  <c r="BW493"/>
  <c r="BV493"/>
  <c r="BU493"/>
  <c r="BT493"/>
  <c r="BS493"/>
  <c r="BR493"/>
  <c r="BQ493"/>
  <c r="BP493"/>
  <c r="BO493"/>
  <c r="BN493"/>
  <c r="BM493"/>
  <c r="BL493"/>
  <c r="BI493"/>
  <c r="BG493"/>
  <c r="BE493"/>
  <c r="BD493"/>
  <c r="BA493"/>
  <c r="AX493"/>
  <c r="AQ493"/>
  <c r="AJ493"/>
  <c r="AC493"/>
  <c r="W493"/>
  <c r="J493"/>
  <c r="G493"/>
  <c r="A493"/>
  <c r="CO492"/>
  <c r="CN492"/>
  <c r="CM492"/>
  <c r="CL492"/>
  <c r="CK492"/>
  <c r="CJ492"/>
  <c r="CI492"/>
  <c r="CH492"/>
  <c r="CG492"/>
  <c r="CF492"/>
  <c r="CE492"/>
  <c r="CD492"/>
  <c r="CC492"/>
  <c r="CB492"/>
  <c r="CA492"/>
  <c r="BZ492"/>
  <c r="BY492"/>
  <c r="BX492"/>
  <c r="BW492"/>
  <c r="BV492"/>
  <c r="BU492"/>
  <c r="BT492"/>
  <c r="BS492"/>
  <c r="BR492"/>
  <c r="BQ492"/>
  <c r="BP492"/>
  <c r="BO492"/>
  <c r="BN492"/>
  <c r="BM492"/>
  <c r="BL492"/>
  <c r="BI492"/>
  <c r="BG492"/>
  <c r="BE492"/>
  <c r="BD492"/>
  <c r="BA492"/>
  <c r="AX492"/>
  <c r="AQ492"/>
  <c r="AJ492"/>
  <c r="AC492"/>
  <c r="W492"/>
  <c r="J492"/>
  <c r="G492"/>
  <c r="A492"/>
  <c r="CO491"/>
  <c r="CN491"/>
  <c r="CM491"/>
  <c r="CL491"/>
  <c r="CK491"/>
  <c r="CJ491"/>
  <c r="CI491"/>
  <c r="CH491"/>
  <c r="CG491"/>
  <c r="CF491"/>
  <c r="CE491"/>
  <c r="CD491"/>
  <c r="CC491"/>
  <c r="CB491"/>
  <c r="CA491"/>
  <c r="BZ491"/>
  <c r="BY491"/>
  <c r="BX491"/>
  <c r="BW491"/>
  <c r="BV491"/>
  <c r="BU491"/>
  <c r="BT491"/>
  <c r="BS491"/>
  <c r="BR491"/>
  <c r="BQ491"/>
  <c r="BP491"/>
  <c r="BO491"/>
  <c r="BN491"/>
  <c r="BM491"/>
  <c r="BL491"/>
  <c r="BI491"/>
  <c r="BG491"/>
  <c r="BE491"/>
  <c r="BD491"/>
  <c r="BA491"/>
  <c r="AX491"/>
  <c r="AQ491"/>
  <c r="AJ491"/>
  <c r="AC491"/>
  <c r="W491"/>
  <c r="J491"/>
  <c r="G491"/>
  <c r="A491"/>
  <c r="CK489"/>
  <c r="CJ489"/>
  <c r="CI489"/>
  <c r="CH489"/>
  <c r="CG489"/>
  <c r="CF489"/>
  <c r="CE489"/>
  <c r="CD489"/>
  <c r="CC489"/>
  <c r="CB489"/>
  <c r="CA489"/>
  <c r="BZ489"/>
  <c r="BY489"/>
  <c r="BX489"/>
  <c r="BW489"/>
  <c r="BV489"/>
  <c r="BU489"/>
  <c r="BT489"/>
  <c r="BS489"/>
  <c r="BR489"/>
  <c r="BQ489"/>
  <c r="BP489"/>
  <c r="BO489"/>
  <c r="BN489"/>
  <c r="BM489"/>
  <c r="BL489"/>
  <c r="BG489"/>
  <c r="BE489"/>
  <c r="BD489"/>
  <c r="BA489"/>
  <c r="AX489"/>
  <c r="AQ489"/>
  <c r="AJ489"/>
  <c r="AC489"/>
  <c r="W489"/>
  <c r="Q489"/>
  <c r="J489"/>
  <c r="G489"/>
  <c r="A489"/>
  <c r="CK488"/>
  <c r="CJ488"/>
  <c r="CI488"/>
  <c r="CH488"/>
  <c r="CG488"/>
  <c r="CF488"/>
  <c r="CE488"/>
  <c r="CD488"/>
  <c r="CC488"/>
  <c r="CB488"/>
  <c r="CA488"/>
  <c r="BZ488"/>
  <c r="BY488"/>
  <c r="BX488"/>
  <c r="BW488"/>
  <c r="BV488"/>
  <c r="BU488"/>
  <c r="BT488"/>
  <c r="BS488"/>
  <c r="BR488"/>
  <c r="BQ488"/>
  <c r="BP488"/>
  <c r="BO488"/>
  <c r="BN488"/>
  <c r="BM488"/>
  <c r="BL488"/>
  <c r="BG488"/>
  <c r="BE488"/>
  <c r="BD488"/>
  <c r="BA488"/>
  <c r="AX488"/>
  <c r="AQ488"/>
  <c r="AJ488"/>
  <c r="AC488"/>
  <c r="W488"/>
  <c r="J488"/>
  <c r="G488"/>
  <c r="A488"/>
  <c r="CE487"/>
  <c r="CD487"/>
  <c r="CC487"/>
  <c r="CB487"/>
  <c r="CA487"/>
  <c r="BZ487"/>
  <c r="BY487"/>
  <c r="BX487"/>
  <c r="BW487"/>
  <c r="BV487"/>
  <c r="BU487"/>
  <c r="BT487"/>
  <c r="BS487"/>
  <c r="BR487"/>
  <c r="BQ487"/>
  <c r="BP487"/>
  <c r="BO487"/>
  <c r="BN487"/>
  <c r="BM487"/>
  <c r="BL487"/>
  <c r="BI487"/>
  <c r="BG487"/>
  <c r="BE487"/>
  <c r="BD487"/>
  <c r="BA487"/>
  <c r="AX487"/>
  <c r="AQ487"/>
  <c r="AJ487"/>
  <c r="AC487"/>
  <c r="W487"/>
  <c r="J487"/>
  <c r="G487"/>
  <c r="A487"/>
  <c r="CE486"/>
  <c r="CD486"/>
  <c r="CC486"/>
  <c r="CB486"/>
  <c r="CA486"/>
  <c r="BZ486"/>
  <c r="BY486"/>
  <c r="BX486"/>
  <c r="BW486"/>
  <c r="BV486"/>
  <c r="BU486"/>
  <c r="BT486"/>
  <c r="BS486"/>
  <c r="BR486"/>
  <c r="BQ486"/>
  <c r="BP486"/>
  <c r="BO486"/>
  <c r="BN486"/>
  <c r="BM486"/>
  <c r="BL486"/>
  <c r="BI486"/>
  <c r="BG486"/>
  <c r="BE486"/>
  <c r="BD486"/>
  <c r="BA486"/>
  <c r="AX486"/>
  <c r="AQ486"/>
  <c r="AJ486"/>
  <c r="AC486"/>
  <c r="W486"/>
  <c r="J486"/>
  <c r="G486"/>
  <c r="A486"/>
  <c r="CK485"/>
  <c r="CJ485"/>
  <c r="CI485"/>
  <c r="CH485"/>
  <c r="CG485"/>
  <c r="CF485"/>
  <c r="CE485"/>
  <c r="CD485"/>
  <c r="CC485"/>
  <c r="CB485"/>
  <c r="CA485"/>
  <c r="BZ485"/>
  <c r="BY485"/>
  <c r="BX485"/>
  <c r="BW485"/>
  <c r="BV485"/>
  <c r="BU485"/>
  <c r="BT485"/>
  <c r="BS485"/>
  <c r="BR485"/>
  <c r="BQ485"/>
  <c r="BP485"/>
  <c r="BO485"/>
  <c r="BN485"/>
  <c r="BM485"/>
  <c r="BL485"/>
  <c r="BI485"/>
  <c r="BG485"/>
  <c r="BE485"/>
  <c r="BD485"/>
  <c r="BA485"/>
  <c r="AX485"/>
  <c r="AQ485"/>
  <c r="AJ485"/>
  <c r="AC485"/>
  <c r="W485"/>
  <c r="J485"/>
  <c r="G485"/>
  <c r="A485"/>
  <c r="CK484"/>
  <c r="CJ484"/>
  <c r="CI484"/>
  <c r="CH484"/>
  <c r="CG484"/>
  <c r="CF484"/>
  <c r="CE484"/>
  <c r="CD484"/>
  <c r="CC484"/>
  <c r="CB484"/>
  <c r="CA484"/>
  <c r="BZ484"/>
  <c r="BY484"/>
  <c r="BX484"/>
  <c r="BW484"/>
  <c r="BV484"/>
  <c r="BU484"/>
  <c r="BT484"/>
  <c r="BS484"/>
  <c r="BR484"/>
  <c r="BQ484"/>
  <c r="BP484"/>
  <c r="BO484"/>
  <c r="BN484"/>
  <c r="BM484"/>
  <c r="BL484"/>
  <c r="BI484"/>
  <c r="BG484"/>
  <c r="BE484"/>
  <c r="BD484"/>
  <c r="BA484"/>
  <c r="AX484"/>
  <c r="AQ484"/>
  <c r="AJ484"/>
  <c r="AC484"/>
  <c r="W484"/>
  <c r="J484"/>
  <c r="G484"/>
  <c r="A484"/>
  <c r="CI483"/>
  <c r="CH483"/>
  <c r="CG483"/>
  <c r="CF483"/>
  <c r="CE483"/>
  <c r="CD483"/>
  <c r="CC483"/>
  <c r="CB483"/>
  <c r="CA483"/>
  <c r="BZ483"/>
  <c r="BY483"/>
  <c r="BX483"/>
  <c r="BW483"/>
  <c r="BV483"/>
  <c r="BU483"/>
  <c r="BT483"/>
  <c r="BS483"/>
  <c r="BR483"/>
  <c r="BQ483"/>
  <c r="BP483"/>
  <c r="BO483"/>
  <c r="BN483"/>
  <c r="BM483"/>
  <c r="BL483"/>
  <c r="BI483"/>
  <c r="BG483"/>
  <c r="BE483"/>
  <c r="BD483"/>
  <c r="BA483"/>
  <c r="AX483"/>
  <c r="AQ483"/>
  <c r="AJ483"/>
  <c r="AC483"/>
  <c r="W483"/>
  <c r="J483"/>
  <c r="G483"/>
  <c r="A483"/>
  <c r="CI482"/>
  <c r="CH482"/>
  <c r="CG482"/>
  <c r="CF482"/>
  <c r="CE482"/>
  <c r="CD482"/>
  <c r="CC482"/>
  <c r="CB482"/>
  <c r="CA482"/>
  <c r="BZ482"/>
  <c r="BY482"/>
  <c r="BX482"/>
  <c r="BW482"/>
  <c r="BV482"/>
  <c r="BU482"/>
  <c r="BT482"/>
  <c r="BS482"/>
  <c r="BR482"/>
  <c r="BQ482"/>
  <c r="BP482"/>
  <c r="BO482"/>
  <c r="BN482"/>
  <c r="BM482"/>
  <c r="BL482"/>
  <c r="BI482"/>
  <c r="BG482"/>
  <c r="BE482"/>
  <c r="BD482"/>
  <c r="BA482"/>
  <c r="AX482"/>
  <c r="AQ482"/>
  <c r="AJ482"/>
  <c r="AC482"/>
  <c r="W482"/>
  <c r="J482"/>
  <c r="G482"/>
  <c r="A482"/>
  <c r="CI481"/>
  <c r="CH481"/>
  <c r="CG481"/>
  <c r="CF481"/>
  <c r="CE481"/>
  <c r="CD481"/>
  <c r="CC481"/>
  <c r="CB481"/>
  <c r="CA481"/>
  <c r="BZ481"/>
  <c r="BY481"/>
  <c r="BX481"/>
  <c r="BW481"/>
  <c r="BV481"/>
  <c r="BU481"/>
  <c r="BT481"/>
  <c r="BS481"/>
  <c r="BR481"/>
  <c r="BQ481"/>
  <c r="BP481"/>
  <c r="BO481"/>
  <c r="BN481"/>
  <c r="BM481"/>
  <c r="BL481"/>
  <c r="BI481"/>
  <c r="BG481"/>
  <c r="BE481"/>
  <c r="BD481"/>
  <c r="BA481"/>
  <c r="AX481"/>
  <c r="AQ481"/>
  <c r="AJ481"/>
  <c r="AC481"/>
  <c r="W481"/>
  <c r="J481"/>
  <c r="G481"/>
  <c r="A481"/>
  <c r="CG480"/>
  <c r="CF480"/>
  <c r="CE480"/>
  <c r="CD480"/>
  <c r="CC480"/>
  <c r="CB480"/>
  <c r="CA480"/>
  <c r="BZ480"/>
  <c r="BY480"/>
  <c r="BX480"/>
  <c r="BW480"/>
  <c r="BV480"/>
  <c r="BU480"/>
  <c r="BT480"/>
  <c r="BS480"/>
  <c r="BR480"/>
  <c r="BQ480"/>
  <c r="BP480"/>
  <c r="BO480"/>
  <c r="BN480"/>
  <c r="BM480"/>
  <c r="BL480"/>
  <c r="BI480"/>
  <c r="BG480"/>
  <c r="BE480"/>
  <c r="BD480"/>
  <c r="BA480"/>
  <c r="AX480"/>
  <c r="AQ480"/>
  <c r="AJ480"/>
  <c r="AC480"/>
  <c r="W480"/>
  <c r="J480"/>
  <c r="G480"/>
  <c r="A480"/>
  <c r="CI479"/>
  <c r="CH479"/>
  <c r="CG479"/>
  <c r="CF479"/>
  <c r="CE479"/>
  <c r="CD479"/>
  <c r="CC479"/>
  <c r="CB479"/>
  <c r="CA479"/>
  <c r="BZ479"/>
  <c r="BY479"/>
  <c r="BX479"/>
  <c r="BW479"/>
  <c r="BV479"/>
  <c r="BU479"/>
  <c r="BT479"/>
  <c r="BS479"/>
  <c r="BR479"/>
  <c r="BQ479"/>
  <c r="BP479"/>
  <c r="BO479"/>
  <c r="BN479"/>
  <c r="BM479"/>
  <c r="BL479"/>
  <c r="BI479"/>
  <c r="BG479"/>
  <c r="BE479"/>
  <c r="BD479"/>
  <c r="BA479"/>
  <c r="AX479"/>
  <c r="AQ479"/>
  <c r="AJ479"/>
  <c r="AC479"/>
  <c r="W479"/>
  <c r="J479"/>
  <c r="G479"/>
  <c r="A479"/>
  <c r="CO478"/>
  <c r="CN478"/>
  <c r="CM478"/>
  <c r="CL478"/>
  <c r="CK478"/>
  <c r="CJ478"/>
  <c r="CI478"/>
  <c r="CH478"/>
  <c r="CG478"/>
  <c r="CF478"/>
  <c r="CE478"/>
  <c r="CD478"/>
  <c r="CC478"/>
  <c r="CB478"/>
  <c r="CA478"/>
  <c r="BZ478"/>
  <c r="BY478"/>
  <c r="BX478"/>
  <c r="BW478"/>
  <c r="BV478"/>
  <c r="BU478"/>
  <c r="BT478"/>
  <c r="BS478"/>
  <c r="BR478"/>
  <c r="BQ478"/>
  <c r="BP478"/>
  <c r="BO478"/>
  <c r="BN478"/>
  <c r="BM478"/>
  <c r="BL478"/>
  <c r="BI478"/>
  <c r="BG478"/>
  <c r="BE478"/>
  <c r="BD478"/>
  <c r="BA478"/>
  <c r="AX478"/>
  <c r="AQ478"/>
  <c r="AJ478"/>
  <c r="AC478"/>
  <c r="W478"/>
  <c r="J478"/>
  <c r="G478"/>
  <c r="A478"/>
  <c r="CO477"/>
  <c r="CN477"/>
  <c r="CM477"/>
  <c r="CL477"/>
  <c r="CK477"/>
  <c r="CJ477"/>
  <c r="CI477"/>
  <c r="CH477"/>
  <c r="CG477"/>
  <c r="CF477"/>
  <c r="CE477"/>
  <c r="CD477"/>
  <c r="CC477"/>
  <c r="CB477"/>
  <c r="CA477"/>
  <c r="BZ477"/>
  <c r="BY477"/>
  <c r="BX477"/>
  <c r="BW477"/>
  <c r="BV477"/>
  <c r="BU477"/>
  <c r="BT477"/>
  <c r="BS477"/>
  <c r="BR477"/>
  <c r="BQ477"/>
  <c r="BP477"/>
  <c r="BO477"/>
  <c r="BN477"/>
  <c r="BM477"/>
  <c r="BL477"/>
  <c r="BI477"/>
  <c r="BG477"/>
  <c r="BE477"/>
  <c r="BD477"/>
  <c r="BA477"/>
  <c r="AX477"/>
  <c r="AQ477"/>
  <c r="AJ477"/>
  <c r="AC477"/>
  <c r="W477"/>
  <c r="J477"/>
  <c r="G477"/>
  <c r="A477"/>
  <c r="CO476"/>
  <c r="CN476"/>
  <c r="CM476"/>
  <c r="CL476"/>
  <c r="CK476"/>
  <c r="CJ476"/>
  <c r="CI476"/>
  <c r="CH476"/>
  <c r="CG476"/>
  <c r="CF476"/>
  <c r="CE476"/>
  <c r="CD476"/>
  <c r="CC476"/>
  <c r="CB476"/>
  <c r="CA476"/>
  <c r="BZ476"/>
  <c r="BY476"/>
  <c r="BX476"/>
  <c r="BW476"/>
  <c r="BV476"/>
  <c r="BU476"/>
  <c r="BT476"/>
  <c r="BS476"/>
  <c r="BR476"/>
  <c r="BQ476"/>
  <c r="BP476"/>
  <c r="BO476"/>
  <c r="BN476"/>
  <c r="BM476"/>
  <c r="BL476"/>
  <c r="BI476"/>
  <c r="BG476"/>
  <c r="BE476"/>
  <c r="BD476"/>
  <c r="BA476"/>
  <c r="AX476"/>
  <c r="AQ476"/>
  <c r="AJ476"/>
  <c r="AC476"/>
  <c r="W476"/>
  <c r="J476"/>
  <c r="G476"/>
  <c r="A476"/>
  <c r="CO475"/>
  <c r="CN475"/>
  <c r="CM475"/>
  <c r="CL475"/>
  <c r="CK475"/>
  <c r="CJ475"/>
  <c r="CI475"/>
  <c r="CH475"/>
  <c r="CG475"/>
  <c r="CF475"/>
  <c r="CE475"/>
  <c r="CD475"/>
  <c r="CC475"/>
  <c r="CB475"/>
  <c r="CA475"/>
  <c r="BZ475"/>
  <c r="BY475"/>
  <c r="BX475"/>
  <c r="BW475"/>
  <c r="BV475"/>
  <c r="BU475"/>
  <c r="BT475"/>
  <c r="BS475"/>
  <c r="BR475"/>
  <c r="BQ475"/>
  <c r="BP475"/>
  <c r="BO475"/>
  <c r="BN475"/>
  <c r="BM475"/>
  <c r="BL475"/>
  <c r="BI475"/>
  <c r="BG475"/>
  <c r="BE475"/>
  <c r="BD475"/>
  <c r="BA475"/>
  <c r="AX475"/>
  <c r="AQ475"/>
  <c r="AJ475"/>
  <c r="AC475"/>
  <c r="W475"/>
  <c r="J475"/>
  <c r="G475"/>
  <c r="A475"/>
  <c r="CO474"/>
  <c r="CN474"/>
  <c r="CM474"/>
  <c r="CL474"/>
  <c r="CK474"/>
  <c r="CJ474"/>
  <c r="CI474"/>
  <c r="CH474"/>
  <c r="CG474"/>
  <c r="CF474"/>
  <c r="CE474"/>
  <c r="CD474"/>
  <c r="CC474"/>
  <c r="CB474"/>
  <c r="CA474"/>
  <c r="BZ474"/>
  <c r="BY474"/>
  <c r="BX474"/>
  <c r="BW474"/>
  <c r="BV474"/>
  <c r="BU474"/>
  <c r="BT474"/>
  <c r="BS474"/>
  <c r="BR474"/>
  <c r="BQ474"/>
  <c r="BP474"/>
  <c r="BO474"/>
  <c r="BN474"/>
  <c r="BM474"/>
  <c r="BL474"/>
  <c r="BI474"/>
  <c r="BG474"/>
  <c r="BE474"/>
  <c r="BD474"/>
  <c r="BA474"/>
  <c r="AX474"/>
  <c r="AQ474"/>
  <c r="AJ474"/>
  <c r="AC474"/>
  <c r="W474"/>
  <c r="J474"/>
  <c r="G474"/>
  <c r="A474"/>
  <c r="CO473"/>
  <c r="CN473"/>
  <c r="CM473"/>
  <c r="CL473"/>
  <c r="CK473"/>
  <c r="CJ473"/>
  <c r="CI473"/>
  <c r="CH473"/>
  <c r="CG473"/>
  <c r="CF473"/>
  <c r="CE473"/>
  <c r="CD473"/>
  <c r="CC473"/>
  <c r="CB473"/>
  <c r="CA473"/>
  <c r="BZ473"/>
  <c r="BY473"/>
  <c r="BX473"/>
  <c r="BW473"/>
  <c r="BV473"/>
  <c r="BU473"/>
  <c r="BT473"/>
  <c r="BS473"/>
  <c r="BR473"/>
  <c r="BQ473"/>
  <c r="BP473"/>
  <c r="BO473"/>
  <c r="BN473"/>
  <c r="BM473"/>
  <c r="BL473"/>
  <c r="BI473"/>
  <c r="BG473"/>
  <c r="BE473"/>
  <c r="BD473"/>
  <c r="BA473"/>
  <c r="AX473"/>
  <c r="AQ473"/>
  <c r="AJ473"/>
  <c r="AC473"/>
  <c r="W473"/>
  <c r="J473"/>
  <c r="G473"/>
  <c r="A473"/>
  <c r="CG470"/>
  <c r="CF470"/>
  <c r="CE470"/>
  <c r="CD470"/>
  <c r="CC470"/>
  <c r="CB470"/>
  <c r="CA470"/>
  <c r="BZ470"/>
  <c r="BY470"/>
  <c r="BX470"/>
  <c r="BW470"/>
  <c r="BV470"/>
  <c r="BU470"/>
  <c r="BT470"/>
  <c r="BS470"/>
  <c r="BR470"/>
  <c r="BQ470"/>
  <c r="BP470"/>
  <c r="BO470"/>
  <c r="BN470"/>
  <c r="BM470"/>
  <c r="BL470"/>
  <c r="BG470"/>
  <c r="BE470"/>
  <c r="BD470"/>
  <c r="BA470"/>
  <c r="AX470"/>
  <c r="AQ470"/>
  <c r="AJ470"/>
  <c r="AC470"/>
  <c r="W470"/>
  <c r="J470"/>
  <c r="G470"/>
  <c r="A470"/>
  <c r="BW469"/>
  <c r="BV469"/>
  <c r="BU469"/>
  <c r="BT469"/>
  <c r="BS469"/>
  <c r="BR469"/>
  <c r="BQ469"/>
  <c r="BP469"/>
  <c r="BO469"/>
  <c r="BN469"/>
  <c r="BM469"/>
  <c r="BL469"/>
  <c r="BG469"/>
  <c r="BE469"/>
  <c r="BD469"/>
  <c r="BA469"/>
  <c r="AX469"/>
  <c r="AQ469"/>
  <c r="AJ469"/>
  <c r="AC469"/>
  <c r="W469"/>
  <c r="J469"/>
  <c r="G469"/>
  <c r="A469"/>
  <c r="BQ468"/>
  <c r="BP468"/>
  <c r="BO468"/>
  <c r="BN468"/>
  <c r="BM468"/>
  <c r="BL468"/>
  <c r="BG468"/>
  <c r="BE468"/>
  <c r="BD468"/>
  <c r="BA468"/>
  <c r="AX468"/>
  <c r="AQ468"/>
  <c r="AJ468"/>
  <c r="AC468"/>
  <c r="W468"/>
  <c r="J468"/>
  <c r="G468"/>
  <c r="A468"/>
  <c r="CG467"/>
  <c r="CF467"/>
  <c r="CE467"/>
  <c r="CD467"/>
  <c r="CC467"/>
  <c r="CB467"/>
  <c r="CA467"/>
  <c r="BZ467"/>
  <c r="BY467"/>
  <c r="BX467"/>
  <c r="BW467"/>
  <c r="BV467"/>
  <c r="BU467"/>
  <c r="BT467"/>
  <c r="BS467"/>
  <c r="BR467"/>
  <c r="BQ467"/>
  <c r="BP467"/>
  <c r="BO467"/>
  <c r="BN467"/>
  <c r="BM467"/>
  <c r="BL467"/>
  <c r="BI467"/>
  <c r="BG467"/>
  <c r="BE467"/>
  <c r="BD467"/>
  <c r="BA467"/>
  <c r="AX467"/>
  <c r="AQ467"/>
  <c r="AJ467"/>
  <c r="AC467"/>
  <c r="W467"/>
  <c r="J467"/>
  <c r="G467"/>
  <c r="A467"/>
  <c r="CG466"/>
  <c r="CF466"/>
  <c r="CE466"/>
  <c r="CD466"/>
  <c r="CC466"/>
  <c r="CB466"/>
  <c r="CA466"/>
  <c r="BZ466"/>
  <c r="BY466"/>
  <c r="BX466"/>
  <c r="BW466"/>
  <c r="BV466"/>
  <c r="BU466"/>
  <c r="BT466"/>
  <c r="BS466"/>
  <c r="BR466"/>
  <c r="BQ466"/>
  <c r="BP466"/>
  <c r="BO466"/>
  <c r="BN466"/>
  <c r="BM466"/>
  <c r="BL466"/>
  <c r="BI466"/>
  <c r="BG466"/>
  <c r="BE466"/>
  <c r="BD466"/>
  <c r="BA466"/>
  <c r="AX466"/>
  <c r="AQ466"/>
  <c r="AJ466"/>
  <c r="AC466"/>
  <c r="W466"/>
  <c r="J466"/>
  <c r="G466"/>
  <c r="A466"/>
  <c r="CO465"/>
  <c r="CN465"/>
  <c r="CM465"/>
  <c r="CL465"/>
  <c r="CK465"/>
  <c r="CJ465"/>
  <c r="CI465"/>
  <c r="CH465"/>
  <c r="CG465"/>
  <c r="CF465"/>
  <c r="CE465"/>
  <c r="CD465"/>
  <c r="CC465"/>
  <c r="CB465"/>
  <c r="CA465"/>
  <c r="BZ465"/>
  <c r="BY465"/>
  <c r="BX465"/>
  <c r="BW465"/>
  <c r="BV465"/>
  <c r="BU465"/>
  <c r="BT465"/>
  <c r="BS465"/>
  <c r="BR465"/>
  <c r="BQ465"/>
  <c r="BP465"/>
  <c r="BO465"/>
  <c r="BN465"/>
  <c r="BM465"/>
  <c r="BL465"/>
  <c r="BI465"/>
  <c r="BG465"/>
  <c r="BE465"/>
  <c r="BD465"/>
  <c r="BA465"/>
  <c r="AX465"/>
  <c r="AQ465"/>
  <c r="AJ465"/>
  <c r="AC465"/>
  <c r="W465"/>
  <c r="J465"/>
  <c r="G465"/>
  <c r="A465"/>
  <c r="CO464"/>
  <c r="CN464"/>
  <c r="CM464"/>
  <c r="CL464"/>
  <c r="CK464"/>
  <c r="CJ464"/>
  <c r="CI464"/>
  <c r="CH464"/>
  <c r="CG464"/>
  <c r="CF464"/>
  <c r="CE464"/>
  <c r="CD464"/>
  <c r="CC464"/>
  <c r="CB464"/>
  <c r="CA464"/>
  <c r="BZ464"/>
  <c r="BY464"/>
  <c r="BX464"/>
  <c r="BW464"/>
  <c r="BV464"/>
  <c r="BU464"/>
  <c r="BT464"/>
  <c r="BS464"/>
  <c r="BR464"/>
  <c r="BQ464"/>
  <c r="BP464"/>
  <c r="BO464"/>
  <c r="BN464"/>
  <c r="BM464"/>
  <c r="BL464"/>
  <c r="BI464"/>
  <c r="BG464"/>
  <c r="BE464"/>
  <c r="BD464"/>
  <c r="BA464"/>
  <c r="AX464"/>
  <c r="AQ464"/>
  <c r="AJ464"/>
  <c r="AC464"/>
  <c r="W464"/>
  <c r="J464"/>
  <c r="G464"/>
  <c r="A464"/>
  <c r="CG462"/>
  <c r="CF462"/>
  <c r="CE462"/>
  <c r="CD462"/>
  <c r="CC462"/>
  <c r="CB462"/>
  <c r="CA462"/>
  <c r="BZ462"/>
  <c r="BY462"/>
  <c r="BX462"/>
  <c r="BW462"/>
  <c r="BV462"/>
  <c r="BU462"/>
  <c r="BT462"/>
  <c r="BS462"/>
  <c r="BR462"/>
  <c r="BQ462"/>
  <c r="BP462"/>
  <c r="BO462"/>
  <c r="BN462"/>
  <c r="BM462"/>
  <c r="BL462"/>
  <c r="BG462"/>
  <c r="BE462"/>
  <c r="BD462"/>
  <c r="BA462"/>
  <c r="AX462"/>
  <c r="AQ462"/>
  <c r="AJ462"/>
  <c r="AC462"/>
  <c r="W462"/>
  <c r="J462"/>
  <c r="G462"/>
  <c r="A462"/>
  <c r="CE461"/>
  <c r="CD461"/>
  <c r="CC461"/>
  <c r="CB461"/>
  <c r="CA461"/>
  <c r="BZ461"/>
  <c r="BY461"/>
  <c r="BX461"/>
  <c r="BW461"/>
  <c r="BV461"/>
  <c r="BU461"/>
  <c r="BT461"/>
  <c r="BS461"/>
  <c r="BR461"/>
  <c r="BQ461"/>
  <c r="BP461"/>
  <c r="BO461"/>
  <c r="BN461"/>
  <c r="BM461"/>
  <c r="BL461"/>
  <c r="BG461"/>
  <c r="BE461"/>
  <c r="BD461"/>
  <c r="BA461"/>
  <c r="AX461"/>
  <c r="AQ461"/>
  <c r="AJ461"/>
  <c r="AC461"/>
  <c r="W461"/>
  <c r="J461"/>
  <c r="G461"/>
  <c r="A461"/>
  <c r="CE460"/>
  <c r="CD460"/>
  <c r="CC460"/>
  <c r="CB460"/>
  <c r="CA460"/>
  <c r="BZ460"/>
  <c r="BY460"/>
  <c r="BX460"/>
  <c r="BW460"/>
  <c r="BV460"/>
  <c r="BU460"/>
  <c r="BT460"/>
  <c r="BS460"/>
  <c r="BR460"/>
  <c r="BQ460"/>
  <c r="BP460"/>
  <c r="BO460"/>
  <c r="BN460"/>
  <c r="BM460"/>
  <c r="BL460"/>
  <c r="BG460"/>
  <c r="BE460"/>
  <c r="BD460"/>
  <c r="BA460"/>
  <c r="AX460"/>
  <c r="AQ460"/>
  <c r="AJ460"/>
  <c r="AC460"/>
  <c r="W460"/>
  <c r="J460"/>
  <c r="G460"/>
  <c r="A460"/>
  <c r="CE459"/>
  <c r="CD459"/>
  <c r="CC459"/>
  <c r="CB459"/>
  <c r="CA459"/>
  <c r="BZ459"/>
  <c r="BY459"/>
  <c r="BX459"/>
  <c r="BW459"/>
  <c r="BV459"/>
  <c r="BU459"/>
  <c r="BT459"/>
  <c r="BS459"/>
  <c r="BR459"/>
  <c r="BQ459"/>
  <c r="BP459"/>
  <c r="BO459"/>
  <c r="BN459"/>
  <c r="BM459"/>
  <c r="BL459"/>
  <c r="BI459"/>
  <c r="BG459"/>
  <c r="BE459"/>
  <c r="BD459"/>
  <c r="BA459"/>
  <c r="AX459"/>
  <c r="AQ459"/>
  <c r="AJ459"/>
  <c r="AC459"/>
  <c r="W459"/>
  <c r="J459"/>
  <c r="G459"/>
  <c r="A459"/>
  <c r="CG458"/>
  <c r="CF458"/>
  <c r="CE458"/>
  <c r="CD458"/>
  <c r="CC458"/>
  <c r="CB458"/>
  <c r="CA458"/>
  <c r="BZ458"/>
  <c r="BY458"/>
  <c r="BX458"/>
  <c r="BW458"/>
  <c r="BV458"/>
  <c r="BU458"/>
  <c r="BT458"/>
  <c r="BS458"/>
  <c r="BR458"/>
  <c r="BQ458"/>
  <c r="BP458"/>
  <c r="BO458"/>
  <c r="BN458"/>
  <c r="BM458"/>
  <c r="BL458"/>
  <c r="BI458"/>
  <c r="BG458"/>
  <c r="BE458"/>
  <c r="BD458"/>
  <c r="BA458"/>
  <c r="AX458"/>
  <c r="AQ458"/>
  <c r="AJ458"/>
  <c r="AC458"/>
  <c r="W458"/>
  <c r="J458"/>
  <c r="G458"/>
  <c r="A458"/>
  <c r="CM457"/>
  <c r="CL457"/>
  <c r="CK457"/>
  <c r="CJ457"/>
  <c r="CI457"/>
  <c r="CH457"/>
  <c r="CG457"/>
  <c r="CF457"/>
  <c r="CE457"/>
  <c r="CD457"/>
  <c r="CC457"/>
  <c r="CB457"/>
  <c r="CA457"/>
  <c r="BZ457"/>
  <c r="BY457"/>
  <c r="BX457"/>
  <c r="BW457"/>
  <c r="BV457"/>
  <c r="BU457"/>
  <c r="BT457"/>
  <c r="BS457"/>
  <c r="BR457"/>
  <c r="BQ457"/>
  <c r="BP457"/>
  <c r="BO457"/>
  <c r="BN457"/>
  <c r="BM457"/>
  <c r="BL457"/>
  <c r="BI457"/>
  <c r="BG457"/>
  <c r="BE457"/>
  <c r="BD457"/>
  <c r="BA457"/>
  <c r="AX457"/>
  <c r="AQ457"/>
  <c r="AJ457"/>
  <c r="AC457"/>
  <c r="W457"/>
  <c r="Q457"/>
  <c r="J457"/>
  <c r="G457"/>
  <c r="A457"/>
  <c r="CG456"/>
  <c r="CF456"/>
  <c r="CE456"/>
  <c r="CD456"/>
  <c r="CC456"/>
  <c r="CB456"/>
  <c r="CA456"/>
  <c r="BZ456"/>
  <c r="BY456"/>
  <c r="BX456"/>
  <c r="BW456"/>
  <c r="BV456"/>
  <c r="BU456"/>
  <c r="BT456"/>
  <c r="BS456"/>
  <c r="BR456"/>
  <c r="BQ456"/>
  <c r="BP456"/>
  <c r="BO456"/>
  <c r="BN456"/>
  <c r="BM456"/>
  <c r="BL456"/>
  <c r="BI456"/>
  <c r="BG456"/>
  <c r="BE456"/>
  <c r="BD456"/>
  <c r="BA456"/>
  <c r="AX456"/>
  <c r="AQ456"/>
  <c r="AJ456"/>
  <c r="AC456"/>
  <c r="W456"/>
  <c r="J456"/>
  <c r="G456"/>
  <c r="A456"/>
  <c r="CK455"/>
  <c r="CJ455"/>
  <c r="CI455"/>
  <c r="CH455"/>
  <c r="CG455"/>
  <c r="CF455"/>
  <c r="CE455"/>
  <c r="CD455"/>
  <c r="CC455"/>
  <c r="CB455"/>
  <c r="CA455"/>
  <c r="BZ455"/>
  <c r="BY455"/>
  <c r="BX455"/>
  <c r="BW455"/>
  <c r="BV455"/>
  <c r="BU455"/>
  <c r="BT455"/>
  <c r="BS455"/>
  <c r="BR455"/>
  <c r="BQ455"/>
  <c r="BP455"/>
  <c r="BO455"/>
  <c r="BN455"/>
  <c r="BM455"/>
  <c r="BL455"/>
  <c r="BI455"/>
  <c r="BG455"/>
  <c r="BE455"/>
  <c r="BD455"/>
  <c r="BA455"/>
  <c r="AX455"/>
  <c r="AQ455"/>
  <c r="AJ455"/>
  <c r="AC455"/>
  <c r="W455"/>
  <c r="Q455"/>
  <c r="J455"/>
  <c r="G455"/>
  <c r="A455"/>
  <c r="CK454"/>
  <c r="CJ454"/>
  <c r="CI454"/>
  <c r="CH454"/>
  <c r="CG454"/>
  <c r="CF454"/>
  <c r="CE454"/>
  <c r="CD454"/>
  <c r="CC454"/>
  <c r="CB454"/>
  <c r="CA454"/>
  <c r="BZ454"/>
  <c r="BY454"/>
  <c r="BX454"/>
  <c r="BW454"/>
  <c r="BV454"/>
  <c r="BU454"/>
  <c r="BT454"/>
  <c r="BS454"/>
  <c r="BR454"/>
  <c r="BQ454"/>
  <c r="BP454"/>
  <c r="BO454"/>
  <c r="BN454"/>
  <c r="BM454"/>
  <c r="BL454"/>
  <c r="BI454"/>
  <c r="BG454"/>
  <c r="BE454"/>
  <c r="BD454"/>
  <c r="BA454"/>
  <c r="AX454"/>
  <c r="AQ454"/>
  <c r="AJ454"/>
  <c r="AC454"/>
  <c r="W454"/>
  <c r="J454"/>
  <c r="G454"/>
  <c r="A454"/>
  <c r="CO453"/>
  <c r="CN453"/>
  <c r="CM453"/>
  <c r="CL453"/>
  <c r="CK453"/>
  <c r="CJ453"/>
  <c r="CI453"/>
  <c r="CH453"/>
  <c r="CG453"/>
  <c r="CF453"/>
  <c r="CE453"/>
  <c r="CD453"/>
  <c r="CC453"/>
  <c r="CB453"/>
  <c r="CA453"/>
  <c r="BZ453"/>
  <c r="BY453"/>
  <c r="BX453"/>
  <c r="BW453"/>
  <c r="BV453"/>
  <c r="BU453"/>
  <c r="BT453"/>
  <c r="BS453"/>
  <c r="BR453"/>
  <c r="BQ453"/>
  <c r="BP453"/>
  <c r="BO453"/>
  <c r="BN453"/>
  <c r="BM453"/>
  <c r="BL453"/>
  <c r="BI453"/>
  <c r="BG453"/>
  <c r="BE453"/>
  <c r="BD453"/>
  <c r="BA453"/>
  <c r="AX453"/>
  <c r="AQ453"/>
  <c r="AJ453"/>
  <c r="AC453"/>
  <c r="W453"/>
  <c r="Q453"/>
  <c r="J453"/>
  <c r="G453"/>
  <c r="A453"/>
  <c r="CO452"/>
  <c r="CN452"/>
  <c r="CM452"/>
  <c r="CL452"/>
  <c r="CK452"/>
  <c r="CJ452"/>
  <c r="CI452"/>
  <c r="CH452"/>
  <c r="CG452"/>
  <c r="CF452"/>
  <c r="CE452"/>
  <c r="CD452"/>
  <c r="CC452"/>
  <c r="CB452"/>
  <c r="CA452"/>
  <c r="BZ452"/>
  <c r="BY452"/>
  <c r="BX452"/>
  <c r="BW452"/>
  <c r="BV452"/>
  <c r="BU452"/>
  <c r="BT452"/>
  <c r="BS452"/>
  <c r="BR452"/>
  <c r="BQ452"/>
  <c r="BP452"/>
  <c r="BO452"/>
  <c r="BN452"/>
  <c r="BM452"/>
  <c r="BL452"/>
  <c r="BI452"/>
  <c r="BG452"/>
  <c r="BE452"/>
  <c r="BD452"/>
  <c r="BA452"/>
  <c r="AX452"/>
  <c r="AQ452"/>
  <c r="AJ452"/>
  <c r="AC452"/>
  <c r="W452"/>
  <c r="J452"/>
  <c r="G452"/>
  <c r="A452"/>
  <c r="CO451"/>
  <c r="CN451"/>
  <c r="CM451"/>
  <c r="CL451"/>
  <c r="CK451"/>
  <c r="CJ451"/>
  <c r="CI451"/>
  <c r="CH451"/>
  <c r="CG451"/>
  <c r="CF451"/>
  <c r="CE451"/>
  <c r="CD451"/>
  <c r="CC451"/>
  <c r="CB451"/>
  <c r="CA451"/>
  <c r="BZ451"/>
  <c r="BY451"/>
  <c r="BX451"/>
  <c r="BW451"/>
  <c r="BV451"/>
  <c r="BU451"/>
  <c r="BT451"/>
  <c r="BS451"/>
  <c r="BR451"/>
  <c r="BQ451"/>
  <c r="BP451"/>
  <c r="BO451"/>
  <c r="BN451"/>
  <c r="BM451"/>
  <c r="BL451"/>
  <c r="BI451"/>
  <c r="BG451"/>
  <c r="BE451"/>
  <c r="BD451"/>
  <c r="BA451"/>
  <c r="AX451"/>
  <c r="AQ451"/>
  <c r="AJ451"/>
  <c r="AC451"/>
  <c r="W451"/>
  <c r="Q451"/>
  <c r="J451"/>
  <c r="G451"/>
  <c r="A451"/>
  <c r="CO450"/>
  <c r="CN450"/>
  <c r="CM450"/>
  <c r="CL450"/>
  <c r="CK450"/>
  <c r="CJ450"/>
  <c r="CI450"/>
  <c r="CH450"/>
  <c r="CG450"/>
  <c r="CF450"/>
  <c r="CE450"/>
  <c r="CD450"/>
  <c r="CC450"/>
  <c r="CB450"/>
  <c r="CA450"/>
  <c r="BZ450"/>
  <c r="BY450"/>
  <c r="BX450"/>
  <c r="BW450"/>
  <c r="BV450"/>
  <c r="BU450"/>
  <c r="BT450"/>
  <c r="BS450"/>
  <c r="BR450"/>
  <c r="BQ450"/>
  <c r="BP450"/>
  <c r="BO450"/>
  <c r="BN450"/>
  <c r="BM450"/>
  <c r="BL450"/>
  <c r="BI450"/>
  <c r="BG450"/>
  <c r="BE450"/>
  <c r="BD450"/>
  <c r="BA450"/>
  <c r="AX450"/>
  <c r="AQ450"/>
  <c r="AJ450"/>
  <c r="AC450"/>
  <c r="W450"/>
  <c r="J450"/>
  <c r="G450"/>
  <c r="A450"/>
  <c r="CO449"/>
  <c r="CN449"/>
  <c r="CM449"/>
  <c r="CL449"/>
  <c r="CK449"/>
  <c r="CJ449"/>
  <c r="CI449"/>
  <c r="CH449"/>
  <c r="CG449"/>
  <c r="CF449"/>
  <c r="CE449"/>
  <c r="CD449"/>
  <c r="CC449"/>
  <c r="CB449"/>
  <c r="CA449"/>
  <c r="BZ449"/>
  <c r="BY449"/>
  <c r="BX449"/>
  <c r="BW449"/>
  <c r="BV449"/>
  <c r="BU449"/>
  <c r="BT449"/>
  <c r="BS449"/>
  <c r="BR449"/>
  <c r="BQ449"/>
  <c r="BP449"/>
  <c r="BO449"/>
  <c r="BN449"/>
  <c r="BM449"/>
  <c r="BL449"/>
  <c r="BI449"/>
  <c r="BG449"/>
  <c r="BE449"/>
  <c r="BD449"/>
  <c r="BA449"/>
  <c r="AX449"/>
  <c r="AQ449"/>
  <c r="AJ449"/>
  <c r="AC449"/>
  <c r="W449"/>
  <c r="Q449"/>
  <c r="J449"/>
  <c r="G449"/>
  <c r="A449"/>
  <c r="CM447"/>
  <c r="CL447"/>
  <c r="CK447"/>
  <c r="CJ447"/>
  <c r="CI447"/>
  <c r="CH447"/>
  <c r="CG447"/>
  <c r="CF447"/>
  <c r="CE447"/>
  <c r="CD447"/>
  <c r="CC447"/>
  <c r="CB447"/>
  <c r="CA447"/>
  <c r="BZ447"/>
  <c r="BY447"/>
  <c r="BX447"/>
  <c r="BW447"/>
  <c r="BV447"/>
  <c r="BU447"/>
  <c r="BT447"/>
  <c r="BS447"/>
  <c r="BR447"/>
  <c r="BQ447"/>
  <c r="BP447"/>
  <c r="BO447"/>
  <c r="BN447"/>
  <c r="BM447"/>
  <c r="BL447"/>
  <c r="BI447"/>
  <c r="BG447"/>
  <c r="BE447"/>
  <c r="BD447"/>
  <c r="BA447"/>
  <c r="AX447"/>
  <c r="AQ447"/>
  <c r="AJ447"/>
  <c r="AC447"/>
  <c r="W447"/>
  <c r="Q447"/>
  <c r="J447"/>
  <c r="G447"/>
  <c r="A447"/>
  <c r="CM446"/>
  <c r="CL446"/>
  <c r="CK446"/>
  <c r="CJ446"/>
  <c r="CI446"/>
  <c r="CH446"/>
  <c r="CG446"/>
  <c r="CF446"/>
  <c r="CE446"/>
  <c r="CD446"/>
  <c r="CC446"/>
  <c r="CB446"/>
  <c r="CA446"/>
  <c r="BZ446"/>
  <c r="BY446"/>
  <c r="BX446"/>
  <c r="BW446"/>
  <c r="BV446"/>
  <c r="BU446"/>
  <c r="BT446"/>
  <c r="BS446"/>
  <c r="BR446"/>
  <c r="BQ446"/>
  <c r="BP446"/>
  <c r="BO446"/>
  <c r="BN446"/>
  <c r="BM446"/>
  <c r="BL446"/>
  <c r="BI446"/>
  <c r="BG446"/>
  <c r="BE446"/>
  <c r="BD446"/>
  <c r="BA446"/>
  <c r="AX446"/>
  <c r="AQ446"/>
  <c r="AJ446"/>
  <c r="AC446"/>
  <c r="W446"/>
  <c r="J446"/>
  <c r="G446"/>
  <c r="A446"/>
  <c r="CM445"/>
  <c r="CL445"/>
  <c r="CK445"/>
  <c r="CJ445"/>
  <c r="CI445"/>
  <c r="CH445"/>
  <c r="CG445"/>
  <c r="CF445"/>
  <c r="CE445"/>
  <c r="CD445"/>
  <c r="CC445"/>
  <c r="CB445"/>
  <c r="CA445"/>
  <c r="BZ445"/>
  <c r="BY445"/>
  <c r="BX445"/>
  <c r="BW445"/>
  <c r="BV445"/>
  <c r="BU445"/>
  <c r="BT445"/>
  <c r="BS445"/>
  <c r="BR445"/>
  <c r="BQ445"/>
  <c r="BP445"/>
  <c r="BO445"/>
  <c r="BN445"/>
  <c r="BM445"/>
  <c r="BL445"/>
  <c r="BI445"/>
  <c r="BG445"/>
  <c r="BE445"/>
  <c r="BD445"/>
  <c r="BA445"/>
  <c r="AX445"/>
  <c r="AQ445"/>
  <c r="AJ445"/>
  <c r="AC445"/>
  <c r="W445"/>
  <c r="J445"/>
  <c r="G445"/>
  <c r="A445"/>
  <c r="CM444"/>
  <c r="CL444"/>
  <c r="CK444"/>
  <c r="CJ444"/>
  <c r="CI444"/>
  <c r="CH444"/>
  <c r="CG444"/>
  <c r="CF444"/>
  <c r="CE444"/>
  <c r="CD444"/>
  <c r="CC444"/>
  <c r="CB444"/>
  <c r="CA444"/>
  <c r="BZ444"/>
  <c r="BY444"/>
  <c r="BX444"/>
  <c r="BW444"/>
  <c r="BV444"/>
  <c r="BU444"/>
  <c r="BT444"/>
  <c r="BS444"/>
  <c r="BR444"/>
  <c r="BQ444"/>
  <c r="BP444"/>
  <c r="BO444"/>
  <c r="BN444"/>
  <c r="BM444"/>
  <c r="BL444"/>
  <c r="BI444"/>
  <c r="BG444"/>
  <c r="BE444"/>
  <c r="BD444"/>
  <c r="BA444"/>
  <c r="AX444"/>
  <c r="AQ444"/>
  <c r="AJ444"/>
  <c r="AC444"/>
  <c r="W444"/>
  <c r="J444"/>
  <c r="G444"/>
  <c r="A444"/>
  <c r="CI443"/>
  <c r="CH443"/>
  <c r="CG443"/>
  <c r="CF443"/>
  <c r="CE443"/>
  <c r="CD443"/>
  <c r="CC443"/>
  <c r="CB443"/>
  <c r="CA443"/>
  <c r="BZ443"/>
  <c r="BY443"/>
  <c r="BX443"/>
  <c r="BW443"/>
  <c r="BV443"/>
  <c r="BU443"/>
  <c r="BT443"/>
  <c r="BS443"/>
  <c r="BR443"/>
  <c r="BQ443"/>
  <c r="BP443"/>
  <c r="BO443"/>
  <c r="BN443"/>
  <c r="BM443"/>
  <c r="BL443"/>
  <c r="BI443"/>
  <c r="BG443"/>
  <c r="BE443"/>
  <c r="BD443"/>
  <c r="BA443"/>
  <c r="AX443"/>
  <c r="AQ443"/>
  <c r="AJ443"/>
  <c r="AC443"/>
  <c r="W443"/>
  <c r="J443"/>
  <c r="G443"/>
  <c r="A443"/>
  <c r="CI442"/>
  <c r="CH442"/>
  <c r="CG442"/>
  <c r="CF442"/>
  <c r="CE442"/>
  <c r="CD442"/>
  <c r="CC442"/>
  <c r="CB442"/>
  <c r="CA442"/>
  <c r="BZ442"/>
  <c r="BY442"/>
  <c r="BX442"/>
  <c r="BW442"/>
  <c r="BV442"/>
  <c r="BU442"/>
  <c r="BT442"/>
  <c r="BS442"/>
  <c r="BR442"/>
  <c r="BQ442"/>
  <c r="BP442"/>
  <c r="BO442"/>
  <c r="BN442"/>
  <c r="BM442"/>
  <c r="BL442"/>
  <c r="BI442"/>
  <c r="BG442"/>
  <c r="BE442"/>
  <c r="BD442"/>
  <c r="BA442"/>
  <c r="AX442"/>
  <c r="AQ442"/>
  <c r="AJ442"/>
  <c r="AC442"/>
  <c r="W442"/>
  <c r="Q442"/>
  <c r="J442"/>
  <c r="G442"/>
  <c r="A442"/>
  <c r="CM441"/>
  <c r="CL441"/>
  <c r="CK441"/>
  <c r="CJ441"/>
  <c r="CI441"/>
  <c r="CH441"/>
  <c r="CG441"/>
  <c r="CF441"/>
  <c r="CE441"/>
  <c r="CD441"/>
  <c r="CC441"/>
  <c r="CB441"/>
  <c r="CA441"/>
  <c r="BZ441"/>
  <c r="BY441"/>
  <c r="BX441"/>
  <c r="BW441"/>
  <c r="BV441"/>
  <c r="BU441"/>
  <c r="BT441"/>
  <c r="BS441"/>
  <c r="BR441"/>
  <c r="BQ441"/>
  <c r="BP441"/>
  <c r="BO441"/>
  <c r="BN441"/>
  <c r="BM441"/>
  <c r="BL441"/>
  <c r="BI441"/>
  <c r="BG441"/>
  <c r="BE441"/>
  <c r="BD441"/>
  <c r="BA441"/>
  <c r="AX441"/>
  <c r="AQ441"/>
  <c r="AJ441"/>
  <c r="AC441"/>
  <c r="W441"/>
  <c r="Q441"/>
  <c r="J441"/>
  <c r="G441"/>
  <c r="A441"/>
  <c r="CE440"/>
  <c r="CD440"/>
  <c r="CC440"/>
  <c r="CB440"/>
  <c r="CA440"/>
  <c r="BZ440"/>
  <c r="BY440"/>
  <c r="BX440"/>
  <c r="BW440"/>
  <c r="BV440"/>
  <c r="BU440"/>
  <c r="BT440"/>
  <c r="BS440"/>
  <c r="BR440"/>
  <c r="BQ440"/>
  <c r="BP440"/>
  <c r="BO440"/>
  <c r="BN440"/>
  <c r="BM440"/>
  <c r="BL440"/>
  <c r="BI440"/>
  <c r="BG440"/>
  <c r="BE440"/>
  <c r="BD440"/>
  <c r="BA440"/>
  <c r="AX440"/>
  <c r="AQ440"/>
  <c r="AJ440"/>
  <c r="AC440"/>
  <c r="W440"/>
  <c r="J440"/>
  <c r="G440"/>
  <c r="A440"/>
  <c r="CG439"/>
  <c r="CF439"/>
  <c r="CE439"/>
  <c r="CD439"/>
  <c r="CC439"/>
  <c r="CB439"/>
  <c r="CA439"/>
  <c r="BZ439"/>
  <c r="BY439"/>
  <c r="BX439"/>
  <c r="BW439"/>
  <c r="BV439"/>
  <c r="BU439"/>
  <c r="BT439"/>
  <c r="BS439"/>
  <c r="BR439"/>
  <c r="BQ439"/>
  <c r="BP439"/>
  <c r="BO439"/>
  <c r="BN439"/>
  <c r="BM439"/>
  <c r="BL439"/>
  <c r="BI439"/>
  <c r="BG439"/>
  <c r="BE439"/>
  <c r="BD439"/>
  <c r="BA439"/>
  <c r="AX439"/>
  <c r="AQ439"/>
  <c r="AJ439"/>
  <c r="AC439"/>
  <c r="W439"/>
  <c r="J439"/>
  <c r="G439"/>
  <c r="A439"/>
  <c r="CG438"/>
  <c r="CF438"/>
  <c r="CE438"/>
  <c r="CD438"/>
  <c r="CC438"/>
  <c r="CB438"/>
  <c r="CA438"/>
  <c r="BZ438"/>
  <c r="BY438"/>
  <c r="BX438"/>
  <c r="BW438"/>
  <c r="BV438"/>
  <c r="BU438"/>
  <c r="BT438"/>
  <c r="BS438"/>
  <c r="BR438"/>
  <c r="BQ438"/>
  <c r="BP438"/>
  <c r="BO438"/>
  <c r="BN438"/>
  <c r="BM438"/>
  <c r="BL438"/>
  <c r="BI438"/>
  <c r="BG438"/>
  <c r="BE438"/>
  <c r="BD438"/>
  <c r="BA438"/>
  <c r="AX438"/>
  <c r="AQ438"/>
  <c r="AJ438"/>
  <c r="AC438"/>
  <c r="W438"/>
  <c r="J438"/>
  <c r="G438"/>
  <c r="A438"/>
  <c r="CE437"/>
  <c r="CD437"/>
  <c r="CC437"/>
  <c r="CB437"/>
  <c r="CA437"/>
  <c r="BZ437"/>
  <c r="BY437"/>
  <c r="BX437"/>
  <c r="BW437"/>
  <c r="BV437"/>
  <c r="BU437"/>
  <c r="BT437"/>
  <c r="BS437"/>
  <c r="BR437"/>
  <c r="BQ437"/>
  <c r="BP437"/>
  <c r="BO437"/>
  <c r="BN437"/>
  <c r="BM437"/>
  <c r="BL437"/>
  <c r="BI437"/>
  <c r="BG437"/>
  <c r="BE437"/>
  <c r="BD437"/>
  <c r="BA437"/>
  <c r="AX437"/>
  <c r="AQ437"/>
  <c r="AJ437"/>
  <c r="AC437"/>
  <c r="W437"/>
  <c r="J437"/>
  <c r="G437"/>
  <c r="A437"/>
  <c r="CC436"/>
  <c r="CB436"/>
  <c r="CA436"/>
  <c r="BZ436"/>
  <c r="BY436"/>
  <c r="BX436"/>
  <c r="BW436"/>
  <c r="BV436"/>
  <c r="BU436"/>
  <c r="BT436"/>
  <c r="BS436"/>
  <c r="BR436"/>
  <c r="BQ436"/>
  <c r="BP436"/>
  <c r="BO436"/>
  <c r="BN436"/>
  <c r="BM436"/>
  <c r="BL436"/>
  <c r="BI436"/>
  <c r="BG436"/>
  <c r="BE436"/>
  <c r="BD436"/>
  <c r="BA436"/>
  <c r="AX436"/>
  <c r="AQ436"/>
  <c r="AJ436"/>
  <c r="AC436"/>
  <c r="W436"/>
  <c r="J436"/>
  <c r="G436"/>
  <c r="A436"/>
  <c r="CE435"/>
  <c r="CD435"/>
  <c r="CC435"/>
  <c r="CB435"/>
  <c r="CA435"/>
  <c r="BZ435"/>
  <c r="BY435"/>
  <c r="BX435"/>
  <c r="BW435"/>
  <c r="BV435"/>
  <c r="BU435"/>
  <c r="BT435"/>
  <c r="BS435"/>
  <c r="BR435"/>
  <c r="BQ435"/>
  <c r="BP435"/>
  <c r="BO435"/>
  <c r="BN435"/>
  <c r="BM435"/>
  <c r="BL435"/>
  <c r="BI435"/>
  <c r="BG435"/>
  <c r="BE435"/>
  <c r="BD435"/>
  <c r="BA435"/>
  <c r="AX435"/>
  <c r="AQ435"/>
  <c r="AJ435"/>
  <c r="AC435"/>
  <c r="W435"/>
  <c r="Q435"/>
  <c r="J435"/>
  <c r="G435"/>
  <c r="A435"/>
  <c r="CO434"/>
  <c r="CN434"/>
  <c r="CM434"/>
  <c r="CL434"/>
  <c r="CK434"/>
  <c r="CJ434"/>
  <c r="CI434"/>
  <c r="CH434"/>
  <c r="CG434"/>
  <c r="CF434"/>
  <c r="CE434"/>
  <c r="CD434"/>
  <c r="CC434"/>
  <c r="CB434"/>
  <c r="CA434"/>
  <c r="BZ434"/>
  <c r="BY434"/>
  <c r="BX434"/>
  <c r="BW434"/>
  <c r="BV434"/>
  <c r="BU434"/>
  <c r="BT434"/>
  <c r="BS434"/>
  <c r="BR434"/>
  <c r="BQ434"/>
  <c r="BP434"/>
  <c r="BO434"/>
  <c r="BN434"/>
  <c r="BM434"/>
  <c r="BL434"/>
  <c r="BI434"/>
  <c r="BG434"/>
  <c r="BE434"/>
  <c r="BD434"/>
  <c r="BA434"/>
  <c r="AX434"/>
  <c r="AQ434"/>
  <c r="AJ434"/>
  <c r="AC434"/>
  <c r="W434"/>
  <c r="Q434"/>
  <c r="J434"/>
  <c r="G434"/>
  <c r="A434"/>
  <c r="CO433"/>
  <c r="CN433"/>
  <c r="CM433"/>
  <c r="CL433"/>
  <c r="CK433"/>
  <c r="CJ433"/>
  <c r="CI433"/>
  <c r="CH433"/>
  <c r="CG433"/>
  <c r="CF433"/>
  <c r="CE433"/>
  <c r="CD433"/>
  <c r="CC433"/>
  <c r="CB433"/>
  <c r="CA433"/>
  <c r="BZ433"/>
  <c r="BY433"/>
  <c r="BX433"/>
  <c r="BW433"/>
  <c r="BV433"/>
  <c r="BU433"/>
  <c r="BT433"/>
  <c r="BS433"/>
  <c r="BR433"/>
  <c r="BQ433"/>
  <c r="BP433"/>
  <c r="BO433"/>
  <c r="BN433"/>
  <c r="BM433"/>
  <c r="BL433"/>
  <c r="BI433"/>
  <c r="BG433"/>
  <c r="BE433"/>
  <c r="BD433"/>
  <c r="BA433"/>
  <c r="AX433"/>
  <c r="AQ433"/>
  <c r="AJ433"/>
  <c r="AC433"/>
  <c r="W433"/>
  <c r="J433"/>
  <c r="G433"/>
  <c r="A433"/>
  <c r="CO432"/>
  <c r="CN432"/>
  <c r="CM432"/>
  <c r="CL432"/>
  <c r="CK432"/>
  <c r="CJ432"/>
  <c r="CI432"/>
  <c r="CH432"/>
  <c r="CG432"/>
  <c r="CF432"/>
  <c r="CE432"/>
  <c r="CD432"/>
  <c r="CC432"/>
  <c r="CB432"/>
  <c r="CA432"/>
  <c r="BZ432"/>
  <c r="BY432"/>
  <c r="BX432"/>
  <c r="BW432"/>
  <c r="BV432"/>
  <c r="BU432"/>
  <c r="BT432"/>
  <c r="BS432"/>
  <c r="BR432"/>
  <c r="BQ432"/>
  <c r="BP432"/>
  <c r="BO432"/>
  <c r="BN432"/>
  <c r="BM432"/>
  <c r="BL432"/>
  <c r="BI432"/>
  <c r="BG432"/>
  <c r="BE432"/>
  <c r="BD432"/>
  <c r="BA432"/>
  <c r="AX432"/>
  <c r="AQ432"/>
  <c r="AJ432"/>
  <c r="AC432"/>
  <c r="W432"/>
  <c r="J432"/>
  <c r="G432"/>
  <c r="A432"/>
  <c r="CO431"/>
  <c r="CN431"/>
  <c r="CM431"/>
  <c r="CL431"/>
  <c r="CK431"/>
  <c r="CJ431"/>
  <c r="CI431"/>
  <c r="CH431"/>
  <c r="CG431"/>
  <c r="CF431"/>
  <c r="CE431"/>
  <c r="CD431"/>
  <c r="CC431"/>
  <c r="CB431"/>
  <c r="CA431"/>
  <c r="BZ431"/>
  <c r="BY431"/>
  <c r="BX431"/>
  <c r="BW431"/>
  <c r="BV431"/>
  <c r="BU431"/>
  <c r="BT431"/>
  <c r="BS431"/>
  <c r="BR431"/>
  <c r="BQ431"/>
  <c r="BP431"/>
  <c r="BO431"/>
  <c r="BN431"/>
  <c r="BM431"/>
  <c r="BL431"/>
  <c r="BI431"/>
  <c r="BG431"/>
  <c r="BE431"/>
  <c r="BD431"/>
  <c r="BA431"/>
  <c r="AX431"/>
  <c r="AQ431"/>
  <c r="AJ431"/>
  <c r="AC431"/>
  <c r="W431"/>
  <c r="Q431"/>
  <c r="J431"/>
  <c r="G431"/>
  <c r="A431"/>
  <c r="CO430"/>
  <c r="CN430"/>
  <c r="CM430"/>
  <c r="CL430"/>
  <c r="CK430"/>
  <c r="CJ430"/>
  <c r="CI430"/>
  <c r="CH430"/>
  <c r="CG430"/>
  <c r="CF430"/>
  <c r="CE430"/>
  <c r="CD430"/>
  <c r="CC430"/>
  <c r="CB430"/>
  <c r="CA430"/>
  <c r="BZ430"/>
  <c r="BY430"/>
  <c r="BX430"/>
  <c r="BW430"/>
  <c r="BV430"/>
  <c r="BU430"/>
  <c r="BT430"/>
  <c r="BS430"/>
  <c r="BR430"/>
  <c r="BQ430"/>
  <c r="BP430"/>
  <c r="BO430"/>
  <c r="BN430"/>
  <c r="BM430"/>
  <c r="BL430"/>
  <c r="BI430"/>
  <c r="BG430"/>
  <c r="BE430"/>
  <c r="BD430"/>
  <c r="BA430"/>
  <c r="AX430"/>
  <c r="AQ430"/>
  <c r="AJ430"/>
  <c r="AC430"/>
  <c r="W430"/>
  <c r="Q430"/>
  <c r="J430"/>
  <c r="G430"/>
  <c r="A430"/>
  <c r="CO429"/>
  <c r="CN429"/>
  <c r="CM429"/>
  <c r="CL429"/>
  <c r="CK429"/>
  <c r="CJ429"/>
  <c r="CI429"/>
  <c r="CH429"/>
  <c r="CG429"/>
  <c r="CF429"/>
  <c r="CE429"/>
  <c r="CD429"/>
  <c r="CC429"/>
  <c r="CB429"/>
  <c r="CA429"/>
  <c r="BZ429"/>
  <c r="BY429"/>
  <c r="BX429"/>
  <c r="BW429"/>
  <c r="BV429"/>
  <c r="BU429"/>
  <c r="BT429"/>
  <c r="BS429"/>
  <c r="BR429"/>
  <c r="BQ429"/>
  <c r="BP429"/>
  <c r="BO429"/>
  <c r="BN429"/>
  <c r="BM429"/>
  <c r="BL429"/>
  <c r="BI429"/>
  <c r="BG429"/>
  <c r="BE429"/>
  <c r="BD429"/>
  <c r="BA429"/>
  <c r="AX429"/>
  <c r="AQ429"/>
  <c r="AJ429"/>
  <c r="AC429"/>
  <c r="W429"/>
  <c r="Q429"/>
  <c r="J429"/>
  <c r="G429"/>
  <c r="A429"/>
  <c r="CK425"/>
  <c r="CJ425"/>
  <c r="CI425"/>
  <c r="CH425"/>
  <c r="CG425"/>
  <c r="CF425"/>
  <c r="CE425"/>
  <c r="CD425"/>
  <c r="CC425"/>
  <c r="CB425"/>
  <c r="CA425"/>
  <c r="BZ425"/>
  <c r="BY425"/>
  <c r="BX425"/>
  <c r="BW425"/>
  <c r="BV425"/>
  <c r="BU425"/>
  <c r="BT425"/>
  <c r="BS425"/>
  <c r="BR425"/>
  <c r="BQ425"/>
  <c r="BP425"/>
  <c r="BO425"/>
  <c r="BN425"/>
  <c r="BM425"/>
  <c r="BL425"/>
  <c r="BI425"/>
  <c r="BG425"/>
  <c r="BE425"/>
  <c r="BD425"/>
  <c r="BA425"/>
  <c r="AX425"/>
  <c r="AQ425"/>
  <c r="AJ425"/>
  <c r="AC425"/>
  <c r="W425"/>
  <c r="J425"/>
  <c r="G425"/>
  <c r="A425"/>
  <c r="CK424"/>
  <c r="CJ424"/>
  <c r="CI424"/>
  <c r="CH424"/>
  <c r="CG424"/>
  <c r="CF424"/>
  <c r="CE424"/>
  <c r="CD424"/>
  <c r="CC424"/>
  <c r="CB424"/>
  <c r="CA424"/>
  <c r="BZ424"/>
  <c r="BY424"/>
  <c r="BX424"/>
  <c r="BW424"/>
  <c r="BV424"/>
  <c r="BU424"/>
  <c r="BT424"/>
  <c r="BS424"/>
  <c r="BR424"/>
  <c r="BQ424"/>
  <c r="BP424"/>
  <c r="BO424"/>
  <c r="BN424"/>
  <c r="BM424"/>
  <c r="BL424"/>
  <c r="BI424"/>
  <c r="BG424"/>
  <c r="BE424"/>
  <c r="BD424"/>
  <c r="BA424"/>
  <c r="AX424"/>
  <c r="AQ424"/>
  <c r="AJ424"/>
  <c r="AC424"/>
  <c r="W424"/>
  <c r="J424"/>
  <c r="G424"/>
  <c r="A424"/>
  <c r="CI423"/>
  <c r="CH423"/>
  <c r="CG423"/>
  <c r="CF423"/>
  <c r="CE423"/>
  <c r="CD423"/>
  <c r="CC423"/>
  <c r="CB423"/>
  <c r="CA423"/>
  <c r="BZ423"/>
  <c r="BY423"/>
  <c r="BX423"/>
  <c r="BW423"/>
  <c r="BV423"/>
  <c r="BU423"/>
  <c r="BT423"/>
  <c r="BS423"/>
  <c r="BR423"/>
  <c r="BQ423"/>
  <c r="BP423"/>
  <c r="BO423"/>
  <c r="BN423"/>
  <c r="BM423"/>
  <c r="BL423"/>
  <c r="BI423"/>
  <c r="BG423"/>
  <c r="BE423"/>
  <c r="BD423"/>
  <c r="BA423"/>
  <c r="AX423"/>
  <c r="AQ423"/>
  <c r="AJ423"/>
  <c r="AC423"/>
  <c r="W423"/>
  <c r="J423"/>
  <c r="G423"/>
  <c r="A423"/>
  <c r="CI422"/>
  <c r="CH422"/>
  <c r="CG422"/>
  <c r="CF422"/>
  <c r="CE422"/>
  <c r="CD422"/>
  <c r="CC422"/>
  <c r="CB422"/>
  <c r="CA422"/>
  <c r="BZ422"/>
  <c r="BY422"/>
  <c r="BX422"/>
  <c r="BW422"/>
  <c r="BV422"/>
  <c r="BU422"/>
  <c r="BT422"/>
  <c r="BS422"/>
  <c r="BR422"/>
  <c r="BQ422"/>
  <c r="BP422"/>
  <c r="BO422"/>
  <c r="BN422"/>
  <c r="BM422"/>
  <c r="BL422"/>
  <c r="BI422"/>
  <c r="BG422"/>
  <c r="BE422"/>
  <c r="BD422"/>
  <c r="BA422"/>
  <c r="AX422"/>
  <c r="AQ422"/>
  <c r="AJ422"/>
  <c r="AC422"/>
  <c r="W422"/>
  <c r="J422"/>
  <c r="G422"/>
  <c r="A422"/>
  <c r="CG421"/>
  <c r="CF421"/>
  <c r="CE421"/>
  <c r="CD421"/>
  <c r="CC421"/>
  <c r="CB421"/>
  <c r="CA421"/>
  <c r="BZ421"/>
  <c r="BY421"/>
  <c r="BX421"/>
  <c r="BW421"/>
  <c r="BV421"/>
  <c r="BU421"/>
  <c r="BT421"/>
  <c r="BS421"/>
  <c r="BR421"/>
  <c r="BQ421"/>
  <c r="BP421"/>
  <c r="BO421"/>
  <c r="BN421"/>
  <c r="BM421"/>
  <c r="BL421"/>
  <c r="BI421"/>
  <c r="BG421"/>
  <c r="BE421"/>
  <c r="BD421"/>
  <c r="BA421"/>
  <c r="AX421"/>
  <c r="AQ421"/>
  <c r="AJ421"/>
  <c r="AC421"/>
  <c r="W421"/>
  <c r="J421"/>
  <c r="G421"/>
  <c r="A421"/>
  <c r="CE420"/>
  <c r="CD420"/>
  <c r="CC420"/>
  <c r="CB420"/>
  <c r="CA420"/>
  <c r="BZ420"/>
  <c r="BY420"/>
  <c r="BX420"/>
  <c r="BW420"/>
  <c r="BV420"/>
  <c r="BU420"/>
  <c r="BT420"/>
  <c r="BS420"/>
  <c r="BR420"/>
  <c r="BQ420"/>
  <c r="BP420"/>
  <c r="BO420"/>
  <c r="BN420"/>
  <c r="BM420"/>
  <c r="BL420"/>
  <c r="BI420"/>
  <c r="BG420"/>
  <c r="BE420"/>
  <c r="BD420"/>
  <c r="BA420"/>
  <c r="AX420"/>
  <c r="AQ420"/>
  <c r="AJ420"/>
  <c r="AC420"/>
  <c r="W420"/>
  <c r="J420"/>
  <c r="G420"/>
  <c r="A420"/>
  <c r="CK419"/>
  <c r="CJ419"/>
  <c r="CI419"/>
  <c r="CH419"/>
  <c r="CG419"/>
  <c r="CF419"/>
  <c r="CE419"/>
  <c r="CD419"/>
  <c r="CC419"/>
  <c r="CB419"/>
  <c r="CA419"/>
  <c r="BZ419"/>
  <c r="BY419"/>
  <c r="BX419"/>
  <c r="BW419"/>
  <c r="BV419"/>
  <c r="BU419"/>
  <c r="BT419"/>
  <c r="BS419"/>
  <c r="BR419"/>
  <c r="BQ419"/>
  <c r="BP419"/>
  <c r="BO419"/>
  <c r="BN419"/>
  <c r="BM419"/>
  <c r="BL419"/>
  <c r="BI419"/>
  <c r="BG419"/>
  <c r="BE419"/>
  <c r="BD419"/>
  <c r="BA419"/>
  <c r="AX419"/>
  <c r="AQ419"/>
  <c r="AJ419"/>
  <c r="AC419"/>
  <c r="W419"/>
  <c r="J419"/>
  <c r="G419"/>
  <c r="A419"/>
  <c r="CK418"/>
  <c r="CJ418"/>
  <c r="CI418"/>
  <c r="CH418"/>
  <c r="CG418"/>
  <c r="CF418"/>
  <c r="CE418"/>
  <c r="CD418"/>
  <c r="CC418"/>
  <c r="CB418"/>
  <c r="CA418"/>
  <c r="BZ418"/>
  <c r="BY418"/>
  <c r="BX418"/>
  <c r="BW418"/>
  <c r="BV418"/>
  <c r="BU418"/>
  <c r="BT418"/>
  <c r="BS418"/>
  <c r="BR418"/>
  <c r="BQ418"/>
  <c r="BP418"/>
  <c r="BO418"/>
  <c r="BN418"/>
  <c r="BM418"/>
  <c r="BL418"/>
  <c r="BI418"/>
  <c r="BG418"/>
  <c r="BE418"/>
  <c r="BD418"/>
  <c r="BA418"/>
  <c r="AX418"/>
  <c r="AQ418"/>
  <c r="AJ418"/>
  <c r="AC418"/>
  <c r="W418"/>
  <c r="J418"/>
  <c r="G418"/>
  <c r="A418"/>
  <c r="CI417"/>
  <c r="CH417"/>
  <c r="CG417"/>
  <c r="CF417"/>
  <c r="CE417"/>
  <c r="CD417"/>
  <c r="CC417"/>
  <c r="CB417"/>
  <c r="CA417"/>
  <c r="BZ417"/>
  <c r="BY417"/>
  <c r="BX417"/>
  <c r="BW417"/>
  <c r="BV417"/>
  <c r="BU417"/>
  <c r="BT417"/>
  <c r="BS417"/>
  <c r="BR417"/>
  <c r="BQ417"/>
  <c r="BP417"/>
  <c r="BO417"/>
  <c r="BN417"/>
  <c r="BM417"/>
  <c r="BL417"/>
  <c r="BI417"/>
  <c r="BG417"/>
  <c r="BE417"/>
  <c r="BD417"/>
  <c r="BA417"/>
  <c r="AX417"/>
  <c r="AQ417"/>
  <c r="AJ417"/>
  <c r="AC417"/>
  <c r="W417"/>
  <c r="J417"/>
  <c r="G417"/>
  <c r="A417"/>
  <c r="CI416"/>
  <c r="CH416"/>
  <c r="CG416"/>
  <c r="CF416"/>
  <c r="CE416"/>
  <c r="CD416"/>
  <c r="CC416"/>
  <c r="CB416"/>
  <c r="CA416"/>
  <c r="BZ416"/>
  <c r="BY416"/>
  <c r="BX416"/>
  <c r="BW416"/>
  <c r="BV416"/>
  <c r="BU416"/>
  <c r="BT416"/>
  <c r="BS416"/>
  <c r="BR416"/>
  <c r="BQ416"/>
  <c r="BP416"/>
  <c r="BO416"/>
  <c r="BN416"/>
  <c r="BM416"/>
  <c r="BL416"/>
  <c r="BI416"/>
  <c r="BG416"/>
  <c r="BE416"/>
  <c r="BD416"/>
  <c r="BA416"/>
  <c r="AX416"/>
  <c r="AQ416"/>
  <c r="AJ416"/>
  <c r="AC416"/>
  <c r="W416"/>
  <c r="J416"/>
  <c r="G416"/>
  <c r="A416"/>
  <c r="CI415"/>
  <c r="CH415"/>
  <c r="CG415"/>
  <c r="CF415"/>
  <c r="CE415"/>
  <c r="CD415"/>
  <c r="CC415"/>
  <c r="CB415"/>
  <c r="CA415"/>
  <c r="BZ415"/>
  <c r="BY415"/>
  <c r="BX415"/>
  <c r="BW415"/>
  <c r="BV415"/>
  <c r="BU415"/>
  <c r="BT415"/>
  <c r="BS415"/>
  <c r="BR415"/>
  <c r="BQ415"/>
  <c r="BP415"/>
  <c r="BO415"/>
  <c r="BN415"/>
  <c r="BM415"/>
  <c r="BL415"/>
  <c r="BI415"/>
  <c r="BG415"/>
  <c r="BE415"/>
  <c r="BD415"/>
  <c r="BA415"/>
  <c r="AX415"/>
  <c r="AQ415"/>
  <c r="AJ415"/>
  <c r="AC415"/>
  <c r="W415"/>
  <c r="J415"/>
  <c r="G415"/>
  <c r="A415"/>
  <c r="CI414"/>
  <c r="CH414"/>
  <c r="CG414"/>
  <c r="CF414"/>
  <c r="CE414"/>
  <c r="CD414"/>
  <c r="CC414"/>
  <c r="CB414"/>
  <c r="CA414"/>
  <c r="BZ414"/>
  <c r="BY414"/>
  <c r="BX414"/>
  <c r="BW414"/>
  <c r="BV414"/>
  <c r="BU414"/>
  <c r="BT414"/>
  <c r="BS414"/>
  <c r="BR414"/>
  <c r="BQ414"/>
  <c r="BP414"/>
  <c r="BO414"/>
  <c r="BN414"/>
  <c r="BM414"/>
  <c r="BL414"/>
  <c r="BI414"/>
  <c r="BG414"/>
  <c r="BE414"/>
  <c r="BD414"/>
  <c r="BA414"/>
  <c r="AX414"/>
  <c r="AQ414"/>
  <c r="AJ414"/>
  <c r="AC414"/>
  <c r="W414"/>
  <c r="J414"/>
  <c r="G414"/>
  <c r="A414"/>
  <c r="CI413"/>
  <c r="CH413"/>
  <c r="CG413"/>
  <c r="CF413"/>
  <c r="CE413"/>
  <c r="CD413"/>
  <c r="CC413"/>
  <c r="CB413"/>
  <c r="CA413"/>
  <c r="BZ413"/>
  <c r="BY413"/>
  <c r="BX413"/>
  <c r="BW413"/>
  <c r="BV413"/>
  <c r="BU413"/>
  <c r="BT413"/>
  <c r="BS413"/>
  <c r="BR413"/>
  <c r="BQ413"/>
  <c r="BP413"/>
  <c r="BO413"/>
  <c r="BN413"/>
  <c r="BM413"/>
  <c r="BL413"/>
  <c r="BI413"/>
  <c r="BG413"/>
  <c r="BE413"/>
  <c r="BD413"/>
  <c r="BA413"/>
  <c r="AX413"/>
  <c r="AQ413"/>
  <c r="AJ413"/>
  <c r="AC413"/>
  <c r="W413"/>
  <c r="J413"/>
  <c r="G413"/>
  <c r="A413"/>
  <c r="CO412"/>
  <c r="CN412"/>
  <c r="CM412"/>
  <c r="CL412"/>
  <c r="CK412"/>
  <c r="CJ412"/>
  <c r="CI412"/>
  <c r="CH412"/>
  <c r="CG412"/>
  <c r="CF412"/>
  <c r="CE412"/>
  <c r="CD412"/>
  <c r="CC412"/>
  <c r="CB412"/>
  <c r="CA412"/>
  <c r="BZ412"/>
  <c r="BY412"/>
  <c r="BX412"/>
  <c r="BW412"/>
  <c r="BV412"/>
  <c r="BU412"/>
  <c r="BT412"/>
  <c r="BS412"/>
  <c r="BR412"/>
  <c r="BQ412"/>
  <c r="BP412"/>
  <c r="BO412"/>
  <c r="BN412"/>
  <c r="BM412"/>
  <c r="BL412"/>
  <c r="BI412"/>
  <c r="BG412"/>
  <c r="BE412"/>
  <c r="BD412"/>
  <c r="BA412"/>
  <c r="AX412"/>
  <c r="AQ412"/>
  <c r="AJ412"/>
  <c r="AC412"/>
  <c r="W412"/>
  <c r="J412"/>
  <c r="G412"/>
  <c r="A412"/>
  <c r="CO411"/>
  <c r="CN411"/>
  <c r="CM411"/>
  <c r="CL411"/>
  <c r="CK411"/>
  <c r="CJ411"/>
  <c r="CI411"/>
  <c r="CH411"/>
  <c r="CG411"/>
  <c r="CF411"/>
  <c r="CE411"/>
  <c r="CD411"/>
  <c r="CC411"/>
  <c r="CB411"/>
  <c r="CA411"/>
  <c r="BZ411"/>
  <c r="BY411"/>
  <c r="BX411"/>
  <c r="BW411"/>
  <c r="BV411"/>
  <c r="BU411"/>
  <c r="BT411"/>
  <c r="BS411"/>
  <c r="BR411"/>
  <c r="BQ411"/>
  <c r="BP411"/>
  <c r="BO411"/>
  <c r="BN411"/>
  <c r="BM411"/>
  <c r="BL411"/>
  <c r="BI411"/>
  <c r="BG411"/>
  <c r="BE411"/>
  <c r="BD411"/>
  <c r="BA411"/>
  <c r="AX411"/>
  <c r="AQ411"/>
  <c r="AJ411"/>
  <c r="AC411"/>
  <c r="W411"/>
  <c r="J411"/>
  <c r="G411"/>
  <c r="A411"/>
  <c r="CO410"/>
  <c r="CN410"/>
  <c r="CM410"/>
  <c r="CL410"/>
  <c r="CK410"/>
  <c r="CJ410"/>
  <c r="CI410"/>
  <c r="CH410"/>
  <c r="CG410"/>
  <c r="CF410"/>
  <c r="CE410"/>
  <c r="CD410"/>
  <c r="CC410"/>
  <c r="CB410"/>
  <c r="CA410"/>
  <c r="BZ410"/>
  <c r="BY410"/>
  <c r="BX410"/>
  <c r="BW410"/>
  <c r="BV410"/>
  <c r="BU410"/>
  <c r="BT410"/>
  <c r="BS410"/>
  <c r="BR410"/>
  <c r="BQ410"/>
  <c r="BP410"/>
  <c r="BO410"/>
  <c r="BN410"/>
  <c r="BM410"/>
  <c r="BL410"/>
  <c r="BI410"/>
  <c r="BG410"/>
  <c r="BE410"/>
  <c r="BD410"/>
  <c r="BA410"/>
  <c r="AX410"/>
  <c r="AQ410"/>
  <c r="AJ410"/>
  <c r="AC410"/>
  <c r="W410"/>
  <c r="J410"/>
  <c r="G410"/>
  <c r="A410"/>
  <c r="CO409"/>
  <c r="CN409"/>
  <c r="CM409"/>
  <c r="CL409"/>
  <c r="CK409"/>
  <c r="CJ409"/>
  <c r="CI409"/>
  <c r="CH409"/>
  <c r="CG409"/>
  <c r="CF409"/>
  <c r="CE409"/>
  <c r="CD409"/>
  <c r="CC409"/>
  <c r="CB409"/>
  <c r="CA409"/>
  <c r="BZ409"/>
  <c r="BY409"/>
  <c r="BX409"/>
  <c r="BW409"/>
  <c r="BV409"/>
  <c r="BU409"/>
  <c r="BT409"/>
  <c r="BS409"/>
  <c r="BR409"/>
  <c r="BQ409"/>
  <c r="BP409"/>
  <c r="BO409"/>
  <c r="BN409"/>
  <c r="BM409"/>
  <c r="BL409"/>
  <c r="BI409"/>
  <c r="BG409"/>
  <c r="BE409"/>
  <c r="BD409"/>
  <c r="BA409"/>
  <c r="AX409"/>
  <c r="AQ409"/>
  <c r="AJ409"/>
  <c r="AC409"/>
  <c r="W409"/>
  <c r="J409"/>
  <c r="G409"/>
  <c r="A409"/>
  <c r="CO408"/>
  <c r="CN408"/>
  <c r="CM408"/>
  <c r="CL408"/>
  <c r="CK408"/>
  <c r="CJ408"/>
  <c r="CI408"/>
  <c r="CH408"/>
  <c r="CG408"/>
  <c r="CF408"/>
  <c r="CE408"/>
  <c r="CD408"/>
  <c r="CC408"/>
  <c r="CB408"/>
  <c r="CA408"/>
  <c r="BZ408"/>
  <c r="BY408"/>
  <c r="BX408"/>
  <c r="BW408"/>
  <c r="BV408"/>
  <c r="BU408"/>
  <c r="BT408"/>
  <c r="BS408"/>
  <c r="BR408"/>
  <c r="BQ408"/>
  <c r="BP408"/>
  <c r="BO408"/>
  <c r="BN408"/>
  <c r="BM408"/>
  <c r="BL408"/>
  <c r="BI408"/>
  <c r="BG408"/>
  <c r="BE408"/>
  <c r="BD408"/>
  <c r="BA408"/>
  <c r="AX408"/>
  <c r="AQ408"/>
  <c r="AJ408"/>
  <c r="AC408"/>
  <c r="W408"/>
  <c r="J408"/>
  <c r="G408"/>
  <c r="A408"/>
  <c r="CO407"/>
  <c r="CN407"/>
  <c r="CM407"/>
  <c r="CL407"/>
  <c r="CK407"/>
  <c r="CJ407"/>
  <c r="CI407"/>
  <c r="CH407"/>
  <c r="CG407"/>
  <c r="CF407"/>
  <c r="CE407"/>
  <c r="CD407"/>
  <c r="CC407"/>
  <c r="CB407"/>
  <c r="CA407"/>
  <c r="BZ407"/>
  <c r="BY407"/>
  <c r="BX407"/>
  <c r="BW407"/>
  <c r="BV407"/>
  <c r="BU407"/>
  <c r="BT407"/>
  <c r="BS407"/>
  <c r="BR407"/>
  <c r="BQ407"/>
  <c r="BP407"/>
  <c r="BO407"/>
  <c r="BN407"/>
  <c r="BM407"/>
  <c r="BL407"/>
  <c r="BI407"/>
  <c r="BG407"/>
  <c r="BE407"/>
  <c r="BD407"/>
  <c r="BA407"/>
  <c r="AX407"/>
  <c r="AQ407"/>
  <c r="AJ407"/>
  <c r="AC407"/>
  <c r="W407"/>
  <c r="J407"/>
  <c r="G407"/>
  <c r="A407"/>
  <c r="CG405"/>
  <c r="CF405"/>
  <c r="CE405"/>
  <c r="CD405"/>
  <c r="CC405"/>
  <c r="CB405"/>
  <c r="CA405"/>
  <c r="BZ405"/>
  <c r="BY405"/>
  <c r="BX405"/>
  <c r="BW405"/>
  <c r="BV405"/>
  <c r="BU405"/>
  <c r="BT405"/>
  <c r="BS405"/>
  <c r="BR405"/>
  <c r="BQ405"/>
  <c r="BP405"/>
  <c r="BO405"/>
  <c r="BN405"/>
  <c r="BM405"/>
  <c r="BL405"/>
  <c r="BG405"/>
  <c r="BE405"/>
  <c r="BD405"/>
  <c r="BA405"/>
  <c r="AX405"/>
  <c r="AQ405"/>
  <c r="AJ405"/>
  <c r="AC405"/>
  <c r="W405"/>
  <c r="Q405"/>
  <c r="J405"/>
  <c r="G405"/>
  <c r="A405"/>
  <c r="CG404"/>
  <c r="CF404"/>
  <c r="CE404"/>
  <c r="CD404"/>
  <c r="CC404"/>
  <c r="CB404"/>
  <c r="CA404"/>
  <c r="BZ404"/>
  <c r="BY404"/>
  <c r="BX404"/>
  <c r="BW404"/>
  <c r="BV404"/>
  <c r="BU404"/>
  <c r="BT404"/>
  <c r="BS404"/>
  <c r="BR404"/>
  <c r="BQ404"/>
  <c r="BP404"/>
  <c r="BO404"/>
  <c r="BN404"/>
  <c r="BM404"/>
  <c r="BL404"/>
  <c r="BG404"/>
  <c r="BE404"/>
  <c r="BD404"/>
  <c r="BA404"/>
  <c r="AX404"/>
  <c r="AQ404"/>
  <c r="AJ404"/>
  <c r="AC404"/>
  <c r="W404"/>
  <c r="J404"/>
  <c r="G404"/>
  <c r="A404"/>
  <c r="CI403"/>
  <c r="CH403"/>
  <c r="CG403"/>
  <c r="CF403"/>
  <c r="CE403"/>
  <c r="CD403"/>
  <c r="CC403"/>
  <c r="CB403"/>
  <c r="CA403"/>
  <c r="BZ403"/>
  <c r="BY403"/>
  <c r="BX403"/>
  <c r="BW403"/>
  <c r="BV403"/>
  <c r="BU403"/>
  <c r="BT403"/>
  <c r="BS403"/>
  <c r="BR403"/>
  <c r="BQ403"/>
  <c r="BP403"/>
  <c r="BO403"/>
  <c r="BN403"/>
  <c r="BM403"/>
  <c r="BL403"/>
  <c r="BG403"/>
  <c r="BE403"/>
  <c r="BD403"/>
  <c r="BA403"/>
  <c r="AX403"/>
  <c r="AQ403"/>
  <c r="AJ403"/>
  <c r="AC403"/>
  <c r="W403"/>
  <c r="J403"/>
  <c r="G403"/>
  <c r="A403"/>
  <c r="CI402"/>
  <c r="CH402"/>
  <c r="CG402"/>
  <c r="CF402"/>
  <c r="CE402"/>
  <c r="CD402"/>
  <c r="CC402"/>
  <c r="CB402"/>
  <c r="CA402"/>
  <c r="BZ402"/>
  <c r="BY402"/>
  <c r="BX402"/>
  <c r="BW402"/>
  <c r="BV402"/>
  <c r="BU402"/>
  <c r="BT402"/>
  <c r="BS402"/>
  <c r="BR402"/>
  <c r="BQ402"/>
  <c r="BP402"/>
  <c r="BO402"/>
  <c r="BN402"/>
  <c r="BM402"/>
  <c r="BL402"/>
  <c r="BG402"/>
  <c r="BE402"/>
  <c r="BD402"/>
  <c r="BA402"/>
  <c r="AX402"/>
  <c r="AQ402"/>
  <c r="AJ402"/>
  <c r="AC402"/>
  <c r="W402"/>
  <c r="J402"/>
  <c r="G402"/>
  <c r="A402"/>
  <c r="CI401"/>
  <c r="CH401"/>
  <c r="CG401"/>
  <c r="CF401"/>
  <c r="CE401"/>
  <c r="CD401"/>
  <c r="CC401"/>
  <c r="CB401"/>
  <c r="CA401"/>
  <c r="BZ401"/>
  <c r="BY401"/>
  <c r="BX401"/>
  <c r="BW401"/>
  <c r="BV401"/>
  <c r="BU401"/>
  <c r="BT401"/>
  <c r="BS401"/>
  <c r="BR401"/>
  <c r="BQ401"/>
  <c r="BP401"/>
  <c r="BO401"/>
  <c r="BN401"/>
  <c r="BM401"/>
  <c r="BL401"/>
  <c r="BG401"/>
  <c r="BE401"/>
  <c r="BD401"/>
  <c r="BA401"/>
  <c r="AX401"/>
  <c r="AQ401"/>
  <c r="AJ401"/>
  <c r="AC401"/>
  <c r="W401"/>
  <c r="Q401"/>
  <c r="J401"/>
  <c r="G401"/>
  <c r="A401"/>
  <c r="CI400"/>
  <c r="CH400"/>
  <c r="CG400"/>
  <c r="CF400"/>
  <c r="CE400"/>
  <c r="CD400"/>
  <c r="CC400"/>
  <c r="CB400"/>
  <c r="CA400"/>
  <c r="BZ400"/>
  <c r="BY400"/>
  <c r="BX400"/>
  <c r="BW400"/>
  <c r="BV400"/>
  <c r="BU400"/>
  <c r="BT400"/>
  <c r="BS400"/>
  <c r="BR400"/>
  <c r="BQ400"/>
  <c r="BP400"/>
  <c r="BO400"/>
  <c r="BN400"/>
  <c r="BM400"/>
  <c r="BL400"/>
  <c r="BG400"/>
  <c r="BE400"/>
  <c r="BD400"/>
  <c r="BA400"/>
  <c r="AX400"/>
  <c r="AQ400"/>
  <c r="AJ400"/>
  <c r="AC400"/>
  <c r="W400"/>
  <c r="J400"/>
  <c r="G400"/>
  <c r="A400"/>
  <c r="CM399"/>
  <c r="CL399"/>
  <c r="CK399"/>
  <c r="CJ399"/>
  <c r="CI399"/>
  <c r="CH399"/>
  <c r="CG399"/>
  <c r="CF399"/>
  <c r="CE399"/>
  <c r="CD399"/>
  <c r="CC399"/>
  <c r="CB399"/>
  <c r="CA399"/>
  <c r="BZ399"/>
  <c r="BY399"/>
  <c r="BX399"/>
  <c r="BW399"/>
  <c r="BV399"/>
  <c r="BU399"/>
  <c r="BT399"/>
  <c r="BS399"/>
  <c r="BR399"/>
  <c r="BQ399"/>
  <c r="BP399"/>
  <c r="BO399"/>
  <c r="BN399"/>
  <c r="BM399"/>
  <c r="BL399"/>
  <c r="BG399"/>
  <c r="BE399"/>
  <c r="BD399"/>
  <c r="BA399"/>
  <c r="AX399"/>
  <c r="AQ399"/>
  <c r="AJ399"/>
  <c r="AC399"/>
  <c r="W399"/>
  <c r="J399"/>
  <c r="G399"/>
  <c r="A399"/>
  <c r="CM398"/>
  <c r="CL398"/>
  <c r="CK398"/>
  <c r="CJ398"/>
  <c r="CI398"/>
  <c r="CH398"/>
  <c r="CG398"/>
  <c r="CF398"/>
  <c r="CE398"/>
  <c r="CD398"/>
  <c r="CC398"/>
  <c r="CB398"/>
  <c r="CA398"/>
  <c r="BZ398"/>
  <c r="BY398"/>
  <c r="BX398"/>
  <c r="BW398"/>
  <c r="BV398"/>
  <c r="BU398"/>
  <c r="BT398"/>
  <c r="BS398"/>
  <c r="BR398"/>
  <c r="BQ398"/>
  <c r="BP398"/>
  <c r="BO398"/>
  <c r="BN398"/>
  <c r="BM398"/>
  <c r="BL398"/>
  <c r="BG398"/>
  <c r="BE398"/>
  <c r="BD398"/>
  <c r="BA398"/>
  <c r="AX398"/>
  <c r="AQ398"/>
  <c r="AJ398"/>
  <c r="AC398"/>
  <c r="W398"/>
  <c r="J398"/>
  <c r="G398"/>
  <c r="A398"/>
  <c r="CM397"/>
  <c r="CL397"/>
  <c r="CK397"/>
  <c r="CJ397"/>
  <c r="CI397"/>
  <c r="CH397"/>
  <c r="CG397"/>
  <c r="CF397"/>
  <c r="CE397"/>
  <c r="CD397"/>
  <c r="CC397"/>
  <c r="CB397"/>
  <c r="CA397"/>
  <c r="BZ397"/>
  <c r="BY397"/>
  <c r="BX397"/>
  <c r="BW397"/>
  <c r="BV397"/>
  <c r="BU397"/>
  <c r="BT397"/>
  <c r="BS397"/>
  <c r="BR397"/>
  <c r="BQ397"/>
  <c r="BP397"/>
  <c r="BO397"/>
  <c r="BN397"/>
  <c r="BM397"/>
  <c r="BL397"/>
  <c r="BG397"/>
  <c r="BE397"/>
  <c r="BD397"/>
  <c r="BA397"/>
  <c r="AX397"/>
  <c r="AQ397"/>
  <c r="AJ397"/>
  <c r="AC397"/>
  <c r="W397"/>
  <c r="Q397"/>
  <c r="J397"/>
  <c r="G397"/>
  <c r="A397"/>
  <c r="CM396"/>
  <c r="CL396"/>
  <c r="CK396"/>
  <c r="CJ396"/>
  <c r="CI396"/>
  <c r="CH396"/>
  <c r="CG396"/>
  <c r="CF396"/>
  <c r="CE396"/>
  <c r="CD396"/>
  <c r="CC396"/>
  <c r="CB396"/>
  <c r="CA396"/>
  <c r="BZ396"/>
  <c r="BY396"/>
  <c r="BX396"/>
  <c r="BW396"/>
  <c r="BV396"/>
  <c r="BU396"/>
  <c r="BT396"/>
  <c r="BS396"/>
  <c r="BR396"/>
  <c r="BQ396"/>
  <c r="BP396"/>
  <c r="BO396"/>
  <c r="BN396"/>
  <c r="BM396"/>
  <c r="BL396"/>
  <c r="BG396"/>
  <c r="BE396"/>
  <c r="BD396"/>
  <c r="BA396"/>
  <c r="AX396"/>
  <c r="AQ396"/>
  <c r="AJ396"/>
  <c r="AC396"/>
  <c r="W396"/>
  <c r="J396"/>
  <c r="G396"/>
  <c r="A396"/>
  <c r="CK395"/>
  <c r="CJ395"/>
  <c r="CI395"/>
  <c r="CH395"/>
  <c r="CG395"/>
  <c r="CF395"/>
  <c r="CE395"/>
  <c r="CD395"/>
  <c r="CC395"/>
  <c r="CB395"/>
  <c r="CA395"/>
  <c r="BZ395"/>
  <c r="BY395"/>
  <c r="BX395"/>
  <c r="BW395"/>
  <c r="BV395"/>
  <c r="BU395"/>
  <c r="BT395"/>
  <c r="BS395"/>
  <c r="BR395"/>
  <c r="BQ395"/>
  <c r="BP395"/>
  <c r="BO395"/>
  <c r="BN395"/>
  <c r="BM395"/>
  <c r="BL395"/>
  <c r="BG395"/>
  <c r="BE395"/>
  <c r="BD395"/>
  <c r="BA395"/>
  <c r="AX395"/>
  <c r="AQ395"/>
  <c r="AJ395"/>
  <c r="AC395"/>
  <c r="W395"/>
  <c r="Q395"/>
  <c r="J395"/>
  <c r="G395"/>
  <c r="A395"/>
  <c r="CK394"/>
  <c r="CJ394"/>
  <c r="CI394"/>
  <c r="CH394"/>
  <c r="CG394"/>
  <c r="CF394"/>
  <c r="CE394"/>
  <c r="CD394"/>
  <c r="CC394"/>
  <c r="CB394"/>
  <c r="CA394"/>
  <c r="BZ394"/>
  <c r="BY394"/>
  <c r="BX394"/>
  <c r="BW394"/>
  <c r="BV394"/>
  <c r="BU394"/>
  <c r="BT394"/>
  <c r="BS394"/>
  <c r="BR394"/>
  <c r="BQ394"/>
  <c r="BP394"/>
  <c r="BO394"/>
  <c r="BN394"/>
  <c r="BM394"/>
  <c r="BL394"/>
  <c r="BG394"/>
  <c r="BE394"/>
  <c r="BD394"/>
  <c r="BA394"/>
  <c r="AX394"/>
  <c r="AQ394"/>
  <c r="AJ394"/>
  <c r="AC394"/>
  <c r="W394"/>
  <c r="J394"/>
  <c r="G394"/>
  <c r="A394"/>
  <c r="CK393"/>
  <c r="CJ393"/>
  <c r="CI393"/>
  <c r="CH393"/>
  <c r="CG393"/>
  <c r="CF393"/>
  <c r="CE393"/>
  <c r="CD393"/>
  <c r="CC393"/>
  <c r="CB393"/>
  <c r="CA393"/>
  <c r="BZ393"/>
  <c r="BY393"/>
  <c r="BX393"/>
  <c r="BW393"/>
  <c r="BV393"/>
  <c r="BU393"/>
  <c r="BT393"/>
  <c r="BS393"/>
  <c r="BR393"/>
  <c r="BQ393"/>
  <c r="BP393"/>
  <c r="BO393"/>
  <c r="BN393"/>
  <c r="BM393"/>
  <c r="BL393"/>
  <c r="BG393"/>
  <c r="BE393"/>
  <c r="BD393"/>
  <c r="BA393"/>
  <c r="AX393"/>
  <c r="AQ393"/>
  <c r="AJ393"/>
  <c r="AC393"/>
  <c r="W393"/>
  <c r="Q393"/>
  <c r="J393"/>
  <c r="G393"/>
  <c r="A393"/>
  <c r="CO392"/>
  <c r="CN392"/>
  <c r="CM392"/>
  <c r="CL392"/>
  <c r="CK392"/>
  <c r="CJ392"/>
  <c r="CI392"/>
  <c r="CH392"/>
  <c r="CG392"/>
  <c r="CF392"/>
  <c r="CE392"/>
  <c r="CD392"/>
  <c r="CC392"/>
  <c r="CB392"/>
  <c r="CA392"/>
  <c r="BZ392"/>
  <c r="BY392"/>
  <c r="BX392"/>
  <c r="BW392"/>
  <c r="BV392"/>
  <c r="BU392"/>
  <c r="BT392"/>
  <c r="BS392"/>
  <c r="BR392"/>
  <c r="BQ392"/>
  <c r="BP392"/>
  <c r="BO392"/>
  <c r="BN392"/>
  <c r="BM392"/>
  <c r="BL392"/>
  <c r="BG392"/>
  <c r="BE392"/>
  <c r="BD392"/>
  <c r="BA392"/>
  <c r="AX392"/>
  <c r="AQ392"/>
  <c r="AJ392"/>
  <c r="AC392"/>
  <c r="W392"/>
  <c r="Q392"/>
  <c r="J392"/>
  <c r="G392"/>
  <c r="A392"/>
  <c r="CO391"/>
  <c r="CN391"/>
  <c r="CM391"/>
  <c r="CL391"/>
  <c r="CK391"/>
  <c r="CJ391"/>
  <c r="CI391"/>
  <c r="CH391"/>
  <c r="CG391"/>
  <c r="CF391"/>
  <c r="CE391"/>
  <c r="CD391"/>
  <c r="CC391"/>
  <c r="CB391"/>
  <c r="CA391"/>
  <c r="BZ391"/>
  <c r="BY391"/>
  <c r="BX391"/>
  <c r="BW391"/>
  <c r="BV391"/>
  <c r="BU391"/>
  <c r="BT391"/>
  <c r="BS391"/>
  <c r="BR391"/>
  <c r="BQ391"/>
  <c r="BP391"/>
  <c r="BO391"/>
  <c r="BN391"/>
  <c r="BM391"/>
  <c r="BL391"/>
  <c r="BG391"/>
  <c r="BE391"/>
  <c r="BD391"/>
  <c r="BA391"/>
  <c r="AX391"/>
  <c r="AQ391"/>
  <c r="AJ391"/>
  <c r="AC391"/>
  <c r="W391"/>
  <c r="Q391"/>
  <c r="J391"/>
  <c r="G391"/>
  <c r="A391"/>
  <c r="CO390"/>
  <c r="CN390"/>
  <c r="CM390"/>
  <c r="CL390"/>
  <c r="CK390"/>
  <c r="CJ390"/>
  <c r="CI390"/>
  <c r="CH390"/>
  <c r="CG390"/>
  <c r="CF390"/>
  <c r="CE390"/>
  <c r="CD390"/>
  <c r="CC390"/>
  <c r="CB390"/>
  <c r="CA390"/>
  <c r="BZ390"/>
  <c r="BY390"/>
  <c r="BX390"/>
  <c r="BW390"/>
  <c r="BV390"/>
  <c r="BU390"/>
  <c r="BT390"/>
  <c r="BS390"/>
  <c r="BR390"/>
  <c r="BQ390"/>
  <c r="BP390"/>
  <c r="BO390"/>
  <c r="BN390"/>
  <c r="BM390"/>
  <c r="BL390"/>
  <c r="BG390"/>
  <c r="BE390"/>
  <c r="BD390"/>
  <c r="BA390"/>
  <c r="AX390"/>
  <c r="AQ390"/>
  <c r="AJ390"/>
  <c r="AC390"/>
  <c r="W390"/>
  <c r="J390"/>
  <c r="G390"/>
  <c r="A390"/>
  <c r="CO389"/>
  <c r="CN389"/>
  <c r="CM389"/>
  <c r="CL389"/>
  <c r="CK389"/>
  <c r="CJ389"/>
  <c r="CI389"/>
  <c r="CH389"/>
  <c r="CG389"/>
  <c r="CF389"/>
  <c r="CE389"/>
  <c r="CD389"/>
  <c r="CC389"/>
  <c r="CB389"/>
  <c r="CA389"/>
  <c r="BZ389"/>
  <c r="BY389"/>
  <c r="BX389"/>
  <c r="BW389"/>
  <c r="BV389"/>
  <c r="BU389"/>
  <c r="BT389"/>
  <c r="BS389"/>
  <c r="BR389"/>
  <c r="BQ389"/>
  <c r="BP389"/>
  <c r="BO389"/>
  <c r="BN389"/>
  <c r="BM389"/>
  <c r="BL389"/>
  <c r="BG389"/>
  <c r="BE389"/>
  <c r="BD389"/>
  <c r="BA389"/>
  <c r="AX389"/>
  <c r="AQ389"/>
  <c r="AJ389"/>
  <c r="AC389"/>
  <c r="W389"/>
  <c r="Q389"/>
  <c r="J389"/>
  <c r="G389"/>
  <c r="A389"/>
  <c r="CO388"/>
  <c r="CN388"/>
  <c r="CM388"/>
  <c r="CL388"/>
  <c r="CK388"/>
  <c r="CJ388"/>
  <c r="CI388"/>
  <c r="CH388"/>
  <c r="CG388"/>
  <c r="CF388"/>
  <c r="CE388"/>
  <c r="CD388"/>
  <c r="CC388"/>
  <c r="CB388"/>
  <c r="CA388"/>
  <c r="BZ388"/>
  <c r="BY388"/>
  <c r="BX388"/>
  <c r="BW388"/>
  <c r="BV388"/>
  <c r="BU388"/>
  <c r="BT388"/>
  <c r="BS388"/>
  <c r="BR388"/>
  <c r="BQ388"/>
  <c r="BP388"/>
  <c r="BO388"/>
  <c r="BN388"/>
  <c r="BM388"/>
  <c r="BL388"/>
  <c r="BG388"/>
  <c r="BE388"/>
  <c r="BD388"/>
  <c r="BA388"/>
  <c r="AX388"/>
  <c r="AQ388"/>
  <c r="AJ388"/>
  <c r="AC388"/>
  <c r="W388"/>
  <c r="Q388"/>
  <c r="J388"/>
  <c r="G388"/>
  <c r="A388"/>
  <c r="CO387"/>
  <c r="CN387"/>
  <c r="CM387"/>
  <c r="CL387"/>
  <c r="CK387"/>
  <c r="CJ387"/>
  <c r="CI387"/>
  <c r="CH387"/>
  <c r="CG387"/>
  <c r="CF387"/>
  <c r="CE387"/>
  <c r="CD387"/>
  <c r="CC387"/>
  <c r="CB387"/>
  <c r="CA387"/>
  <c r="BZ387"/>
  <c r="BY387"/>
  <c r="BX387"/>
  <c r="BW387"/>
  <c r="BV387"/>
  <c r="BU387"/>
  <c r="BT387"/>
  <c r="BS387"/>
  <c r="BR387"/>
  <c r="BQ387"/>
  <c r="BP387"/>
  <c r="BO387"/>
  <c r="BN387"/>
  <c r="BM387"/>
  <c r="BL387"/>
  <c r="BG387"/>
  <c r="BE387"/>
  <c r="BD387"/>
  <c r="BA387"/>
  <c r="AX387"/>
  <c r="AQ387"/>
  <c r="AJ387"/>
  <c r="AC387"/>
  <c r="W387"/>
  <c r="Q387"/>
  <c r="J387"/>
  <c r="G387"/>
  <c r="A387"/>
  <c r="CE385"/>
  <c r="CD385"/>
  <c r="CC385"/>
  <c r="CB385"/>
  <c r="CA385"/>
  <c r="BZ385"/>
  <c r="BY385"/>
  <c r="BX385"/>
  <c r="BW385"/>
  <c r="BV385"/>
  <c r="BU385"/>
  <c r="BT385"/>
  <c r="BS385"/>
  <c r="BR385"/>
  <c r="BQ385"/>
  <c r="BP385"/>
  <c r="BO385"/>
  <c r="BN385"/>
  <c r="BM385"/>
  <c r="BL385"/>
  <c r="BG385"/>
  <c r="BE385"/>
  <c r="BD385"/>
  <c r="BA385"/>
  <c r="AX385"/>
  <c r="AQ385"/>
  <c r="AJ385"/>
  <c r="AC385"/>
  <c r="W385"/>
  <c r="J385"/>
  <c r="G385"/>
  <c r="A385"/>
  <c r="CK384"/>
  <c r="CJ384"/>
  <c r="CI384"/>
  <c r="CH384"/>
  <c r="CG384"/>
  <c r="CF384"/>
  <c r="CE384"/>
  <c r="CD384"/>
  <c r="CC384"/>
  <c r="CB384"/>
  <c r="CA384"/>
  <c r="BZ384"/>
  <c r="BY384"/>
  <c r="BX384"/>
  <c r="BW384"/>
  <c r="BV384"/>
  <c r="BU384"/>
  <c r="BT384"/>
  <c r="BS384"/>
  <c r="BR384"/>
  <c r="BQ384"/>
  <c r="BP384"/>
  <c r="BO384"/>
  <c r="BN384"/>
  <c r="BM384"/>
  <c r="BL384"/>
  <c r="BG384"/>
  <c r="BE384"/>
  <c r="BD384"/>
  <c r="BA384"/>
  <c r="AX384"/>
  <c r="AQ384"/>
  <c r="AJ384"/>
  <c r="AC384"/>
  <c r="W384"/>
  <c r="Q384"/>
  <c r="J384"/>
  <c r="G384"/>
  <c r="A384"/>
  <c r="CK383"/>
  <c r="CJ383"/>
  <c r="CI383"/>
  <c r="CH383"/>
  <c r="CG383"/>
  <c r="CF383"/>
  <c r="CE383"/>
  <c r="CD383"/>
  <c r="CC383"/>
  <c r="CB383"/>
  <c r="CA383"/>
  <c r="BZ383"/>
  <c r="BY383"/>
  <c r="BX383"/>
  <c r="BW383"/>
  <c r="BV383"/>
  <c r="BU383"/>
  <c r="BT383"/>
  <c r="BS383"/>
  <c r="BR383"/>
  <c r="BQ383"/>
  <c r="BP383"/>
  <c r="BO383"/>
  <c r="BN383"/>
  <c r="BM383"/>
  <c r="BL383"/>
  <c r="BG383"/>
  <c r="BE383"/>
  <c r="BD383"/>
  <c r="BA383"/>
  <c r="AX383"/>
  <c r="AQ383"/>
  <c r="AJ383"/>
  <c r="AC383"/>
  <c r="W383"/>
  <c r="J383"/>
  <c r="G383"/>
  <c r="A383"/>
  <c r="CK382"/>
  <c r="CJ382"/>
  <c r="CI382"/>
  <c r="CH382"/>
  <c r="CG382"/>
  <c r="CF382"/>
  <c r="CE382"/>
  <c r="CD382"/>
  <c r="CC382"/>
  <c r="CB382"/>
  <c r="CA382"/>
  <c r="BZ382"/>
  <c r="BY382"/>
  <c r="BX382"/>
  <c r="BW382"/>
  <c r="BV382"/>
  <c r="BU382"/>
  <c r="BT382"/>
  <c r="BS382"/>
  <c r="BR382"/>
  <c r="BQ382"/>
  <c r="BP382"/>
  <c r="BO382"/>
  <c r="BN382"/>
  <c r="BM382"/>
  <c r="BL382"/>
  <c r="BG382"/>
  <c r="BE382"/>
  <c r="BD382"/>
  <c r="BA382"/>
  <c r="AX382"/>
  <c r="AQ382"/>
  <c r="AJ382"/>
  <c r="AC382"/>
  <c r="W382"/>
  <c r="J382"/>
  <c r="G382"/>
  <c r="A382"/>
  <c r="CI381"/>
  <c r="CH381"/>
  <c r="CG381"/>
  <c r="CF381"/>
  <c r="CE381"/>
  <c r="CD381"/>
  <c r="CC381"/>
  <c r="CB381"/>
  <c r="CA381"/>
  <c r="BZ381"/>
  <c r="BY381"/>
  <c r="BX381"/>
  <c r="BW381"/>
  <c r="BV381"/>
  <c r="BU381"/>
  <c r="BT381"/>
  <c r="BS381"/>
  <c r="BR381"/>
  <c r="BQ381"/>
  <c r="BP381"/>
  <c r="BO381"/>
  <c r="BN381"/>
  <c r="BM381"/>
  <c r="BL381"/>
  <c r="BG381"/>
  <c r="BE381"/>
  <c r="BD381"/>
  <c r="BA381"/>
  <c r="AX381"/>
  <c r="AQ381"/>
  <c r="AJ381"/>
  <c r="AC381"/>
  <c r="W381"/>
  <c r="J381"/>
  <c r="G381"/>
  <c r="A381"/>
  <c r="CM380"/>
  <c r="CL380"/>
  <c r="CK380"/>
  <c r="CJ380"/>
  <c r="CI380"/>
  <c r="CH380"/>
  <c r="CG380"/>
  <c r="CF380"/>
  <c r="CE380"/>
  <c r="CD380"/>
  <c r="CC380"/>
  <c r="CB380"/>
  <c r="CA380"/>
  <c r="BZ380"/>
  <c r="BY380"/>
  <c r="BX380"/>
  <c r="BW380"/>
  <c r="BV380"/>
  <c r="BU380"/>
  <c r="BT380"/>
  <c r="BS380"/>
  <c r="BR380"/>
  <c r="BQ380"/>
  <c r="BP380"/>
  <c r="BO380"/>
  <c r="BN380"/>
  <c r="BM380"/>
  <c r="BL380"/>
  <c r="BG380"/>
  <c r="BE380"/>
  <c r="BD380"/>
  <c r="BA380"/>
  <c r="AX380"/>
  <c r="AQ380"/>
  <c r="AJ380"/>
  <c r="AC380"/>
  <c r="W380"/>
  <c r="J380"/>
  <c r="G380"/>
  <c r="A380"/>
  <c r="CO379"/>
  <c r="CN379"/>
  <c r="CM379"/>
  <c r="CL379"/>
  <c r="CK379"/>
  <c r="CJ379"/>
  <c r="CI379"/>
  <c r="CH379"/>
  <c r="CG379"/>
  <c r="CF379"/>
  <c r="CE379"/>
  <c r="CD379"/>
  <c r="CC379"/>
  <c r="CB379"/>
  <c r="CA379"/>
  <c r="BZ379"/>
  <c r="BY379"/>
  <c r="BX379"/>
  <c r="BW379"/>
  <c r="BV379"/>
  <c r="BU379"/>
  <c r="BT379"/>
  <c r="BS379"/>
  <c r="BR379"/>
  <c r="BQ379"/>
  <c r="BP379"/>
  <c r="BO379"/>
  <c r="BN379"/>
  <c r="BM379"/>
  <c r="BL379"/>
  <c r="BG379"/>
  <c r="BE379"/>
  <c r="BD379"/>
  <c r="BA379"/>
  <c r="AX379"/>
  <c r="AQ379"/>
  <c r="AJ379"/>
  <c r="AC379"/>
  <c r="W379"/>
  <c r="J379"/>
  <c r="G379"/>
  <c r="A379"/>
  <c r="CO378"/>
  <c r="CN378"/>
  <c r="CM378"/>
  <c r="CL378"/>
  <c r="CK378"/>
  <c r="CJ378"/>
  <c r="CI378"/>
  <c r="CH378"/>
  <c r="CG378"/>
  <c r="CF378"/>
  <c r="CE378"/>
  <c r="CD378"/>
  <c r="CC378"/>
  <c r="CB378"/>
  <c r="CA378"/>
  <c r="BZ378"/>
  <c r="BY378"/>
  <c r="BX378"/>
  <c r="BW378"/>
  <c r="BV378"/>
  <c r="BU378"/>
  <c r="BT378"/>
  <c r="BS378"/>
  <c r="BR378"/>
  <c r="BQ378"/>
  <c r="BP378"/>
  <c r="BO378"/>
  <c r="BN378"/>
  <c r="BM378"/>
  <c r="BL378"/>
  <c r="BG378"/>
  <c r="BE378"/>
  <c r="BD378"/>
  <c r="BA378"/>
  <c r="AX378"/>
  <c r="AQ378"/>
  <c r="AJ378"/>
  <c r="AC378"/>
  <c r="W378"/>
  <c r="J378"/>
  <c r="G378"/>
  <c r="A378"/>
  <c r="CO377"/>
  <c r="CN377"/>
  <c r="CM377"/>
  <c r="CL377"/>
  <c r="CK377"/>
  <c r="CJ377"/>
  <c r="CI377"/>
  <c r="CH377"/>
  <c r="CG377"/>
  <c r="CF377"/>
  <c r="CE377"/>
  <c r="CD377"/>
  <c r="CC377"/>
  <c r="CB377"/>
  <c r="CA377"/>
  <c r="BZ377"/>
  <c r="BY377"/>
  <c r="BX377"/>
  <c r="BW377"/>
  <c r="BV377"/>
  <c r="BU377"/>
  <c r="BT377"/>
  <c r="BS377"/>
  <c r="BR377"/>
  <c r="BQ377"/>
  <c r="BP377"/>
  <c r="BO377"/>
  <c r="BN377"/>
  <c r="BM377"/>
  <c r="BL377"/>
  <c r="BG377"/>
  <c r="BE377"/>
  <c r="BD377"/>
  <c r="BA377"/>
  <c r="AX377"/>
  <c r="AQ377"/>
  <c r="AJ377"/>
  <c r="AC377"/>
  <c r="W377"/>
  <c r="J377"/>
  <c r="G377"/>
  <c r="A377"/>
  <c r="CO376"/>
  <c r="CN376"/>
  <c r="CM376"/>
  <c r="CL376"/>
  <c r="CK376"/>
  <c r="CJ376"/>
  <c r="CI376"/>
  <c r="CH376"/>
  <c r="CG376"/>
  <c r="CF376"/>
  <c r="CE376"/>
  <c r="CD376"/>
  <c r="CC376"/>
  <c r="CB376"/>
  <c r="CA376"/>
  <c r="BZ376"/>
  <c r="BY376"/>
  <c r="BX376"/>
  <c r="BW376"/>
  <c r="BV376"/>
  <c r="BU376"/>
  <c r="BT376"/>
  <c r="BS376"/>
  <c r="BR376"/>
  <c r="BQ376"/>
  <c r="BP376"/>
  <c r="BO376"/>
  <c r="BN376"/>
  <c r="BM376"/>
  <c r="BL376"/>
  <c r="BG376"/>
  <c r="BE376"/>
  <c r="BD376"/>
  <c r="BA376"/>
  <c r="AX376"/>
  <c r="AQ376"/>
  <c r="AJ376"/>
  <c r="AC376"/>
  <c r="W376"/>
  <c r="J376"/>
  <c r="G376"/>
  <c r="A376"/>
  <c r="CO375"/>
  <c r="CN375"/>
  <c r="CM375"/>
  <c r="CL375"/>
  <c r="CK375"/>
  <c r="CJ375"/>
  <c r="CI375"/>
  <c r="CH375"/>
  <c r="CG375"/>
  <c r="CF375"/>
  <c r="CE375"/>
  <c r="CD375"/>
  <c r="CC375"/>
  <c r="CB375"/>
  <c r="CA375"/>
  <c r="BZ375"/>
  <c r="BY375"/>
  <c r="BX375"/>
  <c r="BW375"/>
  <c r="BV375"/>
  <c r="BU375"/>
  <c r="BT375"/>
  <c r="BS375"/>
  <c r="BR375"/>
  <c r="BQ375"/>
  <c r="BP375"/>
  <c r="BO375"/>
  <c r="BN375"/>
  <c r="BM375"/>
  <c r="BL375"/>
  <c r="BG375"/>
  <c r="BE375"/>
  <c r="BD375"/>
  <c r="BA375"/>
  <c r="AX375"/>
  <c r="AQ375"/>
  <c r="AJ375"/>
  <c r="AC375"/>
  <c r="W375"/>
  <c r="J375"/>
  <c r="G375"/>
  <c r="A375"/>
  <c r="CO374"/>
  <c r="CN374"/>
  <c r="CM374"/>
  <c r="CL374"/>
  <c r="CK374"/>
  <c r="CJ374"/>
  <c r="CI374"/>
  <c r="CH374"/>
  <c r="CG374"/>
  <c r="CF374"/>
  <c r="CE374"/>
  <c r="CD374"/>
  <c r="CC374"/>
  <c r="CB374"/>
  <c r="CA374"/>
  <c r="BZ374"/>
  <c r="BY374"/>
  <c r="BX374"/>
  <c r="BW374"/>
  <c r="BV374"/>
  <c r="BU374"/>
  <c r="BT374"/>
  <c r="BS374"/>
  <c r="BR374"/>
  <c r="BQ374"/>
  <c r="BP374"/>
  <c r="BO374"/>
  <c r="BN374"/>
  <c r="BM374"/>
  <c r="BL374"/>
  <c r="BG374"/>
  <c r="BE374"/>
  <c r="BD374"/>
  <c r="BA374"/>
  <c r="AX374"/>
  <c r="AQ374"/>
  <c r="AJ374"/>
  <c r="AC374"/>
  <c r="W374"/>
  <c r="J374"/>
  <c r="G374"/>
  <c r="A374"/>
  <c r="CM372"/>
  <c r="CL372"/>
  <c r="CK372"/>
  <c r="CJ372"/>
  <c r="CI372"/>
  <c r="CH372"/>
  <c r="CG372"/>
  <c r="CF372"/>
  <c r="CE372"/>
  <c r="CD372"/>
  <c r="CC372"/>
  <c r="CB372"/>
  <c r="CA372"/>
  <c r="BZ372"/>
  <c r="BY372"/>
  <c r="BX372"/>
  <c r="BW372"/>
  <c r="BV372"/>
  <c r="BU372"/>
  <c r="BT372"/>
  <c r="BS372"/>
  <c r="BR372"/>
  <c r="BQ372"/>
  <c r="BP372"/>
  <c r="BO372"/>
  <c r="BN372"/>
  <c r="BM372"/>
  <c r="BL372"/>
  <c r="BG372"/>
  <c r="BE372"/>
  <c r="BD372"/>
  <c r="BA372"/>
  <c r="AX372"/>
  <c r="AQ372"/>
  <c r="AJ372"/>
  <c r="AC372"/>
  <c r="W372"/>
  <c r="J372"/>
  <c r="G372"/>
  <c r="A372"/>
  <c r="CI371"/>
  <c r="CH371"/>
  <c r="CG371"/>
  <c r="CF371"/>
  <c r="CE371"/>
  <c r="CD371"/>
  <c r="CC371"/>
  <c r="CB371"/>
  <c r="CA371"/>
  <c r="BZ371"/>
  <c r="BY371"/>
  <c r="BX371"/>
  <c r="BW371"/>
  <c r="BV371"/>
  <c r="BU371"/>
  <c r="BT371"/>
  <c r="BS371"/>
  <c r="BR371"/>
  <c r="BQ371"/>
  <c r="BP371"/>
  <c r="BO371"/>
  <c r="BN371"/>
  <c r="BM371"/>
  <c r="BL371"/>
  <c r="BG371"/>
  <c r="BE371"/>
  <c r="BD371"/>
  <c r="BA371"/>
  <c r="AX371"/>
  <c r="AQ371"/>
  <c r="AJ371"/>
  <c r="AC371"/>
  <c r="W371"/>
  <c r="J371"/>
  <c r="G371"/>
  <c r="A371"/>
  <c r="CC370"/>
  <c r="CB370"/>
  <c r="CA370"/>
  <c r="BZ370"/>
  <c r="BY370"/>
  <c r="BX370"/>
  <c r="BW370"/>
  <c r="BV370"/>
  <c r="BU370"/>
  <c r="BT370"/>
  <c r="BS370"/>
  <c r="BR370"/>
  <c r="BQ370"/>
  <c r="BP370"/>
  <c r="BO370"/>
  <c r="BN370"/>
  <c r="BM370"/>
  <c r="BL370"/>
  <c r="BG370"/>
  <c r="BE370"/>
  <c r="BD370"/>
  <c r="BA370"/>
  <c r="AX370"/>
  <c r="AQ370"/>
  <c r="AJ370"/>
  <c r="AC370"/>
  <c r="W370"/>
  <c r="J370"/>
  <c r="G370"/>
  <c r="A370"/>
  <c r="CI369"/>
  <c r="CH369"/>
  <c r="CG369"/>
  <c r="CF369"/>
  <c r="CE369"/>
  <c r="CD369"/>
  <c r="CC369"/>
  <c r="CB369"/>
  <c r="CA369"/>
  <c r="BZ369"/>
  <c r="BY369"/>
  <c r="BX369"/>
  <c r="BW369"/>
  <c r="BV369"/>
  <c r="BU369"/>
  <c r="BT369"/>
  <c r="BS369"/>
  <c r="BR369"/>
  <c r="BQ369"/>
  <c r="BP369"/>
  <c r="BO369"/>
  <c r="BN369"/>
  <c r="BM369"/>
  <c r="BL369"/>
  <c r="BG369"/>
  <c r="BE369"/>
  <c r="BD369"/>
  <c r="BA369"/>
  <c r="AX369"/>
  <c r="AQ369"/>
  <c r="AJ369"/>
  <c r="AC369"/>
  <c r="W369"/>
  <c r="J369"/>
  <c r="G369"/>
  <c r="A369"/>
  <c r="CK368"/>
  <c r="CJ368"/>
  <c r="CI368"/>
  <c r="CH368"/>
  <c r="CG368"/>
  <c r="CF368"/>
  <c r="CE368"/>
  <c r="CD368"/>
  <c r="CC368"/>
  <c r="CB368"/>
  <c r="CA368"/>
  <c r="BZ368"/>
  <c r="BY368"/>
  <c r="BX368"/>
  <c r="BW368"/>
  <c r="BV368"/>
  <c r="BU368"/>
  <c r="BT368"/>
  <c r="BS368"/>
  <c r="BR368"/>
  <c r="BQ368"/>
  <c r="BP368"/>
  <c r="BO368"/>
  <c r="BN368"/>
  <c r="BM368"/>
  <c r="BL368"/>
  <c r="BG368"/>
  <c r="BE368"/>
  <c r="BD368"/>
  <c r="BA368"/>
  <c r="AX368"/>
  <c r="AQ368"/>
  <c r="AJ368"/>
  <c r="AC368"/>
  <c r="W368"/>
  <c r="J368"/>
  <c r="G368"/>
  <c r="A368"/>
  <c r="CK367"/>
  <c r="CJ367"/>
  <c r="CI367"/>
  <c r="CH367"/>
  <c r="CG367"/>
  <c r="CF367"/>
  <c r="CE367"/>
  <c r="CD367"/>
  <c r="CC367"/>
  <c r="CB367"/>
  <c r="CA367"/>
  <c r="BZ367"/>
  <c r="BY367"/>
  <c r="BX367"/>
  <c r="BW367"/>
  <c r="BV367"/>
  <c r="BU367"/>
  <c r="BT367"/>
  <c r="BS367"/>
  <c r="BR367"/>
  <c r="BQ367"/>
  <c r="BP367"/>
  <c r="BO367"/>
  <c r="BN367"/>
  <c r="BM367"/>
  <c r="BL367"/>
  <c r="BG367"/>
  <c r="BE367"/>
  <c r="BD367"/>
  <c r="BA367"/>
  <c r="AX367"/>
  <c r="AQ367"/>
  <c r="AJ367"/>
  <c r="AC367"/>
  <c r="W367"/>
  <c r="J367"/>
  <c r="G367"/>
  <c r="A367"/>
  <c r="CK366"/>
  <c r="CJ366"/>
  <c r="CI366"/>
  <c r="CH366"/>
  <c r="CG366"/>
  <c r="CF366"/>
  <c r="CE366"/>
  <c r="CD366"/>
  <c r="CC366"/>
  <c r="CB366"/>
  <c r="CA366"/>
  <c r="BZ366"/>
  <c r="BY366"/>
  <c r="BX366"/>
  <c r="BW366"/>
  <c r="BV366"/>
  <c r="BU366"/>
  <c r="BT366"/>
  <c r="BS366"/>
  <c r="BR366"/>
  <c r="BQ366"/>
  <c r="BP366"/>
  <c r="BO366"/>
  <c r="BN366"/>
  <c r="BM366"/>
  <c r="BL366"/>
  <c r="BG366"/>
  <c r="BE366"/>
  <c r="BD366"/>
  <c r="BA366"/>
  <c r="AX366"/>
  <c r="AQ366"/>
  <c r="AJ366"/>
  <c r="AC366"/>
  <c r="W366"/>
  <c r="J366"/>
  <c r="G366"/>
  <c r="A366"/>
  <c r="CM365"/>
  <c r="CL365"/>
  <c r="CK365"/>
  <c r="CJ365"/>
  <c r="CI365"/>
  <c r="CH365"/>
  <c r="CG365"/>
  <c r="CF365"/>
  <c r="CE365"/>
  <c r="CD365"/>
  <c r="CC365"/>
  <c r="CB365"/>
  <c r="CA365"/>
  <c r="BZ365"/>
  <c r="BY365"/>
  <c r="BX365"/>
  <c r="BW365"/>
  <c r="BV365"/>
  <c r="BU365"/>
  <c r="BT365"/>
  <c r="BS365"/>
  <c r="BR365"/>
  <c r="BQ365"/>
  <c r="BP365"/>
  <c r="BO365"/>
  <c r="BN365"/>
  <c r="BM365"/>
  <c r="BL365"/>
  <c r="BG365"/>
  <c r="BE365"/>
  <c r="BD365"/>
  <c r="BA365"/>
  <c r="AX365"/>
  <c r="AQ365"/>
  <c r="AJ365"/>
  <c r="AC365"/>
  <c r="W365"/>
  <c r="J365"/>
  <c r="G365"/>
  <c r="A365"/>
  <c r="CO364"/>
  <c r="CN364"/>
  <c r="CM364"/>
  <c r="CL364"/>
  <c r="CK364"/>
  <c r="CJ364"/>
  <c r="CI364"/>
  <c r="CH364"/>
  <c r="CG364"/>
  <c r="CF364"/>
  <c r="CE364"/>
  <c r="CD364"/>
  <c r="CC364"/>
  <c r="CB364"/>
  <c r="CA364"/>
  <c r="BZ364"/>
  <c r="BY364"/>
  <c r="BX364"/>
  <c r="BW364"/>
  <c r="BV364"/>
  <c r="BU364"/>
  <c r="BT364"/>
  <c r="BS364"/>
  <c r="BR364"/>
  <c r="BQ364"/>
  <c r="BP364"/>
  <c r="BO364"/>
  <c r="BN364"/>
  <c r="BM364"/>
  <c r="BL364"/>
  <c r="BG364"/>
  <c r="BE364"/>
  <c r="BD364"/>
  <c r="BA364"/>
  <c r="AX364"/>
  <c r="AQ364"/>
  <c r="AJ364"/>
  <c r="AC364"/>
  <c r="W364"/>
  <c r="J364"/>
  <c r="G364"/>
  <c r="A364"/>
  <c r="CO363"/>
  <c r="CN363"/>
  <c r="CM363"/>
  <c r="CL363"/>
  <c r="CK363"/>
  <c r="CJ363"/>
  <c r="CI363"/>
  <c r="CH363"/>
  <c r="CG363"/>
  <c r="CF363"/>
  <c r="CE363"/>
  <c r="CD363"/>
  <c r="CC363"/>
  <c r="CB363"/>
  <c r="CA363"/>
  <c r="BZ363"/>
  <c r="BY363"/>
  <c r="BX363"/>
  <c r="BW363"/>
  <c r="BV363"/>
  <c r="BU363"/>
  <c r="BT363"/>
  <c r="BS363"/>
  <c r="BR363"/>
  <c r="BQ363"/>
  <c r="BP363"/>
  <c r="BO363"/>
  <c r="BN363"/>
  <c r="BM363"/>
  <c r="BL363"/>
  <c r="BG363"/>
  <c r="BE363"/>
  <c r="BD363"/>
  <c r="BA363"/>
  <c r="AX363"/>
  <c r="AQ363"/>
  <c r="AJ363"/>
  <c r="AC363"/>
  <c r="W363"/>
  <c r="J363"/>
  <c r="G363"/>
  <c r="A363"/>
  <c r="CO362"/>
  <c r="CN362"/>
  <c r="CM362"/>
  <c r="CL362"/>
  <c r="CK362"/>
  <c r="CJ362"/>
  <c r="CI362"/>
  <c r="CH362"/>
  <c r="CG362"/>
  <c r="CF362"/>
  <c r="CE362"/>
  <c r="CD362"/>
  <c r="CC362"/>
  <c r="CB362"/>
  <c r="CA362"/>
  <c r="BZ362"/>
  <c r="BY362"/>
  <c r="BX362"/>
  <c r="BW362"/>
  <c r="BV362"/>
  <c r="BU362"/>
  <c r="BT362"/>
  <c r="BS362"/>
  <c r="BR362"/>
  <c r="BQ362"/>
  <c r="BP362"/>
  <c r="BO362"/>
  <c r="BN362"/>
  <c r="BM362"/>
  <c r="BL362"/>
  <c r="BG362"/>
  <c r="BE362"/>
  <c r="BD362"/>
  <c r="BA362"/>
  <c r="AX362"/>
  <c r="AQ362"/>
  <c r="AJ362"/>
  <c r="AC362"/>
  <c r="W362"/>
  <c r="J362"/>
  <c r="G362"/>
  <c r="A362"/>
  <c r="CO361"/>
  <c r="CN361"/>
  <c r="CM361"/>
  <c r="CL361"/>
  <c r="CK361"/>
  <c r="CJ361"/>
  <c r="CI361"/>
  <c r="CH361"/>
  <c r="CG361"/>
  <c r="CF361"/>
  <c r="CE361"/>
  <c r="CD361"/>
  <c r="CC361"/>
  <c r="CB361"/>
  <c r="CA361"/>
  <c r="BZ361"/>
  <c r="BY361"/>
  <c r="BX361"/>
  <c r="BW361"/>
  <c r="BV361"/>
  <c r="BU361"/>
  <c r="BT361"/>
  <c r="BS361"/>
  <c r="BR361"/>
  <c r="BQ361"/>
  <c r="BP361"/>
  <c r="BO361"/>
  <c r="BN361"/>
  <c r="BM361"/>
  <c r="BL361"/>
  <c r="BG361"/>
  <c r="BE361"/>
  <c r="BD361"/>
  <c r="BA361"/>
  <c r="AX361"/>
  <c r="AQ361"/>
  <c r="AJ361"/>
  <c r="AC361"/>
  <c r="W361"/>
  <c r="J361"/>
  <c r="G361"/>
  <c r="A361"/>
  <c r="CO360"/>
  <c r="CN360"/>
  <c r="CM360"/>
  <c r="CL360"/>
  <c r="CK360"/>
  <c r="CJ360"/>
  <c r="CI360"/>
  <c r="CH360"/>
  <c r="CG360"/>
  <c r="CF360"/>
  <c r="CE360"/>
  <c r="CD360"/>
  <c r="CC360"/>
  <c r="CB360"/>
  <c r="CA360"/>
  <c r="BZ360"/>
  <c r="BY360"/>
  <c r="BX360"/>
  <c r="BW360"/>
  <c r="BV360"/>
  <c r="BU360"/>
  <c r="BT360"/>
  <c r="BS360"/>
  <c r="BR360"/>
  <c r="BQ360"/>
  <c r="BP360"/>
  <c r="BO360"/>
  <c r="BN360"/>
  <c r="BM360"/>
  <c r="BL360"/>
  <c r="BG360"/>
  <c r="BE360"/>
  <c r="BD360"/>
  <c r="BA360"/>
  <c r="AX360"/>
  <c r="AQ360"/>
  <c r="AJ360"/>
  <c r="AC360"/>
  <c r="W360"/>
  <c r="J360"/>
  <c r="G360"/>
  <c r="A360"/>
  <c r="CO359"/>
  <c r="CN359"/>
  <c r="CM359"/>
  <c r="CL359"/>
  <c r="CK359"/>
  <c r="CJ359"/>
  <c r="CI359"/>
  <c r="CH359"/>
  <c r="CG359"/>
  <c r="CF359"/>
  <c r="CE359"/>
  <c r="CD359"/>
  <c r="CC359"/>
  <c r="CB359"/>
  <c r="CA359"/>
  <c r="BZ359"/>
  <c r="BY359"/>
  <c r="BX359"/>
  <c r="BW359"/>
  <c r="BV359"/>
  <c r="BU359"/>
  <c r="BT359"/>
  <c r="BS359"/>
  <c r="BR359"/>
  <c r="BQ359"/>
  <c r="BP359"/>
  <c r="BO359"/>
  <c r="BN359"/>
  <c r="BM359"/>
  <c r="BL359"/>
  <c r="BG359"/>
  <c r="BE359"/>
  <c r="BD359"/>
  <c r="BA359"/>
  <c r="AX359"/>
  <c r="AQ359"/>
  <c r="AJ359"/>
  <c r="AC359"/>
  <c r="W359"/>
  <c r="J359"/>
  <c r="G359"/>
  <c r="A359"/>
  <c r="CM357"/>
  <c r="CL357"/>
  <c r="CK357"/>
  <c r="CJ357"/>
  <c r="CI357"/>
  <c r="CH357"/>
  <c r="CG357"/>
  <c r="CF357"/>
  <c r="CE357"/>
  <c r="CD357"/>
  <c r="CC357"/>
  <c r="CB357"/>
  <c r="CA357"/>
  <c r="BZ357"/>
  <c r="BY357"/>
  <c r="BX357"/>
  <c r="BW357"/>
  <c r="BV357"/>
  <c r="BU357"/>
  <c r="BT357"/>
  <c r="BS357"/>
  <c r="BR357"/>
  <c r="BQ357"/>
  <c r="BP357"/>
  <c r="BO357"/>
  <c r="BN357"/>
  <c r="BM357"/>
  <c r="BL357"/>
  <c r="BG357"/>
  <c r="BE357"/>
  <c r="BD357"/>
  <c r="BA357"/>
  <c r="AX357"/>
  <c r="AQ357"/>
  <c r="AJ357"/>
  <c r="AC357"/>
  <c r="J357"/>
  <c r="G357"/>
  <c r="A357"/>
  <c r="CM356"/>
  <c r="CL356"/>
  <c r="CK356"/>
  <c r="CJ356"/>
  <c r="CI356"/>
  <c r="CH356"/>
  <c r="CG356"/>
  <c r="CF356"/>
  <c r="CE356"/>
  <c r="CD356"/>
  <c r="CC356"/>
  <c r="CB356"/>
  <c r="CA356"/>
  <c r="BZ356"/>
  <c r="BY356"/>
  <c r="BX356"/>
  <c r="BW356"/>
  <c r="BV356"/>
  <c r="BU356"/>
  <c r="BT356"/>
  <c r="BS356"/>
  <c r="BR356"/>
  <c r="BQ356"/>
  <c r="BP356"/>
  <c r="BO356"/>
  <c r="BN356"/>
  <c r="BM356"/>
  <c r="BL356"/>
  <c r="BG356"/>
  <c r="BE356"/>
  <c r="BD356"/>
  <c r="BA356"/>
  <c r="AX356"/>
  <c r="AQ356"/>
  <c r="AJ356"/>
  <c r="AC356"/>
  <c r="J356"/>
  <c r="G356"/>
  <c r="A356"/>
  <c r="CM355"/>
  <c r="CL355"/>
  <c r="CK355"/>
  <c r="CJ355"/>
  <c r="CI355"/>
  <c r="CH355"/>
  <c r="CG355"/>
  <c r="CF355"/>
  <c r="CE355"/>
  <c r="CD355"/>
  <c r="CC355"/>
  <c r="CB355"/>
  <c r="CA355"/>
  <c r="BZ355"/>
  <c r="BY355"/>
  <c r="BX355"/>
  <c r="BW355"/>
  <c r="BV355"/>
  <c r="BU355"/>
  <c r="BT355"/>
  <c r="BS355"/>
  <c r="BR355"/>
  <c r="BQ355"/>
  <c r="BP355"/>
  <c r="BO355"/>
  <c r="BN355"/>
  <c r="BM355"/>
  <c r="BL355"/>
  <c r="BG355"/>
  <c r="BE355"/>
  <c r="BD355"/>
  <c r="BA355"/>
  <c r="AX355"/>
  <c r="AQ355"/>
  <c r="AJ355"/>
  <c r="AC355"/>
  <c r="J355"/>
  <c r="G355"/>
  <c r="A355"/>
  <c r="CM353"/>
  <c r="CL353"/>
  <c r="CK353"/>
  <c r="CJ353"/>
  <c r="CI353"/>
  <c r="CH353"/>
  <c r="CG353"/>
  <c r="CF353"/>
  <c r="CE353"/>
  <c r="CD353"/>
  <c r="CC353"/>
  <c r="CB353"/>
  <c r="CA353"/>
  <c r="BZ353"/>
  <c r="BY353"/>
  <c r="BX353"/>
  <c r="BW353"/>
  <c r="BV353"/>
  <c r="BU353"/>
  <c r="BT353"/>
  <c r="BS353"/>
  <c r="BR353"/>
  <c r="BQ353"/>
  <c r="BP353"/>
  <c r="BO353"/>
  <c r="BN353"/>
  <c r="BM353"/>
  <c r="BL353"/>
  <c r="BI353"/>
  <c r="BG353"/>
  <c r="BE353"/>
  <c r="BD353"/>
  <c r="BA353"/>
  <c r="AX353"/>
  <c r="AQ353"/>
  <c r="AJ353"/>
  <c r="AC353"/>
  <c r="W353"/>
  <c r="J353"/>
  <c r="G353"/>
  <c r="A353"/>
  <c r="CM352"/>
  <c r="CL352"/>
  <c r="CK352"/>
  <c r="CJ352"/>
  <c r="CI352"/>
  <c r="CH352"/>
  <c r="CG352"/>
  <c r="CF352"/>
  <c r="CE352"/>
  <c r="CD352"/>
  <c r="CC352"/>
  <c r="CB352"/>
  <c r="CA352"/>
  <c r="BZ352"/>
  <c r="BY352"/>
  <c r="BX352"/>
  <c r="BW352"/>
  <c r="BV352"/>
  <c r="BU352"/>
  <c r="BT352"/>
  <c r="BS352"/>
  <c r="BR352"/>
  <c r="BQ352"/>
  <c r="BP352"/>
  <c r="BO352"/>
  <c r="BN352"/>
  <c r="BM352"/>
  <c r="BL352"/>
  <c r="BG352"/>
  <c r="BE352"/>
  <c r="BD352"/>
  <c r="BA352"/>
  <c r="AX352"/>
  <c r="AQ352"/>
  <c r="AJ352"/>
  <c r="AC352"/>
  <c r="J352"/>
  <c r="G352"/>
  <c r="A352"/>
  <c r="CM351"/>
  <c r="CL351"/>
  <c r="CK351"/>
  <c r="CJ351"/>
  <c r="CI351"/>
  <c r="CH351"/>
  <c r="CG351"/>
  <c r="CF351"/>
  <c r="CE351"/>
  <c r="CD351"/>
  <c r="CC351"/>
  <c r="CB351"/>
  <c r="CA351"/>
  <c r="BZ351"/>
  <c r="BY351"/>
  <c r="BX351"/>
  <c r="BW351"/>
  <c r="BV351"/>
  <c r="BU351"/>
  <c r="BT351"/>
  <c r="BS351"/>
  <c r="BR351"/>
  <c r="BQ351"/>
  <c r="BP351"/>
  <c r="BO351"/>
  <c r="BN351"/>
  <c r="BM351"/>
  <c r="BL351"/>
  <c r="BG351"/>
  <c r="BE351"/>
  <c r="BD351"/>
  <c r="BA351"/>
  <c r="AX351"/>
  <c r="AQ351"/>
  <c r="AJ351"/>
  <c r="AC351"/>
  <c r="W351"/>
  <c r="J351"/>
  <c r="G351"/>
  <c r="A351"/>
  <c r="CM350"/>
  <c r="CL350"/>
  <c r="CK350"/>
  <c r="CJ350"/>
  <c r="CI350"/>
  <c r="CH350"/>
  <c r="CG350"/>
  <c r="CF350"/>
  <c r="CE350"/>
  <c r="CD350"/>
  <c r="CC350"/>
  <c r="CB350"/>
  <c r="CA350"/>
  <c r="BZ350"/>
  <c r="BY350"/>
  <c r="BX350"/>
  <c r="BW350"/>
  <c r="BV350"/>
  <c r="BU350"/>
  <c r="BT350"/>
  <c r="BS350"/>
  <c r="BR350"/>
  <c r="BQ350"/>
  <c r="BP350"/>
  <c r="BO350"/>
  <c r="BN350"/>
  <c r="BM350"/>
  <c r="BL350"/>
  <c r="BG350"/>
  <c r="BE350"/>
  <c r="BD350"/>
  <c r="BA350"/>
  <c r="AX350"/>
  <c r="AQ350"/>
  <c r="AJ350"/>
  <c r="AC350"/>
  <c r="W350"/>
  <c r="J350"/>
  <c r="G350"/>
  <c r="A350"/>
  <c r="CM349"/>
  <c r="CL349"/>
  <c r="CK349"/>
  <c r="CJ349"/>
  <c r="CI349"/>
  <c r="CH349"/>
  <c r="CG349"/>
  <c r="CF349"/>
  <c r="CE349"/>
  <c r="CD349"/>
  <c r="CC349"/>
  <c r="CB349"/>
  <c r="CA349"/>
  <c r="BZ349"/>
  <c r="BY349"/>
  <c r="BX349"/>
  <c r="BW349"/>
  <c r="BV349"/>
  <c r="BU349"/>
  <c r="BT349"/>
  <c r="BS349"/>
  <c r="BR349"/>
  <c r="BQ349"/>
  <c r="BP349"/>
  <c r="BO349"/>
  <c r="BN349"/>
  <c r="BM349"/>
  <c r="BL349"/>
  <c r="BG349"/>
  <c r="BE349"/>
  <c r="BD349"/>
  <c r="BA349"/>
  <c r="AX349"/>
  <c r="AQ349"/>
  <c r="AJ349"/>
  <c r="AC349"/>
  <c r="W349"/>
  <c r="J349"/>
  <c r="G349"/>
  <c r="A349"/>
  <c r="CM348"/>
  <c r="CL348"/>
  <c r="CK348"/>
  <c r="CJ348"/>
  <c r="CI348"/>
  <c r="CH348"/>
  <c r="CG348"/>
  <c r="CF348"/>
  <c r="CE348"/>
  <c r="CD348"/>
  <c r="CC348"/>
  <c r="CB348"/>
  <c r="CA348"/>
  <c r="BZ348"/>
  <c r="BY348"/>
  <c r="BX348"/>
  <c r="BW348"/>
  <c r="BV348"/>
  <c r="BU348"/>
  <c r="BT348"/>
  <c r="BS348"/>
  <c r="BR348"/>
  <c r="BQ348"/>
  <c r="BP348"/>
  <c r="BO348"/>
  <c r="BN348"/>
  <c r="BM348"/>
  <c r="BL348"/>
  <c r="BG348"/>
  <c r="BE348"/>
  <c r="BD348"/>
  <c r="BA348"/>
  <c r="AX348"/>
  <c r="AQ348"/>
  <c r="AJ348"/>
  <c r="AC348"/>
  <c r="W348"/>
  <c r="J348"/>
  <c r="G348"/>
  <c r="A348"/>
  <c r="CM347"/>
  <c r="CL347"/>
  <c r="CK347"/>
  <c r="CJ347"/>
  <c r="CI347"/>
  <c r="CH347"/>
  <c r="CG347"/>
  <c r="CF347"/>
  <c r="CE347"/>
  <c r="CD347"/>
  <c r="CC347"/>
  <c r="CB347"/>
  <c r="CA347"/>
  <c r="BZ347"/>
  <c r="BY347"/>
  <c r="BX347"/>
  <c r="BW347"/>
  <c r="BV347"/>
  <c r="BU347"/>
  <c r="BT347"/>
  <c r="BS347"/>
  <c r="BR347"/>
  <c r="BQ347"/>
  <c r="BP347"/>
  <c r="BO347"/>
  <c r="BN347"/>
  <c r="BM347"/>
  <c r="BL347"/>
  <c r="BG347"/>
  <c r="BE347"/>
  <c r="BD347"/>
  <c r="BA347"/>
  <c r="AX347"/>
  <c r="AQ347"/>
  <c r="AJ347"/>
  <c r="AC347"/>
  <c r="W347"/>
  <c r="J347"/>
  <c r="G347"/>
  <c r="A347"/>
  <c r="CM346"/>
  <c r="CL346"/>
  <c r="CK346"/>
  <c r="CJ346"/>
  <c r="CI346"/>
  <c r="CH346"/>
  <c r="CG346"/>
  <c r="CF346"/>
  <c r="CE346"/>
  <c r="CD346"/>
  <c r="CC346"/>
  <c r="CB346"/>
  <c r="CA346"/>
  <c r="BZ346"/>
  <c r="BY346"/>
  <c r="BX346"/>
  <c r="BW346"/>
  <c r="BV346"/>
  <c r="BU346"/>
  <c r="BT346"/>
  <c r="BS346"/>
  <c r="BR346"/>
  <c r="BQ346"/>
  <c r="BP346"/>
  <c r="BO346"/>
  <c r="BN346"/>
  <c r="BM346"/>
  <c r="BL346"/>
  <c r="BG346"/>
  <c r="BE346"/>
  <c r="BD346"/>
  <c r="BA346"/>
  <c r="AX346"/>
  <c r="AQ346"/>
  <c r="AJ346"/>
  <c r="AC346"/>
  <c r="W346"/>
  <c r="J346"/>
  <c r="G346"/>
  <c r="A346"/>
  <c r="CO345"/>
  <c r="CN345"/>
  <c r="CM345"/>
  <c r="CL345"/>
  <c r="CK345"/>
  <c r="CJ345"/>
  <c r="CI345"/>
  <c r="CH345"/>
  <c r="CG345"/>
  <c r="CF345"/>
  <c r="CE345"/>
  <c r="CD345"/>
  <c r="CC345"/>
  <c r="CB345"/>
  <c r="CA345"/>
  <c r="BZ345"/>
  <c r="BY345"/>
  <c r="BX345"/>
  <c r="BW345"/>
  <c r="BV345"/>
  <c r="BU345"/>
  <c r="BT345"/>
  <c r="BS345"/>
  <c r="BR345"/>
  <c r="BQ345"/>
  <c r="BP345"/>
  <c r="BO345"/>
  <c r="BN345"/>
  <c r="BM345"/>
  <c r="BL345"/>
  <c r="BG345"/>
  <c r="BE345"/>
  <c r="BD345"/>
  <c r="BA345"/>
  <c r="AX345"/>
  <c r="AQ345"/>
  <c r="AJ345"/>
  <c r="AC345"/>
  <c r="W345"/>
  <c r="J345"/>
  <c r="G345"/>
  <c r="A345"/>
  <c r="CO344"/>
  <c r="CN344"/>
  <c r="CM344"/>
  <c r="CL344"/>
  <c r="CK344"/>
  <c r="CJ344"/>
  <c r="CI344"/>
  <c r="CH344"/>
  <c r="CG344"/>
  <c r="CF344"/>
  <c r="CE344"/>
  <c r="CD344"/>
  <c r="CC344"/>
  <c r="CB344"/>
  <c r="CA344"/>
  <c r="BZ344"/>
  <c r="BY344"/>
  <c r="BX344"/>
  <c r="BW344"/>
  <c r="BV344"/>
  <c r="BU344"/>
  <c r="BT344"/>
  <c r="BS344"/>
  <c r="BR344"/>
  <c r="BQ344"/>
  <c r="BP344"/>
  <c r="BO344"/>
  <c r="BN344"/>
  <c r="BM344"/>
  <c r="BL344"/>
  <c r="BG344"/>
  <c r="BE344"/>
  <c r="BD344"/>
  <c r="BA344"/>
  <c r="AX344"/>
  <c r="AQ344"/>
  <c r="AJ344"/>
  <c r="AC344"/>
  <c r="W344"/>
  <c r="J344"/>
  <c r="G344"/>
  <c r="A344"/>
  <c r="CO343"/>
  <c r="CN343"/>
  <c r="CM343"/>
  <c r="CL343"/>
  <c r="CK343"/>
  <c r="CJ343"/>
  <c r="CI343"/>
  <c r="CH343"/>
  <c r="CG343"/>
  <c r="CF343"/>
  <c r="CE343"/>
  <c r="CD343"/>
  <c r="CC343"/>
  <c r="CB343"/>
  <c r="CA343"/>
  <c r="BZ343"/>
  <c r="BY343"/>
  <c r="BX343"/>
  <c r="BW343"/>
  <c r="BV343"/>
  <c r="BU343"/>
  <c r="BT343"/>
  <c r="BS343"/>
  <c r="BR343"/>
  <c r="BQ343"/>
  <c r="BP343"/>
  <c r="BO343"/>
  <c r="BN343"/>
  <c r="BM343"/>
  <c r="BL343"/>
  <c r="BG343"/>
  <c r="BE343"/>
  <c r="BD343"/>
  <c r="BA343"/>
  <c r="AX343"/>
  <c r="AQ343"/>
  <c r="AJ343"/>
  <c r="AC343"/>
  <c r="W343"/>
  <c r="J343"/>
  <c r="G343"/>
  <c r="A343"/>
  <c r="CO342"/>
  <c r="CN342"/>
  <c r="CM342"/>
  <c r="CL342"/>
  <c r="CK342"/>
  <c r="CJ342"/>
  <c r="CI342"/>
  <c r="CH342"/>
  <c r="CG342"/>
  <c r="CF342"/>
  <c r="CE342"/>
  <c r="CD342"/>
  <c r="CC342"/>
  <c r="CB342"/>
  <c r="CA342"/>
  <c r="BZ342"/>
  <c r="BY342"/>
  <c r="BX342"/>
  <c r="BW342"/>
  <c r="BV342"/>
  <c r="BU342"/>
  <c r="BT342"/>
  <c r="BS342"/>
  <c r="BR342"/>
  <c r="BQ342"/>
  <c r="BP342"/>
  <c r="BO342"/>
  <c r="BN342"/>
  <c r="BM342"/>
  <c r="BL342"/>
  <c r="BG342"/>
  <c r="BE342"/>
  <c r="BD342"/>
  <c r="BA342"/>
  <c r="AX342"/>
  <c r="AQ342"/>
  <c r="AJ342"/>
  <c r="AC342"/>
  <c r="W342"/>
  <c r="J342"/>
  <c r="G342"/>
  <c r="A342"/>
  <c r="CO341"/>
  <c r="CN341"/>
  <c r="CM341"/>
  <c r="CL341"/>
  <c r="CK341"/>
  <c r="CJ341"/>
  <c r="CI341"/>
  <c r="CH341"/>
  <c r="CG341"/>
  <c r="CF341"/>
  <c r="CE341"/>
  <c r="CD341"/>
  <c r="CC341"/>
  <c r="CB341"/>
  <c r="CA341"/>
  <c r="BZ341"/>
  <c r="BY341"/>
  <c r="BX341"/>
  <c r="BW341"/>
  <c r="BV341"/>
  <c r="BU341"/>
  <c r="BT341"/>
  <c r="BS341"/>
  <c r="BR341"/>
  <c r="BQ341"/>
  <c r="BP341"/>
  <c r="BO341"/>
  <c r="BN341"/>
  <c r="BM341"/>
  <c r="BL341"/>
  <c r="BG341"/>
  <c r="BE341"/>
  <c r="BD341"/>
  <c r="BA341"/>
  <c r="AX341"/>
  <c r="AQ341"/>
  <c r="AJ341"/>
  <c r="AC341"/>
  <c r="W341"/>
  <c r="J341"/>
  <c r="G341"/>
  <c r="A341"/>
  <c r="CO340"/>
  <c r="CN340"/>
  <c r="CM340"/>
  <c r="CL340"/>
  <c r="CK340"/>
  <c r="CJ340"/>
  <c r="CI340"/>
  <c r="CH340"/>
  <c r="CG340"/>
  <c r="CF340"/>
  <c r="CE340"/>
  <c r="CD340"/>
  <c r="CC340"/>
  <c r="CB340"/>
  <c r="CA340"/>
  <c r="BZ340"/>
  <c r="BY340"/>
  <c r="BX340"/>
  <c r="BW340"/>
  <c r="BV340"/>
  <c r="BU340"/>
  <c r="BT340"/>
  <c r="BS340"/>
  <c r="BR340"/>
  <c r="BQ340"/>
  <c r="BP340"/>
  <c r="BO340"/>
  <c r="BN340"/>
  <c r="BM340"/>
  <c r="BL340"/>
  <c r="BG340"/>
  <c r="BE340"/>
  <c r="BD340"/>
  <c r="BA340"/>
  <c r="AX340"/>
  <c r="AQ340"/>
  <c r="AJ340"/>
  <c r="AC340"/>
  <c r="W340"/>
  <c r="J340"/>
  <c r="G340"/>
  <c r="A340"/>
  <c r="CG338"/>
  <c r="CF338"/>
  <c r="CE338"/>
  <c r="CD338"/>
  <c r="CC338"/>
  <c r="CB338"/>
  <c r="CA338"/>
  <c r="BZ338"/>
  <c r="BY338"/>
  <c r="BX338"/>
  <c r="BW338"/>
  <c r="BV338"/>
  <c r="BU338"/>
  <c r="BT338"/>
  <c r="BS338"/>
  <c r="BR338"/>
  <c r="BQ338"/>
  <c r="BP338"/>
  <c r="BO338"/>
  <c r="BN338"/>
  <c r="BM338"/>
  <c r="BL338"/>
  <c r="BG338"/>
  <c r="BE338"/>
  <c r="BD338"/>
  <c r="BA338"/>
  <c r="AX338"/>
  <c r="AQ338"/>
  <c r="AJ338"/>
  <c r="AC338"/>
  <c r="W338"/>
  <c r="J338"/>
  <c r="G338"/>
  <c r="A338"/>
  <c r="CG337"/>
  <c r="CF337"/>
  <c r="CE337"/>
  <c r="CD337"/>
  <c r="CC337"/>
  <c r="CB337"/>
  <c r="CA337"/>
  <c r="BZ337"/>
  <c r="BY337"/>
  <c r="BX337"/>
  <c r="BW337"/>
  <c r="BV337"/>
  <c r="BU337"/>
  <c r="BT337"/>
  <c r="BS337"/>
  <c r="BR337"/>
  <c r="BQ337"/>
  <c r="BP337"/>
  <c r="BO337"/>
  <c r="BN337"/>
  <c r="BM337"/>
  <c r="BL337"/>
  <c r="BG337"/>
  <c r="BE337"/>
  <c r="BD337"/>
  <c r="BA337"/>
  <c r="AX337"/>
  <c r="AQ337"/>
  <c r="AJ337"/>
  <c r="AC337"/>
  <c r="W337"/>
  <c r="J337"/>
  <c r="G337"/>
  <c r="A337"/>
  <c r="BY336"/>
  <c r="BX336"/>
  <c r="BW336"/>
  <c r="BV336"/>
  <c r="BU336"/>
  <c r="BT336"/>
  <c r="BS336"/>
  <c r="BR336"/>
  <c r="BQ336"/>
  <c r="BP336"/>
  <c r="BO336"/>
  <c r="BN336"/>
  <c r="BM336"/>
  <c r="BL336"/>
  <c r="BG336"/>
  <c r="BE336"/>
  <c r="BD336"/>
  <c r="BA336"/>
  <c r="AX336"/>
  <c r="AQ336"/>
  <c r="AJ336"/>
  <c r="AC336"/>
  <c r="W336"/>
  <c r="J336"/>
  <c r="G336"/>
  <c r="A336"/>
  <c r="BY335"/>
  <c r="BX335"/>
  <c r="BW335"/>
  <c r="BV335"/>
  <c r="BU335"/>
  <c r="BT335"/>
  <c r="BS335"/>
  <c r="BR335"/>
  <c r="BQ335"/>
  <c r="BP335"/>
  <c r="BO335"/>
  <c r="BN335"/>
  <c r="BM335"/>
  <c r="BL335"/>
  <c r="BG335"/>
  <c r="BE335"/>
  <c r="BD335"/>
  <c r="BA335"/>
  <c r="AX335"/>
  <c r="AQ335"/>
  <c r="AJ335"/>
  <c r="AC335"/>
  <c r="W335"/>
  <c r="J335"/>
  <c r="G335"/>
  <c r="A335"/>
  <c r="CG334"/>
  <c r="CF334"/>
  <c r="CE334"/>
  <c r="CD334"/>
  <c r="CC334"/>
  <c r="CB334"/>
  <c r="CA334"/>
  <c r="BZ334"/>
  <c r="BY334"/>
  <c r="BX334"/>
  <c r="BW334"/>
  <c r="BV334"/>
  <c r="BU334"/>
  <c r="BT334"/>
  <c r="BS334"/>
  <c r="BR334"/>
  <c r="BQ334"/>
  <c r="BP334"/>
  <c r="BO334"/>
  <c r="BN334"/>
  <c r="BM334"/>
  <c r="BL334"/>
  <c r="BG334"/>
  <c r="BE334"/>
  <c r="BD334"/>
  <c r="BA334"/>
  <c r="AX334"/>
  <c r="AQ334"/>
  <c r="AJ334"/>
  <c r="AC334"/>
  <c r="W334"/>
  <c r="J334"/>
  <c r="G334"/>
  <c r="A334"/>
  <c r="CI333"/>
  <c r="CH333"/>
  <c r="CG333"/>
  <c r="CF333"/>
  <c r="CE333"/>
  <c r="CD333"/>
  <c r="CC333"/>
  <c r="CB333"/>
  <c r="CA333"/>
  <c r="BZ333"/>
  <c r="BY333"/>
  <c r="BX333"/>
  <c r="BW333"/>
  <c r="BV333"/>
  <c r="BU333"/>
  <c r="BT333"/>
  <c r="BS333"/>
  <c r="BR333"/>
  <c r="BQ333"/>
  <c r="BP333"/>
  <c r="BO333"/>
  <c r="BN333"/>
  <c r="BM333"/>
  <c r="BL333"/>
  <c r="BG333"/>
  <c r="BE333"/>
  <c r="BD333"/>
  <c r="BA333"/>
  <c r="AX333"/>
  <c r="AQ333"/>
  <c r="AJ333"/>
  <c r="AC333"/>
  <c r="W333"/>
  <c r="J333"/>
  <c r="G333"/>
  <c r="A333"/>
  <c r="CI332"/>
  <c r="CH332"/>
  <c r="CG332"/>
  <c r="CF332"/>
  <c r="CE332"/>
  <c r="CD332"/>
  <c r="CC332"/>
  <c r="CB332"/>
  <c r="CA332"/>
  <c r="BZ332"/>
  <c r="BY332"/>
  <c r="BX332"/>
  <c r="BW332"/>
  <c r="BV332"/>
  <c r="BU332"/>
  <c r="BT332"/>
  <c r="BS332"/>
  <c r="BR332"/>
  <c r="BQ332"/>
  <c r="BP332"/>
  <c r="BO332"/>
  <c r="BN332"/>
  <c r="BM332"/>
  <c r="BL332"/>
  <c r="BG332"/>
  <c r="BE332"/>
  <c r="BD332"/>
  <c r="BA332"/>
  <c r="AX332"/>
  <c r="AQ332"/>
  <c r="AJ332"/>
  <c r="AC332"/>
  <c r="W332"/>
  <c r="J332"/>
  <c r="G332"/>
  <c r="A332"/>
  <c r="CI331"/>
  <c r="CH331"/>
  <c r="CG331"/>
  <c r="CF331"/>
  <c r="CE331"/>
  <c r="CD331"/>
  <c r="CC331"/>
  <c r="CB331"/>
  <c r="CA331"/>
  <c r="BZ331"/>
  <c r="BY331"/>
  <c r="BX331"/>
  <c r="BW331"/>
  <c r="BV331"/>
  <c r="BU331"/>
  <c r="BT331"/>
  <c r="BS331"/>
  <c r="BR331"/>
  <c r="BQ331"/>
  <c r="BP331"/>
  <c r="BO331"/>
  <c r="BN331"/>
  <c r="BM331"/>
  <c r="BL331"/>
  <c r="BG331"/>
  <c r="BE331"/>
  <c r="BD331"/>
  <c r="BA331"/>
  <c r="AX331"/>
  <c r="AQ331"/>
  <c r="AJ331"/>
  <c r="AC331"/>
  <c r="W331"/>
  <c r="J331"/>
  <c r="G331"/>
  <c r="A331"/>
  <c r="CI330"/>
  <c r="CH330"/>
  <c r="CG330"/>
  <c r="CF330"/>
  <c r="CE330"/>
  <c r="CD330"/>
  <c r="CC330"/>
  <c r="CB330"/>
  <c r="CA330"/>
  <c r="BZ330"/>
  <c r="BY330"/>
  <c r="BX330"/>
  <c r="BW330"/>
  <c r="BV330"/>
  <c r="BU330"/>
  <c r="BT330"/>
  <c r="BS330"/>
  <c r="BR330"/>
  <c r="BQ330"/>
  <c r="BP330"/>
  <c r="BO330"/>
  <c r="BN330"/>
  <c r="BM330"/>
  <c r="BL330"/>
  <c r="BG330"/>
  <c r="BE330"/>
  <c r="BD330"/>
  <c r="BA330"/>
  <c r="AX330"/>
  <c r="AQ330"/>
  <c r="AJ330"/>
  <c r="AC330"/>
  <c r="W330"/>
  <c r="J330"/>
  <c r="G330"/>
  <c r="A330"/>
  <c r="CI329"/>
  <c r="CH329"/>
  <c r="CG329"/>
  <c r="CF329"/>
  <c r="CE329"/>
  <c r="CD329"/>
  <c r="CC329"/>
  <c r="CB329"/>
  <c r="CA329"/>
  <c r="BZ329"/>
  <c r="BY329"/>
  <c r="BX329"/>
  <c r="BW329"/>
  <c r="BV329"/>
  <c r="BU329"/>
  <c r="BT329"/>
  <c r="BS329"/>
  <c r="BR329"/>
  <c r="BQ329"/>
  <c r="BP329"/>
  <c r="BO329"/>
  <c r="BN329"/>
  <c r="BM329"/>
  <c r="BL329"/>
  <c r="BG329"/>
  <c r="BE329"/>
  <c r="BD329"/>
  <c r="BA329"/>
  <c r="AX329"/>
  <c r="AQ329"/>
  <c r="AJ329"/>
  <c r="AC329"/>
  <c r="W329"/>
  <c r="J329"/>
  <c r="G329"/>
  <c r="A329"/>
  <c r="CG328"/>
  <c r="CF328"/>
  <c r="CE328"/>
  <c r="CD328"/>
  <c r="CC328"/>
  <c r="CB328"/>
  <c r="CA328"/>
  <c r="BZ328"/>
  <c r="BY328"/>
  <c r="BX328"/>
  <c r="BW328"/>
  <c r="BV328"/>
  <c r="BU328"/>
  <c r="BT328"/>
  <c r="BS328"/>
  <c r="BR328"/>
  <c r="BQ328"/>
  <c r="BP328"/>
  <c r="BO328"/>
  <c r="BN328"/>
  <c r="BM328"/>
  <c r="BL328"/>
  <c r="BG328"/>
  <c r="BE328"/>
  <c r="BD328"/>
  <c r="BA328"/>
  <c r="AX328"/>
  <c r="AQ328"/>
  <c r="AJ328"/>
  <c r="AC328"/>
  <c r="W328"/>
  <c r="J328"/>
  <c r="G328"/>
  <c r="A328"/>
  <c r="CK327"/>
  <c r="CJ327"/>
  <c r="CI327"/>
  <c r="CH327"/>
  <c r="CG327"/>
  <c r="CF327"/>
  <c r="CE327"/>
  <c r="CD327"/>
  <c r="CC327"/>
  <c r="CB327"/>
  <c r="CA327"/>
  <c r="BZ327"/>
  <c r="BY327"/>
  <c r="BX327"/>
  <c r="BW327"/>
  <c r="BV327"/>
  <c r="BU327"/>
  <c r="BT327"/>
  <c r="BS327"/>
  <c r="BR327"/>
  <c r="BQ327"/>
  <c r="BP327"/>
  <c r="BO327"/>
  <c r="BN327"/>
  <c r="BM327"/>
  <c r="BL327"/>
  <c r="BG327"/>
  <c r="BE327"/>
  <c r="BD327"/>
  <c r="BA327"/>
  <c r="AX327"/>
  <c r="AQ327"/>
  <c r="AJ327"/>
  <c r="AC327"/>
  <c r="W327"/>
  <c r="J327"/>
  <c r="G327"/>
  <c r="A327"/>
  <c r="CK326"/>
  <c r="CJ326"/>
  <c r="CI326"/>
  <c r="CH326"/>
  <c r="CG326"/>
  <c r="CF326"/>
  <c r="CE326"/>
  <c r="CD326"/>
  <c r="CC326"/>
  <c r="CB326"/>
  <c r="CA326"/>
  <c r="BZ326"/>
  <c r="BY326"/>
  <c r="BX326"/>
  <c r="BW326"/>
  <c r="BV326"/>
  <c r="BU326"/>
  <c r="BT326"/>
  <c r="BS326"/>
  <c r="BR326"/>
  <c r="BQ326"/>
  <c r="BP326"/>
  <c r="BO326"/>
  <c r="BN326"/>
  <c r="BM326"/>
  <c r="BL326"/>
  <c r="BG326"/>
  <c r="BE326"/>
  <c r="BD326"/>
  <c r="BA326"/>
  <c r="AX326"/>
  <c r="AQ326"/>
  <c r="AJ326"/>
  <c r="AC326"/>
  <c r="W326"/>
  <c r="J326"/>
  <c r="G326"/>
  <c r="A326"/>
  <c r="CK325"/>
  <c r="CJ325"/>
  <c r="CI325"/>
  <c r="CH325"/>
  <c r="CG325"/>
  <c r="CF325"/>
  <c r="CE325"/>
  <c r="CD325"/>
  <c r="CC325"/>
  <c r="CB325"/>
  <c r="CA325"/>
  <c r="BZ325"/>
  <c r="BY325"/>
  <c r="BX325"/>
  <c r="BW325"/>
  <c r="BV325"/>
  <c r="BU325"/>
  <c r="BT325"/>
  <c r="BS325"/>
  <c r="BR325"/>
  <c r="BQ325"/>
  <c r="BP325"/>
  <c r="BO325"/>
  <c r="BN325"/>
  <c r="BM325"/>
  <c r="BL325"/>
  <c r="BG325"/>
  <c r="BE325"/>
  <c r="BD325"/>
  <c r="BA325"/>
  <c r="AX325"/>
  <c r="AQ325"/>
  <c r="AJ325"/>
  <c r="AC325"/>
  <c r="W325"/>
  <c r="Q325"/>
  <c r="J325"/>
  <c r="G325"/>
  <c r="A325"/>
  <c r="CM324"/>
  <c r="CL324"/>
  <c r="CK324"/>
  <c r="CJ324"/>
  <c r="CI324"/>
  <c r="CH324"/>
  <c r="CG324"/>
  <c r="CF324"/>
  <c r="CE324"/>
  <c r="CD324"/>
  <c r="CC324"/>
  <c r="CB324"/>
  <c r="CA324"/>
  <c r="BZ324"/>
  <c r="BY324"/>
  <c r="BX324"/>
  <c r="BW324"/>
  <c r="BV324"/>
  <c r="BU324"/>
  <c r="BT324"/>
  <c r="BS324"/>
  <c r="BR324"/>
  <c r="BQ324"/>
  <c r="BP324"/>
  <c r="BO324"/>
  <c r="BN324"/>
  <c r="BM324"/>
  <c r="BL324"/>
  <c r="BG324"/>
  <c r="BE324"/>
  <c r="BD324"/>
  <c r="BA324"/>
  <c r="AX324"/>
  <c r="AQ324"/>
  <c r="AJ324"/>
  <c r="AC324"/>
  <c r="W324"/>
  <c r="J324"/>
  <c r="G324"/>
  <c r="A324"/>
  <c r="CO323"/>
  <c r="CN323"/>
  <c r="CM323"/>
  <c r="CL323"/>
  <c r="CK323"/>
  <c r="CJ323"/>
  <c r="CI323"/>
  <c r="CH323"/>
  <c r="CG323"/>
  <c r="CF323"/>
  <c r="CE323"/>
  <c r="CD323"/>
  <c r="CC323"/>
  <c r="CB323"/>
  <c r="CA323"/>
  <c r="BZ323"/>
  <c r="BY323"/>
  <c r="BX323"/>
  <c r="BW323"/>
  <c r="BV323"/>
  <c r="BU323"/>
  <c r="BT323"/>
  <c r="BS323"/>
  <c r="BR323"/>
  <c r="BQ323"/>
  <c r="BP323"/>
  <c r="BO323"/>
  <c r="BN323"/>
  <c r="BM323"/>
  <c r="BL323"/>
  <c r="BG323"/>
  <c r="BE323"/>
  <c r="BD323"/>
  <c r="BA323"/>
  <c r="AX323"/>
  <c r="AQ323"/>
  <c r="AJ323"/>
  <c r="AC323"/>
  <c r="W323"/>
  <c r="J323"/>
  <c r="G323"/>
  <c r="A323"/>
  <c r="CO322"/>
  <c r="CN322"/>
  <c r="CM322"/>
  <c r="CL322"/>
  <c r="CK322"/>
  <c r="CJ322"/>
  <c r="CI322"/>
  <c r="CH322"/>
  <c r="CG322"/>
  <c r="CF322"/>
  <c r="CE322"/>
  <c r="CD322"/>
  <c r="CC322"/>
  <c r="CB322"/>
  <c r="CA322"/>
  <c r="BZ322"/>
  <c r="BY322"/>
  <c r="BX322"/>
  <c r="BW322"/>
  <c r="BV322"/>
  <c r="BU322"/>
  <c r="BT322"/>
  <c r="BS322"/>
  <c r="BR322"/>
  <c r="BQ322"/>
  <c r="BP322"/>
  <c r="BO322"/>
  <c r="BN322"/>
  <c r="BM322"/>
  <c r="BL322"/>
  <c r="BG322"/>
  <c r="BE322"/>
  <c r="BD322"/>
  <c r="BA322"/>
  <c r="AX322"/>
  <c r="AQ322"/>
  <c r="AJ322"/>
  <c r="AC322"/>
  <c r="W322"/>
  <c r="J322"/>
  <c r="G322"/>
  <c r="A322"/>
  <c r="CO321"/>
  <c r="CN321"/>
  <c r="CM321"/>
  <c r="CL321"/>
  <c r="CK321"/>
  <c r="CJ321"/>
  <c r="CI321"/>
  <c r="CH321"/>
  <c r="CG321"/>
  <c r="CF321"/>
  <c r="CE321"/>
  <c r="CD321"/>
  <c r="CC321"/>
  <c r="CB321"/>
  <c r="CA321"/>
  <c r="BZ321"/>
  <c r="BY321"/>
  <c r="BX321"/>
  <c r="BW321"/>
  <c r="BV321"/>
  <c r="BU321"/>
  <c r="BT321"/>
  <c r="BS321"/>
  <c r="BR321"/>
  <c r="BQ321"/>
  <c r="BP321"/>
  <c r="BO321"/>
  <c r="BN321"/>
  <c r="BM321"/>
  <c r="BL321"/>
  <c r="BG321"/>
  <c r="BE321"/>
  <c r="BD321"/>
  <c r="BA321"/>
  <c r="AX321"/>
  <c r="AQ321"/>
  <c r="AJ321"/>
  <c r="AC321"/>
  <c r="W321"/>
  <c r="J321"/>
  <c r="G321"/>
  <c r="A321"/>
  <c r="CO320"/>
  <c r="CN320"/>
  <c r="CM320"/>
  <c r="CL320"/>
  <c r="CK320"/>
  <c r="CJ320"/>
  <c r="CI320"/>
  <c r="CH320"/>
  <c r="CG320"/>
  <c r="CF320"/>
  <c r="CE320"/>
  <c r="CD320"/>
  <c r="CC320"/>
  <c r="CB320"/>
  <c r="CA320"/>
  <c r="BZ320"/>
  <c r="BY320"/>
  <c r="BX320"/>
  <c r="BW320"/>
  <c r="BV320"/>
  <c r="BU320"/>
  <c r="BT320"/>
  <c r="BS320"/>
  <c r="BR320"/>
  <c r="BQ320"/>
  <c r="BP320"/>
  <c r="BO320"/>
  <c r="BN320"/>
  <c r="BM320"/>
  <c r="BL320"/>
  <c r="BG320"/>
  <c r="BE320"/>
  <c r="BD320"/>
  <c r="BA320"/>
  <c r="AX320"/>
  <c r="AQ320"/>
  <c r="AJ320"/>
  <c r="AC320"/>
  <c r="W320"/>
  <c r="J320"/>
  <c r="G320"/>
  <c r="A320"/>
  <c r="CO319"/>
  <c r="CN319"/>
  <c r="CM319"/>
  <c r="CL319"/>
  <c r="CK319"/>
  <c r="CJ319"/>
  <c r="CI319"/>
  <c r="CH319"/>
  <c r="CG319"/>
  <c r="CF319"/>
  <c r="CE319"/>
  <c r="CD319"/>
  <c r="CC319"/>
  <c r="CB319"/>
  <c r="CA319"/>
  <c r="BZ319"/>
  <c r="BY319"/>
  <c r="BX319"/>
  <c r="BW319"/>
  <c r="BV319"/>
  <c r="BU319"/>
  <c r="BT319"/>
  <c r="BS319"/>
  <c r="BR319"/>
  <c r="BQ319"/>
  <c r="BP319"/>
  <c r="BO319"/>
  <c r="BN319"/>
  <c r="BM319"/>
  <c r="BL319"/>
  <c r="BG319"/>
  <c r="BE319"/>
  <c r="BD319"/>
  <c r="BA319"/>
  <c r="AX319"/>
  <c r="AQ319"/>
  <c r="AJ319"/>
  <c r="AC319"/>
  <c r="W319"/>
  <c r="J319"/>
  <c r="G319"/>
  <c r="A319"/>
  <c r="CO318"/>
  <c r="CN318"/>
  <c r="CM318"/>
  <c r="CL318"/>
  <c r="CK318"/>
  <c r="CJ318"/>
  <c r="CI318"/>
  <c r="CH318"/>
  <c r="CG318"/>
  <c r="CF318"/>
  <c r="CE318"/>
  <c r="CD318"/>
  <c r="CC318"/>
  <c r="CB318"/>
  <c r="CA318"/>
  <c r="BZ318"/>
  <c r="BY318"/>
  <c r="BX318"/>
  <c r="BW318"/>
  <c r="BV318"/>
  <c r="BU318"/>
  <c r="BT318"/>
  <c r="BS318"/>
  <c r="BR318"/>
  <c r="BQ318"/>
  <c r="BP318"/>
  <c r="BO318"/>
  <c r="BN318"/>
  <c r="BM318"/>
  <c r="BL318"/>
  <c r="BG318"/>
  <c r="BE318"/>
  <c r="BD318"/>
  <c r="BA318"/>
  <c r="AX318"/>
  <c r="AQ318"/>
  <c r="AJ318"/>
  <c r="AC318"/>
  <c r="W318"/>
  <c r="J318"/>
  <c r="G318"/>
  <c r="A318"/>
  <c r="CK315"/>
  <c r="CJ315"/>
  <c r="CI315"/>
  <c r="CH315"/>
  <c r="CG315"/>
  <c r="CF315"/>
  <c r="CE315"/>
  <c r="CD315"/>
  <c r="CC315"/>
  <c r="CB315"/>
  <c r="CA315"/>
  <c r="BZ315"/>
  <c r="BY315"/>
  <c r="BX315"/>
  <c r="BW315"/>
  <c r="BV315"/>
  <c r="BU315"/>
  <c r="BT315"/>
  <c r="BS315"/>
  <c r="BR315"/>
  <c r="BQ315"/>
  <c r="BP315"/>
  <c r="BO315"/>
  <c r="BN315"/>
  <c r="BM315"/>
  <c r="BL315"/>
  <c r="BG315"/>
  <c r="BE315"/>
  <c r="BD315"/>
  <c r="BA315"/>
  <c r="AX315"/>
  <c r="AQ315"/>
  <c r="AJ315"/>
  <c r="AC315"/>
  <c r="W315"/>
  <c r="J315"/>
  <c r="G315"/>
  <c r="A315"/>
  <c r="CK314"/>
  <c r="CJ314"/>
  <c r="CI314"/>
  <c r="CH314"/>
  <c r="CG314"/>
  <c r="CF314"/>
  <c r="CE314"/>
  <c r="CD314"/>
  <c r="CC314"/>
  <c r="CB314"/>
  <c r="CA314"/>
  <c r="BZ314"/>
  <c r="BY314"/>
  <c r="BX314"/>
  <c r="BW314"/>
  <c r="BV314"/>
  <c r="BU314"/>
  <c r="BT314"/>
  <c r="BS314"/>
  <c r="BR314"/>
  <c r="BQ314"/>
  <c r="BP314"/>
  <c r="BO314"/>
  <c r="BN314"/>
  <c r="BM314"/>
  <c r="BL314"/>
  <c r="BG314"/>
  <c r="BE314"/>
  <c r="BD314"/>
  <c r="BA314"/>
  <c r="AX314"/>
  <c r="AQ314"/>
  <c r="AJ314"/>
  <c r="AC314"/>
  <c r="W314"/>
  <c r="J314"/>
  <c r="G314"/>
  <c r="A314"/>
  <c r="CG313"/>
  <c r="CF313"/>
  <c r="CE313"/>
  <c r="CD313"/>
  <c r="CC313"/>
  <c r="CB313"/>
  <c r="CA313"/>
  <c r="BZ313"/>
  <c r="BY313"/>
  <c r="BX313"/>
  <c r="BW313"/>
  <c r="BV313"/>
  <c r="BU313"/>
  <c r="BT313"/>
  <c r="BS313"/>
  <c r="BR313"/>
  <c r="BQ313"/>
  <c r="BP313"/>
  <c r="BO313"/>
  <c r="BN313"/>
  <c r="BM313"/>
  <c r="BL313"/>
  <c r="BG313"/>
  <c r="BE313"/>
  <c r="BD313"/>
  <c r="BA313"/>
  <c r="AX313"/>
  <c r="AQ313"/>
  <c r="AJ313"/>
  <c r="AC313"/>
  <c r="W313"/>
  <c r="J313"/>
  <c r="G313"/>
  <c r="A313"/>
  <c r="CG312"/>
  <c r="CF312"/>
  <c r="CE312"/>
  <c r="CD312"/>
  <c r="CC312"/>
  <c r="CB312"/>
  <c r="CA312"/>
  <c r="BZ312"/>
  <c r="BY312"/>
  <c r="BX312"/>
  <c r="BW312"/>
  <c r="BV312"/>
  <c r="BU312"/>
  <c r="BT312"/>
  <c r="BS312"/>
  <c r="BR312"/>
  <c r="BQ312"/>
  <c r="BP312"/>
  <c r="BO312"/>
  <c r="BN312"/>
  <c r="BM312"/>
  <c r="BL312"/>
  <c r="BG312"/>
  <c r="BE312"/>
  <c r="BD312"/>
  <c r="BA312"/>
  <c r="AX312"/>
  <c r="AQ312"/>
  <c r="AJ312"/>
  <c r="AC312"/>
  <c r="W312"/>
  <c r="J312"/>
  <c r="G312"/>
  <c r="A312"/>
  <c r="CG311"/>
  <c r="CF311"/>
  <c r="CE311"/>
  <c r="CD311"/>
  <c r="CC311"/>
  <c r="CB311"/>
  <c r="CA311"/>
  <c r="BZ311"/>
  <c r="BY311"/>
  <c r="BX311"/>
  <c r="BW311"/>
  <c r="BV311"/>
  <c r="BU311"/>
  <c r="BT311"/>
  <c r="BS311"/>
  <c r="BR311"/>
  <c r="BQ311"/>
  <c r="BP311"/>
  <c r="BO311"/>
  <c r="BN311"/>
  <c r="BM311"/>
  <c r="BL311"/>
  <c r="BG311"/>
  <c r="BE311"/>
  <c r="BD311"/>
  <c r="BA311"/>
  <c r="AX311"/>
  <c r="AQ311"/>
  <c r="AJ311"/>
  <c r="AC311"/>
  <c r="W311"/>
  <c r="J311"/>
  <c r="G311"/>
  <c r="A311"/>
  <c r="CG310"/>
  <c r="CF310"/>
  <c r="CE310"/>
  <c r="CD310"/>
  <c r="CC310"/>
  <c r="CB310"/>
  <c r="CA310"/>
  <c r="BZ310"/>
  <c r="BY310"/>
  <c r="BX310"/>
  <c r="BW310"/>
  <c r="BV310"/>
  <c r="BU310"/>
  <c r="BT310"/>
  <c r="BS310"/>
  <c r="BR310"/>
  <c r="BQ310"/>
  <c r="BP310"/>
  <c r="BO310"/>
  <c r="BN310"/>
  <c r="BM310"/>
  <c r="BL310"/>
  <c r="BG310"/>
  <c r="BE310"/>
  <c r="BD310"/>
  <c r="BA310"/>
  <c r="AX310"/>
  <c r="AQ310"/>
  <c r="AJ310"/>
  <c r="AC310"/>
  <c r="W310"/>
  <c r="J310"/>
  <c r="G310"/>
  <c r="A310"/>
  <c r="CG309"/>
  <c r="CF309"/>
  <c r="CE309"/>
  <c r="CD309"/>
  <c r="CC309"/>
  <c r="CB309"/>
  <c r="CA309"/>
  <c r="BZ309"/>
  <c r="BY309"/>
  <c r="BX309"/>
  <c r="BW309"/>
  <c r="BV309"/>
  <c r="BU309"/>
  <c r="BT309"/>
  <c r="BS309"/>
  <c r="BR309"/>
  <c r="BQ309"/>
  <c r="BP309"/>
  <c r="BO309"/>
  <c r="BN309"/>
  <c r="BM309"/>
  <c r="BL309"/>
  <c r="BG309"/>
  <c r="BE309"/>
  <c r="BD309"/>
  <c r="BA309"/>
  <c r="AX309"/>
  <c r="AQ309"/>
  <c r="AJ309"/>
  <c r="AC309"/>
  <c r="W309"/>
  <c r="J309"/>
  <c r="G309"/>
  <c r="A309"/>
  <c r="CK308"/>
  <c r="CJ308"/>
  <c r="CI308"/>
  <c r="CH308"/>
  <c r="CG308"/>
  <c r="CF308"/>
  <c r="CE308"/>
  <c r="CD308"/>
  <c r="CC308"/>
  <c r="CB308"/>
  <c r="CA308"/>
  <c r="BZ308"/>
  <c r="BY308"/>
  <c r="BX308"/>
  <c r="BW308"/>
  <c r="BV308"/>
  <c r="BU308"/>
  <c r="BT308"/>
  <c r="BS308"/>
  <c r="BR308"/>
  <c r="BQ308"/>
  <c r="BP308"/>
  <c r="BO308"/>
  <c r="BN308"/>
  <c r="BM308"/>
  <c r="BL308"/>
  <c r="BG308"/>
  <c r="BE308"/>
  <c r="BD308"/>
  <c r="BA308"/>
  <c r="AX308"/>
  <c r="AQ308"/>
  <c r="AJ308"/>
  <c r="AC308"/>
  <c r="W308"/>
  <c r="J308"/>
  <c r="G308"/>
  <c r="A308"/>
  <c r="CK307"/>
  <c r="CJ307"/>
  <c r="CI307"/>
  <c r="CH307"/>
  <c r="CG307"/>
  <c r="CF307"/>
  <c r="CE307"/>
  <c r="CD307"/>
  <c r="CC307"/>
  <c r="CB307"/>
  <c r="CA307"/>
  <c r="BZ307"/>
  <c r="BY307"/>
  <c r="BX307"/>
  <c r="BW307"/>
  <c r="BV307"/>
  <c r="BU307"/>
  <c r="BT307"/>
  <c r="BS307"/>
  <c r="BR307"/>
  <c r="BQ307"/>
  <c r="BP307"/>
  <c r="BO307"/>
  <c r="BN307"/>
  <c r="BM307"/>
  <c r="BL307"/>
  <c r="BG307"/>
  <c r="BE307"/>
  <c r="BD307"/>
  <c r="BA307"/>
  <c r="AX307"/>
  <c r="AQ307"/>
  <c r="AJ307"/>
  <c r="AC307"/>
  <c r="W307"/>
  <c r="J307"/>
  <c r="G307"/>
  <c r="A307"/>
  <c r="CI306"/>
  <c r="CH306"/>
  <c r="CG306"/>
  <c r="CF306"/>
  <c r="CE306"/>
  <c r="CD306"/>
  <c r="CC306"/>
  <c r="CB306"/>
  <c r="CA306"/>
  <c r="BZ306"/>
  <c r="BY306"/>
  <c r="BX306"/>
  <c r="BW306"/>
  <c r="BV306"/>
  <c r="BU306"/>
  <c r="BT306"/>
  <c r="BS306"/>
  <c r="BR306"/>
  <c r="BQ306"/>
  <c r="BP306"/>
  <c r="BO306"/>
  <c r="BN306"/>
  <c r="BM306"/>
  <c r="BL306"/>
  <c r="BG306"/>
  <c r="BE306"/>
  <c r="BD306"/>
  <c r="BA306"/>
  <c r="AX306"/>
  <c r="AQ306"/>
  <c r="AJ306"/>
  <c r="AC306"/>
  <c r="W306"/>
  <c r="J306"/>
  <c r="G306"/>
  <c r="A306"/>
  <c r="CI305"/>
  <c r="CH305"/>
  <c r="CG305"/>
  <c r="CF305"/>
  <c r="CE305"/>
  <c r="CD305"/>
  <c r="CC305"/>
  <c r="CB305"/>
  <c r="CA305"/>
  <c r="BZ305"/>
  <c r="BY305"/>
  <c r="BX305"/>
  <c r="BW305"/>
  <c r="BV305"/>
  <c r="BU305"/>
  <c r="BT305"/>
  <c r="BS305"/>
  <c r="BR305"/>
  <c r="BQ305"/>
  <c r="BP305"/>
  <c r="BO305"/>
  <c r="BN305"/>
  <c r="BM305"/>
  <c r="BL305"/>
  <c r="BG305"/>
  <c r="BE305"/>
  <c r="BD305"/>
  <c r="BA305"/>
  <c r="AX305"/>
  <c r="AQ305"/>
  <c r="AJ305"/>
  <c r="AC305"/>
  <c r="W305"/>
  <c r="J305"/>
  <c r="G305"/>
  <c r="A305"/>
  <c r="CI304"/>
  <c r="CH304"/>
  <c r="CG304"/>
  <c r="CF304"/>
  <c r="CE304"/>
  <c r="CD304"/>
  <c r="CC304"/>
  <c r="CB304"/>
  <c r="CA304"/>
  <c r="BZ304"/>
  <c r="BY304"/>
  <c r="BX304"/>
  <c r="BW304"/>
  <c r="BV304"/>
  <c r="BU304"/>
  <c r="BT304"/>
  <c r="BS304"/>
  <c r="BR304"/>
  <c r="BQ304"/>
  <c r="BP304"/>
  <c r="BO304"/>
  <c r="BN304"/>
  <c r="BM304"/>
  <c r="BL304"/>
  <c r="BG304"/>
  <c r="BE304"/>
  <c r="BD304"/>
  <c r="BA304"/>
  <c r="AX304"/>
  <c r="AQ304"/>
  <c r="AJ304"/>
  <c r="AC304"/>
  <c r="W304"/>
  <c r="J304"/>
  <c r="G304"/>
  <c r="A304"/>
  <c r="CO303"/>
  <c r="CN303"/>
  <c r="CM303"/>
  <c r="CL303"/>
  <c r="CK303"/>
  <c r="CJ303"/>
  <c r="CI303"/>
  <c r="CH303"/>
  <c r="CG303"/>
  <c r="CF303"/>
  <c r="CE303"/>
  <c r="CD303"/>
  <c r="CC303"/>
  <c r="CB303"/>
  <c r="CA303"/>
  <c r="BZ303"/>
  <c r="BY303"/>
  <c r="BX303"/>
  <c r="BW303"/>
  <c r="BV303"/>
  <c r="BU303"/>
  <c r="BT303"/>
  <c r="BS303"/>
  <c r="BR303"/>
  <c r="BQ303"/>
  <c r="BP303"/>
  <c r="BO303"/>
  <c r="BN303"/>
  <c r="BM303"/>
  <c r="BL303"/>
  <c r="BG303"/>
  <c r="BE303"/>
  <c r="BD303"/>
  <c r="BA303"/>
  <c r="AX303"/>
  <c r="AQ303"/>
  <c r="AJ303"/>
  <c r="AC303"/>
  <c r="W303"/>
  <c r="J303"/>
  <c r="G303"/>
  <c r="A303"/>
  <c r="CO302"/>
  <c r="CN302"/>
  <c r="CM302"/>
  <c r="CL302"/>
  <c r="CK302"/>
  <c r="CJ302"/>
  <c r="CI302"/>
  <c r="CH302"/>
  <c r="CG302"/>
  <c r="CF302"/>
  <c r="CE302"/>
  <c r="CD302"/>
  <c r="CC302"/>
  <c r="CB302"/>
  <c r="CA302"/>
  <c r="BZ302"/>
  <c r="BY302"/>
  <c r="BX302"/>
  <c r="BW302"/>
  <c r="BV302"/>
  <c r="BU302"/>
  <c r="BT302"/>
  <c r="BS302"/>
  <c r="BR302"/>
  <c r="BQ302"/>
  <c r="BP302"/>
  <c r="BO302"/>
  <c r="BN302"/>
  <c r="BM302"/>
  <c r="BL302"/>
  <c r="BG302"/>
  <c r="BE302"/>
  <c r="BD302"/>
  <c r="BA302"/>
  <c r="AX302"/>
  <c r="AQ302"/>
  <c r="AJ302"/>
  <c r="AC302"/>
  <c r="W302"/>
  <c r="J302"/>
  <c r="G302"/>
  <c r="A302"/>
  <c r="CO301"/>
  <c r="CN301"/>
  <c r="CM301"/>
  <c r="CL301"/>
  <c r="CK301"/>
  <c r="CJ301"/>
  <c r="CI301"/>
  <c r="CH301"/>
  <c r="CG301"/>
  <c r="CF301"/>
  <c r="CE301"/>
  <c r="CD301"/>
  <c r="CC301"/>
  <c r="CB301"/>
  <c r="CA301"/>
  <c r="BZ301"/>
  <c r="BY301"/>
  <c r="BX301"/>
  <c r="BW301"/>
  <c r="BV301"/>
  <c r="BU301"/>
  <c r="BT301"/>
  <c r="BS301"/>
  <c r="BR301"/>
  <c r="BQ301"/>
  <c r="BP301"/>
  <c r="BO301"/>
  <c r="BN301"/>
  <c r="BM301"/>
  <c r="BL301"/>
  <c r="BG301"/>
  <c r="BE301"/>
  <c r="BD301"/>
  <c r="BA301"/>
  <c r="AX301"/>
  <c r="AQ301"/>
  <c r="AJ301"/>
  <c r="AC301"/>
  <c r="W301"/>
  <c r="J301"/>
  <c r="G301"/>
  <c r="A301"/>
  <c r="CO300"/>
  <c r="CN300"/>
  <c r="CM300"/>
  <c r="CL300"/>
  <c r="CK300"/>
  <c r="CJ300"/>
  <c r="CI300"/>
  <c r="CH300"/>
  <c r="CG300"/>
  <c r="CF300"/>
  <c r="CE300"/>
  <c r="CD300"/>
  <c r="CC300"/>
  <c r="CB300"/>
  <c r="CA300"/>
  <c r="BZ300"/>
  <c r="BY300"/>
  <c r="BX300"/>
  <c r="BW300"/>
  <c r="BV300"/>
  <c r="BU300"/>
  <c r="BT300"/>
  <c r="BS300"/>
  <c r="BR300"/>
  <c r="BQ300"/>
  <c r="BP300"/>
  <c r="BO300"/>
  <c r="BN300"/>
  <c r="BM300"/>
  <c r="BL300"/>
  <c r="BG300"/>
  <c r="BE300"/>
  <c r="BD300"/>
  <c r="BA300"/>
  <c r="AX300"/>
  <c r="AQ300"/>
  <c r="AJ300"/>
  <c r="AC300"/>
  <c r="W300"/>
  <c r="J300"/>
  <c r="G300"/>
  <c r="A300"/>
  <c r="CK299"/>
  <c r="CJ299"/>
  <c r="CI299"/>
  <c r="CH299"/>
  <c r="CG299"/>
  <c r="CF299"/>
  <c r="CE299"/>
  <c r="CD299"/>
  <c r="CC299"/>
  <c r="CB299"/>
  <c r="CA299"/>
  <c r="BZ299"/>
  <c r="BY299"/>
  <c r="BX299"/>
  <c r="BW299"/>
  <c r="BV299"/>
  <c r="BU299"/>
  <c r="BT299"/>
  <c r="BS299"/>
  <c r="BR299"/>
  <c r="BQ299"/>
  <c r="BP299"/>
  <c r="BO299"/>
  <c r="BN299"/>
  <c r="BM299"/>
  <c r="BL299"/>
  <c r="BG299"/>
  <c r="BE299"/>
  <c r="BD299"/>
  <c r="BA299"/>
  <c r="AX299"/>
  <c r="AQ299"/>
  <c r="AJ299"/>
  <c r="AC299"/>
  <c r="W299"/>
  <c r="J299"/>
  <c r="G299"/>
  <c r="A299"/>
  <c r="CO298"/>
  <c r="CN298"/>
  <c r="CM298"/>
  <c r="CL298"/>
  <c r="CK298"/>
  <c r="CJ298"/>
  <c r="CI298"/>
  <c r="CH298"/>
  <c r="CG298"/>
  <c r="CF298"/>
  <c r="CE298"/>
  <c r="CD298"/>
  <c r="CC298"/>
  <c r="CB298"/>
  <c r="CA298"/>
  <c r="BZ298"/>
  <c r="BY298"/>
  <c r="BX298"/>
  <c r="BW298"/>
  <c r="BV298"/>
  <c r="BU298"/>
  <c r="BT298"/>
  <c r="BS298"/>
  <c r="BR298"/>
  <c r="BQ298"/>
  <c r="BP298"/>
  <c r="BO298"/>
  <c r="BN298"/>
  <c r="BM298"/>
  <c r="BL298"/>
  <c r="BG298"/>
  <c r="BE298"/>
  <c r="BD298"/>
  <c r="BA298"/>
  <c r="AX298"/>
  <c r="AQ298"/>
  <c r="AJ298"/>
  <c r="AC298"/>
  <c r="W298"/>
  <c r="J298"/>
  <c r="G298"/>
  <c r="A298"/>
  <c r="CM296"/>
  <c r="CL296"/>
  <c r="CK296"/>
  <c r="CJ296"/>
  <c r="CI296"/>
  <c r="CH296"/>
  <c r="CG296"/>
  <c r="CF296"/>
  <c r="CE296"/>
  <c r="CD296"/>
  <c r="CC296"/>
  <c r="CB296"/>
  <c r="CA296"/>
  <c r="BZ296"/>
  <c r="BY296"/>
  <c r="BX296"/>
  <c r="BW296"/>
  <c r="BV296"/>
  <c r="BU296"/>
  <c r="BT296"/>
  <c r="BS296"/>
  <c r="BR296"/>
  <c r="BQ296"/>
  <c r="BP296"/>
  <c r="BO296"/>
  <c r="BN296"/>
  <c r="BM296"/>
  <c r="BL296"/>
  <c r="BG296"/>
  <c r="BE296"/>
  <c r="BD296"/>
  <c r="BA296"/>
  <c r="AX296"/>
  <c r="AQ296"/>
  <c r="AJ296"/>
  <c r="AC296"/>
  <c r="W296"/>
  <c r="J296"/>
  <c r="G296"/>
  <c r="A296"/>
  <c r="CM295"/>
  <c r="CL295"/>
  <c r="CK295"/>
  <c r="CJ295"/>
  <c r="CI295"/>
  <c r="CH295"/>
  <c r="CG295"/>
  <c r="CF295"/>
  <c r="CE295"/>
  <c r="CD295"/>
  <c r="CC295"/>
  <c r="CB295"/>
  <c r="CA295"/>
  <c r="BZ295"/>
  <c r="BY295"/>
  <c r="BX295"/>
  <c r="BW295"/>
  <c r="BV295"/>
  <c r="BU295"/>
  <c r="BT295"/>
  <c r="BS295"/>
  <c r="BR295"/>
  <c r="BQ295"/>
  <c r="BP295"/>
  <c r="BO295"/>
  <c r="BN295"/>
  <c r="BM295"/>
  <c r="BL295"/>
  <c r="BI295"/>
  <c r="BG295"/>
  <c r="BE295"/>
  <c r="BD295"/>
  <c r="BA295"/>
  <c r="AX295"/>
  <c r="AQ295"/>
  <c r="AJ295"/>
  <c r="AC295"/>
  <c r="W295"/>
  <c r="J295"/>
  <c r="G295"/>
  <c r="A295"/>
  <c r="CK294"/>
  <c r="CJ294"/>
  <c r="CI294"/>
  <c r="CH294"/>
  <c r="CG294"/>
  <c r="CF294"/>
  <c r="CE294"/>
  <c r="CD294"/>
  <c r="CC294"/>
  <c r="CB294"/>
  <c r="CA294"/>
  <c r="BZ294"/>
  <c r="BY294"/>
  <c r="BX294"/>
  <c r="BW294"/>
  <c r="BV294"/>
  <c r="BU294"/>
  <c r="BT294"/>
  <c r="BS294"/>
  <c r="BR294"/>
  <c r="BQ294"/>
  <c r="BP294"/>
  <c r="BO294"/>
  <c r="BN294"/>
  <c r="BM294"/>
  <c r="BL294"/>
  <c r="BI294"/>
  <c r="BG294"/>
  <c r="BE294"/>
  <c r="BD294"/>
  <c r="BA294"/>
  <c r="AX294"/>
  <c r="AQ294"/>
  <c r="AJ294"/>
  <c r="AC294"/>
  <c r="W294"/>
  <c r="J294"/>
  <c r="G294"/>
  <c r="A294"/>
  <c r="CK293"/>
  <c r="CJ293"/>
  <c r="CI293"/>
  <c r="CH293"/>
  <c r="CG293"/>
  <c r="CF293"/>
  <c r="CE293"/>
  <c r="CD293"/>
  <c r="CC293"/>
  <c r="CB293"/>
  <c r="CA293"/>
  <c r="BZ293"/>
  <c r="BY293"/>
  <c r="BX293"/>
  <c r="BW293"/>
  <c r="BV293"/>
  <c r="BU293"/>
  <c r="BT293"/>
  <c r="BS293"/>
  <c r="BR293"/>
  <c r="BQ293"/>
  <c r="BP293"/>
  <c r="BO293"/>
  <c r="BN293"/>
  <c r="BM293"/>
  <c r="BL293"/>
  <c r="BI293"/>
  <c r="BG293"/>
  <c r="BE293"/>
  <c r="BD293"/>
  <c r="BA293"/>
  <c r="AX293"/>
  <c r="AQ293"/>
  <c r="AJ293"/>
  <c r="AC293"/>
  <c r="W293"/>
  <c r="J293"/>
  <c r="G293"/>
  <c r="A293"/>
  <c r="CK292"/>
  <c r="CJ292"/>
  <c r="CI292"/>
  <c r="CH292"/>
  <c r="CG292"/>
  <c r="CF292"/>
  <c r="CE292"/>
  <c r="CD292"/>
  <c r="CC292"/>
  <c r="CB292"/>
  <c r="CA292"/>
  <c r="BZ292"/>
  <c r="BY292"/>
  <c r="BX292"/>
  <c r="BW292"/>
  <c r="BV292"/>
  <c r="BU292"/>
  <c r="BT292"/>
  <c r="BS292"/>
  <c r="BR292"/>
  <c r="BQ292"/>
  <c r="BP292"/>
  <c r="BO292"/>
  <c r="BN292"/>
  <c r="BM292"/>
  <c r="BL292"/>
  <c r="BI292"/>
  <c r="BG292"/>
  <c r="BE292"/>
  <c r="BD292"/>
  <c r="BA292"/>
  <c r="AX292"/>
  <c r="AQ292"/>
  <c r="AJ292"/>
  <c r="AC292"/>
  <c r="W292"/>
  <c r="J292"/>
  <c r="G292"/>
  <c r="A292"/>
  <c r="CK291"/>
  <c r="CJ291"/>
  <c r="CI291"/>
  <c r="CH291"/>
  <c r="CG291"/>
  <c r="CF291"/>
  <c r="CE291"/>
  <c r="CD291"/>
  <c r="CC291"/>
  <c r="CB291"/>
  <c r="CA291"/>
  <c r="BZ291"/>
  <c r="BY291"/>
  <c r="BX291"/>
  <c r="BW291"/>
  <c r="BV291"/>
  <c r="BU291"/>
  <c r="BT291"/>
  <c r="BS291"/>
  <c r="BR291"/>
  <c r="BQ291"/>
  <c r="BP291"/>
  <c r="BO291"/>
  <c r="BN291"/>
  <c r="BM291"/>
  <c r="BL291"/>
  <c r="BI291"/>
  <c r="BG291"/>
  <c r="BE291"/>
  <c r="BD291"/>
  <c r="BA291"/>
  <c r="AX291"/>
  <c r="AQ291"/>
  <c r="AJ291"/>
  <c r="AC291"/>
  <c r="W291"/>
  <c r="J291"/>
  <c r="G291"/>
  <c r="A291"/>
  <c r="CM290"/>
  <c r="CL290"/>
  <c r="CK290"/>
  <c r="CJ290"/>
  <c r="CI290"/>
  <c r="CH290"/>
  <c r="CG290"/>
  <c r="CF290"/>
  <c r="CE290"/>
  <c r="CD290"/>
  <c r="CC290"/>
  <c r="CB290"/>
  <c r="CA290"/>
  <c r="BZ290"/>
  <c r="BY290"/>
  <c r="BX290"/>
  <c r="BW290"/>
  <c r="BV290"/>
  <c r="BU290"/>
  <c r="BT290"/>
  <c r="BS290"/>
  <c r="BR290"/>
  <c r="BQ290"/>
  <c r="BP290"/>
  <c r="BO290"/>
  <c r="BN290"/>
  <c r="BM290"/>
  <c r="BL290"/>
  <c r="BI290"/>
  <c r="BG290"/>
  <c r="BE290"/>
  <c r="BD290"/>
  <c r="BA290"/>
  <c r="AX290"/>
  <c r="AQ290"/>
  <c r="AJ290"/>
  <c r="AC290"/>
  <c r="W290"/>
  <c r="J290"/>
  <c r="G290"/>
  <c r="A290"/>
  <c r="CM289"/>
  <c r="CL289"/>
  <c r="CK289"/>
  <c r="CJ289"/>
  <c r="CI289"/>
  <c r="CH289"/>
  <c r="CG289"/>
  <c r="CF289"/>
  <c r="CE289"/>
  <c r="CD289"/>
  <c r="CC289"/>
  <c r="CB289"/>
  <c r="CA289"/>
  <c r="BZ289"/>
  <c r="BY289"/>
  <c r="BX289"/>
  <c r="BW289"/>
  <c r="BV289"/>
  <c r="BU289"/>
  <c r="BT289"/>
  <c r="BS289"/>
  <c r="BR289"/>
  <c r="BQ289"/>
  <c r="BP289"/>
  <c r="BO289"/>
  <c r="BN289"/>
  <c r="BM289"/>
  <c r="BL289"/>
  <c r="BI289"/>
  <c r="BG289"/>
  <c r="BE289"/>
  <c r="BD289"/>
  <c r="BA289"/>
  <c r="AX289"/>
  <c r="AQ289"/>
  <c r="AJ289"/>
  <c r="AC289"/>
  <c r="W289"/>
  <c r="J289"/>
  <c r="G289"/>
  <c r="A289"/>
  <c r="CM288"/>
  <c r="CL288"/>
  <c r="CK288"/>
  <c r="CJ288"/>
  <c r="CI288"/>
  <c r="CH288"/>
  <c r="CG288"/>
  <c r="CF288"/>
  <c r="CE288"/>
  <c r="CD288"/>
  <c r="CC288"/>
  <c r="CB288"/>
  <c r="CA288"/>
  <c r="BZ288"/>
  <c r="BY288"/>
  <c r="BX288"/>
  <c r="BW288"/>
  <c r="BV288"/>
  <c r="BU288"/>
  <c r="BT288"/>
  <c r="BS288"/>
  <c r="BR288"/>
  <c r="BQ288"/>
  <c r="BP288"/>
  <c r="BO288"/>
  <c r="BN288"/>
  <c r="BM288"/>
  <c r="BL288"/>
  <c r="BI288"/>
  <c r="BG288"/>
  <c r="BE288"/>
  <c r="BD288"/>
  <c r="BA288"/>
  <c r="AX288"/>
  <c r="AQ288"/>
  <c r="AJ288"/>
  <c r="AC288"/>
  <c r="W288"/>
  <c r="J288"/>
  <c r="G288"/>
  <c r="A288"/>
  <c r="CM287"/>
  <c r="CL287"/>
  <c r="CK287"/>
  <c r="CJ287"/>
  <c r="CI287"/>
  <c r="CH287"/>
  <c r="CG287"/>
  <c r="CF287"/>
  <c r="CE287"/>
  <c r="CD287"/>
  <c r="CC287"/>
  <c r="CB287"/>
  <c r="CA287"/>
  <c r="BZ287"/>
  <c r="BY287"/>
  <c r="BX287"/>
  <c r="BW287"/>
  <c r="BV287"/>
  <c r="BU287"/>
  <c r="BT287"/>
  <c r="BS287"/>
  <c r="BR287"/>
  <c r="BQ287"/>
  <c r="BP287"/>
  <c r="BO287"/>
  <c r="BN287"/>
  <c r="BM287"/>
  <c r="BL287"/>
  <c r="BI287"/>
  <c r="BG287"/>
  <c r="BE287"/>
  <c r="BD287"/>
  <c r="BA287"/>
  <c r="AX287"/>
  <c r="AQ287"/>
  <c r="AJ287"/>
  <c r="AC287"/>
  <c r="W287"/>
  <c r="J287"/>
  <c r="G287"/>
  <c r="A287"/>
  <c r="CO286"/>
  <c r="CN286"/>
  <c r="CM286"/>
  <c r="CL286"/>
  <c r="CK286"/>
  <c r="CJ286"/>
  <c r="CI286"/>
  <c r="CH286"/>
  <c r="CG286"/>
  <c r="CF286"/>
  <c r="CE286"/>
  <c r="CD286"/>
  <c r="CC286"/>
  <c r="CB286"/>
  <c r="CA286"/>
  <c r="BZ286"/>
  <c r="BY286"/>
  <c r="BX286"/>
  <c r="BW286"/>
  <c r="BV286"/>
  <c r="BU286"/>
  <c r="BT286"/>
  <c r="BS286"/>
  <c r="BR286"/>
  <c r="BQ286"/>
  <c r="BP286"/>
  <c r="BO286"/>
  <c r="BN286"/>
  <c r="BM286"/>
  <c r="BL286"/>
  <c r="BI286"/>
  <c r="BG286"/>
  <c r="BE286"/>
  <c r="BD286"/>
  <c r="BA286"/>
  <c r="AX286"/>
  <c r="AQ286"/>
  <c r="AJ286"/>
  <c r="AC286"/>
  <c r="W286"/>
  <c r="J286"/>
  <c r="G286"/>
  <c r="A286"/>
  <c r="CO285"/>
  <c r="CN285"/>
  <c r="CM285"/>
  <c r="CL285"/>
  <c r="CK285"/>
  <c r="CJ285"/>
  <c r="CI285"/>
  <c r="CH285"/>
  <c r="CG285"/>
  <c r="CF285"/>
  <c r="CE285"/>
  <c r="CD285"/>
  <c r="CC285"/>
  <c r="CB285"/>
  <c r="CA285"/>
  <c r="BZ285"/>
  <c r="BY285"/>
  <c r="BX285"/>
  <c r="BW285"/>
  <c r="BV285"/>
  <c r="BU285"/>
  <c r="BT285"/>
  <c r="BS285"/>
  <c r="BR285"/>
  <c r="BQ285"/>
  <c r="BP285"/>
  <c r="BO285"/>
  <c r="BN285"/>
  <c r="BM285"/>
  <c r="BL285"/>
  <c r="BI285"/>
  <c r="BG285"/>
  <c r="BE285"/>
  <c r="BD285"/>
  <c r="BA285"/>
  <c r="AX285"/>
  <c r="AQ285"/>
  <c r="AJ285"/>
  <c r="AC285"/>
  <c r="W285"/>
  <c r="J285"/>
  <c r="G285"/>
  <c r="A285"/>
  <c r="CO284"/>
  <c r="CN284"/>
  <c r="CM284"/>
  <c r="CL284"/>
  <c r="CK284"/>
  <c r="CJ284"/>
  <c r="CI284"/>
  <c r="CH284"/>
  <c r="CG284"/>
  <c r="CF284"/>
  <c r="CE284"/>
  <c r="CD284"/>
  <c r="CC284"/>
  <c r="CB284"/>
  <c r="CA284"/>
  <c r="BZ284"/>
  <c r="BY284"/>
  <c r="BX284"/>
  <c r="BW284"/>
  <c r="BV284"/>
  <c r="BU284"/>
  <c r="BT284"/>
  <c r="BS284"/>
  <c r="BR284"/>
  <c r="BQ284"/>
  <c r="BP284"/>
  <c r="BO284"/>
  <c r="BN284"/>
  <c r="BM284"/>
  <c r="BL284"/>
  <c r="BI284"/>
  <c r="BG284"/>
  <c r="BE284"/>
  <c r="BD284"/>
  <c r="BA284"/>
  <c r="AX284"/>
  <c r="AQ284"/>
  <c r="AJ284"/>
  <c r="AC284"/>
  <c r="W284"/>
  <c r="J284"/>
  <c r="G284"/>
  <c r="A284"/>
  <c r="CO283"/>
  <c r="CN283"/>
  <c r="CM283"/>
  <c r="CL283"/>
  <c r="CK283"/>
  <c r="CJ283"/>
  <c r="CI283"/>
  <c r="CH283"/>
  <c r="CG283"/>
  <c r="CF283"/>
  <c r="CE283"/>
  <c r="CD283"/>
  <c r="CC283"/>
  <c r="CB283"/>
  <c r="CA283"/>
  <c r="BZ283"/>
  <c r="BY283"/>
  <c r="BX283"/>
  <c r="BW283"/>
  <c r="BV283"/>
  <c r="BU283"/>
  <c r="BT283"/>
  <c r="BS283"/>
  <c r="BR283"/>
  <c r="BQ283"/>
  <c r="BP283"/>
  <c r="BO283"/>
  <c r="BN283"/>
  <c r="BM283"/>
  <c r="BL283"/>
  <c r="BI283"/>
  <c r="BG283"/>
  <c r="BE283"/>
  <c r="BD283"/>
  <c r="BA283"/>
  <c r="AX283"/>
  <c r="AQ283"/>
  <c r="AJ283"/>
  <c r="AC283"/>
  <c r="W283"/>
  <c r="J283"/>
  <c r="G283"/>
  <c r="A283"/>
  <c r="CO282"/>
  <c r="CN282"/>
  <c r="CM282"/>
  <c r="CL282"/>
  <c r="CK282"/>
  <c r="CJ282"/>
  <c r="CI282"/>
  <c r="CH282"/>
  <c r="CG282"/>
  <c r="CF282"/>
  <c r="CE282"/>
  <c r="CD282"/>
  <c r="CC282"/>
  <c r="CB282"/>
  <c r="CA282"/>
  <c r="BZ282"/>
  <c r="BY282"/>
  <c r="BX282"/>
  <c r="BW282"/>
  <c r="BV282"/>
  <c r="BU282"/>
  <c r="BT282"/>
  <c r="BS282"/>
  <c r="BR282"/>
  <c r="BQ282"/>
  <c r="BP282"/>
  <c r="BO282"/>
  <c r="BN282"/>
  <c r="BM282"/>
  <c r="BL282"/>
  <c r="BI282"/>
  <c r="BG282"/>
  <c r="BE282"/>
  <c r="BD282"/>
  <c r="BA282"/>
  <c r="AX282"/>
  <c r="AQ282"/>
  <c r="AJ282"/>
  <c r="AC282"/>
  <c r="W282"/>
  <c r="J282"/>
  <c r="G282"/>
  <c r="A282"/>
  <c r="CO281"/>
  <c r="CN281"/>
  <c r="CM281"/>
  <c r="CL281"/>
  <c r="CK281"/>
  <c r="CJ281"/>
  <c r="CI281"/>
  <c r="CH281"/>
  <c r="CG281"/>
  <c r="CF281"/>
  <c r="CE281"/>
  <c r="CD281"/>
  <c r="CC281"/>
  <c r="CB281"/>
  <c r="CA281"/>
  <c r="BZ281"/>
  <c r="BY281"/>
  <c r="BX281"/>
  <c r="BW281"/>
  <c r="BV281"/>
  <c r="BU281"/>
  <c r="BT281"/>
  <c r="BS281"/>
  <c r="BR281"/>
  <c r="BQ281"/>
  <c r="BP281"/>
  <c r="BO281"/>
  <c r="BN281"/>
  <c r="BM281"/>
  <c r="BL281"/>
  <c r="BI281"/>
  <c r="BG281"/>
  <c r="BE281"/>
  <c r="BD281"/>
  <c r="BA281"/>
  <c r="AX281"/>
  <c r="AQ281"/>
  <c r="AJ281"/>
  <c r="AC281"/>
  <c r="W281"/>
  <c r="J281"/>
  <c r="G281"/>
  <c r="A281"/>
  <c r="CK279"/>
  <c r="CJ279"/>
  <c r="CI279"/>
  <c r="CH279"/>
  <c r="CG279"/>
  <c r="CF279"/>
  <c r="CE279"/>
  <c r="CD279"/>
  <c r="CC279"/>
  <c r="CB279"/>
  <c r="CA279"/>
  <c r="BZ279"/>
  <c r="BY279"/>
  <c r="BX279"/>
  <c r="BW279"/>
  <c r="BV279"/>
  <c r="BU279"/>
  <c r="BT279"/>
  <c r="BS279"/>
  <c r="BR279"/>
  <c r="BQ279"/>
  <c r="BP279"/>
  <c r="BO279"/>
  <c r="BN279"/>
  <c r="BM279"/>
  <c r="BL279"/>
  <c r="BI279"/>
  <c r="BG279"/>
  <c r="BE279"/>
  <c r="BD279"/>
  <c r="BA279"/>
  <c r="AX279"/>
  <c r="AQ279"/>
  <c r="AJ279"/>
  <c r="AC279"/>
  <c r="W279"/>
  <c r="J279"/>
  <c r="G279"/>
  <c r="A279"/>
  <c r="CK278"/>
  <c r="CJ278"/>
  <c r="CI278"/>
  <c r="CH278"/>
  <c r="CG278"/>
  <c r="CF278"/>
  <c r="CE278"/>
  <c r="CD278"/>
  <c r="CC278"/>
  <c r="CB278"/>
  <c r="CA278"/>
  <c r="BZ278"/>
  <c r="BY278"/>
  <c r="BX278"/>
  <c r="BW278"/>
  <c r="BV278"/>
  <c r="BU278"/>
  <c r="BT278"/>
  <c r="BS278"/>
  <c r="BR278"/>
  <c r="BQ278"/>
  <c r="BP278"/>
  <c r="BO278"/>
  <c r="BN278"/>
  <c r="BM278"/>
  <c r="BL278"/>
  <c r="BI278"/>
  <c r="BG278"/>
  <c r="BE278"/>
  <c r="BD278"/>
  <c r="BA278"/>
  <c r="AX278"/>
  <c r="AQ278"/>
  <c r="AJ278"/>
  <c r="AC278"/>
  <c r="W278"/>
  <c r="Q278"/>
  <c r="J278"/>
  <c r="G278"/>
  <c r="A278"/>
  <c r="CM277"/>
  <c r="CL277"/>
  <c r="CK277"/>
  <c r="CJ277"/>
  <c r="CI277"/>
  <c r="CH277"/>
  <c r="CG277"/>
  <c r="CF277"/>
  <c r="CE277"/>
  <c r="CD277"/>
  <c r="CC277"/>
  <c r="CB277"/>
  <c r="CA277"/>
  <c r="BZ277"/>
  <c r="BY277"/>
  <c r="BX277"/>
  <c r="BW277"/>
  <c r="BV277"/>
  <c r="BU277"/>
  <c r="BT277"/>
  <c r="BS277"/>
  <c r="BR277"/>
  <c r="BQ277"/>
  <c r="BP277"/>
  <c r="BO277"/>
  <c r="BN277"/>
  <c r="BM277"/>
  <c r="BL277"/>
  <c r="BI277"/>
  <c r="BG277"/>
  <c r="BE277"/>
  <c r="BD277"/>
  <c r="BA277"/>
  <c r="AX277"/>
  <c r="AQ277"/>
  <c r="AJ277"/>
  <c r="AC277"/>
  <c r="W277"/>
  <c r="J277"/>
  <c r="G277"/>
  <c r="A277"/>
  <c r="CK276"/>
  <c r="CJ276"/>
  <c r="CI276"/>
  <c r="CH276"/>
  <c r="CG276"/>
  <c r="CF276"/>
  <c r="CE276"/>
  <c r="CD276"/>
  <c r="CC276"/>
  <c r="CB276"/>
  <c r="CA276"/>
  <c r="BZ276"/>
  <c r="BY276"/>
  <c r="BX276"/>
  <c r="BW276"/>
  <c r="BV276"/>
  <c r="BU276"/>
  <c r="BT276"/>
  <c r="BS276"/>
  <c r="BR276"/>
  <c r="BQ276"/>
  <c r="BP276"/>
  <c r="BO276"/>
  <c r="BN276"/>
  <c r="BM276"/>
  <c r="BL276"/>
  <c r="BI276"/>
  <c r="BG276"/>
  <c r="BE276"/>
  <c r="BD276"/>
  <c r="BA276"/>
  <c r="AX276"/>
  <c r="AQ276"/>
  <c r="AJ276"/>
  <c r="AC276"/>
  <c r="W276"/>
  <c r="J276"/>
  <c r="G276"/>
  <c r="A276"/>
  <c r="CO275"/>
  <c r="CN275"/>
  <c r="CM275"/>
  <c r="CL275"/>
  <c r="CK275"/>
  <c r="CJ275"/>
  <c r="CI275"/>
  <c r="CH275"/>
  <c r="CG275"/>
  <c r="CF275"/>
  <c r="CE275"/>
  <c r="CD275"/>
  <c r="CC275"/>
  <c r="CB275"/>
  <c r="CA275"/>
  <c r="BZ275"/>
  <c r="BY275"/>
  <c r="BX275"/>
  <c r="BW275"/>
  <c r="BV275"/>
  <c r="BU275"/>
  <c r="BT275"/>
  <c r="BS275"/>
  <c r="BR275"/>
  <c r="BQ275"/>
  <c r="BP275"/>
  <c r="BO275"/>
  <c r="BN275"/>
  <c r="BM275"/>
  <c r="BL275"/>
  <c r="BI275"/>
  <c r="BG275"/>
  <c r="BE275"/>
  <c r="BD275"/>
  <c r="BA275"/>
  <c r="AX275"/>
  <c r="AQ275"/>
  <c r="AJ275"/>
  <c r="AC275"/>
  <c r="W275"/>
  <c r="J275"/>
  <c r="G275"/>
  <c r="A275"/>
  <c r="CO274"/>
  <c r="CN274"/>
  <c r="CM274"/>
  <c r="CL274"/>
  <c r="CK274"/>
  <c r="CJ274"/>
  <c r="CI274"/>
  <c r="CH274"/>
  <c r="CG274"/>
  <c r="CF274"/>
  <c r="CE274"/>
  <c r="CD274"/>
  <c r="CC274"/>
  <c r="CB274"/>
  <c r="CA274"/>
  <c r="BZ274"/>
  <c r="BY274"/>
  <c r="BX274"/>
  <c r="BW274"/>
  <c r="BV274"/>
  <c r="BU274"/>
  <c r="BT274"/>
  <c r="BS274"/>
  <c r="BR274"/>
  <c r="BQ274"/>
  <c r="BP274"/>
  <c r="BO274"/>
  <c r="BN274"/>
  <c r="BM274"/>
  <c r="BL274"/>
  <c r="BI274"/>
  <c r="BG274"/>
  <c r="BE274"/>
  <c r="BD274"/>
  <c r="BA274"/>
  <c r="AX274"/>
  <c r="AQ274"/>
  <c r="AJ274"/>
  <c r="AC274"/>
  <c r="W274"/>
  <c r="J274"/>
  <c r="G274"/>
  <c r="A274"/>
  <c r="CO273"/>
  <c r="CN273"/>
  <c r="CM273"/>
  <c r="CL273"/>
  <c r="CK273"/>
  <c r="CJ273"/>
  <c r="CI273"/>
  <c r="CH273"/>
  <c r="CG273"/>
  <c r="CF273"/>
  <c r="CE273"/>
  <c r="CD273"/>
  <c r="CC273"/>
  <c r="CB273"/>
  <c r="CA273"/>
  <c r="BZ273"/>
  <c r="BY273"/>
  <c r="BX273"/>
  <c r="BW273"/>
  <c r="BV273"/>
  <c r="BU273"/>
  <c r="BT273"/>
  <c r="BS273"/>
  <c r="BR273"/>
  <c r="BQ273"/>
  <c r="BP273"/>
  <c r="BO273"/>
  <c r="BN273"/>
  <c r="BM273"/>
  <c r="BL273"/>
  <c r="BI273"/>
  <c r="BG273"/>
  <c r="BE273"/>
  <c r="BD273"/>
  <c r="BA273"/>
  <c r="AX273"/>
  <c r="AQ273"/>
  <c r="AJ273"/>
  <c r="AC273"/>
  <c r="W273"/>
  <c r="J273"/>
  <c r="G273"/>
  <c r="A273"/>
  <c r="CO272"/>
  <c r="CN272"/>
  <c r="CM272"/>
  <c r="CL272"/>
  <c r="CK272"/>
  <c r="CJ272"/>
  <c r="CI272"/>
  <c r="CH272"/>
  <c r="CG272"/>
  <c r="CF272"/>
  <c r="CE272"/>
  <c r="CD272"/>
  <c r="CC272"/>
  <c r="CB272"/>
  <c r="CA272"/>
  <c r="BZ272"/>
  <c r="BY272"/>
  <c r="BX272"/>
  <c r="BW272"/>
  <c r="BV272"/>
  <c r="BU272"/>
  <c r="BT272"/>
  <c r="BS272"/>
  <c r="BR272"/>
  <c r="BQ272"/>
  <c r="BP272"/>
  <c r="BO272"/>
  <c r="BN272"/>
  <c r="BM272"/>
  <c r="BL272"/>
  <c r="BI272"/>
  <c r="BG272"/>
  <c r="BE272"/>
  <c r="BD272"/>
  <c r="BA272"/>
  <c r="AX272"/>
  <c r="AQ272"/>
  <c r="AJ272"/>
  <c r="AC272"/>
  <c r="W272"/>
  <c r="J272"/>
  <c r="G272"/>
  <c r="A272"/>
  <c r="CO271"/>
  <c r="CN271"/>
  <c r="CM271"/>
  <c r="CL271"/>
  <c r="CK271"/>
  <c r="CJ271"/>
  <c r="CI271"/>
  <c r="CH271"/>
  <c r="CG271"/>
  <c r="CF271"/>
  <c r="CE271"/>
  <c r="CD271"/>
  <c r="CC271"/>
  <c r="CB271"/>
  <c r="CA271"/>
  <c r="BZ271"/>
  <c r="BY271"/>
  <c r="BX271"/>
  <c r="BW271"/>
  <c r="BV271"/>
  <c r="BU271"/>
  <c r="BT271"/>
  <c r="BS271"/>
  <c r="BR271"/>
  <c r="BQ271"/>
  <c r="BP271"/>
  <c r="BO271"/>
  <c r="BN271"/>
  <c r="BM271"/>
  <c r="BL271"/>
  <c r="BI271"/>
  <c r="BG271"/>
  <c r="BE271"/>
  <c r="BD271"/>
  <c r="BA271"/>
  <c r="AX271"/>
  <c r="AQ271"/>
  <c r="AJ271"/>
  <c r="AC271"/>
  <c r="W271"/>
  <c r="J271"/>
  <c r="G271"/>
  <c r="A271"/>
  <c r="CO270"/>
  <c r="CN270"/>
  <c r="CM270"/>
  <c r="CL270"/>
  <c r="CK270"/>
  <c r="CJ270"/>
  <c r="CI270"/>
  <c r="CH270"/>
  <c r="CG270"/>
  <c r="CF270"/>
  <c r="CE270"/>
  <c r="CD270"/>
  <c r="CC270"/>
  <c r="CB270"/>
  <c r="CA270"/>
  <c r="BZ270"/>
  <c r="BY270"/>
  <c r="BX270"/>
  <c r="BW270"/>
  <c r="BV270"/>
  <c r="BU270"/>
  <c r="BT270"/>
  <c r="BS270"/>
  <c r="BR270"/>
  <c r="BQ270"/>
  <c r="BP270"/>
  <c r="BO270"/>
  <c r="BN270"/>
  <c r="BM270"/>
  <c r="BL270"/>
  <c r="BI270"/>
  <c r="BG270"/>
  <c r="BE270"/>
  <c r="BD270"/>
  <c r="BA270"/>
  <c r="AX270"/>
  <c r="AQ270"/>
  <c r="AJ270"/>
  <c r="AC270"/>
  <c r="W270"/>
  <c r="J270"/>
  <c r="G270"/>
  <c r="A270"/>
  <c r="CO266"/>
  <c r="CN266"/>
  <c r="CM266"/>
  <c r="CL266"/>
  <c r="CK266"/>
  <c r="CJ266"/>
  <c r="CI266"/>
  <c r="CH266"/>
  <c r="CG266"/>
  <c r="CF266"/>
  <c r="CE266"/>
  <c r="CD266"/>
  <c r="CC266"/>
  <c r="CB266"/>
  <c r="CA266"/>
  <c r="BZ266"/>
  <c r="BY266"/>
  <c r="BX266"/>
  <c r="BW266"/>
  <c r="BV266"/>
  <c r="BU266"/>
  <c r="BT266"/>
  <c r="BS266"/>
  <c r="BR266"/>
  <c r="BQ266"/>
  <c r="BP266"/>
  <c r="BO266"/>
  <c r="BN266"/>
  <c r="BM266"/>
  <c r="BL266"/>
  <c r="BG266"/>
  <c r="BE266"/>
  <c r="BD266"/>
  <c r="BA266"/>
  <c r="AX266"/>
  <c r="AQ266"/>
  <c r="AJ266"/>
  <c r="AC266"/>
  <c r="W266"/>
  <c r="J266"/>
  <c r="G266"/>
  <c r="A266"/>
  <c r="CO265"/>
  <c r="CN265"/>
  <c r="CM265"/>
  <c r="CL265"/>
  <c r="CK265"/>
  <c r="CJ265"/>
  <c r="CI265"/>
  <c r="CH265"/>
  <c r="CG265"/>
  <c r="CF265"/>
  <c r="CE265"/>
  <c r="CD265"/>
  <c r="CC265"/>
  <c r="CB265"/>
  <c r="CA265"/>
  <c r="BZ265"/>
  <c r="BY265"/>
  <c r="BX265"/>
  <c r="BW265"/>
  <c r="BV265"/>
  <c r="BU265"/>
  <c r="BT265"/>
  <c r="BS265"/>
  <c r="BR265"/>
  <c r="BQ265"/>
  <c r="BP265"/>
  <c r="BO265"/>
  <c r="BN265"/>
  <c r="BM265"/>
  <c r="BL265"/>
  <c r="BG265"/>
  <c r="BE265"/>
  <c r="BD265"/>
  <c r="BA265"/>
  <c r="AX265"/>
  <c r="AQ265"/>
  <c r="AJ265"/>
  <c r="AC265"/>
  <c r="W265"/>
  <c r="J265"/>
  <c r="G265"/>
  <c r="A265"/>
  <c r="CO264"/>
  <c r="CN264"/>
  <c r="CM264"/>
  <c r="CL264"/>
  <c r="CK264"/>
  <c r="CJ264"/>
  <c r="CI264"/>
  <c r="CH264"/>
  <c r="CG264"/>
  <c r="CF264"/>
  <c r="CE264"/>
  <c r="CD264"/>
  <c r="CC264"/>
  <c r="CB264"/>
  <c r="CA264"/>
  <c r="BZ264"/>
  <c r="BY264"/>
  <c r="BX264"/>
  <c r="BW264"/>
  <c r="BV264"/>
  <c r="BU264"/>
  <c r="BT264"/>
  <c r="BS264"/>
  <c r="BR264"/>
  <c r="BQ264"/>
  <c r="BP264"/>
  <c r="BO264"/>
  <c r="BN264"/>
  <c r="BM264"/>
  <c r="BL264"/>
  <c r="BG264"/>
  <c r="BE264"/>
  <c r="BD264"/>
  <c r="BA264"/>
  <c r="AX264"/>
  <c r="AQ264"/>
  <c r="AJ264"/>
  <c r="AC264"/>
  <c r="W264"/>
  <c r="J264"/>
  <c r="G264"/>
  <c r="A264"/>
  <c r="CO263"/>
  <c r="CN263"/>
  <c r="CM263"/>
  <c r="CL263"/>
  <c r="CK263"/>
  <c r="CJ263"/>
  <c r="CI263"/>
  <c r="CH263"/>
  <c r="CG263"/>
  <c r="CF263"/>
  <c r="CE263"/>
  <c r="CD263"/>
  <c r="CC263"/>
  <c r="CB263"/>
  <c r="CA263"/>
  <c r="BZ263"/>
  <c r="BY263"/>
  <c r="BX263"/>
  <c r="BW263"/>
  <c r="BV263"/>
  <c r="BU263"/>
  <c r="BT263"/>
  <c r="BS263"/>
  <c r="BR263"/>
  <c r="BQ263"/>
  <c r="BP263"/>
  <c r="BO263"/>
  <c r="BN263"/>
  <c r="BM263"/>
  <c r="BL263"/>
  <c r="BG263"/>
  <c r="BE263"/>
  <c r="BD263"/>
  <c r="BA263"/>
  <c r="AX263"/>
  <c r="AQ263"/>
  <c r="AJ263"/>
  <c r="AC263"/>
  <c r="W263"/>
  <c r="J263"/>
  <c r="G263"/>
  <c r="A263"/>
  <c r="CO262"/>
  <c r="CN262"/>
  <c r="CM262"/>
  <c r="CL262"/>
  <c r="CK262"/>
  <c r="CJ262"/>
  <c r="CI262"/>
  <c r="CH262"/>
  <c r="CG262"/>
  <c r="CF262"/>
  <c r="CE262"/>
  <c r="CD262"/>
  <c r="CC262"/>
  <c r="CB262"/>
  <c r="CA262"/>
  <c r="BZ262"/>
  <c r="BY262"/>
  <c r="BX262"/>
  <c r="BW262"/>
  <c r="BV262"/>
  <c r="BU262"/>
  <c r="BT262"/>
  <c r="BS262"/>
  <c r="BR262"/>
  <c r="BQ262"/>
  <c r="BP262"/>
  <c r="BO262"/>
  <c r="BN262"/>
  <c r="BM262"/>
  <c r="BL262"/>
  <c r="BG262"/>
  <c r="BE262"/>
  <c r="BD262"/>
  <c r="BA262"/>
  <c r="AX262"/>
  <c r="AQ262"/>
  <c r="AJ262"/>
  <c r="AC262"/>
  <c r="W262"/>
  <c r="J262"/>
  <c r="G262"/>
  <c r="A262"/>
  <c r="CO261"/>
  <c r="CN261"/>
  <c r="CM261"/>
  <c r="CL261"/>
  <c r="CK261"/>
  <c r="CJ261"/>
  <c r="CI261"/>
  <c r="CH261"/>
  <c r="CG261"/>
  <c r="CF261"/>
  <c r="CE261"/>
  <c r="CD261"/>
  <c r="CC261"/>
  <c r="CB261"/>
  <c r="CA261"/>
  <c r="BZ261"/>
  <c r="BY261"/>
  <c r="BX261"/>
  <c r="BW261"/>
  <c r="BV261"/>
  <c r="BU261"/>
  <c r="BT261"/>
  <c r="BS261"/>
  <c r="BR261"/>
  <c r="BQ261"/>
  <c r="BP261"/>
  <c r="BO261"/>
  <c r="BN261"/>
  <c r="BM261"/>
  <c r="BL261"/>
  <c r="BG261"/>
  <c r="BE261"/>
  <c r="BD261"/>
  <c r="BA261"/>
  <c r="AX261"/>
  <c r="AQ261"/>
  <c r="AJ261"/>
  <c r="AC261"/>
  <c r="W261"/>
  <c r="J261"/>
  <c r="G261"/>
  <c r="A261"/>
  <c r="CO260"/>
  <c r="CN260"/>
  <c r="CM260"/>
  <c r="CL260"/>
  <c r="CK260"/>
  <c r="CJ260"/>
  <c r="CI260"/>
  <c r="CH260"/>
  <c r="CG260"/>
  <c r="CF260"/>
  <c r="CE260"/>
  <c r="CD260"/>
  <c r="CC260"/>
  <c r="CB260"/>
  <c r="CA260"/>
  <c r="BZ260"/>
  <c r="BY260"/>
  <c r="BX260"/>
  <c r="BW260"/>
  <c r="BV260"/>
  <c r="BU260"/>
  <c r="BT260"/>
  <c r="BS260"/>
  <c r="BR260"/>
  <c r="BQ260"/>
  <c r="BP260"/>
  <c r="BO260"/>
  <c r="BN260"/>
  <c r="BM260"/>
  <c r="BL260"/>
  <c r="BG260"/>
  <c r="BE260"/>
  <c r="BD260"/>
  <c r="BA260"/>
  <c r="AX260"/>
  <c r="AQ260"/>
  <c r="AJ260"/>
  <c r="AC260"/>
  <c r="W260"/>
  <c r="J260"/>
  <c r="G260"/>
  <c r="A260"/>
  <c r="CO259"/>
  <c r="CN259"/>
  <c r="CM259"/>
  <c r="CL259"/>
  <c r="CK259"/>
  <c r="CJ259"/>
  <c r="CI259"/>
  <c r="CH259"/>
  <c r="CG259"/>
  <c r="CF259"/>
  <c r="CE259"/>
  <c r="CD259"/>
  <c r="CC259"/>
  <c r="CB259"/>
  <c r="CA259"/>
  <c r="BZ259"/>
  <c r="BY259"/>
  <c r="BX259"/>
  <c r="BW259"/>
  <c r="BV259"/>
  <c r="BU259"/>
  <c r="BT259"/>
  <c r="BS259"/>
  <c r="BR259"/>
  <c r="BQ259"/>
  <c r="BP259"/>
  <c r="BO259"/>
  <c r="BN259"/>
  <c r="BM259"/>
  <c r="BL259"/>
  <c r="BG259"/>
  <c r="BE259"/>
  <c r="BD259"/>
  <c r="BA259"/>
  <c r="AX259"/>
  <c r="AQ259"/>
  <c r="AJ259"/>
  <c r="AC259"/>
  <c r="W259"/>
  <c r="J259"/>
  <c r="G259"/>
  <c r="A259"/>
  <c r="CO258"/>
  <c r="CN258"/>
  <c r="CM258"/>
  <c r="CL258"/>
  <c r="CK258"/>
  <c r="CJ258"/>
  <c r="CI258"/>
  <c r="CH258"/>
  <c r="CG258"/>
  <c r="CF258"/>
  <c r="CE258"/>
  <c r="CD258"/>
  <c r="CC258"/>
  <c r="CB258"/>
  <c r="CA258"/>
  <c r="BZ258"/>
  <c r="BY258"/>
  <c r="BX258"/>
  <c r="BW258"/>
  <c r="BV258"/>
  <c r="BU258"/>
  <c r="BT258"/>
  <c r="BS258"/>
  <c r="BR258"/>
  <c r="BQ258"/>
  <c r="BP258"/>
  <c r="BO258"/>
  <c r="BN258"/>
  <c r="BM258"/>
  <c r="BL258"/>
  <c r="BG258"/>
  <c r="BE258"/>
  <c r="BD258"/>
  <c r="BA258"/>
  <c r="AX258"/>
  <c r="AQ258"/>
  <c r="AJ258"/>
  <c r="AC258"/>
  <c r="W258"/>
  <c r="J258"/>
  <c r="G258"/>
  <c r="A258"/>
  <c r="CO257"/>
  <c r="CN257"/>
  <c r="CM257"/>
  <c r="CL257"/>
  <c r="CK257"/>
  <c r="CJ257"/>
  <c r="CI257"/>
  <c r="CH257"/>
  <c r="CG257"/>
  <c r="CF257"/>
  <c r="CE257"/>
  <c r="CD257"/>
  <c r="CC257"/>
  <c r="CB257"/>
  <c r="CA257"/>
  <c r="BZ257"/>
  <c r="BY257"/>
  <c r="BX257"/>
  <c r="BW257"/>
  <c r="BV257"/>
  <c r="BU257"/>
  <c r="BT257"/>
  <c r="BS257"/>
  <c r="BR257"/>
  <c r="BQ257"/>
  <c r="BP257"/>
  <c r="BO257"/>
  <c r="BN257"/>
  <c r="BM257"/>
  <c r="BL257"/>
  <c r="BG257"/>
  <c r="BE257"/>
  <c r="BD257"/>
  <c r="BA257"/>
  <c r="AX257"/>
  <c r="AQ257"/>
  <c r="AJ257"/>
  <c r="AC257"/>
  <c r="W257"/>
  <c r="J257"/>
  <c r="G257"/>
  <c r="A257"/>
  <c r="CK255"/>
  <c r="CJ255"/>
  <c r="CI255"/>
  <c r="CH255"/>
  <c r="CG255"/>
  <c r="CF255"/>
  <c r="CE255"/>
  <c r="CD255"/>
  <c r="CC255"/>
  <c r="CB255"/>
  <c r="CA255"/>
  <c r="BZ255"/>
  <c r="BY255"/>
  <c r="BX255"/>
  <c r="BW255"/>
  <c r="BV255"/>
  <c r="BU255"/>
  <c r="BT255"/>
  <c r="BS255"/>
  <c r="BR255"/>
  <c r="BQ255"/>
  <c r="BP255"/>
  <c r="BO255"/>
  <c r="BN255"/>
  <c r="BM255"/>
  <c r="BL255"/>
  <c r="BG255"/>
  <c r="BE255"/>
  <c r="BD255"/>
  <c r="BA255"/>
  <c r="AX255"/>
  <c r="AQ255"/>
  <c r="AJ255"/>
  <c r="AC255"/>
  <c r="W255"/>
  <c r="J255"/>
  <c r="G255"/>
  <c r="A255"/>
  <c r="CC254"/>
  <c r="CB254"/>
  <c r="CA254"/>
  <c r="BZ254"/>
  <c r="BY254"/>
  <c r="BX254"/>
  <c r="BW254"/>
  <c r="BV254"/>
  <c r="BU254"/>
  <c r="BT254"/>
  <c r="BS254"/>
  <c r="BR254"/>
  <c r="BQ254"/>
  <c r="BP254"/>
  <c r="BO254"/>
  <c r="BN254"/>
  <c r="BM254"/>
  <c r="BL254"/>
  <c r="BG254"/>
  <c r="BE254"/>
  <c r="BD254"/>
  <c r="BA254"/>
  <c r="AX254"/>
  <c r="AQ254"/>
  <c r="AJ254"/>
  <c r="AC254"/>
  <c r="W254"/>
  <c r="J254"/>
  <c r="G254"/>
  <c r="A254"/>
  <c r="CI253"/>
  <c r="CH253"/>
  <c r="CG253"/>
  <c r="CF253"/>
  <c r="CE253"/>
  <c r="CD253"/>
  <c r="CC253"/>
  <c r="CB253"/>
  <c r="CA253"/>
  <c r="BZ253"/>
  <c r="BY253"/>
  <c r="BX253"/>
  <c r="BW253"/>
  <c r="BV253"/>
  <c r="BU253"/>
  <c r="BT253"/>
  <c r="BS253"/>
  <c r="BR253"/>
  <c r="BQ253"/>
  <c r="BP253"/>
  <c r="BO253"/>
  <c r="BN253"/>
  <c r="BM253"/>
  <c r="BL253"/>
  <c r="BG253"/>
  <c r="BE253"/>
  <c r="BD253"/>
  <c r="BA253"/>
  <c r="AX253"/>
  <c r="AQ253"/>
  <c r="AJ253"/>
  <c r="AC253"/>
  <c r="W253"/>
  <c r="J253"/>
  <c r="G253"/>
  <c r="A253"/>
  <c r="CK252"/>
  <c r="CJ252"/>
  <c r="CI252"/>
  <c r="CH252"/>
  <c r="CG252"/>
  <c r="CF252"/>
  <c r="CE252"/>
  <c r="CD252"/>
  <c r="CC252"/>
  <c r="CB252"/>
  <c r="CA252"/>
  <c r="BZ252"/>
  <c r="BY252"/>
  <c r="BX252"/>
  <c r="BW252"/>
  <c r="BV252"/>
  <c r="BU252"/>
  <c r="BT252"/>
  <c r="BS252"/>
  <c r="BR252"/>
  <c r="BQ252"/>
  <c r="BP252"/>
  <c r="BO252"/>
  <c r="BN252"/>
  <c r="BM252"/>
  <c r="BL252"/>
  <c r="BG252"/>
  <c r="BE252"/>
  <c r="BD252"/>
  <c r="BA252"/>
  <c r="AX252"/>
  <c r="AQ252"/>
  <c r="AJ252"/>
  <c r="AC252"/>
  <c r="W252"/>
  <c r="J252"/>
  <c r="G252"/>
  <c r="A252"/>
  <c r="CO251"/>
  <c r="CN251"/>
  <c r="CM251"/>
  <c r="CL251"/>
  <c r="CK251"/>
  <c r="CJ251"/>
  <c r="CI251"/>
  <c r="CH251"/>
  <c r="CG251"/>
  <c r="CF251"/>
  <c r="CE251"/>
  <c r="CD251"/>
  <c r="CC251"/>
  <c r="CB251"/>
  <c r="CA251"/>
  <c r="BZ251"/>
  <c r="BY251"/>
  <c r="BX251"/>
  <c r="BW251"/>
  <c r="BV251"/>
  <c r="BU251"/>
  <c r="BT251"/>
  <c r="BS251"/>
  <c r="BR251"/>
  <c r="BQ251"/>
  <c r="BP251"/>
  <c r="BO251"/>
  <c r="BN251"/>
  <c r="BM251"/>
  <c r="BL251"/>
  <c r="BG251"/>
  <c r="BE251"/>
  <c r="BD251"/>
  <c r="BA251"/>
  <c r="AX251"/>
  <c r="AQ251"/>
  <c r="AJ251"/>
  <c r="AC251"/>
  <c r="W251"/>
  <c r="J251"/>
  <c r="G251"/>
  <c r="A251"/>
  <c r="CO250"/>
  <c r="CN250"/>
  <c r="CM250"/>
  <c r="CL250"/>
  <c r="CK250"/>
  <c r="CJ250"/>
  <c r="CI250"/>
  <c r="CH250"/>
  <c r="CG250"/>
  <c r="CF250"/>
  <c r="CE250"/>
  <c r="CD250"/>
  <c r="CC250"/>
  <c r="CB250"/>
  <c r="CA250"/>
  <c r="BZ250"/>
  <c r="BY250"/>
  <c r="BX250"/>
  <c r="BW250"/>
  <c r="BV250"/>
  <c r="BU250"/>
  <c r="BT250"/>
  <c r="BS250"/>
  <c r="BR250"/>
  <c r="BQ250"/>
  <c r="BP250"/>
  <c r="BO250"/>
  <c r="BN250"/>
  <c r="BM250"/>
  <c r="BL250"/>
  <c r="BG250"/>
  <c r="BE250"/>
  <c r="BD250"/>
  <c r="BA250"/>
  <c r="AX250"/>
  <c r="AQ250"/>
  <c r="AJ250"/>
  <c r="AC250"/>
  <c r="W250"/>
  <c r="J250"/>
  <c r="G250"/>
  <c r="A250"/>
  <c r="CO249"/>
  <c r="CN249"/>
  <c r="CM249"/>
  <c r="CL249"/>
  <c r="CK249"/>
  <c r="CJ249"/>
  <c r="CI249"/>
  <c r="CH249"/>
  <c r="CG249"/>
  <c r="CF249"/>
  <c r="CE249"/>
  <c r="CD249"/>
  <c r="CC249"/>
  <c r="CB249"/>
  <c r="CA249"/>
  <c r="BZ249"/>
  <c r="BY249"/>
  <c r="BX249"/>
  <c r="BW249"/>
  <c r="BV249"/>
  <c r="BU249"/>
  <c r="BT249"/>
  <c r="BS249"/>
  <c r="BR249"/>
  <c r="BQ249"/>
  <c r="BP249"/>
  <c r="BO249"/>
  <c r="BN249"/>
  <c r="BM249"/>
  <c r="BL249"/>
  <c r="BG249"/>
  <c r="BE249"/>
  <c r="BD249"/>
  <c r="BA249"/>
  <c r="AX249"/>
  <c r="AQ249"/>
  <c r="AJ249"/>
  <c r="AC249"/>
  <c r="W249"/>
  <c r="J249"/>
  <c r="G249"/>
  <c r="A249"/>
  <c r="CO248"/>
  <c r="CN248"/>
  <c r="CM248"/>
  <c r="CL248"/>
  <c r="CK248"/>
  <c r="CJ248"/>
  <c r="CI248"/>
  <c r="CH248"/>
  <c r="CG248"/>
  <c r="CF248"/>
  <c r="CE248"/>
  <c r="CD248"/>
  <c r="CC248"/>
  <c r="CB248"/>
  <c r="CA248"/>
  <c r="BZ248"/>
  <c r="BY248"/>
  <c r="BX248"/>
  <c r="BW248"/>
  <c r="BV248"/>
  <c r="BU248"/>
  <c r="BT248"/>
  <c r="BS248"/>
  <c r="BR248"/>
  <c r="BQ248"/>
  <c r="BP248"/>
  <c r="BO248"/>
  <c r="BN248"/>
  <c r="BM248"/>
  <c r="BL248"/>
  <c r="BG248"/>
  <c r="BE248"/>
  <c r="BD248"/>
  <c r="BA248"/>
  <c r="AX248"/>
  <c r="AQ248"/>
  <c r="AJ248"/>
  <c r="AC248"/>
  <c r="W248"/>
  <c r="J248"/>
  <c r="G248"/>
  <c r="A248"/>
  <c r="CO247"/>
  <c r="CN247"/>
  <c r="CM247"/>
  <c r="CL247"/>
  <c r="CK247"/>
  <c r="CJ247"/>
  <c r="CI247"/>
  <c r="CH247"/>
  <c r="CG247"/>
  <c r="CF247"/>
  <c r="CE247"/>
  <c r="CD247"/>
  <c r="CC247"/>
  <c r="CB247"/>
  <c r="CA247"/>
  <c r="BZ247"/>
  <c r="BY247"/>
  <c r="BX247"/>
  <c r="BW247"/>
  <c r="BV247"/>
  <c r="BU247"/>
  <c r="BT247"/>
  <c r="BS247"/>
  <c r="BR247"/>
  <c r="BQ247"/>
  <c r="BP247"/>
  <c r="BO247"/>
  <c r="BN247"/>
  <c r="BM247"/>
  <c r="BL247"/>
  <c r="BG247"/>
  <c r="BE247"/>
  <c r="BD247"/>
  <c r="BA247"/>
  <c r="AX247"/>
  <c r="AQ247"/>
  <c r="AJ247"/>
  <c r="AC247"/>
  <c r="W247"/>
  <c r="J247"/>
  <c r="G247"/>
  <c r="A247"/>
  <c r="CO246"/>
  <c r="CN246"/>
  <c r="CM246"/>
  <c r="CL246"/>
  <c r="CK246"/>
  <c r="CJ246"/>
  <c r="CI246"/>
  <c r="CH246"/>
  <c r="CG246"/>
  <c r="CF246"/>
  <c r="CE246"/>
  <c r="CD246"/>
  <c r="CC246"/>
  <c r="CB246"/>
  <c r="CA246"/>
  <c r="BZ246"/>
  <c r="BY246"/>
  <c r="BX246"/>
  <c r="BW246"/>
  <c r="BV246"/>
  <c r="BU246"/>
  <c r="BT246"/>
  <c r="BS246"/>
  <c r="BR246"/>
  <c r="BQ246"/>
  <c r="BP246"/>
  <c r="BO246"/>
  <c r="BN246"/>
  <c r="BM246"/>
  <c r="BL246"/>
  <c r="BG246"/>
  <c r="BE246"/>
  <c r="BD246"/>
  <c r="BA246"/>
  <c r="AX246"/>
  <c r="AQ246"/>
  <c r="AJ246"/>
  <c r="AC246"/>
  <c r="W246"/>
  <c r="J246"/>
  <c r="G246"/>
  <c r="A246"/>
  <c r="CC244"/>
  <c r="CB244"/>
  <c r="CA244"/>
  <c r="BZ244"/>
  <c r="BY244"/>
  <c r="BX244"/>
  <c r="BW244"/>
  <c r="BV244"/>
  <c r="BU244"/>
  <c r="BT244"/>
  <c r="BS244"/>
  <c r="BR244"/>
  <c r="BQ244"/>
  <c r="BP244"/>
  <c r="BO244"/>
  <c r="BN244"/>
  <c r="BM244"/>
  <c r="BL244"/>
  <c r="BG244"/>
  <c r="BE244"/>
  <c r="BD244"/>
  <c r="BA244"/>
  <c r="AX244"/>
  <c r="AQ244"/>
  <c r="AJ244"/>
  <c r="AC244"/>
  <c r="W244"/>
  <c r="J244"/>
  <c r="G244"/>
  <c r="A244"/>
  <c r="CI243"/>
  <c r="CH243"/>
  <c r="CG243"/>
  <c r="CF243"/>
  <c r="CE243"/>
  <c r="CD243"/>
  <c r="CC243"/>
  <c r="CB243"/>
  <c r="CA243"/>
  <c r="BZ243"/>
  <c r="BY243"/>
  <c r="BX243"/>
  <c r="BW243"/>
  <c r="BV243"/>
  <c r="BU243"/>
  <c r="BT243"/>
  <c r="BS243"/>
  <c r="BR243"/>
  <c r="BQ243"/>
  <c r="BP243"/>
  <c r="BO243"/>
  <c r="BN243"/>
  <c r="BM243"/>
  <c r="BL243"/>
  <c r="BG243"/>
  <c r="BE243"/>
  <c r="BD243"/>
  <c r="BA243"/>
  <c r="AX243"/>
  <c r="AQ243"/>
  <c r="AJ243"/>
  <c r="AC243"/>
  <c r="W243"/>
  <c r="J243"/>
  <c r="G243"/>
  <c r="A243"/>
  <c r="CI242"/>
  <c r="CH242"/>
  <c r="CG242"/>
  <c r="CF242"/>
  <c r="CE242"/>
  <c r="CD242"/>
  <c r="CC242"/>
  <c r="CB242"/>
  <c r="CA242"/>
  <c r="BZ242"/>
  <c r="BY242"/>
  <c r="BX242"/>
  <c r="BW242"/>
  <c r="BV242"/>
  <c r="BU242"/>
  <c r="BT242"/>
  <c r="BS242"/>
  <c r="BR242"/>
  <c r="BQ242"/>
  <c r="BP242"/>
  <c r="BO242"/>
  <c r="BN242"/>
  <c r="BM242"/>
  <c r="BL242"/>
  <c r="BG242"/>
  <c r="BE242"/>
  <c r="BD242"/>
  <c r="BA242"/>
  <c r="AX242"/>
  <c r="AQ242"/>
  <c r="AJ242"/>
  <c r="AC242"/>
  <c r="W242"/>
  <c r="J242"/>
  <c r="G242"/>
  <c r="A242"/>
  <c r="CI241"/>
  <c r="CH241"/>
  <c r="CG241"/>
  <c r="CF241"/>
  <c r="CE241"/>
  <c r="CD241"/>
  <c r="CC241"/>
  <c r="CB241"/>
  <c r="CA241"/>
  <c r="BZ241"/>
  <c r="BY241"/>
  <c r="BX241"/>
  <c r="BW241"/>
  <c r="BV241"/>
  <c r="BU241"/>
  <c r="BT241"/>
  <c r="BS241"/>
  <c r="BR241"/>
  <c r="BQ241"/>
  <c r="BP241"/>
  <c r="BO241"/>
  <c r="BN241"/>
  <c r="BM241"/>
  <c r="BL241"/>
  <c r="BG241"/>
  <c r="BE241"/>
  <c r="BD241"/>
  <c r="BA241"/>
  <c r="AX241"/>
  <c r="AQ241"/>
  <c r="AJ241"/>
  <c r="AC241"/>
  <c r="W241"/>
  <c r="J241"/>
  <c r="G241"/>
  <c r="A241"/>
  <c r="CI240"/>
  <c r="CH240"/>
  <c r="CG240"/>
  <c r="CF240"/>
  <c r="CE240"/>
  <c r="CD240"/>
  <c r="CC240"/>
  <c r="CB240"/>
  <c r="CA240"/>
  <c r="BZ240"/>
  <c r="BY240"/>
  <c r="BX240"/>
  <c r="BW240"/>
  <c r="BV240"/>
  <c r="BU240"/>
  <c r="BT240"/>
  <c r="BS240"/>
  <c r="BR240"/>
  <c r="BQ240"/>
  <c r="BP240"/>
  <c r="BO240"/>
  <c r="BN240"/>
  <c r="BM240"/>
  <c r="BL240"/>
  <c r="BG240"/>
  <c r="BE240"/>
  <c r="BD240"/>
  <c r="BA240"/>
  <c r="AX240"/>
  <c r="AQ240"/>
  <c r="AJ240"/>
  <c r="AC240"/>
  <c r="W240"/>
  <c r="J240"/>
  <c r="G240"/>
  <c r="A240"/>
  <c r="CI239"/>
  <c r="CH239"/>
  <c r="CG239"/>
  <c r="CF239"/>
  <c r="CE239"/>
  <c r="CD239"/>
  <c r="CC239"/>
  <c r="CB239"/>
  <c r="CA239"/>
  <c r="BZ239"/>
  <c r="BY239"/>
  <c r="BX239"/>
  <c r="BW239"/>
  <c r="BV239"/>
  <c r="BU239"/>
  <c r="BT239"/>
  <c r="BS239"/>
  <c r="BR239"/>
  <c r="BQ239"/>
  <c r="BP239"/>
  <c r="BO239"/>
  <c r="BN239"/>
  <c r="BM239"/>
  <c r="BL239"/>
  <c r="BI239"/>
  <c r="BG239"/>
  <c r="BE239"/>
  <c r="BD239"/>
  <c r="BA239"/>
  <c r="AX239"/>
  <c r="AQ239"/>
  <c r="AJ239"/>
  <c r="AC239"/>
  <c r="W239"/>
  <c r="J239"/>
  <c r="G239"/>
  <c r="A239"/>
  <c r="CO238"/>
  <c r="CN238"/>
  <c r="CM238"/>
  <c r="CL238"/>
  <c r="CK238"/>
  <c r="CJ238"/>
  <c r="CI238"/>
  <c r="CH238"/>
  <c r="CG238"/>
  <c r="CF238"/>
  <c r="CE238"/>
  <c r="CD238"/>
  <c r="CC238"/>
  <c r="CB238"/>
  <c r="CA238"/>
  <c r="BZ238"/>
  <c r="BY238"/>
  <c r="BX238"/>
  <c r="BW238"/>
  <c r="BV238"/>
  <c r="BU238"/>
  <c r="BT238"/>
  <c r="BS238"/>
  <c r="BR238"/>
  <c r="BQ238"/>
  <c r="BP238"/>
  <c r="BO238"/>
  <c r="BN238"/>
  <c r="BM238"/>
  <c r="BL238"/>
  <c r="BG238"/>
  <c r="BE238"/>
  <c r="BD238"/>
  <c r="BA238"/>
  <c r="AX238"/>
  <c r="AQ238"/>
  <c r="AJ238"/>
  <c r="AC238"/>
  <c r="W238"/>
  <c r="J238"/>
  <c r="G238"/>
  <c r="A238"/>
  <c r="CO237"/>
  <c r="CN237"/>
  <c r="CM237"/>
  <c r="CL237"/>
  <c r="CK237"/>
  <c r="CJ237"/>
  <c r="CI237"/>
  <c r="CH237"/>
  <c r="CG237"/>
  <c r="CF237"/>
  <c r="CE237"/>
  <c r="CD237"/>
  <c r="CC237"/>
  <c r="CB237"/>
  <c r="CA237"/>
  <c r="BZ237"/>
  <c r="BY237"/>
  <c r="BX237"/>
  <c r="BW237"/>
  <c r="BV237"/>
  <c r="BU237"/>
  <c r="BT237"/>
  <c r="BS237"/>
  <c r="BR237"/>
  <c r="BQ237"/>
  <c r="BP237"/>
  <c r="BO237"/>
  <c r="BN237"/>
  <c r="BM237"/>
  <c r="BL237"/>
  <c r="BG237"/>
  <c r="BE237"/>
  <c r="BD237"/>
  <c r="BA237"/>
  <c r="AX237"/>
  <c r="AQ237"/>
  <c r="AJ237"/>
  <c r="AC237"/>
  <c r="W237"/>
  <c r="Q237"/>
  <c r="J237"/>
  <c r="G237"/>
  <c r="A237"/>
  <c r="CK236"/>
  <c r="CJ236"/>
  <c r="CI236"/>
  <c r="CH236"/>
  <c r="CG236"/>
  <c r="CF236"/>
  <c r="CE236"/>
  <c r="CD236"/>
  <c r="CC236"/>
  <c r="CB236"/>
  <c r="CA236"/>
  <c r="BZ236"/>
  <c r="BY236"/>
  <c r="BX236"/>
  <c r="BW236"/>
  <c r="BV236"/>
  <c r="BU236"/>
  <c r="BT236"/>
  <c r="BS236"/>
  <c r="BR236"/>
  <c r="BQ236"/>
  <c r="BP236"/>
  <c r="BO236"/>
  <c r="BN236"/>
  <c r="BM236"/>
  <c r="BL236"/>
  <c r="BG236"/>
  <c r="BE236"/>
  <c r="BD236"/>
  <c r="BA236"/>
  <c r="AX236"/>
  <c r="AQ236"/>
  <c r="AJ236"/>
  <c r="AC236"/>
  <c r="W236"/>
  <c r="J236"/>
  <c r="G236"/>
  <c r="A236"/>
  <c r="CO235"/>
  <c r="CN235"/>
  <c r="CM235"/>
  <c r="CL235"/>
  <c r="CK235"/>
  <c r="CJ235"/>
  <c r="CI235"/>
  <c r="CH235"/>
  <c r="CG235"/>
  <c r="CF235"/>
  <c r="CE235"/>
  <c r="CD235"/>
  <c r="CC235"/>
  <c r="CB235"/>
  <c r="CA235"/>
  <c r="BZ235"/>
  <c r="BY235"/>
  <c r="BX235"/>
  <c r="BW235"/>
  <c r="BV235"/>
  <c r="BU235"/>
  <c r="BT235"/>
  <c r="BS235"/>
  <c r="BR235"/>
  <c r="BQ235"/>
  <c r="BP235"/>
  <c r="BO235"/>
  <c r="BN235"/>
  <c r="BM235"/>
  <c r="BL235"/>
  <c r="BG235"/>
  <c r="BE235"/>
  <c r="BD235"/>
  <c r="BA235"/>
  <c r="AX235"/>
  <c r="AQ235"/>
  <c r="AJ235"/>
  <c r="AC235"/>
  <c r="W235"/>
  <c r="J235"/>
  <c r="G235"/>
  <c r="A235"/>
  <c r="CO234"/>
  <c r="CN234"/>
  <c r="CM234"/>
  <c r="CL234"/>
  <c r="CK234"/>
  <c r="CJ234"/>
  <c r="CI234"/>
  <c r="CH234"/>
  <c r="CG234"/>
  <c r="CF234"/>
  <c r="CE234"/>
  <c r="CD234"/>
  <c r="CC234"/>
  <c r="CB234"/>
  <c r="CA234"/>
  <c r="BZ234"/>
  <c r="BY234"/>
  <c r="BX234"/>
  <c r="BW234"/>
  <c r="BV234"/>
  <c r="BU234"/>
  <c r="BT234"/>
  <c r="BS234"/>
  <c r="BR234"/>
  <c r="BQ234"/>
  <c r="BP234"/>
  <c r="BO234"/>
  <c r="BN234"/>
  <c r="BM234"/>
  <c r="BL234"/>
  <c r="BG234"/>
  <c r="BE234"/>
  <c r="BD234"/>
  <c r="BA234"/>
  <c r="AX234"/>
  <c r="AQ234"/>
  <c r="AJ234"/>
  <c r="AC234"/>
  <c r="W234"/>
  <c r="J234"/>
  <c r="G234"/>
  <c r="A234"/>
  <c r="CO233"/>
  <c r="CN233"/>
  <c r="CM233"/>
  <c r="CL233"/>
  <c r="CK233"/>
  <c r="CJ233"/>
  <c r="CI233"/>
  <c r="CH233"/>
  <c r="CG233"/>
  <c r="CF233"/>
  <c r="CE233"/>
  <c r="CD233"/>
  <c r="CC233"/>
  <c r="CB233"/>
  <c r="CA233"/>
  <c r="BZ233"/>
  <c r="BY233"/>
  <c r="BX233"/>
  <c r="BW233"/>
  <c r="BV233"/>
  <c r="BU233"/>
  <c r="BT233"/>
  <c r="BS233"/>
  <c r="BR233"/>
  <c r="BQ233"/>
  <c r="BP233"/>
  <c r="BO233"/>
  <c r="BN233"/>
  <c r="BM233"/>
  <c r="BL233"/>
  <c r="BG233"/>
  <c r="BE233"/>
  <c r="BD233"/>
  <c r="BA233"/>
  <c r="AX233"/>
  <c r="AQ233"/>
  <c r="AJ233"/>
  <c r="AC233"/>
  <c r="W233"/>
  <c r="J233"/>
  <c r="G233"/>
  <c r="A233"/>
  <c r="CO232"/>
  <c r="CN232"/>
  <c r="CM232"/>
  <c r="CL232"/>
  <c r="CK232"/>
  <c r="CJ232"/>
  <c r="CI232"/>
  <c r="CH232"/>
  <c r="CG232"/>
  <c r="CF232"/>
  <c r="CE232"/>
  <c r="CD232"/>
  <c r="CC232"/>
  <c r="CB232"/>
  <c r="CA232"/>
  <c r="BZ232"/>
  <c r="BY232"/>
  <c r="BX232"/>
  <c r="BW232"/>
  <c r="BV232"/>
  <c r="BU232"/>
  <c r="BT232"/>
  <c r="BS232"/>
  <c r="BR232"/>
  <c r="BQ232"/>
  <c r="BP232"/>
  <c r="BO232"/>
  <c r="BN232"/>
  <c r="BM232"/>
  <c r="BL232"/>
  <c r="BG232"/>
  <c r="BE232"/>
  <c r="BD232"/>
  <c r="BA232"/>
  <c r="AX232"/>
  <c r="AQ232"/>
  <c r="AJ232"/>
  <c r="AC232"/>
  <c r="W232"/>
  <c r="J232"/>
  <c r="G232"/>
  <c r="A232"/>
  <c r="CM231"/>
  <c r="CL231"/>
  <c r="CK231"/>
  <c r="CJ231"/>
  <c r="CI231"/>
  <c r="CH231"/>
  <c r="CG231"/>
  <c r="CF231"/>
  <c r="CE231"/>
  <c r="CD231"/>
  <c r="CC231"/>
  <c r="CB231"/>
  <c r="CA231"/>
  <c r="BZ231"/>
  <c r="BY231"/>
  <c r="BX231"/>
  <c r="BW231"/>
  <c r="BV231"/>
  <c r="BU231"/>
  <c r="BT231"/>
  <c r="BS231"/>
  <c r="BR231"/>
  <c r="BQ231"/>
  <c r="BP231"/>
  <c r="BO231"/>
  <c r="BN231"/>
  <c r="BM231"/>
  <c r="BL231"/>
  <c r="BG231"/>
  <c r="BE231"/>
  <c r="BD231"/>
  <c r="BA231"/>
  <c r="AX231"/>
  <c r="AQ231"/>
  <c r="AJ231"/>
  <c r="AC231"/>
  <c r="W231"/>
  <c r="J231"/>
  <c r="G231"/>
  <c r="A231"/>
  <c r="CO230"/>
  <c r="CN230"/>
  <c r="CM230"/>
  <c r="CL230"/>
  <c r="CK230"/>
  <c r="CJ230"/>
  <c r="CI230"/>
  <c r="CH230"/>
  <c r="CG230"/>
  <c r="CF230"/>
  <c r="CE230"/>
  <c r="CD230"/>
  <c r="CC230"/>
  <c r="CB230"/>
  <c r="CA230"/>
  <c r="BZ230"/>
  <c r="BY230"/>
  <c r="BX230"/>
  <c r="BW230"/>
  <c r="BV230"/>
  <c r="BU230"/>
  <c r="BT230"/>
  <c r="BS230"/>
  <c r="BR230"/>
  <c r="BQ230"/>
  <c r="BP230"/>
  <c r="BO230"/>
  <c r="BN230"/>
  <c r="BM230"/>
  <c r="BL230"/>
  <c r="BG230"/>
  <c r="BE230"/>
  <c r="BD230"/>
  <c r="BA230"/>
  <c r="AX230"/>
  <c r="AQ230"/>
  <c r="AJ230"/>
  <c r="AC230"/>
  <c r="W230"/>
  <c r="J230"/>
  <c r="G230"/>
  <c r="A230"/>
  <c r="CO228"/>
  <c r="CN228"/>
  <c r="CM228"/>
  <c r="CL228"/>
  <c r="CK228"/>
  <c r="CJ228"/>
  <c r="CI228"/>
  <c r="CH228"/>
  <c r="CG228"/>
  <c r="CF228"/>
  <c r="CE228"/>
  <c r="CD228"/>
  <c r="CC228"/>
  <c r="CB228"/>
  <c r="CA228"/>
  <c r="BZ228"/>
  <c r="BY228"/>
  <c r="BX228"/>
  <c r="BW228"/>
  <c r="BV228"/>
  <c r="BU228"/>
  <c r="BT228"/>
  <c r="BS228"/>
  <c r="BR228"/>
  <c r="BQ228"/>
  <c r="BP228"/>
  <c r="BO228"/>
  <c r="BN228"/>
  <c r="BM228"/>
  <c r="BL228"/>
  <c r="BG228"/>
  <c r="BE228"/>
  <c r="BD228"/>
  <c r="BA228"/>
  <c r="AX228"/>
  <c r="AQ228"/>
  <c r="AJ228"/>
  <c r="AC228"/>
  <c r="W228"/>
  <c r="J228"/>
  <c r="G228"/>
  <c r="A228"/>
  <c r="CO227"/>
  <c r="CN227"/>
  <c r="CM227"/>
  <c r="CL227"/>
  <c r="CK227"/>
  <c r="CJ227"/>
  <c r="CI227"/>
  <c r="CH227"/>
  <c r="CG227"/>
  <c r="CF227"/>
  <c r="CE227"/>
  <c r="CD227"/>
  <c r="CC227"/>
  <c r="CB227"/>
  <c r="CA227"/>
  <c r="BZ227"/>
  <c r="BY227"/>
  <c r="BX227"/>
  <c r="BW227"/>
  <c r="BV227"/>
  <c r="BU227"/>
  <c r="BT227"/>
  <c r="BS227"/>
  <c r="BR227"/>
  <c r="BQ227"/>
  <c r="BP227"/>
  <c r="BO227"/>
  <c r="BN227"/>
  <c r="BM227"/>
  <c r="BL227"/>
  <c r="BG227"/>
  <c r="BE227"/>
  <c r="BD227"/>
  <c r="BA227"/>
  <c r="AX227"/>
  <c r="AQ227"/>
  <c r="AJ227"/>
  <c r="AC227"/>
  <c r="W227"/>
  <c r="J227"/>
  <c r="G227"/>
  <c r="A227"/>
  <c r="CO226"/>
  <c r="CN226"/>
  <c r="CM226"/>
  <c r="CL226"/>
  <c r="CK226"/>
  <c r="CJ226"/>
  <c r="CI226"/>
  <c r="CH226"/>
  <c r="CG226"/>
  <c r="CF226"/>
  <c r="CE226"/>
  <c r="CD226"/>
  <c r="CC226"/>
  <c r="CB226"/>
  <c r="CA226"/>
  <c r="BZ226"/>
  <c r="BY226"/>
  <c r="BX226"/>
  <c r="BW226"/>
  <c r="BV226"/>
  <c r="BU226"/>
  <c r="BT226"/>
  <c r="BS226"/>
  <c r="BR226"/>
  <c r="BQ226"/>
  <c r="BP226"/>
  <c r="BO226"/>
  <c r="BN226"/>
  <c r="BM226"/>
  <c r="BL226"/>
  <c r="BG226"/>
  <c r="BE226"/>
  <c r="BD226"/>
  <c r="BA226"/>
  <c r="AX226"/>
  <c r="AQ226"/>
  <c r="AJ226"/>
  <c r="AC226"/>
  <c r="W226"/>
  <c r="J226"/>
  <c r="G226"/>
  <c r="A226"/>
  <c r="CO225"/>
  <c r="CN225"/>
  <c r="CM225"/>
  <c r="CL225"/>
  <c r="CK225"/>
  <c r="CJ225"/>
  <c r="CI225"/>
  <c r="CH225"/>
  <c r="CG225"/>
  <c r="CF225"/>
  <c r="CE225"/>
  <c r="CD225"/>
  <c r="CC225"/>
  <c r="CB225"/>
  <c r="CA225"/>
  <c r="BZ225"/>
  <c r="BY225"/>
  <c r="BX225"/>
  <c r="BW225"/>
  <c r="BV225"/>
  <c r="BU225"/>
  <c r="BT225"/>
  <c r="BS225"/>
  <c r="BR225"/>
  <c r="BQ225"/>
  <c r="BP225"/>
  <c r="BO225"/>
  <c r="BN225"/>
  <c r="BM225"/>
  <c r="BL225"/>
  <c r="BG225"/>
  <c r="BE225"/>
  <c r="BD225"/>
  <c r="BA225"/>
  <c r="AX225"/>
  <c r="AQ225"/>
  <c r="AJ225"/>
  <c r="AC225"/>
  <c r="W225"/>
  <c r="J225"/>
  <c r="G225"/>
  <c r="A225"/>
  <c r="CO224"/>
  <c r="CN224"/>
  <c r="CM224"/>
  <c r="CL224"/>
  <c r="CK224"/>
  <c r="CJ224"/>
  <c r="CI224"/>
  <c r="CH224"/>
  <c r="CG224"/>
  <c r="CF224"/>
  <c r="CE224"/>
  <c r="CD224"/>
  <c r="CC224"/>
  <c r="CB224"/>
  <c r="CA224"/>
  <c r="BZ224"/>
  <c r="BY224"/>
  <c r="BX224"/>
  <c r="BW224"/>
  <c r="BV224"/>
  <c r="BU224"/>
  <c r="BT224"/>
  <c r="BS224"/>
  <c r="BR224"/>
  <c r="BQ224"/>
  <c r="BP224"/>
  <c r="BO224"/>
  <c r="BN224"/>
  <c r="BM224"/>
  <c r="BL224"/>
  <c r="BG224"/>
  <c r="BE224"/>
  <c r="BD224"/>
  <c r="BA224"/>
  <c r="AX224"/>
  <c r="AQ224"/>
  <c r="AJ224"/>
  <c r="AC224"/>
  <c r="W224"/>
  <c r="J224"/>
  <c r="G224"/>
  <c r="A224"/>
  <c r="CO223"/>
  <c r="CN223"/>
  <c r="CM223"/>
  <c r="CL223"/>
  <c r="CK223"/>
  <c r="CJ223"/>
  <c r="CI223"/>
  <c r="CH223"/>
  <c r="CG223"/>
  <c r="CF223"/>
  <c r="CE223"/>
  <c r="CD223"/>
  <c r="CC223"/>
  <c r="CB223"/>
  <c r="CA223"/>
  <c r="BZ223"/>
  <c r="BY223"/>
  <c r="BX223"/>
  <c r="BW223"/>
  <c r="BV223"/>
  <c r="BU223"/>
  <c r="BT223"/>
  <c r="BS223"/>
  <c r="BR223"/>
  <c r="BQ223"/>
  <c r="BP223"/>
  <c r="BO223"/>
  <c r="BN223"/>
  <c r="BM223"/>
  <c r="BL223"/>
  <c r="BG223"/>
  <c r="BE223"/>
  <c r="BD223"/>
  <c r="BA223"/>
  <c r="AX223"/>
  <c r="AQ223"/>
  <c r="AJ223"/>
  <c r="AC223"/>
  <c r="W223"/>
  <c r="J223"/>
  <c r="G223"/>
  <c r="A223"/>
  <c r="CO222"/>
  <c r="CN222"/>
  <c r="CM222"/>
  <c r="CL222"/>
  <c r="CK222"/>
  <c r="CJ222"/>
  <c r="CI222"/>
  <c r="CH222"/>
  <c r="CG222"/>
  <c r="CF222"/>
  <c r="CE222"/>
  <c r="CD222"/>
  <c r="CC222"/>
  <c r="CB222"/>
  <c r="CA222"/>
  <c r="BZ222"/>
  <c r="BY222"/>
  <c r="BX222"/>
  <c r="BW222"/>
  <c r="BV222"/>
  <c r="BU222"/>
  <c r="BT222"/>
  <c r="BS222"/>
  <c r="BR222"/>
  <c r="BQ222"/>
  <c r="BP222"/>
  <c r="BO222"/>
  <c r="BN222"/>
  <c r="BM222"/>
  <c r="BL222"/>
  <c r="BG222"/>
  <c r="BE222"/>
  <c r="BD222"/>
  <c r="BA222"/>
  <c r="AX222"/>
  <c r="AQ222"/>
  <c r="AJ222"/>
  <c r="AC222"/>
  <c r="W222"/>
  <c r="J222"/>
  <c r="G222"/>
  <c r="A222"/>
  <c r="CO221"/>
  <c r="CN221"/>
  <c r="CM221"/>
  <c r="CL221"/>
  <c r="CK221"/>
  <c r="CJ221"/>
  <c r="CI221"/>
  <c r="CH221"/>
  <c r="CG221"/>
  <c r="CF221"/>
  <c r="CE221"/>
  <c r="CD221"/>
  <c r="CC221"/>
  <c r="CB221"/>
  <c r="CA221"/>
  <c r="BZ221"/>
  <c r="BY221"/>
  <c r="BX221"/>
  <c r="BW221"/>
  <c r="BV221"/>
  <c r="BU221"/>
  <c r="BT221"/>
  <c r="BS221"/>
  <c r="BR221"/>
  <c r="BQ221"/>
  <c r="BP221"/>
  <c r="BO221"/>
  <c r="BN221"/>
  <c r="BM221"/>
  <c r="BL221"/>
  <c r="BG221"/>
  <c r="BE221"/>
  <c r="BD221"/>
  <c r="BA221"/>
  <c r="AX221"/>
  <c r="AQ221"/>
  <c r="AJ221"/>
  <c r="AC221"/>
  <c r="W221"/>
  <c r="J221"/>
  <c r="G221"/>
  <c r="A221"/>
  <c r="CO220"/>
  <c r="CN220"/>
  <c r="CM220"/>
  <c r="CL220"/>
  <c r="CK220"/>
  <c r="CJ220"/>
  <c r="CI220"/>
  <c r="CH220"/>
  <c r="CG220"/>
  <c r="CF220"/>
  <c r="CE220"/>
  <c r="CD220"/>
  <c r="CC220"/>
  <c r="CB220"/>
  <c r="CA220"/>
  <c r="BZ220"/>
  <c r="BY220"/>
  <c r="BX220"/>
  <c r="BW220"/>
  <c r="BV220"/>
  <c r="BU220"/>
  <c r="BT220"/>
  <c r="BS220"/>
  <c r="BR220"/>
  <c r="BQ220"/>
  <c r="BP220"/>
  <c r="BO220"/>
  <c r="BN220"/>
  <c r="BM220"/>
  <c r="BL220"/>
  <c r="BG220"/>
  <c r="BE220"/>
  <c r="BD220"/>
  <c r="BA220"/>
  <c r="AX220"/>
  <c r="AQ220"/>
  <c r="AJ220"/>
  <c r="AC220"/>
  <c r="W220"/>
  <c r="J220"/>
  <c r="G220"/>
  <c r="A220"/>
  <c r="CO219"/>
  <c r="CN219"/>
  <c r="CM219"/>
  <c r="CL219"/>
  <c r="CK219"/>
  <c r="CJ219"/>
  <c r="CI219"/>
  <c r="CH219"/>
  <c r="CG219"/>
  <c r="CF219"/>
  <c r="CE219"/>
  <c r="CD219"/>
  <c r="CC219"/>
  <c r="CB219"/>
  <c r="CA219"/>
  <c r="BZ219"/>
  <c r="BY219"/>
  <c r="BX219"/>
  <c r="BW219"/>
  <c r="BV219"/>
  <c r="BU219"/>
  <c r="BT219"/>
  <c r="BS219"/>
  <c r="BR219"/>
  <c r="BQ219"/>
  <c r="BP219"/>
  <c r="BO219"/>
  <c r="BN219"/>
  <c r="BM219"/>
  <c r="BL219"/>
  <c r="BG219"/>
  <c r="BE219"/>
  <c r="BD219"/>
  <c r="BA219"/>
  <c r="AX219"/>
  <c r="AQ219"/>
  <c r="AJ219"/>
  <c r="AC219"/>
  <c r="W219"/>
  <c r="J219"/>
  <c r="G219"/>
  <c r="A219"/>
  <c r="CO218"/>
  <c r="CN218"/>
  <c r="CM218"/>
  <c r="CL218"/>
  <c r="CK218"/>
  <c r="CJ218"/>
  <c r="CI218"/>
  <c r="CH218"/>
  <c r="CG218"/>
  <c r="CF218"/>
  <c r="CE218"/>
  <c r="CD218"/>
  <c r="CC218"/>
  <c r="CB218"/>
  <c r="CA218"/>
  <c r="BZ218"/>
  <c r="BY218"/>
  <c r="BX218"/>
  <c r="BW218"/>
  <c r="BV218"/>
  <c r="BU218"/>
  <c r="BT218"/>
  <c r="BS218"/>
  <c r="BR218"/>
  <c r="BQ218"/>
  <c r="BP218"/>
  <c r="BO218"/>
  <c r="BN218"/>
  <c r="BM218"/>
  <c r="BL218"/>
  <c r="BG218"/>
  <c r="BE218"/>
  <c r="BD218"/>
  <c r="BA218"/>
  <c r="AX218"/>
  <c r="AQ218"/>
  <c r="AJ218"/>
  <c r="AC218"/>
  <c r="W218"/>
  <c r="J218"/>
  <c r="G218"/>
  <c r="A218"/>
  <c r="CO217"/>
  <c r="CN217"/>
  <c r="CM217"/>
  <c r="CL217"/>
  <c r="CK217"/>
  <c r="CJ217"/>
  <c r="CI217"/>
  <c r="CH217"/>
  <c r="CG217"/>
  <c r="CF217"/>
  <c r="CE217"/>
  <c r="CD217"/>
  <c r="CC217"/>
  <c r="CB217"/>
  <c r="CA217"/>
  <c r="BZ217"/>
  <c r="BY217"/>
  <c r="BX217"/>
  <c r="BW217"/>
  <c r="BV217"/>
  <c r="BU217"/>
  <c r="BT217"/>
  <c r="BS217"/>
  <c r="BR217"/>
  <c r="BQ217"/>
  <c r="BP217"/>
  <c r="BO217"/>
  <c r="BN217"/>
  <c r="BM217"/>
  <c r="BL217"/>
  <c r="BG217"/>
  <c r="BE217"/>
  <c r="BD217"/>
  <c r="BA217"/>
  <c r="AX217"/>
  <c r="AQ217"/>
  <c r="AJ217"/>
  <c r="AC217"/>
  <c r="W217"/>
  <c r="J217"/>
  <c r="G217"/>
  <c r="A217"/>
  <c r="CO216"/>
  <c r="CN216"/>
  <c r="CM216"/>
  <c r="CL216"/>
  <c r="CK216"/>
  <c r="CJ216"/>
  <c r="CI216"/>
  <c r="CH216"/>
  <c r="CG216"/>
  <c r="CF216"/>
  <c r="CE216"/>
  <c r="CD216"/>
  <c r="CC216"/>
  <c r="CB216"/>
  <c r="CA216"/>
  <c r="BZ216"/>
  <c r="BY216"/>
  <c r="BX216"/>
  <c r="BW216"/>
  <c r="BV216"/>
  <c r="BU216"/>
  <c r="BT216"/>
  <c r="BS216"/>
  <c r="BR216"/>
  <c r="BQ216"/>
  <c r="BP216"/>
  <c r="BO216"/>
  <c r="BN216"/>
  <c r="BM216"/>
  <c r="BL216"/>
  <c r="BG216"/>
  <c r="BE216"/>
  <c r="BD216"/>
  <c r="BA216"/>
  <c r="AX216"/>
  <c r="AQ216"/>
  <c r="AJ216"/>
  <c r="AC216"/>
  <c r="W216"/>
  <c r="J216"/>
  <c r="G216"/>
  <c r="A216"/>
  <c r="CO215"/>
  <c r="CN215"/>
  <c r="CM215"/>
  <c r="CL215"/>
  <c r="CK215"/>
  <c r="CJ215"/>
  <c r="CI215"/>
  <c r="CH215"/>
  <c r="CG215"/>
  <c r="CF215"/>
  <c r="CE215"/>
  <c r="CD215"/>
  <c r="CC215"/>
  <c r="CB215"/>
  <c r="CA215"/>
  <c r="BZ215"/>
  <c r="BY215"/>
  <c r="BX215"/>
  <c r="BW215"/>
  <c r="BV215"/>
  <c r="BU215"/>
  <c r="BT215"/>
  <c r="BS215"/>
  <c r="BR215"/>
  <c r="BQ215"/>
  <c r="BP215"/>
  <c r="BO215"/>
  <c r="BN215"/>
  <c r="BM215"/>
  <c r="BL215"/>
  <c r="BG215"/>
  <c r="BE215"/>
  <c r="BD215"/>
  <c r="BA215"/>
  <c r="AX215"/>
  <c r="AQ215"/>
  <c r="AJ215"/>
  <c r="AC215"/>
  <c r="W215"/>
  <c r="J215"/>
  <c r="G215"/>
  <c r="A215"/>
  <c r="CO214"/>
  <c r="CN214"/>
  <c r="CM214"/>
  <c r="CL214"/>
  <c r="CK214"/>
  <c r="CJ214"/>
  <c r="CI214"/>
  <c r="CH214"/>
  <c r="CG214"/>
  <c r="CF214"/>
  <c r="CE214"/>
  <c r="CD214"/>
  <c r="CC214"/>
  <c r="CB214"/>
  <c r="CA214"/>
  <c r="BZ214"/>
  <c r="BY214"/>
  <c r="BX214"/>
  <c r="BW214"/>
  <c r="BV214"/>
  <c r="BU214"/>
  <c r="BT214"/>
  <c r="BS214"/>
  <c r="BR214"/>
  <c r="BQ214"/>
  <c r="BP214"/>
  <c r="BO214"/>
  <c r="BN214"/>
  <c r="BM214"/>
  <c r="BL214"/>
  <c r="BG214"/>
  <c r="BE214"/>
  <c r="BD214"/>
  <c r="BA214"/>
  <c r="AX214"/>
  <c r="AQ214"/>
  <c r="AJ214"/>
  <c r="AC214"/>
  <c r="W214"/>
  <c r="J214"/>
  <c r="G214"/>
  <c r="A214"/>
  <c r="CO213"/>
  <c r="CN213"/>
  <c r="CM213"/>
  <c r="CL213"/>
  <c r="CK213"/>
  <c r="CJ213"/>
  <c r="CI213"/>
  <c r="CH213"/>
  <c r="CG213"/>
  <c r="CF213"/>
  <c r="CE213"/>
  <c r="CD213"/>
  <c r="CC213"/>
  <c r="CB213"/>
  <c r="CA213"/>
  <c r="BZ213"/>
  <c r="BY213"/>
  <c r="BX213"/>
  <c r="BW213"/>
  <c r="BV213"/>
  <c r="BU213"/>
  <c r="BT213"/>
  <c r="BS213"/>
  <c r="BR213"/>
  <c r="BQ213"/>
  <c r="BP213"/>
  <c r="BO213"/>
  <c r="BN213"/>
  <c r="BM213"/>
  <c r="BL213"/>
  <c r="BG213"/>
  <c r="BE213"/>
  <c r="BD213"/>
  <c r="BA213"/>
  <c r="AX213"/>
  <c r="AQ213"/>
  <c r="AJ213"/>
  <c r="AC213"/>
  <c r="W213"/>
  <c r="J213"/>
  <c r="G213"/>
  <c r="A213"/>
  <c r="CO212"/>
  <c r="CN212"/>
  <c r="CM212"/>
  <c r="CL212"/>
  <c r="CK212"/>
  <c r="CJ212"/>
  <c r="CI212"/>
  <c r="CH212"/>
  <c r="CG212"/>
  <c r="CF212"/>
  <c r="CE212"/>
  <c r="CD212"/>
  <c r="CC212"/>
  <c r="CB212"/>
  <c r="CA212"/>
  <c r="BZ212"/>
  <c r="BY212"/>
  <c r="BX212"/>
  <c r="BW212"/>
  <c r="BV212"/>
  <c r="BU212"/>
  <c r="BT212"/>
  <c r="BS212"/>
  <c r="BR212"/>
  <c r="BQ212"/>
  <c r="BP212"/>
  <c r="BO212"/>
  <c r="BN212"/>
  <c r="BM212"/>
  <c r="BL212"/>
  <c r="BG212"/>
  <c r="BE212"/>
  <c r="BD212"/>
  <c r="BA212"/>
  <c r="AX212"/>
  <c r="AQ212"/>
  <c r="AJ212"/>
  <c r="AC212"/>
  <c r="W212"/>
  <c r="J212"/>
  <c r="G212"/>
  <c r="A212"/>
  <c r="CO211"/>
  <c r="CN211"/>
  <c r="CM211"/>
  <c r="CL211"/>
  <c r="CK211"/>
  <c r="CJ211"/>
  <c r="CI211"/>
  <c r="CH211"/>
  <c r="CG211"/>
  <c r="CF211"/>
  <c r="CE211"/>
  <c r="CD211"/>
  <c r="CC211"/>
  <c r="CB211"/>
  <c r="CA211"/>
  <c r="BZ211"/>
  <c r="BY211"/>
  <c r="BX211"/>
  <c r="BW211"/>
  <c r="BV211"/>
  <c r="BU211"/>
  <c r="BT211"/>
  <c r="BS211"/>
  <c r="BR211"/>
  <c r="BQ211"/>
  <c r="BP211"/>
  <c r="BO211"/>
  <c r="BN211"/>
  <c r="BM211"/>
  <c r="BL211"/>
  <c r="BG211"/>
  <c r="BE211"/>
  <c r="BD211"/>
  <c r="BA211"/>
  <c r="AX211"/>
  <c r="AQ211"/>
  <c r="AJ211"/>
  <c r="AC211"/>
  <c r="W211"/>
  <c r="J211"/>
  <c r="G211"/>
  <c r="A211"/>
  <c r="CC209"/>
  <c r="CB209"/>
  <c r="CA209"/>
  <c r="BZ209"/>
  <c r="BY209"/>
  <c r="BX209"/>
  <c r="BW209"/>
  <c r="BV209"/>
  <c r="BU209"/>
  <c r="BT209"/>
  <c r="BS209"/>
  <c r="BR209"/>
  <c r="BQ209"/>
  <c r="BP209"/>
  <c r="BO209"/>
  <c r="BN209"/>
  <c r="BM209"/>
  <c r="BL209"/>
  <c r="BG209"/>
  <c r="BE209"/>
  <c r="BD209"/>
  <c r="BA209"/>
  <c r="AX209"/>
  <c r="AQ209"/>
  <c r="AJ209"/>
  <c r="AC209"/>
  <c r="W209"/>
  <c r="J209"/>
  <c r="G209"/>
  <c r="A209"/>
  <c r="CK208"/>
  <c r="CJ208"/>
  <c r="CI208"/>
  <c r="CH208"/>
  <c r="CG208"/>
  <c r="CF208"/>
  <c r="CE208"/>
  <c r="CD208"/>
  <c r="CC208"/>
  <c r="CB208"/>
  <c r="CA208"/>
  <c r="BZ208"/>
  <c r="BY208"/>
  <c r="BX208"/>
  <c r="BW208"/>
  <c r="BV208"/>
  <c r="BU208"/>
  <c r="BT208"/>
  <c r="BS208"/>
  <c r="BR208"/>
  <c r="BQ208"/>
  <c r="BP208"/>
  <c r="BO208"/>
  <c r="BN208"/>
  <c r="BM208"/>
  <c r="BL208"/>
  <c r="BG208"/>
  <c r="BE208"/>
  <c r="BD208"/>
  <c r="BA208"/>
  <c r="AX208"/>
  <c r="AQ208"/>
  <c r="AJ208"/>
  <c r="AC208"/>
  <c r="W208"/>
  <c r="Q208"/>
  <c r="J208"/>
  <c r="G208"/>
  <c r="A208"/>
  <c r="BY207"/>
  <c r="BX207"/>
  <c r="BW207"/>
  <c r="BV207"/>
  <c r="BU207"/>
  <c r="BT207"/>
  <c r="BS207"/>
  <c r="BR207"/>
  <c r="BQ207"/>
  <c r="BP207"/>
  <c r="BO207"/>
  <c r="BN207"/>
  <c r="BM207"/>
  <c r="BL207"/>
  <c r="BG207"/>
  <c r="BE207"/>
  <c r="BD207"/>
  <c r="BA207"/>
  <c r="AX207"/>
  <c r="AQ207"/>
  <c r="AJ207"/>
  <c r="AC207"/>
  <c r="W207"/>
  <c r="J207"/>
  <c r="G207"/>
  <c r="A207"/>
  <c r="CI206"/>
  <c r="CH206"/>
  <c r="CG206"/>
  <c r="CF206"/>
  <c r="CE206"/>
  <c r="CD206"/>
  <c r="CC206"/>
  <c r="CB206"/>
  <c r="CA206"/>
  <c r="BZ206"/>
  <c r="BY206"/>
  <c r="BX206"/>
  <c r="BW206"/>
  <c r="BV206"/>
  <c r="BU206"/>
  <c r="BT206"/>
  <c r="BS206"/>
  <c r="BR206"/>
  <c r="BQ206"/>
  <c r="BP206"/>
  <c r="BO206"/>
  <c r="BN206"/>
  <c r="BM206"/>
  <c r="BL206"/>
  <c r="BG206"/>
  <c r="BE206"/>
  <c r="BD206"/>
  <c r="BA206"/>
  <c r="AX206"/>
  <c r="AQ206"/>
  <c r="AJ206"/>
  <c r="AC206"/>
  <c r="W206"/>
  <c r="J206"/>
  <c r="G206"/>
  <c r="A206"/>
  <c r="CI205"/>
  <c r="CH205"/>
  <c r="CG205"/>
  <c r="CF205"/>
  <c r="CE205"/>
  <c r="CD205"/>
  <c r="CC205"/>
  <c r="CB205"/>
  <c r="CA205"/>
  <c r="BZ205"/>
  <c r="BY205"/>
  <c r="BX205"/>
  <c r="BW205"/>
  <c r="BV205"/>
  <c r="BU205"/>
  <c r="BT205"/>
  <c r="BS205"/>
  <c r="BR205"/>
  <c r="BQ205"/>
  <c r="BP205"/>
  <c r="BO205"/>
  <c r="BN205"/>
  <c r="BM205"/>
  <c r="BL205"/>
  <c r="BG205"/>
  <c r="BE205"/>
  <c r="BD205"/>
  <c r="BA205"/>
  <c r="AX205"/>
  <c r="AQ205"/>
  <c r="AJ205"/>
  <c r="AC205"/>
  <c r="W205"/>
  <c r="J205"/>
  <c r="G205"/>
  <c r="A205"/>
  <c r="CK204"/>
  <c r="CJ204"/>
  <c r="CI204"/>
  <c r="CH204"/>
  <c r="CG204"/>
  <c r="CF204"/>
  <c r="CE204"/>
  <c r="CD204"/>
  <c r="CC204"/>
  <c r="CB204"/>
  <c r="CA204"/>
  <c r="BZ204"/>
  <c r="BY204"/>
  <c r="BX204"/>
  <c r="BW204"/>
  <c r="BV204"/>
  <c r="BU204"/>
  <c r="BT204"/>
  <c r="BS204"/>
  <c r="BR204"/>
  <c r="BQ204"/>
  <c r="BP204"/>
  <c r="BO204"/>
  <c r="BN204"/>
  <c r="BM204"/>
  <c r="BL204"/>
  <c r="BG204"/>
  <c r="BE204"/>
  <c r="BD204"/>
  <c r="BA204"/>
  <c r="AX204"/>
  <c r="AQ204"/>
  <c r="AJ204"/>
  <c r="AC204"/>
  <c r="W204"/>
  <c r="J204"/>
  <c r="G204"/>
  <c r="A204"/>
  <c r="CI203"/>
  <c r="CH203"/>
  <c r="CG203"/>
  <c r="CF203"/>
  <c r="CE203"/>
  <c r="CD203"/>
  <c r="CC203"/>
  <c r="CB203"/>
  <c r="CA203"/>
  <c r="BZ203"/>
  <c r="BY203"/>
  <c r="BX203"/>
  <c r="BW203"/>
  <c r="BV203"/>
  <c r="BU203"/>
  <c r="BT203"/>
  <c r="BS203"/>
  <c r="BR203"/>
  <c r="BQ203"/>
  <c r="BP203"/>
  <c r="BO203"/>
  <c r="BN203"/>
  <c r="BM203"/>
  <c r="BL203"/>
  <c r="BG203"/>
  <c r="BE203"/>
  <c r="BD203"/>
  <c r="BA203"/>
  <c r="AX203"/>
  <c r="AQ203"/>
  <c r="AJ203"/>
  <c r="AC203"/>
  <c r="W203"/>
  <c r="J203"/>
  <c r="G203"/>
  <c r="A203"/>
  <c r="CO202"/>
  <c r="CN202"/>
  <c r="CM202"/>
  <c r="CL202"/>
  <c r="CK202"/>
  <c r="CJ202"/>
  <c r="CI202"/>
  <c r="CH202"/>
  <c r="CG202"/>
  <c r="CF202"/>
  <c r="CE202"/>
  <c r="CD202"/>
  <c r="CC202"/>
  <c r="CB202"/>
  <c r="CA202"/>
  <c r="BZ202"/>
  <c r="BY202"/>
  <c r="BX202"/>
  <c r="BW202"/>
  <c r="BV202"/>
  <c r="BU202"/>
  <c r="BT202"/>
  <c r="BS202"/>
  <c r="BR202"/>
  <c r="BQ202"/>
  <c r="BP202"/>
  <c r="BO202"/>
  <c r="BN202"/>
  <c r="BM202"/>
  <c r="BL202"/>
  <c r="BG202"/>
  <c r="BE202"/>
  <c r="BD202"/>
  <c r="BA202"/>
  <c r="AX202"/>
  <c r="AQ202"/>
  <c r="AJ202"/>
  <c r="AC202"/>
  <c r="W202"/>
  <c r="J202"/>
  <c r="G202"/>
  <c r="A202"/>
  <c r="CM201"/>
  <c r="CL201"/>
  <c r="CK201"/>
  <c r="CJ201"/>
  <c r="CI201"/>
  <c r="CH201"/>
  <c r="CG201"/>
  <c r="CF201"/>
  <c r="CE201"/>
  <c r="CD201"/>
  <c r="CC201"/>
  <c r="CB201"/>
  <c r="CA201"/>
  <c r="BZ201"/>
  <c r="BY201"/>
  <c r="BX201"/>
  <c r="BW201"/>
  <c r="BV201"/>
  <c r="BU201"/>
  <c r="BT201"/>
  <c r="BS201"/>
  <c r="BR201"/>
  <c r="BQ201"/>
  <c r="BP201"/>
  <c r="BO201"/>
  <c r="BN201"/>
  <c r="BM201"/>
  <c r="BL201"/>
  <c r="BG201"/>
  <c r="BE201"/>
  <c r="BD201"/>
  <c r="BA201"/>
  <c r="AX201"/>
  <c r="AQ201"/>
  <c r="AJ201"/>
  <c r="AC201"/>
  <c r="W201"/>
  <c r="J201"/>
  <c r="G201"/>
  <c r="A201"/>
  <c r="CO200"/>
  <c r="CN200"/>
  <c r="CM200"/>
  <c r="CL200"/>
  <c r="CK200"/>
  <c r="CJ200"/>
  <c r="CI200"/>
  <c r="CH200"/>
  <c r="CG200"/>
  <c r="CF200"/>
  <c r="CE200"/>
  <c r="CD200"/>
  <c r="CC200"/>
  <c r="CB200"/>
  <c r="CA200"/>
  <c r="BZ200"/>
  <c r="BY200"/>
  <c r="BX200"/>
  <c r="BW200"/>
  <c r="BV200"/>
  <c r="BU200"/>
  <c r="BT200"/>
  <c r="BS200"/>
  <c r="BR200"/>
  <c r="BQ200"/>
  <c r="BP200"/>
  <c r="BO200"/>
  <c r="BN200"/>
  <c r="BM200"/>
  <c r="BL200"/>
  <c r="BG200"/>
  <c r="BE200"/>
  <c r="BD200"/>
  <c r="BA200"/>
  <c r="AX200"/>
  <c r="AQ200"/>
  <c r="AJ200"/>
  <c r="AC200"/>
  <c r="W200"/>
  <c r="J200"/>
  <c r="G200"/>
  <c r="A200"/>
  <c r="CO199"/>
  <c r="CN199"/>
  <c r="CM199"/>
  <c r="CL199"/>
  <c r="CK199"/>
  <c r="CJ199"/>
  <c r="CI199"/>
  <c r="CH199"/>
  <c r="CG199"/>
  <c r="CF199"/>
  <c r="CE199"/>
  <c r="CD199"/>
  <c r="CC199"/>
  <c r="CB199"/>
  <c r="CA199"/>
  <c r="BZ199"/>
  <c r="BY199"/>
  <c r="BX199"/>
  <c r="BW199"/>
  <c r="BV199"/>
  <c r="BU199"/>
  <c r="BT199"/>
  <c r="BS199"/>
  <c r="BR199"/>
  <c r="BQ199"/>
  <c r="BP199"/>
  <c r="BO199"/>
  <c r="BN199"/>
  <c r="BM199"/>
  <c r="BL199"/>
  <c r="BG199"/>
  <c r="BE199"/>
  <c r="BD199"/>
  <c r="BA199"/>
  <c r="AX199"/>
  <c r="AQ199"/>
  <c r="AJ199"/>
  <c r="AC199"/>
  <c r="W199"/>
  <c r="J199"/>
  <c r="G199"/>
  <c r="A199"/>
  <c r="CO198"/>
  <c r="CN198"/>
  <c r="CM198"/>
  <c r="CL198"/>
  <c r="CK198"/>
  <c r="CJ198"/>
  <c r="CI198"/>
  <c r="CH198"/>
  <c r="CG198"/>
  <c r="CF198"/>
  <c r="CE198"/>
  <c r="CD198"/>
  <c r="CC198"/>
  <c r="CB198"/>
  <c r="CA198"/>
  <c r="BZ198"/>
  <c r="BY198"/>
  <c r="BX198"/>
  <c r="BW198"/>
  <c r="BV198"/>
  <c r="BU198"/>
  <c r="BT198"/>
  <c r="BS198"/>
  <c r="BR198"/>
  <c r="BQ198"/>
  <c r="BP198"/>
  <c r="BO198"/>
  <c r="BN198"/>
  <c r="BM198"/>
  <c r="BL198"/>
  <c r="BG198"/>
  <c r="BE198"/>
  <c r="BD198"/>
  <c r="BA198"/>
  <c r="AX198"/>
  <c r="AQ198"/>
  <c r="AJ198"/>
  <c r="AC198"/>
  <c r="W198"/>
  <c r="J198"/>
  <c r="G198"/>
  <c r="A198"/>
  <c r="CO196"/>
  <c r="CN196"/>
  <c r="CM196"/>
  <c r="CL196"/>
  <c r="CK196"/>
  <c r="CJ196"/>
  <c r="CI196"/>
  <c r="CH196"/>
  <c r="CG196"/>
  <c r="CF196"/>
  <c r="CE196"/>
  <c r="CD196"/>
  <c r="CC196"/>
  <c r="CB196"/>
  <c r="CA196"/>
  <c r="BZ196"/>
  <c r="BY196"/>
  <c r="BX196"/>
  <c r="BW196"/>
  <c r="BV196"/>
  <c r="BU196"/>
  <c r="BT196"/>
  <c r="BS196"/>
  <c r="BR196"/>
  <c r="BQ196"/>
  <c r="BP196"/>
  <c r="BO196"/>
  <c r="BN196"/>
  <c r="BM196"/>
  <c r="BL196"/>
  <c r="BG196"/>
  <c r="BE196"/>
  <c r="BD196"/>
  <c r="BA196"/>
  <c r="AX196"/>
  <c r="AQ196"/>
  <c r="AJ196"/>
  <c r="AC196"/>
  <c r="W196"/>
  <c r="J196"/>
  <c r="G196"/>
  <c r="A196"/>
  <c r="CO195"/>
  <c r="CN195"/>
  <c r="CM195"/>
  <c r="CL195"/>
  <c r="CK195"/>
  <c r="CJ195"/>
  <c r="CI195"/>
  <c r="CH195"/>
  <c r="CG195"/>
  <c r="CF195"/>
  <c r="CE195"/>
  <c r="CD195"/>
  <c r="CC195"/>
  <c r="CB195"/>
  <c r="CA195"/>
  <c r="BZ195"/>
  <c r="BY195"/>
  <c r="BX195"/>
  <c r="BW195"/>
  <c r="BV195"/>
  <c r="BU195"/>
  <c r="BT195"/>
  <c r="BS195"/>
  <c r="BR195"/>
  <c r="BQ195"/>
  <c r="BP195"/>
  <c r="BO195"/>
  <c r="BN195"/>
  <c r="BM195"/>
  <c r="BL195"/>
  <c r="BG195"/>
  <c r="BE195"/>
  <c r="BD195"/>
  <c r="BA195"/>
  <c r="AX195"/>
  <c r="AQ195"/>
  <c r="AJ195"/>
  <c r="AC195"/>
  <c r="W195"/>
  <c r="J195"/>
  <c r="G195"/>
  <c r="A195"/>
  <c r="CK194"/>
  <c r="CJ194"/>
  <c r="CI194"/>
  <c r="CH194"/>
  <c r="CG194"/>
  <c r="CF194"/>
  <c r="CE194"/>
  <c r="CD194"/>
  <c r="CC194"/>
  <c r="CB194"/>
  <c r="CA194"/>
  <c r="BZ194"/>
  <c r="BY194"/>
  <c r="BX194"/>
  <c r="BW194"/>
  <c r="BV194"/>
  <c r="BU194"/>
  <c r="BT194"/>
  <c r="BS194"/>
  <c r="BR194"/>
  <c r="BQ194"/>
  <c r="BP194"/>
  <c r="BO194"/>
  <c r="BN194"/>
  <c r="BM194"/>
  <c r="BL194"/>
  <c r="BG194"/>
  <c r="BE194"/>
  <c r="BD194"/>
  <c r="BA194"/>
  <c r="AX194"/>
  <c r="AQ194"/>
  <c r="AJ194"/>
  <c r="AC194"/>
  <c r="W194"/>
  <c r="J194"/>
  <c r="G194"/>
  <c r="A194"/>
  <c r="CK193"/>
  <c r="CJ193"/>
  <c r="CI193"/>
  <c r="CH193"/>
  <c r="CG193"/>
  <c r="CF193"/>
  <c r="CE193"/>
  <c r="CD193"/>
  <c r="CC193"/>
  <c r="CB193"/>
  <c r="CA193"/>
  <c r="BZ193"/>
  <c r="BY193"/>
  <c r="BX193"/>
  <c r="BW193"/>
  <c r="BV193"/>
  <c r="BU193"/>
  <c r="BT193"/>
  <c r="BS193"/>
  <c r="BR193"/>
  <c r="BQ193"/>
  <c r="BP193"/>
  <c r="BO193"/>
  <c r="BN193"/>
  <c r="BM193"/>
  <c r="BL193"/>
  <c r="BG193"/>
  <c r="BE193"/>
  <c r="BD193"/>
  <c r="BA193"/>
  <c r="AX193"/>
  <c r="AQ193"/>
  <c r="AJ193"/>
  <c r="AC193"/>
  <c r="W193"/>
  <c r="J193"/>
  <c r="G193"/>
  <c r="A193"/>
  <c r="CK192"/>
  <c r="CJ192"/>
  <c r="CI192"/>
  <c r="CH192"/>
  <c r="CG192"/>
  <c r="CF192"/>
  <c r="CE192"/>
  <c r="CD192"/>
  <c r="CC192"/>
  <c r="CB192"/>
  <c r="CA192"/>
  <c r="BZ192"/>
  <c r="BY192"/>
  <c r="BX192"/>
  <c r="BW192"/>
  <c r="BV192"/>
  <c r="BU192"/>
  <c r="BT192"/>
  <c r="BS192"/>
  <c r="BR192"/>
  <c r="BQ192"/>
  <c r="BP192"/>
  <c r="BO192"/>
  <c r="BN192"/>
  <c r="BM192"/>
  <c r="BL192"/>
  <c r="BG192"/>
  <c r="BE192"/>
  <c r="BD192"/>
  <c r="BA192"/>
  <c r="AX192"/>
  <c r="AQ192"/>
  <c r="AJ192"/>
  <c r="AC192"/>
  <c r="W192"/>
  <c r="J192"/>
  <c r="G192"/>
  <c r="A192"/>
  <c r="CM191"/>
  <c r="CL191"/>
  <c r="CK191"/>
  <c r="CJ191"/>
  <c r="CI191"/>
  <c r="CH191"/>
  <c r="CG191"/>
  <c r="CF191"/>
  <c r="CE191"/>
  <c r="CD191"/>
  <c r="CC191"/>
  <c r="CB191"/>
  <c r="CA191"/>
  <c r="BZ191"/>
  <c r="BY191"/>
  <c r="BX191"/>
  <c r="BW191"/>
  <c r="BV191"/>
  <c r="BU191"/>
  <c r="BT191"/>
  <c r="BS191"/>
  <c r="BR191"/>
  <c r="BQ191"/>
  <c r="BP191"/>
  <c r="BO191"/>
  <c r="BN191"/>
  <c r="BM191"/>
  <c r="BL191"/>
  <c r="BG191"/>
  <c r="BE191"/>
  <c r="BD191"/>
  <c r="BA191"/>
  <c r="AX191"/>
  <c r="AQ191"/>
  <c r="AJ191"/>
  <c r="AC191"/>
  <c r="W191"/>
  <c r="J191"/>
  <c r="G191"/>
  <c r="A191"/>
  <c r="CM190"/>
  <c r="CL190"/>
  <c r="CK190"/>
  <c r="CJ190"/>
  <c r="CI190"/>
  <c r="CH190"/>
  <c r="CG190"/>
  <c r="CF190"/>
  <c r="CE190"/>
  <c r="CD190"/>
  <c r="CC190"/>
  <c r="CB190"/>
  <c r="CA190"/>
  <c r="BZ190"/>
  <c r="BY190"/>
  <c r="BX190"/>
  <c r="BW190"/>
  <c r="BV190"/>
  <c r="BU190"/>
  <c r="BT190"/>
  <c r="BS190"/>
  <c r="BR190"/>
  <c r="BQ190"/>
  <c r="BP190"/>
  <c r="BO190"/>
  <c r="BN190"/>
  <c r="BM190"/>
  <c r="BL190"/>
  <c r="BG190"/>
  <c r="BE190"/>
  <c r="BD190"/>
  <c r="BA190"/>
  <c r="AX190"/>
  <c r="AQ190"/>
  <c r="AJ190"/>
  <c r="AC190"/>
  <c r="W190"/>
  <c r="J190"/>
  <c r="G190"/>
  <c r="A190"/>
  <c r="CO189"/>
  <c r="CN189"/>
  <c r="CM189"/>
  <c r="CL189"/>
  <c r="CK189"/>
  <c r="CJ189"/>
  <c r="CI189"/>
  <c r="CH189"/>
  <c r="CG189"/>
  <c r="CF189"/>
  <c r="CE189"/>
  <c r="CD189"/>
  <c r="CC189"/>
  <c r="CB189"/>
  <c r="CA189"/>
  <c r="BZ189"/>
  <c r="BY189"/>
  <c r="BX189"/>
  <c r="BW189"/>
  <c r="BV189"/>
  <c r="BU189"/>
  <c r="BT189"/>
  <c r="BS189"/>
  <c r="BR189"/>
  <c r="BQ189"/>
  <c r="BP189"/>
  <c r="BO189"/>
  <c r="BN189"/>
  <c r="BM189"/>
  <c r="BL189"/>
  <c r="BG189"/>
  <c r="BE189"/>
  <c r="BD189"/>
  <c r="BA189"/>
  <c r="AX189"/>
  <c r="AQ189"/>
  <c r="AJ189"/>
  <c r="AC189"/>
  <c r="W189"/>
  <c r="J189"/>
  <c r="G189"/>
  <c r="A189"/>
  <c r="CO188"/>
  <c r="CN188"/>
  <c r="CM188"/>
  <c r="CL188"/>
  <c r="CK188"/>
  <c r="CJ188"/>
  <c r="CI188"/>
  <c r="CH188"/>
  <c r="CG188"/>
  <c r="CF188"/>
  <c r="CE188"/>
  <c r="CD188"/>
  <c r="CC188"/>
  <c r="CB188"/>
  <c r="CA188"/>
  <c r="BZ188"/>
  <c r="BY188"/>
  <c r="BX188"/>
  <c r="BW188"/>
  <c r="BV188"/>
  <c r="BU188"/>
  <c r="BT188"/>
  <c r="BS188"/>
  <c r="BR188"/>
  <c r="BQ188"/>
  <c r="BP188"/>
  <c r="BO188"/>
  <c r="BN188"/>
  <c r="BM188"/>
  <c r="BL188"/>
  <c r="BG188"/>
  <c r="BE188"/>
  <c r="BD188"/>
  <c r="BA188"/>
  <c r="AX188"/>
  <c r="AQ188"/>
  <c r="AJ188"/>
  <c r="AC188"/>
  <c r="W188"/>
  <c r="J188"/>
  <c r="G188"/>
  <c r="A188"/>
  <c r="CM187"/>
  <c r="CL187"/>
  <c r="CK187"/>
  <c r="CJ187"/>
  <c r="CI187"/>
  <c r="CH187"/>
  <c r="CG187"/>
  <c r="CF187"/>
  <c r="CE187"/>
  <c r="CD187"/>
  <c r="CC187"/>
  <c r="CB187"/>
  <c r="CA187"/>
  <c r="BZ187"/>
  <c r="BY187"/>
  <c r="BX187"/>
  <c r="BW187"/>
  <c r="BV187"/>
  <c r="BU187"/>
  <c r="BT187"/>
  <c r="BS187"/>
  <c r="BR187"/>
  <c r="BQ187"/>
  <c r="BP187"/>
  <c r="BO187"/>
  <c r="BN187"/>
  <c r="BM187"/>
  <c r="BL187"/>
  <c r="BG187"/>
  <c r="BE187"/>
  <c r="BD187"/>
  <c r="BA187"/>
  <c r="AX187"/>
  <c r="AQ187"/>
  <c r="AJ187"/>
  <c r="AC187"/>
  <c r="W187"/>
  <c r="J187"/>
  <c r="G187"/>
  <c r="A187"/>
  <c r="CM186"/>
  <c r="CL186"/>
  <c r="CK186"/>
  <c r="CJ186"/>
  <c r="CI186"/>
  <c r="CH186"/>
  <c r="CG186"/>
  <c r="CF186"/>
  <c r="CE186"/>
  <c r="CD186"/>
  <c r="CC186"/>
  <c r="CB186"/>
  <c r="CA186"/>
  <c r="BZ186"/>
  <c r="BY186"/>
  <c r="BX186"/>
  <c r="BW186"/>
  <c r="BV186"/>
  <c r="BU186"/>
  <c r="BT186"/>
  <c r="BS186"/>
  <c r="BR186"/>
  <c r="BQ186"/>
  <c r="BP186"/>
  <c r="BO186"/>
  <c r="BN186"/>
  <c r="BM186"/>
  <c r="BL186"/>
  <c r="BG186"/>
  <c r="BE186"/>
  <c r="BD186"/>
  <c r="BA186"/>
  <c r="AX186"/>
  <c r="AQ186"/>
  <c r="AJ186"/>
  <c r="AC186"/>
  <c r="W186"/>
  <c r="J186"/>
  <c r="G186"/>
  <c r="A186"/>
  <c r="CM185"/>
  <c r="CL185"/>
  <c r="CK185"/>
  <c r="CJ185"/>
  <c r="CI185"/>
  <c r="CH185"/>
  <c r="CG185"/>
  <c r="CF185"/>
  <c r="CE185"/>
  <c r="CD185"/>
  <c r="CC185"/>
  <c r="CB185"/>
  <c r="CA185"/>
  <c r="BZ185"/>
  <c r="BY185"/>
  <c r="BX185"/>
  <c r="BW185"/>
  <c r="BV185"/>
  <c r="BU185"/>
  <c r="BT185"/>
  <c r="BS185"/>
  <c r="BR185"/>
  <c r="BQ185"/>
  <c r="BP185"/>
  <c r="BO185"/>
  <c r="BN185"/>
  <c r="BM185"/>
  <c r="BL185"/>
  <c r="BG185"/>
  <c r="BE185"/>
  <c r="BD185"/>
  <c r="BA185"/>
  <c r="AX185"/>
  <c r="AQ185"/>
  <c r="AJ185"/>
  <c r="AC185"/>
  <c r="W185"/>
  <c r="J185"/>
  <c r="G185"/>
  <c r="A185"/>
  <c r="CO184"/>
  <c r="CN184"/>
  <c r="CM184"/>
  <c r="CL184"/>
  <c r="CK184"/>
  <c r="CJ184"/>
  <c r="CI184"/>
  <c r="CH184"/>
  <c r="CG184"/>
  <c r="CF184"/>
  <c r="CE184"/>
  <c r="CD184"/>
  <c r="CC184"/>
  <c r="CB184"/>
  <c r="CA184"/>
  <c r="BZ184"/>
  <c r="BY184"/>
  <c r="BX184"/>
  <c r="BW184"/>
  <c r="BV184"/>
  <c r="BU184"/>
  <c r="BT184"/>
  <c r="BS184"/>
  <c r="BR184"/>
  <c r="BQ184"/>
  <c r="BP184"/>
  <c r="BO184"/>
  <c r="BN184"/>
  <c r="BM184"/>
  <c r="BL184"/>
  <c r="BG184"/>
  <c r="BE184"/>
  <c r="BD184"/>
  <c r="BA184"/>
  <c r="AX184"/>
  <c r="AQ184"/>
  <c r="AJ184"/>
  <c r="AC184"/>
  <c r="W184"/>
  <c r="Q184"/>
  <c r="J184"/>
  <c r="G184"/>
  <c r="A184"/>
  <c r="CO183"/>
  <c r="CN183"/>
  <c r="CM183"/>
  <c r="CL183"/>
  <c r="CK183"/>
  <c r="CJ183"/>
  <c r="CI183"/>
  <c r="CH183"/>
  <c r="CG183"/>
  <c r="CF183"/>
  <c r="CE183"/>
  <c r="CD183"/>
  <c r="CC183"/>
  <c r="CB183"/>
  <c r="CA183"/>
  <c r="BZ183"/>
  <c r="BY183"/>
  <c r="BX183"/>
  <c r="BW183"/>
  <c r="BV183"/>
  <c r="BU183"/>
  <c r="BT183"/>
  <c r="BS183"/>
  <c r="BR183"/>
  <c r="BQ183"/>
  <c r="BP183"/>
  <c r="BO183"/>
  <c r="BN183"/>
  <c r="BM183"/>
  <c r="BL183"/>
  <c r="BG183"/>
  <c r="BE183"/>
  <c r="BD183"/>
  <c r="BA183"/>
  <c r="AX183"/>
  <c r="AQ183"/>
  <c r="AJ183"/>
  <c r="AC183"/>
  <c r="W183"/>
  <c r="J183"/>
  <c r="G183"/>
  <c r="A183"/>
  <c r="CO182"/>
  <c r="CN182"/>
  <c r="CM182"/>
  <c r="CL182"/>
  <c r="CK182"/>
  <c r="CJ182"/>
  <c r="CI182"/>
  <c r="CH182"/>
  <c r="CG182"/>
  <c r="CF182"/>
  <c r="CE182"/>
  <c r="CD182"/>
  <c r="CC182"/>
  <c r="CB182"/>
  <c r="CA182"/>
  <c r="BZ182"/>
  <c r="BY182"/>
  <c r="BX182"/>
  <c r="BW182"/>
  <c r="BV182"/>
  <c r="BU182"/>
  <c r="BT182"/>
  <c r="BS182"/>
  <c r="BR182"/>
  <c r="BQ182"/>
  <c r="BP182"/>
  <c r="BO182"/>
  <c r="BN182"/>
  <c r="BM182"/>
  <c r="BL182"/>
  <c r="BG182"/>
  <c r="BE182"/>
  <c r="BD182"/>
  <c r="BA182"/>
  <c r="AX182"/>
  <c r="AQ182"/>
  <c r="AJ182"/>
  <c r="AC182"/>
  <c r="W182"/>
  <c r="Q182"/>
  <c r="J182"/>
  <c r="G182"/>
  <c r="A182"/>
  <c r="CO181"/>
  <c r="CN181"/>
  <c r="CM181"/>
  <c r="CL181"/>
  <c r="CK181"/>
  <c r="CJ181"/>
  <c r="CI181"/>
  <c r="CH181"/>
  <c r="CG181"/>
  <c r="CF181"/>
  <c r="CE181"/>
  <c r="CD181"/>
  <c r="CC181"/>
  <c r="CB181"/>
  <c r="CA181"/>
  <c r="BZ181"/>
  <c r="BY181"/>
  <c r="BX181"/>
  <c r="BW181"/>
  <c r="BV181"/>
  <c r="BU181"/>
  <c r="BT181"/>
  <c r="BS181"/>
  <c r="BR181"/>
  <c r="BQ181"/>
  <c r="BP181"/>
  <c r="BO181"/>
  <c r="BN181"/>
  <c r="BM181"/>
  <c r="BL181"/>
  <c r="BG181"/>
  <c r="BE181"/>
  <c r="BD181"/>
  <c r="BA181"/>
  <c r="AX181"/>
  <c r="AQ181"/>
  <c r="AJ181"/>
  <c r="AC181"/>
  <c r="W181"/>
  <c r="Q181"/>
  <c r="J181"/>
  <c r="G181"/>
  <c r="A181"/>
  <c r="CO180"/>
  <c r="CN180"/>
  <c r="CM180"/>
  <c r="CL180"/>
  <c r="CK180"/>
  <c r="CJ180"/>
  <c r="CI180"/>
  <c r="CH180"/>
  <c r="CG180"/>
  <c r="CF180"/>
  <c r="CE180"/>
  <c r="CD180"/>
  <c r="CC180"/>
  <c r="CB180"/>
  <c r="CA180"/>
  <c r="BZ180"/>
  <c r="BY180"/>
  <c r="BX180"/>
  <c r="BW180"/>
  <c r="BV180"/>
  <c r="BU180"/>
  <c r="BT180"/>
  <c r="BS180"/>
  <c r="BR180"/>
  <c r="BQ180"/>
  <c r="BP180"/>
  <c r="BO180"/>
  <c r="BN180"/>
  <c r="BM180"/>
  <c r="BL180"/>
  <c r="BG180"/>
  <c r="BE180"/>
  <c r="BD180"/>
  <c r="BA180"/>
  <c r="AX180"/>
  <c r="AQ180"/>
  <c r="AJ180"/>
  <c r="AC180"/>
  <c r="W180"/>
  <c r="J180"/>
  <c r="G180"/>
  <c r="A180"/>
  <c r="CO179"/>
  <c r="CN179"/>
  <c r="CM179"/>
  <c r="CL179"/>
  <c r="CK179"/>
  <c r="CJ179"/>
  <c r="CI179"/>
  <c r="CH179"/>
  <c r="CG179"/>
  <c r="CF179"/>
  <c r="CE179"/>
  <c r="CD179"/>
  <c r="CC179"/>
  <c r="CB179"/>
  <c r="CA179"/>
  <c r="BZ179"/>
  <c r="BY179"/>
  <c r="BX179"/>
  <c r="BW179"/>
  <c r="BV179"/>
  <c r="BU179"/>
  <c r="BT179"/>
  <c r="BS179"/>
  <c r="BR179"/>
  <c r="BQ179"/>
  <c r="BP179"/>
  <c r="BO179"/>
  <c r="BN179"/>
  <c r="BM179"/>
  <c r="BL179"/>
  <c r="BG179"/>
  <c r="BE179"/>
  <c r="BD179"/>
  <c r="BA179"/>
  <c r="AX179"/>
  <c r="AQ179"/>
  <c r="AJ179"/>
  <c r="AC179"/>
  <c r="W179"/>
  <c r="Q179"/>
  <c r="J179"/>
  <c r="G179"/>
  <c r="A179"/>
  <c r="CK175"/>
  <c r="CJ175"/>
  <c r="CI175"/>
  <c r="CH175"/>
  <c r="CG175"/>
  <c r="CF175"/>
  <c r="CE175"/>
  <c r="CD175"/>
  <c r="CC175"/>
  <c r="CB175"/>
  <c r="CA175"/>
  <c r="BZ175"/>
  <c r="BY175"/>
  <c r="BX175"/>
  <c r="BW175"/>
  <c r="BV175"/>
  <c r="BU175"/>
  <c r="BT175"/>
  <c r="BS175"/>
  <c r="BR175"/>
  <c r="BQ175"/>
  <c r="BP175"/>
  <c r="BO175"/>
  <c r="BN175"/>
  <c r="BM175"/>
  <c r="BL175"/>
  <c r="BI175"/>
  <c r="BG175"/>
  <c r="BE175"/>
  <c r="BD175"/>
  <c r="BA175"/>
  <c r="AX175"/>
  <c r="AQ175"/>
  <c r="AJ175"/>
  <c r="AC175"/>
  <c r="W175"/>
  <c r="J175"/>
  <c r="G175"/>
  <c r="A175"/>
  <c r="CK174"/>
  <c r="CJ174"/>
  <c r="CI174"/>
  <c r="CH174"/>
  <c r="CG174"/>
  <c r="CF174"/>
  <c r="CE174"/>
  <c r="CD174"/>
  <c r="CC174"/>
  <c r="CB174"/>
  <c r="CA174"/>
  <c r="BZ174"/>
  <c r="BY174"/>
  <c r="BX174"/>
  <c r="BW174"/>
  <c r="BV174"/>
  <c r="BU174"/>
  <c r="BT174"/>
  <c r="BS174"/>
  <c r="BR174"/>
  <c r="BQ174"/>
  <c r="BP174"/>
  <c r="BO174"/>
  <c r="BN174"/>
  <c r="BM174"/>
  <c r="BL174"/>
  <c r="BI174"/>
  <c r="BG174"/>
  <c r="BE174"/>
  <c r="BD174"/>
  <c r="BA174"/>
  <c r="AX174"/>
  <c r="AQ174"/>
  <c r="AJ174"/>
  <c r="AC174"/>
  <c r="W174"/>
  <c r="J174"/>
  <c r="G174"/>
  <c r="A174"/>
  <c r="CG173"/>
  <c r="CF173"/>
  <c r="CE173"/>
  <c r="CD173"/>
  <c r="CC173"/>
  <c r="CB173"/>
  <c r="CA173"/>
  <c r="BZ173"/>
  <c r="BY173"/>
  <c r="BX173"/>
  <c r="BW173"/>
  <c r="BV173"/>
  <c r="BU173"/>
  <c r="BT173"/>
  <c r="BS173"/>
  <c r="BR173"/>
  <c r="BQ173"/>
  <c r="BP173"/>
  <c r="BO173"/>
  <c r="BN173"/>
  <c r="BM173"/>
  <c r="BL173"/>
  <c r="BI173"/>
  <c r="BG173"/>
  <c r="BE173"/>
  <c r="BD173"/>
  <c r="BA173"/>
  <c r="AX173"/>
  <c r="AQ173"/>
  <c r="AJ173"/>
  <c r="AC173"/>
  <c r="W173"/>
  <c r="Q173"/>
  <c r="J173"/>
  <c r="G173"/>
  <c r="A173"/>
  <c r="CK172"/>
  <c r="CJ172"/>
  <c r="CI172"/>
  <c r="CH172"/>
  <c r="CG172"/>
  <c r="CF172"/>
  <c r="CE172"/>
  <c r="CD172"/>
  <c r="CC172"/>
  <c r="CB172"/>
  <c r="CA172"/>
  <c r="BZ172"/>
  <c r="BY172"/>
  <c r="BX172"/>
  <c r="BW172"/>
  <c r="BV172"/>
  <c r="BU172"/>
  <c r="BT172"/>
  <c r="BS172"/>
  <c r="BR172"/>
  <c r="BQ172"/>
  <c r="BP172"/>
  <c r="BO172"/>
  <c r="BN172"/>
  <c r="BM172"/>
  <c r="BL172"/>
  <c r="BI172"/>
  <c r="BG172"/>
  <c r="BE172"/>
  <c r="BD172"/>
  <c r="BA172"/>
  <c r="AX172"/>
  <c r="AQ172"/>
  <c r="AJ172"/>
  <c r="AC172"/>
  <c r="W172"/>
  <c r="Q172"/>
  <c r="J172"/>
  <c r="G172"/>
  <c r="A172"/>
  <c r="CK171"/>
  <c r="CJ171"/>
  <c r="CI171"/>
  <c r="CH171"/>
  <c r="CG171"/>
  <c r="CF171"/>
  <c r="CE171"/>
  <c r="CD171"/>
  <c r="CC171"/>
  <c r="CB171"/>
  <c r="CA171"/>
  <c r="BZ171"/>
  <c r="BY171"/>
  <c r="BX171"/>
  <c r="BW171"/>
  <c r="BV171"/>
  <c r="BU171"/>
  <c r="BT171"/>
  <c r="BS171"/>
  <c r="BR171"/>
  <c r="BQ171"/>
  <c r="BP171"/>
  <c r="BO171"/>
  <c r="BN171"/>
  <c r="BM171"/>
  <c r="BL171"/>
  <c r="BI171"/>
  <c r="BG171"/>
  <c r="BE171"/>
  <c r="BD171"/>
  <c r="BA171"/>
  <c r="AX171"/>
  <c r="AQ171"/>
  <c r="AJ171"/>
  <c r="AC171"/>
  <c r="W171"/>
  <c r="Q171"/>
  <c r="J171"/>
  <c r="G171"/>
  <c r="A171"/>
  <c r="CM170"/>
  <c r="CL170"/>
  <c r="CK170"/>
  <c r="CJ170"/>
  <c r="CI170"/>
  <c r="CH170"/>
  <c r="CG170"/>
  <c r="CF170"/>
  <c r="CE170"/>
  <c r="CD170"/>
  <c r="CC170"/>
  <c r="CB170"/>
  <c r="CA170"/>
  <c r="BZ170"/>
  <c r="BY170"/>
  <c r="BX170"/>
  <c r="BW170"/>
  <c r="BV170"/>
  <c r="BU170"/>
  <c r="BT170"/>
  <c r="BS170"/>
  <c r="BR170"/>
  <c r="BQ170"/>
  <c r="BP170"/>
  <c r="BO170"/>
  <c r="BN170"/>
  <c r="BM170"/>
  <c r="BL170"/>
  <c r="BI170"/>
  <c r="BG170"/>
  <c r="BE170"/>
  <c r="BD170"/>
  <c r="BA170"/>
  <c r="AX170"/>
  <c r="AQ170"/>
  <c r="AJ170"/>
  <c r="AC170"/>
  <c r="W170"/>
  <c r="J170"/>
  <c r="G170"/>
  <c r="A170"/>
  <c r="CM169"/>
  <c r="CL169"/>
  <c r="CK169"/>
  <c r="CJ169"/>
  <c r="CI169"/>
  <c r="CH169"/>
  <c r="CG169"/>
  <c r="CF169"/>
  <c r="CE169"/>
  <c r="CD169"/>
  <c r="CC169"/>
  <c r="CB169"/>
  <c r="CA169"/>
  <c r="BZ169"/>
  <c r="BY169"/>
  <c r="BX169"/>
  <c r="BW169"/>
  <c r="BV169"/>
  <c r="BU169"/>
  <c r="BT169"/>
  <c r="BS169"/>
  <c r="BR169"/>
  <c r="BQ169"/>
  <c r="BP169"/>
  <c r="BO169"/>
  <c r="BN169"/>
  <c r="BM169"/>
  <c r="BL169"/>
  <c r="BI169"/>
  <c r="BG169"/>
  <c r="BE169"/>
  <c r="BD169"/>
  <c r="BA169"/>
  <c r="AX169"/>
  <c r="AQ169"/>
  <c r="AJ169"/>
  <c r="AC169"/>
  <c r="W169"/>
  <c r="J169"/>
  <c r="G169"/>
  <c r="A169"/>
  <c r="CM168"/>
  <c r="CL168"/>
  <c r="CK168"/>
  <c r="CJ168"/>
  <c r="CI168"/>
  <c r="CH168"/>
  <c r="CG168"/>
  <c r="CF168"/>
  <c r="CE168"/>
  <c r="CD168"/>
  <c r="CC168"/>
  <c r="CB168"/>
  <c r="CA168"/>
  <c r="BZ168"/>
  <c r="BY168"/>
  <c r="BX168"/>
  <c r="BW168"/>
  <c r="BV168"/>
  <c r="BU168"/>
  <c r="BT168"/>
  <c r="BS168"/>
  <c r="BR168"/>
  <c r="BQ168"/>
  <c r="BP168"/>
  <c r="BO168"/>
  <c r="BN168"/>
  <c r="BM168"/>
  <c r="BL168"/>
  <c r="BI168"/>
  <c r="BG168"/>
  <c r="BE168"/>
  <c r="BD168"/>
  <c r="BA168"/>
  <c r="AX168"/>
  <c r="AQ168"/>
  <c r="AJ168"/>
  <c r="AC168"/>
  <c r="W168"/>
  <c r="J168"/>
  <c r="G168"/>
  <c r="A168"/>
  <c r="CM167"/>
  <c r="CL167"/>
  <c r="CK167"/>
  <c r="CJ167"/>
  <c r="CI167"/>
  <c r="CH167"/>
  <c r="CG167"/>
  <c r="CF167"/>
  <c r="CE167"/>
  <c r="CD167"/>
  <c r="CC167"/>
  <c r="CB167"/>
  <c r="CA167"/>
  <c r="BZ167"/>
  <c r="BY167"/>
  <c r="BX167"/>
  <c r="BW167"/>
  <c r="BV167"/>
  <c r="BU167"/>
  <c r="BT167"/>
  <c r="BS167"/>
  <c r="BR167"/>
  <c r="BQ167"/>
  <c r="BP167"/>
  <c r="BO167"/>
  <c r="BN167"/>
  <c r="BM167"/>
  <c r="BL167"/>
  <c r="BI167"/>
  <c r="BG167"/>
  <c r="BE167"/>
  <c r="BD167"/>
  <c r="BA167"/>
  <c r="AX167"/>
  <c r="AQ167"/>
  <c r="AJ167"/>
  <c r="AC167"/>
  <c r="W167"/>
  <c r="Q167"/>
  <c r="J167"/>
  <c r="G167"/>
  <c r="A167"/>
  <c r="CI166"/>
  <c r="CH166"/>
  <c r="CG166"/>
  <c r="CF166"/>
  <c r="CE166"/>
  <c r="CD166"/>
  <c r="CC166"/>
  <c r="CB166"/>
  <c r="CA166"/>
  <c r="BZ166"/>
  <c r="BY166"/>
  <c r="BX166"/>
  <c r="BW166"/>
  <c r="BV166"/>
  <c r="BU166"/>
  <c r="BT166"/>
  <c r="BS166"/>
  <c r="BR166"/>
  <c r="BQ166"/>
  <c r="BP166"/>
  <c r="BO166"/>
  <c r="BN166"/>
  <c r="BM166"/>
  <c r="BL166"/>
  <c r="BI166"/>
  <c r="BG166"/>
  <c r="BE166"/>
  <c r="BD166"/>
  <c r="BA166"/>
  <c r="AX166"/>
  <c r="AQ166"/>
  <c r="AJ166"/>
  <c r="AC166"/>
  <c r="W166"/>
  <c r="J166"/>
  <c r="G166"/>
  <c r="A166"/>
  <c r="CK165"/>
  <c r="CJ165"/>
  <c r="CI165"/>
  <c r="CH165"/>
  <c r="CG165"/>
  <c r="CF165"/>
  <c r="CE165"/>
  <c r="CD165"/>
  <c r="CC165"/>
  <c r="CB165"/>
  <c r="CA165"/>
  <c r="BZ165"/>
  <c r="BY165"/>
  <c r="BX165"/>
  <c r="BW165"/>
  <c r="BV165"/>
  <c r="BU165"/>
  <c r="BT165"/>
  <c r="BS165"/>
  <c r="BR165"/>
  <c r="BQ165"/>
  <c r="BP165"/>
  <c r="BO165"/>
  <c r="BN165"/>
  <c r="BM165"/>
  <c r="BL165"/>
  <c r="BI165"/>
  <c r="BG165"/>
  <c r="BE165"/>
  <c r="BD165"/>
  <c r="BA165"/>
  <c r="AX165"/>
  <c r="AQ165"/>
  <c r="AJ165"/>
  <c r="AC165"/>
  <c r="W165"/>
  <c r="Q165"/>
  <c r="J165"/>
  <c r="G165"/>
  <c r="A165"/>
  <c r="CO164"/>
  <c r="CN164"/>
  <c r="CM164"/>
  <c r="CL164"/>
  <c r="CK164"/>
  <c r="CJ164"/>
  <c r="CI164"/>
  <c r="CH164"/>
  <c r="CG164"/>
  <c r="CF164"/>
  <c r="CE164"/>
  <c r="CD164"/>
  <c r="CC164"/>
  <c r="CB164"/>
  <c r="CA164"/>
  <c r="BZ164"/>
  <c r="BY164"/>
  <c r="BX164"/>
  <c r="BW164"/>
  <c r="BV164"/>
  <c r="BU164"/>
  <c r="BT164"/>
  <c r="BS164"/>
  <c r="BR164"/>
  <c r="BQ164"/>
  <c r="BP164"/>
  <c r="BO164"/>
  <c r="BN164"/>
  <c r="BM164"/>
  <c r="BL164"/>
  <c r="BI164"/>
  <c r="BG164"/>
  <c r="BE164"/>
  <c r="BD164"/>
  <c r="BA164"/>
  <c r="AX164"/>
  <c r="AQ164"/>
  <c r="AJ164"/>
  <c r="AC164"/>
  <c r="W164"/>
  <c r="J164"/>
  <c r="G164"/>
  <c r="A164"/>
  <c r="CO163"/>
  <c r="CN163"/>
  <c r="CM163"/>
  <c r="CL163"/>
  <c r="CK163"/>
  <c r="CJ163"/>
  <c r="CI163"/>
  <c r="CH163"/>
  <c r="CG163"/>
  <c r="CF163"/>
  <c r="CE163"/>
  <c r="CD163"/>
  <c r="CC163"/>
  <c r="CB163"/>
  <c r="CA163"/>
  <c r="BZ163"/>
  <c r="BY163"/>
  <c r="BX163"/>
  <c r="BW163"/>
  <c r="BV163"/>
  <c r="BU163"/>
  <c r="BT163"/>
  <c r="BS163"/>
  <c r="BR163"/>
  <c r="BQ163"/>
  <c r="BP163"/>
  <c r="BO163"/>
  <c r="BN163"/>
  <c r="BM163"/>
  <c r="BL163"/>
  <c r="BI163"/>
  <c r="BG163"/>
  <c r="BE163"/>
  <c r="BD163"/>
  <c r="BA163"/>
  <c r="AX163"/>
  <c r="AQ163"/>
  <c r="AJ163"/>
  <c r="AC163"/>
  <c r="W163"/>
  <c r="J163"/>
  <c r="G163"/>
  <c r="A163"/>
  <c r="CO162"/>
  <c r="CN162"/>
  <c r="CM162"/>
  <c r="CL162"/>
  <c r="CK162"/>
  <c r="CJ162"/>
  <c r="CI162"/>
  <c r="CH162"/>
  <c r="CG162"/>
  <c r="CF162"/>
  <c r="CE162"/>
  <c r="CD162"/>
  <c r="CC162"/>
  <c r="CB162"/>
  <c r="CA162"/>
  <c r="BZ162"/>
  <c r="BY162"/>
  <c r="BX162"/>
  <c r="BW162"/>
  <c r="BV162"/>
  <c r="BU162"/>
  <c r="BT162"/>
  <c r="BS162"/>
  <c r="BR162"/>
  <c r="BQ162"/>
  <c r="BP162"/>
  <c r="BO162"/>
  <c r="BN162"/>
  <c r="BM162"/>
  <c r="BL162"/>
  <c r="BI162"/>
  <c r="BG162"/>
  <c r="BE162"/>
  <c r="BD162"/>
  <c r="BA162"/>
  <c r="AX162"/>
  <c r="AQ162"/>
  <c r="AJ162"/>
  <c r="AC162"/>
  <c r="W162"/>
  <c r="J162"/>
  <c r="G162"/>
  <c r="A162"/>
  <c r="CO161"/>
  <c r="CN161"/>
  <c r="CM161"/>
  <c r="CL161"/>
  <c r="CK161"/>
  <c r="CJ161"/>
  <c r="CI161"/>
  <c r="CH161"/>
  <c r="CG161"/>
  <c r="CF161"/>
  <c r="CE161"/>
  <c r="CD161"/>
  <c r="CC161"/>
  <c r="CB161"/>
  <c r="CA161"/>
  <c r="BZ161"/>
  <c r="BY161"/>
  <c r="BX161"/>
  <c r="BW161"/>
  <c r="BV161"/>
  <c r="BU161"/>
  <c r="BT161"/>
  <c r="BS161"/>
  <c r="BR161"/>
  <c r="BQ161"/>
  <c r="BP161"/>
  <c r="BO161"/>
  <c r="BN161"/>
  <c r="BM161"/>
  <c r="BL161"/>
  <c r="BI161"/>
  <c r="BG161"/>
  <c r="BE161"/>
  <c r="BD161"/>
  <c r="BA161"/>
  <c r="AX161"/>
  <c r="AQ161"/>
  <c r="AJ161"/>
  <c r="AC161"/>
  <c r="W161"/>
  <c r="J161"/>
  <c r="G161"/>
  <c r="A161"/>
  <c r="CO160"/>
  <c r="CN160"/>
  <c r="CM160"/>
  <c r="CL160"/>
  <c r="CK160"/>
  <c r="CJ160"/>
  <c r="CI160"/>
  <c r="CH160"/>
  <c r="CG160"/>
  <c r="CF160"/>
  <c r="CE160"/>
  <c r="CD160"/>
  <c r="CC160"/>
  <c r="CB160"/>
  <c r="CA160"/>
  <c r="BZ160"/>
  <c r="BY160"/>
  <c r="BX160"/>
  <c r="BW160"/>
  <c r="BV160"/>
  <c r="BU160"/>
  <c r="BT160"/>
  <c r="BS160"/>
  <c r="BR160"/>
  <c r="BQ160"/>
  <c r="BP160"/>
  <c r="BO160"/>
  <c r="BN160"/>
  <c r="BM160"/>
  <c r="BL160"/>
  <c r="BI160"/>
  <c r="BG160"/>
  <c r="BE160"/>
  <c r="BD160"/>
  <c r="BA160"/>
  <c r="AX160"/>
  <c r="AQ160"/>
  <c r="AJ160"/>
  <c r="AC160"/>
  <c r="W160"/>
  <c r="J160"/>
  <c r="G160"/>
  <c r="A160"/>
  <c r="CM158"/>
  <c r="CL158"/>
  <c r="CK158"/>
  <c r="CJ158"/>
  <c r="CI158"/>
  <c r="CH158"/>
  <c r="CG158"/>
  <c r="CF158"/>
  <c r="CE158"/>
  <c r="CD158"/>
  <c r="CC158"/>
  <c r="CB158"/>
  <c r="CA158"/>
  <c r="BZ158"/>
  <c r="BY158"/>
  <c r="BX158"/>
  <c r="BW158"/>
  <c r="BV158"/>
  <c r="BU158"/>
  <c r="BT158"/>
  <c r="BS158"/>
  <c r="BR158"/>
  <c r="BQ158"/>
  <c r="BP158"/>
  <c r="BO158"/>
  <c r="BN158"/>
  <c r="BM158"/>
  <c r="BL158"/>
  <c r="BG158"/>
  <c r="BE158"/>
  <c r="BD158"/>
  <c r="BA158"/>
  <c r="AX158"/>
  <c r="AQ158"/>
  <c r="AJ158"/>
  <c r="AC158"/>
  <c r="W158"/>
  <c r="J158"/>
  <c r="G158"/>
  <c r="A158"/>
  <c r="CM157"/>
  <c r="CL157"/>
  <c r="CK157"/>
  <c r="CJ157"/>
  <c r="CI157"/>
  <c r="CH157"/>
  <c r="CG157"/>
  <c r="CF157"/>
  <c r="CE157"/>
  <c r="CD157"/>
  <c r="CC157"/>
  <c r="CB157"/>
  <c r="CA157"/>
  <c r="BZ157"/>
  <c r="BY157"/>
  <c r="BX157"/>
  <c r="BW157"/>
  <c r="BV157"/>
  <c r="BU157"/>
  <c r="BT157"/>
  <c r="BS157"/>
  <c r="BR157"/>
  <c r="BQ157"/>
  <c r="BP157"/>
  <c r="BO157"/>
  <c r="BN157"/>
  <c r="BM157"/>
  <c r="BL157"/>
  <c r="BG157"/>
  <c r="BE157"/>
  <c r="BD157"/>
  <c r="BA157"/>
  <c r="AX157"/>
  <c r="AQ157"/>
  <c r="AJ157"/>
  <c r="AC157"/>
  <c r="W157"/>
  <c r="Q157"/>
  <c r="J157"/>
  <c r="G157"/>
  <c r="A157"/>
  <c r="CK156"/>
  <c r="CJ156"/>
  <c r="CI156"/>
  <c r="CH156"/>
  <c r="CG156"/>
  <c r="CF156"/>
  <c r="CE156"/>
  <c r="CD156"/>
  <c r="CC156"/>
  <c r="CB156"/>
  <c r="CA156"/>
  <c r="BZ156"/>
  <c r="BY156"/>
  <c r="BX156"/>
  <c r="BW156"/>
  <c r="BV156"/>
  <c r="BU156"/>
  <c r="BT156"/>
  <c r="BS156"/>
  <c r="BR156"/>
  <c r="BQ156"/>
  <c r="BP156"/>
  <c r="BO156"/>
  <c r="BN156"/>
  <c r="BM156"/>
  <c r="BL156"/>
  <c r="BG156"/>
  <c r="BE156"/>
  <c r="BD156"/>
  <c r="BA156"/>
  <c r="AX156"/>
  <c r="AQ156"/>
  <c r="AJ156"/>
  <c r="AC156"/>
  <c r="W156"/>
  <c r="Q156"/>
  <c r="J156"/>
  <c r="G156"/>
  <c r="A156"/>
  <c r="CK155"/>
  <c r="CJ155"/>
  <c r="CI155"/>
  <c r="CH155"/>
  <c r="CG155"/>
  <c r="CF155"/>
  <c r="CE155"/>
  <c r="CD155"/>
  <c r="CC155"/>
  <c r="CB155"/>
  <c r="CA155"/>
  <c r="BZ155"/>
  <c r="BY155"/>
  <c r="BX155"/>
  <c r="BW155"/>
  <c r="BV155"/>
  <c r="BU155"/>
  <c r="BT155"/>
  <c r="BS155"/>
  <c r="BR155"/>
  <c r="BQ155"/>
  <c r="BP155"/>
  <c r="BO155"/>
  <c r="BN155"/>
  <c r="BM155"/>
  <c r="BL155"/>
  <c r="BG155"/>
  <c r="BE155"/>
  <c r="BD155"/>
  <c r="BA155"/>
  <c r="AX155"/>
  <c r="AQ155"/>
  <c r="AJ155"/>
  <c r="AC155"/>
  <c r="W155"/>
  <c r="Q155"/>
  <c r="J155"/>
  <c r="G155"/>
  <c r="A155"/>
  <c r="CK154"/>
  <c r="CJ154"/>
  <c r="CI154"/>
  <c r="CH154"/>
  <c r="CG154"/>
  <c r="CF154"/>
  <c r="CE154"/>
  <c r="CD154"/>
  <c r="CC154"/>
  <c r="CB154"/>
  <c r="CA154"/>
  <c r="BZ154"/>
  <c r="BY154"/>
  <c r="BX154"/>
  <c r="BW154"/>
  <c r="BV154"/>
  <c r="BU154"/>
  <c r="BT154"/>
  <c r="BS154"/>
  <c r="BR154"/>
  <c r="BQ154"/>
  <c r="BP154"/>
  <c r="BO154"/>
  <c r="BN154"/>
  <c r="BM154"/>
  <c r="BL154"/>
  <c r="BG154"/>
  <c r="BE154"/>
  <c r="BD154"/>
  <c r="BA154"/>
  <c r="AX154"/>
  <c r="AQ154"/>
  <c r="AJ154"/>
  <c r="AC154"/>
  <c r="W154"/>
  <c r="Q154"/>
  <c r="J154"/>
  <c r="G154"/>
  <c r="A154"/>
  <c r="CK153"/>
  <c r="CJ153"/>
  <c r="CI153"/>
  <c r="CH153"/>
  <c r="CG153"/>
  <c r="CF153"/>
  <c r="CE153"/>
  <c r="CD153"/>
  <c r="CC153"/>
  <c r="CB153"/>
  <c r="CA153"/>
  <c r="BZ153"/>
  <c r="BY153"/>
  <c r="BX153"/>
  <c r="BW153"/>
  <c r="BV153"/>
  <c r="BU153"/>
  <c r="BT153"/>
  <c r="BS153"/>
  <c r="BR153"/>
  <c r="BQ153"/>
  <c r="BP153"/>
  <c r="BO153"/>
  <c r="BN153"/>
  <c r="BM153"/>
  <c r="BL153"/>
  <c r="BG153"/>
  <c r="BE153"/>
  <c r="BD153"/>
  <c r="BA153"/>
  <c r="AX153"/>
  <c r="AQ153"/>
  <c r="AJ153"/>
  <c r="AC153"/>
  <c r="W153"/>
  <c r="J153"/>
  <c r="G153"/>
  <c r="A153"/>
  <c r="CM152"/>
  <c r="CL152"/>
  <c r="CK152"/>
  <c r="CJ152"/>
  <c r="CI152"/>
  <c r="CH152"/>
  <c r="CG152"/>
  <c r="CF152"/>
  <c r="CE152"/>
  <c r="CD152"/>
  <c r="CC152"/>
  <c r="CB152"/>
  <c r="CA152"/>
  <c r="BZ152"/>
  <c r="BY152"/>
  <c r="BX152"/>
  <c r="BW152"/>
  <c r="BV152"/>
  <c r="BU152"/>
  <c r="BT152"/>
  <c r="BS152"/>
  <c r="BR152"/>
  <c r="BQ152"/>
  <c r="BP152"/>
  <c r="BO152"/>
  <c r="BN152"/>
  <c r="BM152"/>
  <c r="BL152"/>
  <c r="BG152"/>
  <c r="BE152"/>
  <c r="BD152"/>
  <c r="BA152"/>
  <c r="AX152"/>
  <c r="AQ152"/>
  <c r="AJ152"/>
  <c r="AC152"/>
  <c r="W152"/>
  <c r="Q152"/>
  <c r="J152"/>
  <c r="G152"/>
  <c r="A152"/>
  <c r="CO151"/>
  <c r="CN151"/>
  <c r="CM151"/>
  <c r="CL151"/>
  <c r="CK151"/>
  <c r="CJ151"/>
  <c r="CI151"/>
  <c r="CH151"/>
  <c r="CG151"/>
  <c r="CF151"/>
  <c r="CE151"/>
  <c r="CD151"/>
  <c r="CC151"/>
  <c r="CB151"/>
  <c r="CA151"/>
  <c r="BZ151"/>
  <c r="BY151"/>
  <c r="BX151"/>
  <c r="BW151"/>
  <c r="BV151"/>
  <c r="BU151"/>
  <c r="BT151"/>
  <c r="BS151"/>
  <c r="BR151"/>
  <c r="BQ151"/>
  <c r="BP151"/>
  <c r="BO151"/>
  <c r="BN151"/>
  <c r="BM151"/>
  <c r="BL151"/>
  <c r="BG151"/>
  <c r="BE151"/>
  <c r="BD151"/>
  <c r="BA151"/>
  <c r="AX151"/>
  <c r="AQ151"/>
  <c r="AJ151"/>
  <c r="AC151"/>
  <c r="W151"/>
  <c r="J151"/>
  <c r="G151"/>
  <c r="A151"/>
  <c r="CO150"/>
  <c r="CN150"/>
  <c r="CM150"/>
  <c r="CL150"/>
  <c r="CK150"/>
  <c r="CJ150"/>
  <c r="CI150"/>
  <c r="CH150"/>
  <c r="CG150"/>
  <c r="CF150"/>
  <c r="CE150"/>
  <c r="CD150"/>
  <c r="CC150"/>
  <c r="CB150"/>
  <c r="CA150"/>
  <c r="BZ150"/>
  <c r="BY150"/>
  <c r="BX150"/>
  <c r="BW150"/>
  <c r="BV150"/>
  <c r="BU150"/>
  <c r="BT150"/>
  <c r="BS150"/>
  <c r="BR150"/>
  <c r="BQ150"/>
  <c r="BP150"/>
  <c r="BO150"/>
  <c r="BN150"/>
  <c r="BM150"/>
  <c r="BL150"/>
  <c r="BG150"/>
  <c r="BE150"/>
  <c r="BD150"/>
  <c r="BA150"/>
  <c r="AX150"/>
  <c r="AQ150"/>
  <c r="AJ150"/>
  <c r="AC150"/>
  <c r="W150"/>
  <c r="J150"/>
  <c r="G150"/>
  <c r="A150"/>
  <c r="CM149"/>
  <c r="CL149"/>
  <c r="CK149"/>
  <c r="CJ149"/>
  <c r="CI149"/>
  <c r="CH149"/>
  <c r="CG149"/>
  <c r="CF149"/>
  <c r="CE149"/>
  <c r="CD149"/>
  <c r="CC149"/>
  <c r="CB149"/>
  <c r="CA149"/>
  <c r="BZ149"/>
  <c r="BY149"/>
  <c r="BX149"/>
  <c r="BW149"/>
  <c r="BV149"/>
  <c r="BU149"/>
  <c r="BT149"/>
  <c r="BS149"/>
  <c r="BR149"/>
  <c r="BQ149"/>
  <c r="BP149"/>
  <c r="BO149"/>
  <c r="BN149"/>
  <c r="BM149"/>
  <c r="BL149"/>
  <c r="BG149"/>
  <c r="BE149"/>
  <c r="BD149"/>
  <c r="BA149"/>
  <c r="AX149"/>
  <c r="AQ149"/>
  <c r="AJ149"/>
  <c r="AC149"/>
  <c r="W149"/>
  <c r="J149"/>
  <c r="G149"/>
  <c r="A149"/>
  <c r="CK148"/>
  <c r="CJ148"/>
  <c r="CI148"/>
  <c r="CH148"/>
  <c r="CG148"/>
  <c r="CF148"/>
  <c r="CE148"/>
  <c r="CD148"/>
  <c r="CC148"/>
  <c r="CB148"/>
  <c r="CA148"/>
  <c r="BZ148"/>
  <c r="BY148"/>
  <c r="BX148"/>
  <c r="BW148"/>
  <c r="BV148"/>
  <c r="BU148"/>
  <c r="BT148"/>
  <c r="BS148"/>
  <c r="BR148"/>
  <c r="BQ148"/>
  <c r="BP148"/>
  <c r="BO148"/>
  <c r="BN148"/>
  <c r="BM148"/>
  <c r="BL148"/>
  <c r="BG148"/>
  <c r="BE148"/>
  <c r="BD148"/>
  <c r="BA148"/>
  <c r="AX148"/>
  <c r="AQ148"/>
  <c r="AJ148"/>
  <c r="AC148"/>
  <c r="W148"/>
  <c r="J148"/>
  <c r="G148"/>
  <c r="A148"/>
  <c r="CM147"/>
  <c r="CL147"/>
  <c r="CK147"/>
  <c r="CJ147"/>
  <c r="CI147"/>
  <c r="CH147"/>
  <c r="CG147"/>
  <c r="CF147"/>
  <c r="CE147"/>
  <c r="CD147"/>
  <c r="CC147"/>
  <c r="CB147"/>
  <c r="CA147"/>
  <c r="BZ147"/>
  <c r="BY147"/>
  <c r="BX147"/>
  <c r="BW147"/>
  <c r="BV147"/>
  <c r="BU147"/>
  <c r="BT147"/>
  <c r="BS147"/>
  <c r="BR147"/>
  <c r="BQ147"/>
  <c r="BP147"/>
  <c r="BO147"/>
  <c r="BN147"/>
  <c r="BM147"/>
  <c r="BL147"/>
  <c r="BG147"/>
  <c r="BE147"/>
  <c r="BD147"/>
  <c r="BA147"/>
  <c r="AX147"/>
  <c r="AQ147"/>
  <c r="AJ147"/>
  <c r="AC147"/>
  <c r="W147"/>
  <c r="Q147"/>
  <c r="J147"/>
  <c r="G147"/>
  <c r="A147"/>
  <c r="CO146"/>
  <c r="CN146"/>
  <c r="CM146"/>
  <c r="CL146"/>
  <c r="CK146"/>
  <c r="CJ146"/>
  <c r="CI146"/>
  <c r="CH146"/>
  <c r="CG146"/>
  <c r="CF146"/>
  <c r="CE146"/>
  <c r="CD146"/>
  <c r="CC146"/>
  <c r="CB146"/>
  <c r="CA146"/>
  <c r="BZ146"/>
  <c r="BY146"/>
  <c r="BX146"/>
  <c r="BW146"/>
  <c r="BV146"/>
  <c r="BU146"/>
  <c r="BT146"/>
  <c r="BS146"/>
  <c r="BR146"/>
  <c r="BQ146"/>
  <c r="BP146"/>
  <c r="BO146"/>
  <c r="BN146"/>
  <c r="BM146"/>
  <c r="BL146"/>
  <c r="BG146"/>
  <c r="BE146"/>
  <c r="BD146"/>
  <c r="BA146"/>
  <c r="AX146"/>
  <c r="AQ146"/>
  <c r="AJ146"/>
  <c r="AC146"/>
  <c r="W146"/>
  <c r="J146"/>
  <c r="G146"/>
  <c r="A146"/>
  <c r="CO145"/>
  <c r="CN145"/>
  <c r="CM145"/>
  <c r="CL145"/>
  <c r="CK145"/>
  <c r="CJ145"/>
  <c r="CI145"/>
  <c r="CH145"/>
  <c r="CG145"/>
  <c r="CF145"/>
  <c r="CE145"/>
  <c r="CD145"/>
  <c r="CC145"/>
  <c r="CB145"/>
  <c r="CA145"/>
  <c r="BZ145"/>
  <c r="BY145"/>
  <c r="BX145"/>
  <c r="BW145"/>
  <c r="BV145"/>
  <c r="BU145"/>
  <c r="BT145"/>
  <c r="BS145"/>
  <c r="BR145"/>
  <c r="BQ145"/>
  <c r="BP145"/>
  <c r="BO145"/>
  <c r="BN145"/>
  <c r="BM145"/>
  <c r="BL145"/>
  <c r="BG145"/>
  <c r="BE145"/>
  <c r="BD145"/>
  <c r="BA145"/>
  <c r="AX145"/>
  <c r="AQ145"/>
  <c r="AJ145"/>
  <c r="AC145"/>
  <c r="W145"/>
  <c r="J145"/>
  <c r="G145"/>
  <c r="A145"/>
  <c r="CO144"/>
  <c r="CN144"/>
  <c r="CM144"/>
  <c r="CL144"/>
  <c r="CK144"/>
  <c r="CJ144"/>
  <c r="CI144"/>
  <c r="CH144"/>
  <c r="CG144"/>
  <c r="CF144"/>
  <c r="CE144"/>
  <c r="CD144"/>
  <c r="CC144"/>
  <c r="CB144"/>
  <c r="CA144"/>
  <c r="BZ144"/>
  <c r="BY144"/>
  <c r="BX144"/>
  <c r="BW144"/>
  <c r="BV144"/>
  <c r="BU144"/>
  <c r="BT144"/>
  <c r="BS144"/>
  <c r="BR144"/>
  <c r="BQ144"/>
  <c r="BP144"/>
  <c r="BO144"/>
  <c r="BN144"/>
  <c r="BM144"/>
  <c r="BL144"/>
  <c r="BG144"/>
  <c r="BE144"/>
  <c r="BD144"/>
  <c r="BA144"/>
  <c r="AX144"/>
  <c r="AQ144"/>
  <c r="AJ144"/>
  <c r="AC144"/>
  <c r="W144"/>
  <c r="J144"/>
  <c r="G144"/>
  <c r="A144"/>
  <c r="CO143"/>
  <c r="CN143"/>
  <c r="CM143"/>
  <c r="CL143"/>
  <c r="CK143"/>
  <c r="CJ143"/>
  <c r="CI143"/>
  <c r="CH143"/>
  <c r="CG143"/>
  <c r="CF143"/>
  <c r="CE143"/>
  <c r="CD143"/>
  <c r="CC143"/>
  <c r="CB143"/>
  <c r="CA143"/>
  <c r="BZ143"/>
  <c r="BY143"/>
  <c r="BX143"/>
  <c r="BW143"/>
  <c r="BV143"/>
  <c r="BU143"/>
  <c r="BT143"/>
  <c r="BS143"/>
  <c r="BR143"/>
  <c r="BQ143"/>
  <c r="BP143"/>
  <c r="BO143"/>
  <c r="BN143"/>
  <c r="BM143"/>
  <c r="BL143"/>
  <c r="BG143"/>
  <c r="BE143"/>
  <c r="BD143"/>
  <c r="BA143"/>
  <c r="AX143"/>
  <c r="AQ143"/>
  <c r="AJ143"/>
  <c r="AC143"/>
  <c r="W143"/>
  <c r="J143"/>
  <c r="G143"/>
  <c r="A143"/>
  <c r="CO142"/>
  <c r="CN142"/>
  <c r="CM142"/>
  <c r="CL142"/>
  <c r="CK142"/>
  <c r="CJ142"/>
  <c r="CI142"/>
  <c r="CH142"/>
  <c r="CG142"/>
  <c r="CF142"/>
  <c r="CE142"/>
  <c r="CD142"/>
  <c r="CC142"/>
  <c r="CB142"/>
  <c r="CA142"/>
  <c r="BZ142"/>
  <c r="BY142"/>
  <c r="BX142"/>
  <c r="BW142"/>
  <c r="BV142"/>
  <c r="BU142"/>
  <c r="BT142"/>
  <c r="BS142"/>
  <c r="BR142"/>
  <c r="BQ142"/>
  <c r="BP142"/>
  <c r="BO142"/>
  <c r="BN142"/>
  <c r="BM142"/>
  <c r="BL142"/>
  <c r="BG142"/>
  <c r="BE142"/>
  <c r="BD142"/>
  <c r="BA142"/>
  <c r="AX142"/>
  <c r="AQ142"/>
  <c r="AJ142"/>
  <c r="AC142"/>
  <c r="W142"/>
  <c r="J142"/>
  <c r="G142"/>
  <c r="A142"/>
  <c r="CO140"/>
  <c r="CN140"/>
  <c r="CM140"/>
  <c r="CL140"/>
  <c r="CK140"/>
  <c r="CJ140"/>
  <c r="CI140"/>
  <c r="CH140"/>
  <c r="CG140"/>
  <c r="CF140"/>
  <c r="CE140"/>
  <c r="CD140"/>
  <c r="CC140"/>
  <c r="CB140"/>
  <c r="CA140"/>
  <c r="BZ140"/>
  <c r="BY140"/>
  <c r="BX140"/>
  <c r="BW140"/>
  <c r="BV140"/>
  <c r="BU140"/>
  <c r="BT140"/>
  <c r="BS140"/>
  <c r="BR140"/>
  <c r="BQ140"/>
  <c r="BP140"/>
  <c r="BO140"/>
  <c r="BN140"/>
  <c r="BM140"/>
  <c r="BL140"/>
  <c r="BG140"/>
  <c r="BE140"/>
  <c r="BD140"/>
  <c r="BA140"/>
  <c r="AX140"/>
  <c r="AQ140"/>
  <c r="AJ140"/>
  <c r="AC140"/>
  <c r="W140"/>
  <c r="Q140"/>
  <c r="J140"/>
  <c r="G140"/>
  <c r="A140"/>
  <c r="CO139"/>
  <c r="CN139"/>
  <c r="CM139"/>
  <c r="CL139"/>
  <c r="CK139"/>
  <c r="CJ139"/>
  <c r="CI139"/>
  <c r="CH139"/>
  <c r="CG139"/>
  <c r="CF139"/>
  <c r="CE139"/>
  <c r="CD139"/>
  <c r="CC139"/>
  <c r="CB139"/>
  <c r="CA139"/>
  <c r="BZ139"/>
  <c r="BY139"/>
  <c r="BX139"/>
  <c r="BW139"/>
  <c r="BV139"/>
  <c r="BU139"/>
  <c r="BT139"/>
  <c r="BS139"/>
  <c r="BR139"/>
  <c r="BQ139"/>
  <c r="BP139"/>
  <c r="BO139"/>
  <c r="BN139"/>
  <c r="BM139"/>
  <c r="BL139"/>
  <c r="BG139"/>
  <c r="BE139"/>
  <c r="BD139"/>
  <c r="BA139"/>
  <c r="AX139"/>
  <c r="AQ139"/>
  <c r="AJ139"/>
  <c r="AC139"/>
  <c r="W139"/>
  <c r="Q139"/>
  <c r="J139"/>
  <c r="G139"/>
  <c r="A139"/>
  <c r="CO138"/>
  <c r="CN138"/>
  <c r="CM138"/>
  <c r="CL138"/>
  <c r="CK138"/>
  <c r="CJ138"/>
  <c r="CI138"/>
  <c r="CH138"/>
  <c r="CG138"/>
  <c r="CF138"/>
  <c r="CE138"/>
  <c r="CD138"/>
  <c r="CC138"/>
  <c r="CB138"/>
  <c r="CA138"/>
  <c r="BZ138"/>
  <c r="BY138"/>
  <c r="BX138"/>
  <c r="BW138"/>
  <c r="BV138"/>
  <c r="BU138"/>
  <c r="BT138"/>
  <c r="BS138"/>
  <c r="BR138"/>
  <c r="BQ138"/>
  <c r="BP138"/>
  <c r="BO138"/>
  <c r="BN138"/>
  <c r="BM138"/>
  <c r="BL138"/>
  <c r="BG138"/>
  <c r="BE138"/>
  <c r="BD138"/>
  <c r="BA138"/>
  <c r="AX138"/>
  <c r="AQ138"/>
  <c r="AJ138"/>
  <c r="AC138"/>
  <c r="W138"/>
  <c r="Q138"/>
  <c r="J138"/>
  <c r="G138"/>
  <c r="A138"/>
  <c r="CO137"/>
  <c r="CN137"/>
  <c r="CM137"/>
  <c r="CL137"/>
  <c r="CK137"/>
  <c r="CJ137"/>
  <c r="CI137"/>
  <c r="CH137"/>
  <c r="CG137"/>
  <c r="CF137"/>
  <c r="CE137"/>
  <c r="CD137"/>
  <c r="CC137"/>
  <c r="CB137"/>
  <c r="CA137"/>
  <c r="BZ137"/>
  <c r="BY137"/>
  <c r="BX137"/>
  <c r="BW137"/>
  <c r="BV137"/>
  <c r="BU137"/>
  <c r="BT137"/>
  <c r="BS137"/>
  <c r="BR137"/>
  <c r="BQ137"/>
  <c r="BP137"/>
  <c r="BO137"/>
  <c r="BN137"/>
  <c r="BM137"/>
  <c r="BL137"/>
  <c r="BG137"/>
  <c r="BE137"/>
  <c r="BD137"/>
  <c r="BA137"/>
  <c r="AX137"/>
  <c r="AQ137"/>
  <c r="AJ137"/>
  <c r="AC137"/>
  <c r="W137"/>
  <c r="Q137"/>
  <c r="J137"/>
  <c r="G137"/>
  <c r="A137"/>
  <c r="CO135"/>
  <c r="CN135"/>
  <c r="CM135"/>
  <c r="CL135"/>
  <c r="CK135"/>
  <c r="CJ135"/>
  <c r="CI135"/>
  <c r="CH135"/>
  <c r="CG135"/>
  <c r="CF135"/>
  <c r="CE135"/>
  <c r="CD135"/>
  <c r="CC135"/>
  <c r="CB135"/>
  <c r="CA135"/>
  <c r="BZ135"/>
  <c r="BY135"/>
  <c r="BX135"/>
  <c r="BW135"/>
  <c r="BV135"/>
  <c r="BU135"/>
  <c r="BT135"/>
  <c r="BS135"/>
  <c r="BR135"/>
  <c r="BQ135"/>
  <c r="BP135"/>
  <c r="BO135"/>
  <c r="BN135"/>
  <c r="BM135"/>
  <c r="BL135"/>
  <c r="BG135"/>
  <c r="BE135"/>
  <c r="BD135"/>
  <c r="BA135"/>
  <c r="AX135"/>
  <c r="AQ135"/>
  <c r="AJ135"/>
  <c r="AC135"/>
  <c r="W135"/>
  <c r="J135"/>
  <c r="G135"/>
  <c r="A135"/>
  <c r="CO134"/>
  <c r="CN134"/>
  <c r="CM134"/>
  <c r="CL134"/>
  <c r="CK134"/>
  <c r="CJ134"/>
  <c r="CI134"/>
  <c r="CH134"/>
  <c r="CG134"/>
  <c r="CF134"/>
  <c r="CE134"/>
  <c r="CD134"/>
  <c r="CC134"/>
  <c r="CB134"/>
  <c r="CA134"/>
  <c r="BZ134"/>
  <c r="BY134"/>
  <c r="BX134"/>
  <c r="BW134"/>
  <c r="BV134"/>
  <c r="BU134"/>
  <c r="BT134"/>
  <c r="BS134"/>
  <c r="BR134"/>
  <c r="BQ134"/>
  <c r="BP134"/>
  <c r="BO134"/>
  <c r="BN134"/>
  <c r="BM134"/>
  <c r="BL134"/>
  <c r="BG134"/>
  <c r="BE134"/>
  <c r="BD134"/>
  <c r="BA134"/>
  <c r="AX134"/>
  <c r="AQ134"/>
  <c r="AJ134"/>
  <c r="AC134"/>
  <c r="W134"/>
  <c r="J134"/>
  <c r="G134"/>
  <c r="A134"/>
  <c r="CM133"/>
  <c r="CL133"/>
  <c r="CK133"/>
  <c r="CJ133"/>
  <c r="CI133"/>
  <c r="CH133"/>
  <c r="CG133"/>
  <c r="CF133"/>
  <c r="CE133"/>
  <c r="CD133"/>
  <c r="CC133"/>
  <c r="CB133"/>
  <c r="CA133"/>
  <c r="BZ133"/>
  <c r="BY133"/>
  <c r="BX133"/>
  <c r="BW133"/>
  <c r="BV133"/>
  <c r="BU133"/>
  <c r="BT133"/>
  <c r="BS133"/>
  <c r="BR133"/>
  <c r="BQ133"/>
  <c r="BP133"/>
  <c r="BO133"/>
  <c r="BN133"/>
  <c r="BM133"/>
  <c r="BL133"/>
  <c r="BG133"/>
  <c r="BE133"/>
  <c r="BD133"/>
  <c r="BA133"/>
  <c r="AX133"/>
  <c r="AQ133"/>
  <c r="AJ133"/>
  <c r="AC133"/>
  <c r="W133"/>
  <c r="Q133"/>
  <c r="J133"/>
  <c r="G133"/>
  <c r="A133"/>
  <c r="CM132"/>
  <c r="CL132"/>
  <c r="CK132"/>
  <c r="CJ132"/>
  <c r="CI132"/>
  <c r="CH132"/>
  <c r="CG132"/>
  <c r="CF132"/>
  <c r="CE132"/>
  <c r="CD132"/>
  <c r="CC132"/>
  <c r="CB132"/>
  <c r="CA132"/>
  <c r="BZ132"/>
  <c r="BY132"/>
  <c r="BX132"/>
  <c r="BW132"/>
  <c r="BV132"/>
  <c r="BU132"/>
  <c r="BT132"/>
  <c r="BS132"/>
  <c r="BR132"/>
  <c r="BQ132"/>
  <c r="BP132"/>
  <c r="BO132"/>
  <c r="BN132"/>
  <c r="BM132"/>
  <c r="BL132"/>
  <c r="BG132"/>
  <c r="BE132"/>
  <c r="BD132"/>
  <c r="BA132"/>
  <c r="AX132"/>
  <c r="AQ132"/>
  <c r="AJ132"/>
  <c r="AC132"/>
  <c r="W132"/>
  <c r="J132"/>
  <c r="G132"/>
  <c r="A132"/>
  <c r="CM131"/>
  <c r="CL131"/>
  <c r="CK131"/>
  <c r="CJ131"/>
  <c r="CI131"/>
  <c r="CH131"/>
  <c r="CG131"/>
  <c r="CF131"/>
  <c r="CE131"/>
  <c r="CD131"/>
  <c r="CC131"/>
  <c r="CB131"/>
  <c r="CA131"/>
  <c r="BZ131"/>
  <c r="BY131"/>
  <c r="BX131"/>
  <c r="BW131"/>
  <c r="BV131"/>
  <c r="BU131"/>
  <c r="BT131"/>
  <c r="BS131"/>
  <c r="BR131"/>
  <c r="BQ131"/>
  <c r="BP131"/>
  <c r="BO131"/>
  <c r="BN131"/>
  <c r="BM131"/>
  <c r="BL131"/>
  <c r="BG131"/>
  <c r="BE131"/>
  <c r="BD131"/>
  <c r="BA131"/>
  <c r="AX131"/>
  <c r="AQ131"/>
  <c r="AJ131"/>
  <c r="AC131"/>
  <c r="W131"/>
  <c r="J131"/>
  <c r="G131"/>
  <c r="A131"/>
  <c r="CM130"/>
  <c r="CL130"/>
  <c r="CK130"/>
  <c r="CJ130"/>
  <c r="CI130"/>
  <c r="CH130"/>
  <c r="CG130"/>
  <c r="CF130"/>
  <c r="CE130"/>
  <c r="CD130"/>
  <c r="CC130"/>
  <c r="CB130"/>
  <c r="CA130"/>
  <c r="BZ130"/>
  <c r="BY130"/>
  <c r="BX130"/>
  <c r="BW130"/>
  <c r="BV130"/>
  <c r="BU130"/>
  <c r="BT130"/>
  <c r="BS130"/>
  <c r="BR130"/>
  <c r="BQ130"/>
  <c r="BP130"/>
  <c r="BO130"/>
  <c r="BN130"/>
  <c r="BM130"/>
  <c r="BL130"/>
  <c r="BG130"/>
  <c r="BE130"/>
  <c r="BD130"/>
  <c r="BA130"/>
  <c r="AX130"/>
  <c r="AQ130"/>
  <c r="AJ130"/>
  <c r="AC130"/>
  <c r="W130"/>
  <c r="Q130"/>
  <c r="J130"/>
  <c r="G130"/>
  <c r="A130"/>
  <c r="CM129"/>
  <c r="CL129"/>
  <c r="CK129"/>
  <c r="CJ129"/>
  <c r="CI129"/>
  <c r="CH129"/>
  <c r="CG129"/>
  <c r="CF129"/>
  <c r="CE129"/>
  <c r="CD129"/>
  <c r="CC129"/>
  <c r="CB129"/>
  <c r="CA129"/>
  <c r="BZ129"/>
  <c r="BY129"/>
  <c r="BX129"/>
  <c r="BW129"/>
  <c r="BV129"/>
  <c r="BU129"/>
  <c r="BT129"/>
  <c r="BS129"/>
  <c r="BR129"/>
  <c r="BQ129"/>
  <c r="BP129"/>
  <c r="BO129"/>
  <c r="BN129"/>
  <c r="BM129"/>
  <c r="BL129"/>
  <c r="BG129"/>
  <c r="BE129"/>
  <c r="BD129"/>
  <c r="BA129"/>
  <c r="AX129"/>
  <c r="AQ129"/>
  <c r="AJ129"/>
  <c r="AC129"/>
  <c r="W129"/>
  <c r="Q129"/>
  <c r="J129"/>
  <c r="G129"/>
  <c r="A129"/>
  <c r="CM128"/>
  <c r="CL128"/>
  <c r="CK128"/>
  <c r="CJ128"/>
  <c r="CI128"/>
  <c r="CH128"/>
  <c r="CG128"/>
  <c r="CF128"/>
  <c r="CE128"/>
  <c r="CD128"/>
  <c r="CC128"/>
  <c r="CB128"/>
  <c r="CA128"/>
  <c r="BZ128"/>
  <c r="BY128"/>
  <c r="BX128"/>
  <c r="BW128"/>
  <c r="BV128"/>
  <c r="BU128"/>
  <c r="BT128"/>
  <c r="BS128"/>
  <c r="BR128"/>
  <c r="BQ128"/>
  <c r="BP128"/>
  <c r="BO128"/>
  <c r="BN128"/>
  <c r="BM128"/>
  <c r="BL128"/>
  <c r="BG128"/>
  <c r="BE128"/>
  <c r="BD128"/>
  <c r="BA128"/>
  <c r="AX128"/>
  <c r="AQ128"/>
  <c r="AJ128"/>
  <c r="AC128"/>
  <c r="W128"/>
  <c r="J128"/>
  <c r="G128"/>
  <c r="A128"/>
  <c r="CO127"/>
  <c r="CN127"/>
  <c r="CM127"/>
  <c r="CL127"/>
  <c r="CK127"/>
  <c r="CJ127"/>
  <c r="CI127"/>
  <c r="CH127"/>
  <c r="CG127"/>
  <c r="CF127"/>
  <c r="CE127"/>
  <c r="CD127"/>
  <c r="CC127"/>
  <c r="CB127"/>
  <c r="CA127"/>
  <c r="BZ127"/>
  <c r="BY127"/>
  <c r="BX127"/>
  <c r="BW127"/>
  <c r="BV127"/>
  <c r="BU127"/>
  <c r="BT127"/>
  <c r="BS127"/>
  <c r="BR127"/>
  <c r="BQ127"/>
  <c r="BP127"/>
  <c r="BO127"/>
  <c r="BN127"/>
  <c r="BM127"/>
  <c r="BL127"/>
  <c r="BG127"/>
  <c r="BE127"/>
  <c r="BD127"/>
  <c r="BA127"/>
  <c r="AX127"/>
  <c r="AQ127"/>
  <c r="AJ127"/>
  <c r="AC127"/>
  <c r="W127"/>
  <c r="J127"/>
  <c r="G127"/>
  <c r="A127"/>
  <c r="CO126"/>
  <c r="CN126"/>
  <c r="CM126"/>
  <c r="CL126"/>
  <c r="CK126"/>
  <c r="CJ126"/>
  <c r="CI126"/>
  <c r="CH126"/>
  <c r="CG126"/>
  <c r="CF126"/>
  <c r="CE126"/>
  <c r="CD126"/>
  <c r="CC126"/>
  <c r="CB126"/>
  <c r="CA126"/>
  <c r="BZ126"/>
  <c r="BY126"/>
  <c r="BX126"/>
  <c r="BW126"/>
  <c r="BV126"/>
  <c r="BU126"/>
  <c r="BT126"/>
  <c r="BS126"/>
  <c r="BR126"/>
  <c r="BQ126"/>
  <c r="BP126"/>
  <c r="BO126"/>
  <c r="BN126"/>
  <c r="BM126"/>
  <c r="BL126"/>
  <c r="BG126"/>
  <c r="BE126"/>
  <c r="BD126"/>
  <c r="BA126"/>
  <c r="AX126"/>
  <c r="AQ126"/>
  <c r="AJ126"/>
  <c r="AC126"/>
  <c r="W126"/>
  <c r="Q126"/>
  <c r="J126"/>
  <c r="G126"/>
  <c r="A126"/>
  <c r="CM125"/>
  <c r="CL125"/>
  <c r="CK125"/>
  <c r="CJ125"/>
  <c r="CI125"/>
  <c r="CH125"/>
  <c r="CG125"/>
  <c r="CF125"/>
  <c r="CE125"/>
  <c r="CD125"/>
  <c r="CC125"/>
  <c r="CB125"/>
  <c r="CA125"/>
  <c r="BZ125"/>
  <c r="BY125"/>
  <c r="BX125"/>
  <c r="BW125"/>
  <c r="BV125"/>
  <c r="BU125"/>
  <c r="BT125"/>
  <c r="BS125"/>
  <c r="BR125"/>
  <c r="BQ125"/>
  <c r="BP125"/>
  <c r="BO125"/>
  <c r="BN125"/>
  <c r="BM125"/>
  <c r="BL125"/>
  <c r="BG125"/>
  <c r="BE125"/>
  <c r="BD125"/>
  <c r="BA125"/>
  <c r="AX125"/>
  <c r="AQ125"/>
  <c r="AJ125"/>
  <c r="AC125"/>
  <c r="W125"/>
  <c r="J125"/>
  <c r="G125"/>
  <c r="A125"/>
  <c r="CM124"/>
  <c r="CL124"/>
  <c r="CK124"/>
  <c r="CJ124"/>
  <c r="CI124"/>
  <c r="CH124"/>
  <c r="CG124"/>
  <c r="CF124"/>
  <c r="CE124"/>
  <c r="CD124"/>
  <c r="CC124"/>
  <c r="CB124"/>
  <c r="CA124"/>
  <c r="BZ124"/>
  <c r="BY124"/>
  <c r="BX124"/>
  <c r="BW124"/>
  <c r="BV124"/>
  <c r="BU124"/>
  <c r="BT124"/>
  <c r="BS124"/>
  <c r="BR124"/>
  <c r="BQ124"/>
  <c r="BP124"/>
  <c r="BO124"/>
  <c r="BN124"/>
  <c r="BM124"/>
  <c r="BL124"/>
  <c r="BG124"/>
  <c r="BE124"/>
  <c r="BD124"/>
  <c r="BA124"/>
  <c r="AX124"/>
  <c r="AQ124"/>
  <c r="AJ124"/>
  <c r="AC124"/>
  <c r="W124"/>
  <c r="J124"/>
  <c r="G124"/>
  <c r="A124"/>
  <c r="CM123"/>
  <c r="CL123"/>
  <c r="CK123"/>
  <c r="CJ123"/>
  <c r="CI123"/>
  <c r="CH123"/>
  <c r="CG123"/>
  <c r="CF123"/>
  <c r="CE123"/>
  <c r="CD123"/>
  <c r="CC123"/>
  <c r="CB123"/>
  <c r="CA123"/>
  <c r="BZ123"/>
  <c r="BY123"/>
  <c r="BX123"/>
  <c r="BW123"/>
  <c r="BV123"/>
  <c r="BU123"/>
  <c r="BT123"/>
  <c r="BS123"/>
  <c r="BR123"/>
  <c r="BQ123"/>
  <c r="BP123"/>
  <c r="BO123"/>
  <c r="BN123"/>
  <c r="BM123"/>
  <c r="BL123"/>
  <c r="BG123"/>
  <c r="BE123"/>
  <c r="BD123"/>
  <c r="BA123"/>
  <c r="AX123"/>
  <c r="AQ123"/>
  <c r="AJ123"/>
  <c r="AC123"/>
  <c r="W123"/>
  <c r="J123"/>
  <c r="G123"/>
  <c r="A123"/>
  <c r="CO122"/>
  <c r="CN122"/>
  <c r="CM122"/>
  <c r="CL122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G122"/>
  <c r="BE122"/>
  <c r="BD122"/>
  <c r="BA122"/>
  <c r="AX122"/>
  <c r="AQ122"/>
  <c r="AJ122"/>
  <c r="AC122"/>
  <c r="W122"/>
  <c r="Q122"/>
  <c r="J122"/>
  <c r="G122"/>
  <c r="A122"/>
  <c r="CO121"/>
  <c r="CN121"/>
  <c r="CM121"/>
  <c r="CL121"/>
  <c r="CK121"/>
  <c r="CJ121"/>
  <c r="CI121"/>
  <c r="CH121"/>
  <c r="CG121"/>
  <c r="CF121"/>
  <c r="CE121"/>
  <c r="CD121"/>
  <c r="CC121"/>
  <c r="CB121"/>
  <c r="CA121"/>
  <c r="BZ121"/>
  <c r="BY121"/>
  <c r="BX121"/>
  <c r="BW121"/>
  <c r="BV121"/>
  <c r="BU121"/>
  <c r="BT121"/>
  <c r="BS121"/>
  <c r="BR121"/>
  <c r="BQ121"/>
  <c r="BP121"/>
  <c r="BO121"/>
  <c r="BN121"/>
  <c r="BM121"/>
  <c r="BL121"/>
  <c r="BG121"/>
  <c r="BE121"/>
  <c r="BD121"/>
  <c r="BA121"/>
  <c r="AX121"/>
  <c r="AQ121"/>
  <c r="AJ121"/>
  <c r="AC121"/>
  <c r="W121"/>
  <c r="Q121"/>
  <c r="J121"/>
  <c r="G121"/>
  <c r="A121"/>
  <c r="CO120"/>
  <c r="CN120"/>
  <c r="CM120"/>
  <c r="CL120"/>
  <c r="CK120"/>
  <c r="CJ120"/>
  <c r="CI120"/>
  <c r="CH120"/>
  <c r="CG120"/>
  <c r="CF120"/>
  <c r="CE120"/>
  <c r="CD120"/>
  <c r="CC120"/>
  <c r="CB120"/>
  <c r="CA120"/>
  <c r="BZ120"/>
  <c r="BY120"/>
  <c r="BX120"/>
  <c r="BW120"/>
  <c r="BV120"/>
  <c r="BU120"/>
  <c r="BT120"/>
  <c r="BS120"/>
  <c r="BR120"/>
  <c r="BQ120"/>
  <c r="BP120"/>
  <c r="BO120"/>
  <c r="BN120"/>
  <c r="BM120"/>
  <c r="BL120"/>
  <c r="BG120"/>
  <c r="BE120"/>
  <c r="BD120"/>
  <c r="BA120"/>
  <c r="AX120"/>
  <c r="AQ120"/>
  <c r="AJ120"/>
  <c r="AC120"/>
  <c r="W120"/>
  <c r="Q120"/>
  <c r="J120"/>
  <c r="G120"/>
  <c r="A120"/>
  <c r="CO119"/>
  <c r="CN119"/>
  <c r="CM119"/>
  <c r="CL119"/>
  <c r="CK119"/>
  <c r="CJ119"/>
  <c r="CI119"/>
  <c r="CH119"/>
  <c r="CG119"/>
  <c r="CF119"/>
  <c r="CE119"/>
  <c r="CD119"/>
  <c r="CC119"/>
  <c r="CB119"/>
  <c r="CA119"/>
  <c r="BZ119"/>
  <c r="BY119"/>
  <c r="BX119"/>
  <c r="BW119"/>
  <c r="BV119"/>
  <c r="BU119"/>
  <c r="BT119"/>
  <c r="BS119"/>
  <c r="BR119"/>
  <c r="BQ119"/>
  <c r="BP119"/>
  <c r="BO119"/>
  <c r="BN119"/>
  <c r="BM119"/>
  <c r="BL119"/>
  <c r="BG119"/>
  <c r="BE119"/>
  <c r="BD119"/>
  <c r="BA119"/>
  <c r="AX119"/>
  <c r="AQ119"/>
  <c r="AJ119"/>
  <c r="AC119"/>
  <c r="W119"/>
  <c r="Q119"/>
  <c r="J119"/>
  <c r="G119"/>
  <c r="A119"/>
  <c r="CO118"/>
  <c r="CN118"/>
  <c r="CM118"/>
  <c r="CL118"/>
  <c r="CK118"/>
  <c r="CJ118"/>
  <c r="CI118"/>
  <c r="CH118"/>
  <c r="CG118"/>
  <c r="CF118"/>
  <c r="CE118"/>
  <c r="CD118"/>
  <c r="CC118"/>
  <c r="CB118"/>
  <c r="CA118"/>
  <c r="BZ118"/>
  <c r="BY118"/>
  <c r="BX118"/>
  <c r="BW118"/>
  <c r="BV118"/>
  <c r="BU118"/>
  <c r="BT118"/>
  <c r="BS118"/>
  <c r="BR118"/>
  <c r="BQ118"/>
  <c r="BP118"/>
  <c r="BO118"/>
  <c r="BN118"/>
  <c r="BM118"/>
  <c r="BL118"/>
  <c r="BG118"/>
  <c r="BE118"/>
  <c r="BD118"/>
  <c r="BA118"/>
  <c r="AX118"/>
  <c r="AQ118"/>
  <c r="AJ118"/>
  <c r="AC118"/>
  <c r="W118"/>
  <c r="Q118"/>
  <c r="J118"/>
  <c r="G118"/>
  <c r="A118"/>
  <c r="CO117"/>
  <c r="CN117"/>
  <c r="CM117"/>
  <c r="CL117"/>
  <c r="CK117"/>
  <c r="CJ117"/>
  <c r="CI117"/>
  <c r="CH117"/>
  <c r="CG117"/>
  <c r="CF117"/>
  <c r="CE117"/>
  <c r="CD117"/>
  <c r="CC117"/>
  <c r="CB117"/>
  <c r="CA117"/>
  <c r="BZ117"/>
  <c r="BY117"/>
  <c r="BX117"/>
  <c r="BW117"/>
  <c r="BV117"/>
  <c r="BU117"/>
  <c r="BT117"/>
  <c r="BS117"/>
  <c r="BR117"/>
  <c r="BQ117"/>
  <c r="BP117"/>
  <c r="BO117"/>
  <c r="BN117"/>
  <c r="BM117"/>
  <c r="BL117"/>
  <c r="BG117"/>
  <c r="BE117"/>
  <c r="BD117"/>
  <c r="BA117"/>
  <c r="AX117"/>
  <c r="AQ117"/>
  <c r="AJ117"/>
  <c r="AC117"/>
  <c r="W117"/>
  <c r="Q117"/>
  <c r="J117"/>
  <c r="G117"/>
  <c r="A117"/>
  <c r="CI114"/>
  <c r="CH114"/>
  <c r="CG114"/>
  <c r="CF114"/>
  <c r="CE114"/>
  <c r="CD114"/>
  <c r="CC114"/>
  <c r="CB114"/>
  <c r="CA114"/>
  <c r="BZ114"/>
  <c r="BY114"/>
  <c r="BX114"/>
  <c r="BW114"/>
  <c r="BV114"/>
  <c r="BU114"/>
  <c r="BT114"/>
  <c r="BS114"/>
  <c r="BR114"/>
  <c r="BQ114"/>
  <c r="BP114"/>
  <c r="BO114"/>
  <c r="BN114"/>
  <c r="BM114"/>
  <c r="BL114"/>
  <c r="BG114"/>
  <c r="BE114"/>
  <c r="BD114"/>
  <c r="BA114"/>
  <c r="AX114"/>
  <c r="AQ114"/>
  <c r="AJ114"/>
  <c r="AC114"/>
  <c r="W114"/>
  <c r="J114"/>
  <c r="G114"/>
  <c r="A114"/>
  <c r="CM113"/>
  <c r="CL113"/>
  <c r="CK113"/>
  <c r="CJ113"/>
  <c r="CI113"/>
  <c r="CH113"/>
  <c r="CG113"/>
  <c r="CF113"/>
  <c r="CE113"/>
  <c r="CD113"/>
  <c r="CC113"/>
  <c r="CB113"/>
  <c r="CA113"/>
  <c r="BZ113"/>
  <c r="BY113"/>
  <c r="BX113"/>
  <c r="BW113"/>
  <c r="BV113"/>
  <c r="BU113"/>
  <c r="BT113"/>
  <c r="BS113"/>
  <c r="BR113"/>
  <c r="BQ113"/>
  <c r="BP113"/>
  <c r="BO113"/>
  <c r="BN113"/>
  <c r="BM113"/>
  <c r="BL113"/>
  <c r="BG113"/>
  <c r="BE113"/>
  <c r="BD113"/>
  <c r="BA113"/>
  <c r="AX113"/>
  <c r="AQ113"/>
  <c r="AJ113"/>
  <c r="AC113"/>
  <c r="W113"/>
  <c r="J113"/>
  <c r="G113"/>
  <c r="A113"/>
  <c r="CK112"/>
  <c r="CJ112"/>
  <c r="CI112"/>
  <c r="CH112"/>
  <c r="CG112"/>
  <c r="CF112"/>
  <c r="CE112"/>
  <c r="CD112"/>
  <c r="CC112"/>
  <c r="CB112"/>
  <c r="CA112"/>
  <c r="BZ112"/>
  <c r="BY112"/>
  <c r="BX112"/>
  <c r="BW112"/>
  <c r="BV112"/>
  <c r="BU112"/>
  <c r="BT112"/>
  <c r="BS112"/>
  <c r="BR112"/>
  <c r="BQ112"/>
  <c r="BP112"/>
  <c r="BO112"/>
  <c r="BN112"/>
  <c r="BM112"/>
  <c r="BL112"/>
  <c r="BG112"/>
  <c r="BE112"/>
  <c r="BD112"/>
  <c r="BA112"/>
  <c r="AX112"/>
  <c r="AQ112"/>
  <c r="AJ112"/>
  <c r="AC112"/>
  <c r="W112"/>
  <c r="J112"/>
  <c r="G112"/>
  <c r="A112"/>
  <c r="CM111"/>
  <c r="CL111"/>
  <c r="CK111"/>
  <c r="CJ111"/>
  <c r="CI111"/>
  <c r="CH111"/>
  <c r="CG111"/>
  <c r="CF111"/>
  <c r="CE111"/>
  <c r="CD111"/>
  <c r="CC111"/>
  <c r="CB111"/>
  <c r="CA111"/>
  <c r="BZ111"/>
  <c r="BY111"/>
  <c r="BX111"/>
  <c r="BW111"/>
  <c r="BV111"/>
  <c r="BU111"/>
  <c r="BT111"/>
  <c r="BS111"/>
  <c r="BR111"/>
  <c r="BQ111"/>
  <c r="BP111"/>
  <c r="BO111"/>
  <c r="BN111"/>
  <c r="BM111"/>
  <c r="BL111"/>
  <c r="BG111"/>
  <c r="BE111"/>
  <c r="BD111"/>
  <c r="BA111"/>
  <c r="AX111"/>
  <c r="AQ111"/>
  <c r="AJ111"/>
  <c r="AC111"/>
  <c r="W111"/>
  <c r="J111"/>
  <c r="G111"/>
  <c r="A111"/>
  <c r="CM110"/>
  <c r="CL110"/>
  <c r="CK110"/>
  <c r="CJ110"/>
  <c r="CI110"/>
  <c r="CH110"/>
  <c r="CG110"/>
  <c r="CF110"/>
  <c r="CE110"/>
  <c r="CD110"/>
  <c r="CC110"/>
  <c r="CB110"/>
  <c r="CA110"/>
  <c r="BZ110"/>
  <c r="BY110"/>
  <c r="BX110"/>
  <c r="BW110"/>
  <c r="BV110"/>
  <c r="BU110"/>
  <c r="BT110"/>
  <c r="BS110"/>
  <c r="BR110"/>
  <c r="BQ110"/>
  <c r="BP110"/>
  <c r="BO110"/>
  <c r="BN110"/>
  <c r="BM110"/>
  <c r="BL110"/>
  <c r="BG110"/>
  <c r="BE110"/>
  <c r="BD110"/>
  <c r="BA110"/>
  <c r="AX110"/>
  <c r="AQ110"/>
  <c r="AJ110"/>
  <c r="AC110"/>
  <c r="W110"/>
  <c r="J110"/>
  <c r="G110"/>
  <c r="A110"/>
  <c r="CM109"/>
  <c r="CL109"/>
  <c r="CK109"/>
  <c r="CJ109"/>
  <c r="CI109"/>
  <c r="CH109"/>
  <c r="CG109"/>
  <c r="CF109"/>
  <c r="CE109"/>
  <c r="CD109"/>
  <c r="CC109"/>
  <c r="CB109"/>
  <c r="CA109"/>
  <c r="BZ109"/>
  <c r="BY109"/>
  <c r="BX109"/>
  <c r="BW109"/>
  <c r="BV109"/>
  <c r="BU109"/>
  <c r="BT109"/>
  <c r="BS109"/>
  <c r="BR109"/>
  <c r="BQ109"/>
  <c r="BP109"/>
  <c r="BO109"/>
  <c r="BN109"/>
  <c r="BM109"/>
  <c r="BL109"/>
  <c r="BG109"/>
  <c r="BE109"/>
  <c r="BD109"/>
  <c r="BA109"/>
  <c r="AX109"/>
  <c r="AQ109"/>
  <c r="AJ109"/>
  <c r="AC109"/>
  <c r="W109"/>
  <c r="J109"/>
  <c r="G109"/>
  <c r="A109"/>
  <c r="CM108"/>
  <c r="CL108"/>
  <c r="CK108"/>
  <c r="CJ108"/>
  <c r="CI108"/>
  <c r="CH108"/>
  <c r="CG108"/>
  <c r="CF108"/>
  <c r="CE108"/>
  <c r="CD108"/>
  <c r="CC108"/>
  <c r="CB108"/>
  <c r="CA108"/>
  <c r="BZ108"/>
  <c r="BY108"/>
  <c r="BX108"/>
  <c r="BW108"/>
  <c r="BV108"/>
  <c r="BU108"/>
  <c r="BT108"/>
  <c r="BS108"/>
  <c r="BR108"/>
  <c r="BQ108"/>
  <c r="BP108"/>
  <c r="BO108"/>
  <c r="BN108"/>
  <c r="BM108"/>
  <c r="BL108"/>
  <c r="BG108"/>
  <c r="BE108"/>
  <c r="BD108"/>
  <c r="BA108"/>
  <c r="AX108"/>
  <c r="AQ108"/>
  <c r="AJ108"/>
  <c r="AC108"/>
  <c r="W108"/>
  <c r="J108"/>
  <c r="G108"/>
  <c r="A108"/>
  <c r="CM107"/>
  <c r="CL107"/>
  <c r="CK107"/>
  <c r="CJ107"/>
  <c r="CI107"/>
  <c r="CH107"/>
  <c r="CG107"/>
  <c r="CF107"/>
  <c r="CE107"/>
  <c r="CD107"/>
  <c r="CC107"/>
  <c r="CB107"/>
  <c r="CA107"/>
  <c r="BZ107"/>
  <c r="BY107"/>
  <c r="BX107"/>
  <c r="BW107"/>
  <c r="BV107"/>
  <c r="BU107"/>
  <c r="BT107"/>
  <c r="BS107"/>
  <c r="BR107"/>
  <c r="BQ107"/>
  <c r="BP107"/>
  <c r="BO107"/>
  <c r="BN107"/>
  <c r="BM107"/>
  <c r="BL107"/>
  <c r="BG107"/>
  <c r="BE107"/>
  <c r="BD107"/>
  <c r="BA107"/>
  <c r="AX107"/>
  <c r="AQ107"/>
  <c r="AJ107"/>
  <c r="AC107"/>
  <c r="W107"/>
  <c r="J107"/>
  <c r="G107"/>
  <c r="A107"/>
  <c r="CM106"/>
  <c r="CL106"/>
  <c r="CK106"/>
  <c r="CJ106"/>
  <c r="CI106"/>
  <c r="CH106"/>
  <c r="CG106"/>
  <c r="CF106"/>
  <c r="CE106"/>
  <c r="CD106"/>
  <c r="CC106"/>
  <c r="CB106"/>
  <c r="CA106"/>
  <c r="BZ106"/>
  <c r="BY106"/>
  <c r="BX106"/>
  <c r="BW106"/>
  <c r="BV106"/>
  <c r="BU106"/>
  <c r="BT106"/>
  <c r="BS106"/>
  <c r="BR106"/>
  <c r="BQ106"/>
  <c r="BP106"/>
  <c r="BO106"/>
  <c r="BN106"/>
  <c r="BM106"/>
  <c r="BL106"/>
  <c r="BI106"/>
  <c r="BG106"/>
  <c r="BE106"/>
  <c r="BD106"/>
  <c r="BA106"/>
  <c r="AX106"/>
  <c r="AQ106"/>
  <c r="AJ106"/>
  <c r="AC106"/>
  <c r="W106"/>
  <c r="J106"/>
  <c r="G106"/>
  <c r="A106"/>
  <c r="CO105"/>
  <c r="CN105"/>
  <c r="CM105"/>
  <c r="CL105"/>
  <c r="CK105"/>
  <c r="CJ105"/>
  <c r="CI105"/>
  <c r="CH105"/>
  <c r="CG105"/>
  <c r="CF105"/>
  <c r="CE105"/>
  <c r="CD105"/>
  <c r="CC105"/>
  <c r="CB105"/>
  <c r="CA105"/>
  <c r="BZ105"/>
  <c r="BY105"/>
  <c r="BX105"/>
  <c r="BW105"/>
  <c r="BV105"/>
  <c r="BU105"/>
  <c r="BT105"/>
  <c r="BS105"/>
  <c r="BR105"/>
  <c r="BQ105"/>
  <c r="BP105"/>
  <c r="BO105"/>
  <c r="BN105"/>
  <c r="BM105"/>
  <c r="BL105"/>
  <c r="BG105"/>
  <c r="BE105"/>
  <c r="BD105"/>
  <c r="BA105"/>
  <c r="AX105"/>
  <c r="AQ105"/>
  <c r="AJ105"/>
  <c r="AC105"/>
  <c r="W105"/>
  <c r="J105"/>
  <c r="G105"/>
  <c r="A105"/>
  <c r="CO104"/>
  <c r="CN104"/>
  <c r="CM104"/>
  <c r="CL104"/>
  <c r="CK104"/>
  <c r="CJ104"/>
  <c r="CI104"/>
  <c r="CH104"/>
  <c r="CG104"/>
  <c r="CF104"/>
  <c r="CE104"/>
  <c r="CD104"/>
  <c r="CC104"/>
  <c r="CB104"/>
  <c r="CA104"/>
  <c r="BZ104"/>
  <c r="BY104"/>
  <c r="BX104"/>
  <c r="BW104"/>
  <c r="BV104"/>
  <c r="BU104"/>
  <c r="BT104"/>
  <c r="BS104"/>
  <c r="BR104"/>
  <c r="BQ104"/>
  <c r="BP104"/>
  <c r="BO104"/>
  <c r="BN104"/>
  <c r="BM104"/>
  <c r="BL104"/>
  <c r="BG104"/>
  <c r="BE104"/>
  <c r="BD104"/>
  <c r="BA104"/>
  <c r="AX104"/>
  <c r="AQ104"/>
  <c r="AJ104"/>
  <c r="AC104"/>
  <c r="W104"/>
  <c r="J104"/>
  <c r="G104"/>
  <c r="A104"/>
  <c r="CM103"/>
  <c r="CL103"/>
  <c r="CK103"/>
  <c r="CJ103"/>
  <c r="CI103"/>
  <c r="CH103"/>
  <c r="CG103"/>
  <c r="CF103"/>
  <c r="CE103"/>
  <c r="CD103"/>
  <c r="CC103"/>
  <c r="CB103"/>
  <c r="CA103"/>
  <c r="BZ103"/>
  <c r="BY103"/>
  <c r="BX103"/>
  <c r="BW103"/>
  <c r="BV103"/>
  <c r="BU103"/>
  <c r="BT103"/>
  <c r="BS103"/>
  <c r="BR103"/>
  <c r="BQ103"/>
  <c r="BP103"/>
  <c r="BO103"/>
  <c r="BN103"/>
  <c r="BM103"/>
  <c r="BL103"/>
  <c r="BG103"/>
  <c r="BE103"/>
  <c r="BD103"/>
  <c r="BA103"/>
  <c r="AX103"/>
  <c r="AQ103"/>
  <c r="AJ103"/>
  <c r="AC103"/>
  <c r="W103"/>
  <c r="J103"/>
  <c r="G103"/>
  <c r="A103"/>
  <c r="CM102"/>
  <c r="CL102"/>
  <c r="CK102"/>
  <c r="CJ102"/>
  <c r="CI102"/>
  <c r="CH102"/>
  <c r="CG102"/>
  <c r="CF102"/>
  <c r="CE102"/>
  <c r="CD102"/>
  <c r="CC102"/>
  <c r="CB102"/>
  <c r="CA102"/>
  <c r="BZ102"/>
  <c r="BY102"/>
  <c r="BX102"/>
  <c r="BW102"/>
  <c r="BV102"/>
  <c r="BU102"/>
  <c r="BT102"/>
  <c r="BS102"/>
  <c r="BR102"/>
  <c r="BQ102"/>
  <c r="BP102"/>
  <c r="BO102"/>
  <c r="BN102"/>
  <c r="BM102"/>
  <c r="BL102"/>
  <c r="BG102"/>
  <c r="BE102"/>
  <c r="BD102"/>
  <c r="BA102"/>
  <c r="AX102"/>
  <c r="AQ102"/>
  <c r="AJ102"/>
  <c r="AC102"/>
  <c r="W102"/>
  <c r="J102"/>
  <c r="G102"/>
  <c r="A102"/>
  <c r="CO101"/>
  <c r="CN101"/>
  <c r="CM101"/>
  <c r="CL101"/>
  <c r="CK101"/>
  <c r="CJ101"/>
  <c r="CI101"/>
  <c r="CH101"/>
  <c r="CG101"/>
  <c r="CF101"/>
  <c r="CE101"/>
  <c r="CD101"/>
  <c r="CC101"/>
  <c r="CB101"/>
  <c r="CA101"/>
  <c r="BZ101"/>
  <c r="BY101"/>
  <c r="BX101"/>
  <c r="BW101"/>
  <c r="BV101"/>
  <c r="BU101"/>
  <c r="BT101"/>
  <c r="BS101"/>
  <c r="BR101"/>
  <c r="BQ101"/>
  <c r="BP101"/>
  <c r="BO101"/>
  <c r="BN101"/>
  <c r="BM101"/>
  <c r="BL101"/>
  <c r="BG101"/>
  <c r="BE101"/>
  <c r="BD101"/>
  <c r="BA101"/>
  <c r="AX101"/>
  <c r="AQ101"/>
  <c r="AJ101"/>
  <c r="AC101"/>
  <c r="W101"/>
  <c r="J101"/>
  <c r="G101"/>
  <c r="A101"/>
  <c r="CO100"/>
  <c r="CN100"/>
  <c r="CM100"/>
  <c r="CL100"/>
  <c r="CK100"/>
  <c r="CJ100"/>
  <c r="CI100"/>
  <c r="CH100"/>
  <c r="CG100"/>
  <c r="CF100"/>
  <c r="CE100"/>
  <c r="CD100"/>
  <c r="CC100"/>
  <c r="CB100"/>
  <c r="CA100"/>
  <c r="BZ100"/>
  <c r="BY100"/>
  <c r="BX100"/>
  <c r="BW100"/>
  <c r="BV100"/>
  <c r="BU100"/>
  <c r="BT100"/>
  <c r="BS100"/>
  <c r="BR100"/>
  <c r="BQ100"/>
  <c r="BP100"/>
  <c r="BO100"/>
  <c r="BN100"/>
  <c r="BM100"/>
  <c r="BL100"/>
  <c r="BG100"/>
  <c r="BE100"/>
  <c r="BD100"/>
  <c r="BA100"/>
  <c r="AX100"/>
  <c r="AQ100"/>
  <c r="AJ100"/>
  <c r="AC100"/>
  <c r="W100"/>
  <c r="J100"/>
  <c r="G100"/>
  <c r="A100"/>
  <c r="CO99"/>
  <c r="CN99"/>
  <c r="CM99"/>
  <c r="CL99"/>
  <c r="CK99"/>
  <c r="CJ99"/>
  <c r="CI99"/>
  <c r="CH99"/>
  <c r="CG99"/>
  <c r="CF99"/>
  <c r="CE99"/>
  <c r="CD99"/>
  <c r="CC99"/>
  <c r="CB99"/>
  <c r="CA99"/>
  <c r="BZ99"/>
  <c r="BY99"/>
  <c r="BX99"/>
  <c r="BW99"/>
  <c r="BV99"/>
  <c r="BU99"/>
  <c r="BT99"/>
  <c r="BS99"/>
  <c r="BR99"/>
  <c r="BQ99"/>
  <c r="BP99"/>
  <c r="BO99"/>
  <c r="BN99"/>
  <c r="BM99"/>
  <c r="BL99"/>
  <c r="BG99"/>
  <c r="BE99"/>
  <c r="BD99"/>
  <c r="BA99"/>
  <c r="AX99"/>
  <c r="AQ99"/>
  <c r="AJ99"/>
  <c r="AC99"/>
  <c r="W99"/>
  <c r="J99"/>
  <c r="G99"/>
  <c r="A99"/>
  <c r="CO98"/>
  <c r="CN98"/>
  <c r="CM98"/>
  <c r="CL98"/>
  <c r="CK98"/>
  <c r="CJ98"/>
  <c r="CI98"/>
  <c r="CH98"/>
  <c r="CG98"/>
  <c r="CF98"/>
  <c r="CE98"/>
  <c r="CD98"/>
  <c r="CC98"/>
  <c r="CB98"/>
  <c r="CA98"/>
  <c r="BZ98"/>
  <c r="BY98"/>
  <c r="BX98"/>
  <c r="BW98"/>
  <c r="BV98"/>
  <c r="BU98"/>
  <c r="BT98"/>
  <c r="BS98"/>
  <c r="BR98"/>
  <c r="BQ98"/>
  <c r="BP98"/>
  <c r="BO98"/>
  <c r="BN98"/>
  <c r="BM98"/>
  <c r="BL98"/>
  <c r="BG98"/>
  <c r="BE98"/>
  <c r="BD98"/>
  <c r="BA98"/>
  <c r="AX98"/>
  <c r="AQ98"/>
  <c r="AJ98"/>
  <c r="AC98"/>
  <c r="W98"/>
  <c r="J98"/>
  <c r="G98"/>
  <c r="A98"/>
  <c r="CO97"/>
  <c r="CN97"/>
  <c r="CM97"/>
  <c r="CL97"/>
  <c r="CK97"/>
  <c r="CJ97"/>
  <c r="CI97"/>
  <c r="CH97"/>
  <c r="CG97"/>
  <c r="CF97"/>
  <c r="CE97"/>
  <c r="CD97"/>
  <c r="CC97"/>
  <c r="CB97"/>
  <c r="CA97"/>
  <c r="BZ97"/>
  <c r="BY97"/>
  <c r="BX97"/>
  <c r="BW97"/>
  <c r="BV97"/>
  <c r="BU97"/>
  <c r="BT97"/>
  <c r="BS97"/>
  <c r="BR97"/>
  <c r="BQ97"/>
  <c r="BP97"/>
  <c r="BO97"/>
  <c r="BN97"/>
  <c r="BM97"/>
  <c r="BL97"/>
  <c r="BG97"/>
  <c r="BE97"/>
  <c r="BD97"/>
  <c r="BA97"/>
  <c r="AX97"/>
  <c r="AQ97"/>
  <c r="AJ97"/>
  <c r="AC97"/>
  <c r="W97"/>
  <c r="J97"/>
  <c r="G97"/>
  <c r="A97"/>
  <c r="CO96"/>
  <c r="CN96"/>
  <c r="CM96"/>
  <c r="CL96"/>
  <c r="CK96"/>
  <c r="CJ96"/>
  <c r="CI96"/>
  <c r="CH96"/>
  <c r="CG96"/>
  <c r="CF96"/>
  <c r="CE96"/>
  <c r="CD96"/>
  <c r="CC96"/>
  <c r="CB96"/>
  <c r="CA96"/>
  <c r="BZ96"/>
  <c r="BY96"/>
  <c r="BX96"/>
  <c r="BW96"/>
  <c r="BV96"/>
  <c r="BU96"/>
  <c r="BT96"/>
  <c r="BS96"/>
  <c r="BR96"/>
  <c r="BQ96"/>
  <c r="BP96"/>
  <c r="BO96"/>
  <c r="BN96"/>
  <c r="BM96"/>
  <c r="BL96"/>
  <c r="BG96"/>
  <c r="BE96"/>
  <c r="BD96"/>
  <c r="BA96"/>
  <c r="AX96"/>
  <c r="AQ96"/>
  <c r="AJ96"/>
  <c r="AC96"/>
  <c r="W96"/>
  <c r="J96"/>
  <c r="G96"/>
  <c r="A96"/>
  <c r="CO94"/>
  <c r="CN94"/>
  <c r="CM94"/>
  <c r="CL94"/>
  <c r="CK94"/>
  <c r="CJ94"/>
  <c r="CI94"/>
  <c r="CH94"/>
  <c r="CG94"/>
  <c r="CF94"/>
  <c r="CE94"/>
  <c r="CD94"/>
  <c r="CC94"/>
  <c r="CB94"/>
  <c r="CA94"/>
  <c r="BZ94"/>
  <c r="BY94"/>
  <c r="BX94"/>
  <c r="BW94"/>
  <c r="BV94"/>
  <c r="BU94"/>
  <c r="BT94"/>
  <c r="BS94"/>
  <c r="BR94"/>
  <c r="BQ94"/>
  <c r="BP94"/>
  <c r="BO94"/>
  <c r="BN94"/>
  <c r="BM94"/>
  <c r="BL94"/>
  <c r="BG94"/>
  <c r="BE94"/>
  <c r="BD94"/>
  <c r="BA94"/>
  <c r="AX94"/>
  <c r="AQ94"/>
  <c r="AJ94"/>
  <c r="AC94"/>
  <c r="W94"/>
  <c r="J94"/>
  <c r="G94"/>
  <c r="A94"/>
  <c r="CO93"/>
  <c r="CN93"/>
  <c r="CM93"/>
  <c r="CL93"/>
  <c r="CK93"/>
  <c r="CJ93"/>
  <c r="CI93"/>
  <c r="CH93"/>
  <c r="CG93"/>
  <c r="CF93"/>
  <c r="CE93"/>
  <c r="CD93"/>
  <c r="CC93"/>
  <c r="CB93"/>
  <c r="CA93"/>
  <c r="BZ93"/>
  <c r="BY93"/>
  <c r="BX93"/>
  <c r="BW93"/>
  <c r="BV93"/>
  <c r="BU93"/>
  <c r="BT93"/>
  <c r="BS93"/>
  <c r="BR93"/>
  <c r="BQ93"/>
  <c r="BP93"/>
  <c r="BO93"/>
  <c r="BN93"/>
  <c r="BM93"/>
  <c r="BL93"/>
  <c r="BG93"/>
  <c r="BE93"/>
  <c r="BD93"/>
  <c r="BA93"/>
  <c r="AX93"/>
  <c r="AQ93"/>
  <c r="AJ93"/>
  <c r="AC93"/>
  <c r="W93"/>
  <c r="J93"/>
  <c r="G93"/>
  <c r="A93"/>
  <c r="CM92"/>
  <c r="CL92"/>
  <c r="CK92"/>
  <c r="CJ92"/>
  <c r="CI92"/>
  <c r="CH92"/>
  <c r="CG92"/>
  <c r="CF92"/>
  <c r="CE92"/>
  <c r="CD92"/>
  <c r="CC92"/>
  <c r="CB92"/>
  <c r="CA92"/>
  <c r="BZ92"/>
  <c r="BY92"/>
  <c r="BX92"/>
  <c r="BW92"/>
  <c r="BV92"/>
  <c r="BU92"/>
  <c r="BT92"/>
  <c r="BS92"/>
  <c r="BR92"/>
  <c r="BQ92"/>
  <c r="BP92"/>
  <c r="BO92"/>
  <c r="BN92"/>
  <c r="BM92"/>
  <c r="BL92"/>
  <c r="BG92"/>
  <c r="BE92"/>
  <c r="BD92"/>
  <c r="BA92"/>
  <c r="AX92"/>
  <c r="AQ92"/>
  <c r="AJ92"/>
  <c r="AC92"/>
  <c r="W92"/>
  <c r="J92"/>
  <c r="G92"/>
  <c r="A92"/>
  <c r="CM91"/>
  <c r="CL91"/>
  <c r="CK91"/>
  <c r="CJ91"/>
  <c r="CI91"/>
  <c r="CH91"/>
  <c r="CG91"/>
  <c r="CF91"/>
  <c r="CE91"/>
  <c r="CD91"/>
  <c r="CC91"/>
  <c r="CB91"/>
  <c r="CA91"/>
  <c r="BZ91"/>
  <c r="BY91"/>
  <c r="BX91"/>
  <c r="BW91"/>
  <c r="BV91"/>
  <c r="BU91"/>
  <c r="BT91"/>
  <c r="BS91"/>
  <c r="BR91"/>
  <c r="BQ91"/>
  <c r="BP91"/>
  <c r="BO91"/>
  <c r="BN91"/>
  <c r="BM91"/>
  <c r="BL91"/>
  <c r="BG91"/>
  <c r="BE91"/>
  <c r="BD91"/>
  <c r="BA91"/>
  <c r="AX91"/>
  <c r="AQ91"/>
  <c r="AJ91"/>
  <c r="AC91"/>
  <c r="W91"/>
  <c r="J91"/>
  <c r="G91"/>
  <c r="A91"/>
  <c r="CM90"/>
  <c r="CL90"/>
  <c r="CK90"/>
  <c r="CJ90"/>
  <c r="CI90"/>
  <c r="CH90"/>
  <c r="CG90"/>
  <c r="CF90"/>
  <c r="CE90"/>
  <c r="CD90"/>
  <c r="CC90"/>
  <c r="CB90"/>
  <c r="CA90"/>
  <c r="BZ90"/>
  <c r="BY90"/>
  <c r="BX90"/>
  <c r="BW90"/>
  <c r="BV90"/>
  <c r="BU90"/>
  <c r="BT90"/>
  <c r="BS90"/>
  <c r="BR90"/>
  <c r="BQ90"/>
  <c r="BP90"/>
  <c r="BO90"/>
  <c r="BN90"/>
  <c r="BM90"/>
  <c r="BL90"/>
  <c r="BG90"/>
  <c r="BE90"/>
  <c r="BD90"/>
  <c r="BA90"/>
  <c r="AX90"/>
  <c r="AQ90"/>
  <c r="AJ90"/>
  <c r="AC90"/>
  <c r="W90"/>
  <c r="J90"/>
  <c r="G90"/>
  <c r="A90"/>
  <c r="CM89"/>
  <c r="CL89"/>
  <c r="CK89"/>
  <c r="CJ89"/>
  <c r="CI89"/>
  <c r="CH89"/>
  <c r="CG89"/>
  <c r="CF89"/>
  <c r="CE89"/>
  <c r="CD89"/>
  <c r="CC89"/>
  <c r="CB89"/>
  <c r="CA89"/>
  <c r="BZ89"/>
  <c r="BY89"/>
  <c r="BX89"/>
  <c r="BW89"/>
  <c r="BV89"/>
  <c r="BU89"/>
  <c r="BT89"/>
  <c r="BS89"/>
  <c r="BR89"/>
  <c r="BQ89"/>
  <c r="BP89"/>
  <c r="BO89"/>
  <c r="BN89"/>
  <c r="BM89"/>
  <c r="BL89"/>
  <c r="BG89"/>
  <c r="BE89"/>
  <c r="BD89"/>
  <c r="BA89"/>
  <c r="AX89"/>
  <c r="AQ89"/>
  <c r="AJ89"/>
  <c r="AC89"/>
  <c r="W89"/>
  <c r="J89"/>
  <c r="G89"/>
  <c r="A89"/>
  <c r="CM88"/>
  <c r="CL88"/>
  <c r="CK88"/>
  <c r="CJ88"/>
  <c r="CI88"/>
  <c r="CH88"/>
  <c r="CG88"/>
  <c r="CF88"/>
  <c r="CE88"/>
  <c r="CD88"/>
  <c r="CC88"/>
  <c r="CB88"/>
  <c r="CA88"/>
  <c r="BZ88"/>
  <c r="BY88"/>
  <c r="BX88"/>
  <c r="BW88"/>
  <c r="BV88"/>
  <c r="BU88"/>
  <c r="BT88"/>
  <c r="BS88"/>
  <c r="BR88"/>
  <c r="BQ88"/>
  <c r="BP88"/>
  <c r="BO88"/>
  <c r="BN88"/>
  <c r="BM88"/>
  <c r="BL88"/>
  <c r="BG88"/>
  <c r="BE88"/>
  <c r="BD88"/>
  <c r="BA88"/>
  <c r="AX88"/>
  <c r="AQ88"/>
  <c r="AJ88"/>
  <c r="AC88"/>
  <c r="W88"/>
  <c r="J88"/>
  <c r="G88"/>
  <c r="A88"/>
  <c r="CO87"/>
  <c r="CN87"/>
  <c r="CM87"/>
  <c r="CL87"/>
  <c r="CK87"/>
  <c r="CJ87"/>
  <c r="CI87"/>
  <c r="CH87"/>
  <c r="CG87"/>
  <c r="CF87"/>
  <c r="CE87"/>
  <c r="CD87"/>
  <c r="CC87"/>
  <c r="CB87"/>
  <c r="CA87"/>
  <c r="BZ87"/>
  <c r="BY87"/>
  <c r="BX87"/>
  <c r="BW87"/>
  <c r="BV87"/>
  <c r="BU87"/>
  <c r="BT87"/>
  <c r="BS87"/>
  <c r="BR87"/>
  <c r="BQ87"/>
  <c r="BP87"/>
  <c r="BO87"/>
  <c r="BN87"/>
  <c r="BM87"/>
  <c r="BL87"/>
  <c r="BG87"/>
  <c r="BE87"/>
  <c r="BD87"/>
  <c r="BA87"/>
  <c r="AX87"/>
  <c r="AQ87"/>
  <c r="AJ87"/>
  <c r="AC87"/>
  <c r="W87"/>
  <c r="J87"/>
  <c r="G87"/>
  <c r="A87"/>
  <c r="CO86"/>
  <c r="CN86"/>
  <c r="CM86"/>
  <c r="CL86"/>
  <c r="CK86"/>
  <c r="CJ86"/>
  <c r="CI86"/>
  <c r="CH86"/>
  <c r="CG86"/>
  <c r="CF86"/>
  <c r="CE86"/>
  <c r="CD86"/>
  <c r="CC86"/>
  <c r="CB86"/>
  <c r="CA86"/>
  <c r="BZ86"/>
  <c r="BY86"/>
  <c r="BX86"/>
  <c r="BW86"/>
  <c r="BV86"/>
  <c r="BU86"/>
  <c r="BT86"/>
  <c r="BS86"/>
  <c r="BR86"/>
  <c r="BQ86"/>
  <c r="BP86"/>
  <c r="BO86"/>
  <c r="BN86"/>
  <c r="BM86"/>
  <c r="BL86"/>
  <c r="BG86"/>
  <c r="BE86"/>
  <c r="BD86"/>
  <c r="BA86"/>
  <c r="AX86"/>
  <c r="AQ86"/>
  <c r="AJ86"/>
  <c r="AC86"/>
  <c r="W86"/>
  <c r="J86"/>
  <c r="G86"/>
  <c r="A86"/>
  <c r="CO85"/>
  <c r="CN85"/>
  <c r="CM85"/>
  <c r="CL85"/>
  <c r="CK85"/>
  <c r="CJ85"/>
  <c r="CI85"/>
  <c r="CH85"/>
  <c r="CG85"/>
  <c r="CF85"/>
  <c r="CE85"/>
  <c r="CD85"/>
  <c r="CC85"/>
  <c r="CB85"/>
  <c r="CA85"/>
  <c r="BZ85"/>
  <c r="BY85"/>
  <c r="BX85"/>
  <c r="BW85"/>
  <c r="BV85"/>
  <c r="BU85"/>
  <c r="BT85"/>
  <c r="BS85"/>
  <c r="BR85"/>
  <c r="BQ85"/>
  <c r="BP85"/>
  <c r="BO85"/>
  <c r="BN85"/>
  <c r="BM85"/>
  <c r="BL85"/>
  <c r="BG85"/>
  <c r="BE85"/>
  <c r="BD85"/>
  <c r="BA85"/>
  <c r="AX85"/>
  <c r="AQ85"/>
  <c r="AJ85"/>
  <c r="AC85"/>
  <c r="W85"/>
  <c r="J85"/>
  <c r="G85"/>
  <c r="A85"/>
  <c r="CM84"/>
  <c r="CL84"/>
  <c r="CK84"/>
  <c r="CJ84"/>
  <c r="CI84"/>
  <c r="CH84"/>
  <c r="CG84"/>
  <c r="CF84"/>
  <c r="CE84"/>
  <c r="CD84"/>
  <c r="CC84"/>
  <c r="CB84"/>
  <c r="CA84"/>
  <c r="BZ84"/>
  <c r="BY84"/>
  <c r="BX84"/>
  <c r="BW84"/>
  <c r="BV84"/>
  <c r="BU84"/>
  <c r="BT84"/>
  <c r="BS84"/>
  <c r="BR84"/>
  <c r="BQ84"/>
  <c r="BP84"/>
  <c r="BO84"/>
  <c r="BN84"/>
  <c r="BM84"/>
  <c r="BL84"/>
  <c r="BG84"/>
  <c r="BE84"/>
  <c r="BD84"/>
  <c r="BA84"/>
  <c r="AX84"/>
  <c r="AQ84"/>
  <c r="AJ84"/>
  <c r="AC84"/>
  <c r="W84"/>
  <c r="J84"/>
  <c r="G84"/>
  <c r="A84"/>
  <c r="CM83"/>
  <c r="CL83"/>
  <c r="CK83"/>
  <c r="CJ83"/>
  <c r="CI83"/>
  <c r="CH83"/>
  <c r="CG83"/>
  <c r="CF83"/>
  <c r="CE83"/>
  <c r="CD83"/>
  <c r="CC83"/>
  <c r="CB83"/>
  <c r="CA83"/>
  <c r="BZ83"/>
  <c r="BY83"/>
  <c r="BX83"/>
  <c r="BW83"/>
  <c r="BV83"/>
  <c r="BU83"/>
  <c r="BT83"/>
  <c r="BS83"/>
  <c r="BR83"/>
  <c r="BQ83"/>
  <c r="BP83"/>
  <c r="BO83"/>
  <c r="BN83"/>
  <c r="BM83"/>
  <c r="BL83"/>
  <c r="BG83"/>
  <c r="BE83"/>
  <c r="BD83"/>
  <c r="BA83"/>
  <c r="AX83"/>
  <c r="AQ83"/>
  <c r="AJ83"/>
  <c r="AC83"/>
  <c r="W83"/>
  <c r="J83"/>
  <c r="G83"/>
  <c r="A83"/>
  <c r="CO82"/>
  <c r="CN82"/>
  <c r="CM82"/>
  <c r="CL82"/>
  <c r="CK82"/>
  <c r="CJ82"/>
  <c r="CI82"/>
  <c r="CH82"/>
  <c r="CG82"/>
  <c r="CF82"/>
  <c r="CE82"/>
  <c r="CD82"/>
  <c r="CC82"/>
  <c r="CB82"/>
  <c r="CA82"/>
  <c r="BZ82"/>
  <c r="BY82"/>
  <c r="BX82"/>
  <c r="BW82"/>
  <c r="BV82"/>
  <c r="BU82"/>
  <c r="BT82"/>
  <c r="BS82"/>
  <c r="BR82"/>
  <c r="BQ82"/>
  <c r="BP82"/>
  <c r="BO82"/>
  <c r="BN82"/>
  <c r="BM82"/>
  <c r="BL82"/>
  <c r="BG82"/>
  <c r="BE82"/>
  <c r="BD82"/>
  <c r="BA82"/>
  <c r="AX82"/>
  <c r="AQ82"/>
  <c r="AJ82"/>
  <c r="AC82"/>
  <c r="W82"/>
  <c r="J82"/>
  <c r="G82"/>
  <c r="A82"/>
  <c r="CO81"/>
  <c r="CN81"/>
  <c r="CM81"/>
  <c r="CL81"/>
  <c r="CK81"/>
  <c r="CJ81"/>
  <c r="CI81"/>
  <c r="CH81"/>
  <c r="CG81"/>
  <c r="CF81"/>
  <c r="CE81"/>
  <c r="CD81"/>
  <c r="CC81"/>
  <c r="CB81"/>
  <c r="CA81"/>
  <c r="BZ81"/>
  <c r="BY81"/>
  <c r="BX81"/>
  <c r="BW81"/>
  <c r="BV81"/>
  <c r="BU81"/>
  <c r="BT81"/>
  <c r="BS81"/>
  <c r="BR81"/>
  <c r="BQ81"/>
  <c r="BP81"/>
  <c r="BO81"/>
  <c r="BN81"/>
  <c r="BM81"/>
  <c r="BL81"/>
  <c r="BG81"/>
  <c r="BE81"/>
  <c r="BD81"/>
  <c r="BA81"/>
  <c r="AX81"/>
  <c r="AQ81"/>
  <c r="AJ81"/>
  <c r="AC81"/>
  <c r="W81"/>
  <c r="J81"/>
  <c r="G81"/>
  <c r="A81"/>
  <c r="CO80"/>
  <c r="CN80"/>
  <c r="CM80"/>
  <c r="CL80"/>
  <c r="CK80"/>
  <c r="CJ80"/>
  <c r="CI80"/>
  <c r="CH80"/>
  <c r="CG80"/>
  <c r="CF80"/>
  <c r="CE80"/>
  <c r="CD80"/>
  <c r="CC80"/>
  <c r="CB80"/>
  <c r="CA80"/>
  <c r="BZ80"/>
  <c r="BY80"/>
  <c r="BX80"/>
  <c r="BW80"/>
  <c r="BV80"/>
  <c r="BU80"/>
  <c r="BT80"/>
  <c r="BS80"/>
  <c r="BR80"/>
  <c r="BQ80"/>
  <c r="BP80"/>
  <c r="BO80"/>
  <c r="BN80"/>
  <c r="BM80"/>
  <c r="BL80"/>
  <c r="BG80"/>
  <c r="BE80"/>
  <c r="BD80"/>
  <c r="BA80"/>
  <c r="AX80"/>
  <c r="AQ80"/>
  <c r="AJ80"/>
  <c r="AC80"/>
  <c r="W80"/>
  <c r="J80"/>
  <c r="G80"/>
  <c r="A80"/>
  <c r="CO79"/>
  <c r="CN79"/>
  <c r="CM79"/>
  <c r="CL79"/>
  <c r="CK79"/>
  <c r="CJ79"/>
  <c r="CI79"/>
  <c r="CH79"/>
  <c r="CG79"/>
  <c r="CF79"/>
  <c r="CE79"/>
  <c r="CD79"/>
  <c r="CC79"/>
  <c r="CB79"/>
  <c r="CA79"/>
  <c r="BZ79"/>
  <c r="BY79"/>
  <c r="BX79"/>
  <c r="BW79"/>
  <c r="BV79"/>
  <c r="BU79"/>
  <c r="BT79"/>
  <c r="BS79"/>
  <c r="BR79"/>
  <c r="BQ79"/>
  <c r="BP79"/>
  <c r="BO79"/>
  <c r="BN79"/>
  <c r="BM79"/>
  <c r="BL79"/>
  <c r="BG79"/>
  <c r="BE79"/>
  <c r="BD79"/>
  <c r="BA79"/>
  <c r="AX79"/>
  <c r="AQ79"/>
  <c r="AJ79"/>
  <c r="AC79"/>
  <c r="W79"/>
  <c r="J79"/>
  <c r="G79"/>
  <c r="A79"/>
  <c r="CO78"/>
  <c r="CN78"/>
  <c r="CM78"/>
  <c r="CL78"/>
  <c r="CK78"/>
  <c r="CJ78"/>
  <c r="CI78"/>
  <c r="CH78"/>
  <c r="CG78"/>
  <c r="CF78"/>
  <c r="CE78"/>
  <c r="CD78"/>
  <c r="CC78"/>
  <c r="CB78"/>
  <c r="CA78"/>
  <c r="BZ78"/>
  <c r="BY78"/>
  <c r="BX78"/>
  <c r="BW78"/>
  <c r="BV78"/>
  <c r="BU78"/>
  <c r="BT78"/>
  <c r="BS78"/>
  <c r="BR78"/>
  <c r="BQ78"/>
  <c r="BP78"/>
  <c r="BO78"/>
  <c r="BN78"/>
  <c r="BM78"/>
  <c r="BL78"/>
  <c r="BG78"/>
  <c r="BE78"/>
  <c r="BD78"/>
  <c r="BA78"/>
  <c r="AX78"/>
  <c r="AQ78"/>
  <c r="AJ78"/>
  <c r="AC78"/>
  <c r="W78"/>
  <c r="J78"/>
  <c r="G78"/>
  <c r="A78"/>
  <c r="CK76"/>
  <c r="CJ76"/>
  <c r="CI76"/>
  <c r="CH76"/>
  <c r="CG76"/>
  <c r="CF76"/>
  <c r="CE76"/>
  <c r="CD76"/>
  <c r="CC76"/>
  <c r="CB76"/>
  <c r="CA76"/>
  <c r="BZ76"/>
  <c r="BY76"/>
  <c r="BX76"/>
  <c r="BW76"/>
  <c r="BV76"/>
  <c r="BU76"/>
  <c r="BT76"/>
  <c r="BS76"/>
  <c r="BR76"/>
  <c r="BQ76"/>
  <c r="BP76"/>
  <c r="BO76"/>
  <c r="BN76"/>
  <c r="BM76"/>
  <c r="BL76"/>
  <c r="BG76"/>
  <c r="BE76"/>
  <c r="BD76"/>
  <c r="BA76"/>
  <c r="AX76"/>
  <c r="AQ76"/>
  <c r="AJ76"/>
  <c r="AC76"/>
  <c r="W76"/>
  <c r="Q76"/>
  <c r="J76"/>
  <c r="G76"/>
  <c r="A76"/>
  <c r="CK75"/>
  <c r="CJ75"/>
  <c r="CI75"/>
  <c r="CH75"/>
  <c r="CG75"/>
  <c r="CF75"/>
  <c r="CE75"/>
  <c r="CD75"/>
  <c r="CC75"/>
  <c r="CB75"/>
  <c r="CA75"/>
  <c r="BZ75"/>
  <c r="BY75"/>
  <c r="BX75"/>
  <c r="BW75"/>
  <c r="BV75"/>
  <c r="BU75"/>
  <c r="BT75"/>
  <c r="BS75"/>
  <c r="BR75"/>
  <c r="BQ75"/>
  <c r="BP75"/>
  <c r="BO75"/>
  <c r="BN75"/>
  <c r="BM75"/>
  <c r="BL75"/>
  <c r="BG75"/>
  <c r="BE75"/>
  <c r="BD75"/>
  <c r="BA75"/>
  <c r="AX75"/>
  <c r="AQ75"/>
  <c r="AJ75"/>
  <c r="AC75"/>
  <c r="W75"/>
  <c r="J75"/>
  <c r="G75"/>
  <c r="A75"/>
  <c r="CI74"/>
  <c r="CH74"/>
  <c r="CG74"/>
  <c r="CF74"/>
  <c r="CE74"/>
  <c r="CD74"/>
  <c r="CC74"/>
  <c r="CB74"/>
  <c r="CA74"/>
  <c r="BZ74"/>
  <c r="BY74"/>
  <c r="BX74"/>
  <c r="BW74"/>
  <c r="BV74"/>
  <c r="BU74"/>
  <c r="BT74"/>
  <c r="BS74"/>
  <c r="BR74"/>
  <c r="BQ74"/>
  <c r="BP74"/>
  <c r="BO74"/>
  <c r="BN74"/>
  <c r="BM74"/>
  <c r="BL74"/>
  <c r="BG74"/>
  <c r="BE74"/>
  <c r="BD74"/>
  <c r="BA74"/>
  <c r="AX74"/>
  <c r="AQ74"/>
  <c r="AJ74"/>
  <c r="AC74"/>
  <c r="W74"/>
  <c r="J74"/>
  <c r="G74"/>
  <c r="A74"/>
  <c r="CI73"/>
  <c r="CH73"/>
  <c r="CG73"/>
  <c r="CF73"/>
  <c r="CE73"/>
  <c r="CD73"/>
  <c r="CC73"/>
  <c r="CB73"/>
  <c r="CA73"/>
  <c r="BZ73"/>
  <c r="BY73"/>
  <c r="BX73"/>
  <c r="BW73"/>
  <c r="BV73"/>
  <c r="BU73"/>
  <c r="BT73"/>
  <c r="BS73"/>
  <c r="BR73"/>
  <c r="BQ73"/>
  <c r="BP73"/>
  <c r="BO73"/>
  <c r="BN73"/>
  <c r="BM73"/>
  <c r="BL73"/>
  <c r="BG73"/>
  <c r="BE73"/>
  <c r="BD73"/>
  <c r="BA73"/>
  <c r="AX73"/>
  <c r="AQ73"/>
  <c r="AJ73"/>
  <c r="AC73"/>
  <c r="W73"/>
  <c r="J73"/>
  <c r="G73"/>
  <c r="A73"/>
  <c r="CI72"/>
  <c r="CH72"/>
  <c r="CG72"/>
  <c r="CF72"/>
  <c r="CE72"/>
  <c r="CD72"/>
  <c r="CC72"/>
  <c r="CB72"/>
  <c r="CA72"/>
  <c r="BZ72"/>
  <c r="BY72"/>
  <c r="BX72"/>
  <c r="BW72"/>
  <c r="BV72"/>
  <c r="BU72"/>
  <c r="BT72"/>
  <c r="BS72"/>
  <c r="BR72"/>
  <c r="BQ72"/>
  <c r="BP72"/>
  <c r="BO72"/>
  <c r="BN72"/>
  <c r="BM72"/>
  <c r="BL72"/>
  <c r="BG72"/>
  <c r="BE72"/>
  <c r="BD72"/>
  <c r="BA72"/>
  <c r="AX72"/>
  <c r="AQ72"/>
  <c r="AJ72"/>
  <c r="AC72"/>
  <c r="W72"/>
  <c r="Q72"/>
  <c r="J72"/>
  <c r="G72"/>
  <c r="A72"/>
  <c r="CI71"/>
  <c r="CH71"/>
  <c r="CG71"/>
  <c r="CF71"/>
  <c r="CE71"/>
  <c r="CD71"/>
  <c r="CC71"/>
  <c r="CB71"/>
  <c r="CA71"/>
  <c r="BZ71"/>
  <c r="BY71"/>
  <c r="BX71"/>
  <c r="BW71"/>
  <c r="BV71"/>
  <c r="BU71"/>
  <c r="BT71"/>
  <c r="BS71"/>
  <c r="BR71"/>
  <c r="BQ71"/>
  <c r="BP71"/>
  <c r="BO71"/>
  <c r="BN71"/>
  <c r="BM71"/>
  <c r="BL71"/>
  <c r="BG71"/>
  <c r="BE71"/>
  <c r="BD71"/>
  <c r="BA71"/>
  <c r="AX71"/>
  <c r="AQ71"/>
  <c r="AJ71"/>
  <c r="AC71"/>
  <c r="W71"/>
  <c r="J71"/>
  <c r="G71"/>
  <c r="A71"/>
  <c r="CI70"/>
  <c r="CH70"/>
  <c r="CG70"/>
  <c r="CF70"/>
  <c r="CE70"/>
  <c r="CD70"/>
  <c r="CC70"/>
  <c r="CB70"/>
  <c r="CA70"/>
  <c r="BZ70"/>
  <c r="BY70"/>
  <c r="BX70"/>
  <c r="BW70"/>
  <c r="BV70"/>
  <c r="BU70"/>
  <c r="BT70"/>
  <c r="BS70"/>
  <c r="BR70"/>
  <c r="BQ70"/>
  <c r="BP70"/>
  <c r="BO70"/>
  <c r="BN70"/>
  <c r="BM70"/>
  <c r="BL70"/>
  <c r="BG70"/>
  <c r="BE70"/>
  <c r="BD70"/>
  <c r="BA70"/>
  <c r="AX70"/>
  <c r="AQ70"/>
  <c r="AJ70"/>
  <c r="AC70"/>
  <c r="W70"/>
  <c r="J70"/>
  <c r="G70"/>
  <c r="A70"/>
  <c r="CI69"/>
  <c r="CH69"/>
  <c r="CG69"/>
  <c r="CF69"/>
  <c r="CE69"/>
  <c r="CD69"/>
  <c r="CC69"/>
  <c r="CB69"/>
  <c r="CA69"/>
  <c r="BZ69"/>
  <c r="BY69"/>
  <c r="BX69"/>
  <c r="BW69"/>
  <c r="BV69"/>
  <c r="BU69"/>
  <c r="BT69"/>
  <c r="BS69"/>
  <c r="BR69"/>
  <c r="BQ69"/>
  <c r="BP69"/>
  <c r="BO69"/>
  <c r="BN69"/>
  <c r="BM69"/>
  <c r="BL69"/>
  <c r="BG69"/>
  <c r="BE69"/>
  <c r="BD69"/>
  <c r="BA69"/>
  <c r="AX69"/>
  <c r="AQ69"/>
  <c r="AJ69"/>
  <c r="AC69"/>
  <c r="W69"/>
  <c r="J69"/>
  <c r="G69"/>
  <c r="A69"/>
  <c r="CK68"/>
  <c r="CJ68"/>
  <c r="CI68"/>
  <c r="CH68"/>
  <c r="CG68"/>
  <c r="CF68"/>
  <c r="CE68"/>
  <c r="CD68"/>
  <c r="CC68"/>
  <c r="CB68"/>
  <c r="CA68"/>
  <c r="BZ68"/>
  <c r="BY68"/>
  <c r="BX68"/>
  <c r="BW68"/>
  <c r="BV68"/>
  <c r="BU68"/>
  <c r="BT68"/>
  <c r="BS68"/>
  <c r="BR68"/>
  <c r="BQ68"/>
  <c r="BP68"/>
  <c r="BO68"/>
  <c r="BN68"/>
  <c r="BM68"/>
  <c r="BL68"/>
  <c r="BG68"/>
  <c r="BE68"/>
  <c r="BD68"/>
  <c r="BA68"/>
  <c r="AX68"/>
  <c r="AQ68"/>
  <c r="AJ68"/>
  <c r="AC68"/>
  <c r="W68"/>
  <c r="J68"/>
  <c r="G68"/>
  <c r="A68"/>
  <c r="CK67"/>
  <c r="CJ67"/>
  <c r="CI67"/>
  <c r="CH67"/>
  <c r="CG67"/>
  <c r="CF67"/>
  <c r="CE67"/>
  <c r="CD67"/>
  <c r="CC67"/>
  <c r="CB67"/>
  <c r="CA67"/>
  <c r="BZ67"/>
  <c r="BY67"/>
  <c r="BX67"/>
  <c r="BW67"/>
  <c r="BV67"/>
  <c r="BU67"/>
  <c r="BT67"/>
  <c r="BS67"/>
  <c r="BR67"/>
  <c r="BQ67"/>
  <c r="BP67"/>
  <c r="BO67"/>
  <c r="BN67"/>
  <c r="BM67"/>
  <c r="BL67"/>
  <c r="BG67"/>
  <c r="BE67"/>
  <c r="BD67"/>
  <c r="BA67"/>
  <c r="AX67"/>
  <c r="AQ67"/>
  <c r="AJ67"/>
  <c r="AC67"/>
  <c r="W67"/>
  <c r="J67"/>
  <c r="G67"/>
  <c r="A67"/>
  <c r="CG66"/>
  <c r="CF66"/>
  <c r="CE66"/>
  <c r="CD66"/>
  <c r="CC66"/>
  <c r="CB66"/>
  <c r="CA66"/>
  <c r="BZ66"/>
  <c r="BY66"/>
  <c r="BX66"/>
  <c r="BW66"/>
  <c r="BV66"/>
  <c r="BU66"/>
  <c r="BT66"/>
  <c r="BS66"/>
  <c r="BR66"/>
  <c r="BQ66"/>
  <c r="BP66"/>
  <c r="BO66"/>
  <c r="BN66"/>
  <c r="BM66"/>
  <c r="BL66"/>
  <c r="BG66"/>
  <c r="BE66"/>
  <c r="BD66"/>
  <c r="BA66"/>
  <c r="AX66"/>
  <c r="AQ66"/>
  <c r="AJ66"/>
  <c r="AC66"/>
  <c r="W66"/>
  <c r="J66"/>
  <c r="G66"/>
  <c r="A66"/>
  <c r="CO65"/>
  <c r="CN65"/>
  <c r="CM65"/>
  <c r="CL65"/>
  <c r="CK65"/>
  <c r="CJ65"/>
  <c r="CI65"/>
  <c r="CH65"/>
  <c r="CG65"/>
  <c r="CF65"/>
  <c r="CE65"/>
  <c r="CD65"/>
  <c r="CC65"/>
  <c r="CB65"/>
  <c r="CA65"/>
  <c r="BZ65"/>
  <c r="BY65"/>
  <c r="BX65"/>
  <c r="BW65"/>
  <c r="BV65"/>
  <c r="BU65"/>
  <c r="BT65"/>
  <c r="BS65"/>
  <c r="BR65"/>
  <c r="BQ65"/>
  <c r="BP65"/>
  <c r="BO65"/>
  <c r="BN65"/>
  <c r="BM65"/>
  <c r="BL65"/>
  <c r="BG65"/>
  <c r="BE65"/>
  <c r="BD65"/>
  <c r="BA65"/>
  <c r="AX65"/>
  <c r="AQ65"/>
  <c r="AJ65"/>
  <c r="AC65"/>
  <c r="W65"/>
  <c r="J65"/>
  <c r="G65"/>
  <c r="A65"/>
  <c r="CO64"/>
  <c r="CN64"/>
  <c r="CM64"/>
  <c r="CL64"/>
  <c r="CK64"/>
  <c r="CJ64"/>
  <c r="CI64"/>
  <c r="CH64"/>
  <c r="CG64"/>
  <c r="CF64"/>
  <c r="CE64"/>
  <c r="CD64"/>
  <c r="CC64"/>
  <c r="CB64"/>
  <c r="CA64"/>
  <c r="BZ64"/>
  <c r="BY64"/>
  <c r="BX64"/>
  <c r="BW64"/>
  <c r="BV64"/>
  <c r="BU64"/>
  <c r="BT64"/>
  <c r="BS64"/>
  <c r="BR64"/>
  <c r="BQ64"/>
  <c r="BP64"/>
  <c r="BO64"/>
  <c r="BN64"/>
  <c r="BM64"/>
  <c r="BL64"/>
  <c r="BG64"/>
  <c r="BE64"/>
  <c r="BD64"/>
  <c r="BA64"/>
  <c r="AX64"/>
  <c r="AQ64"/>
  <c r="AJ64"/>
  <c r="AC64"/>
  <c r="W64"/>
  <c r="J64"/>
  <c r="G64"/>
  <c r="A64"/>
  <c r="CO63"/>
  <c r="CN63"/>
  <c r="CM63"/>
  <c r="CL63"/>
  <c r="CK63"/>
  <c r="CJ63"/>
  <c r="CI63"/>
  <c r="CH63"/>
  <c r="CG63"/>
  <c r="CF63"/>
  <c r="CE63"/>
  <c r="CD63"/>
  <c r="CC63"/>
  <c r="CB63"/>
  <c r="CA63"/>
  <c r="BZ63"/>
  <c r="BY63"/>
  <c r="BX63"/>
  <c r="BW63"/>
  <c r="BV63"/>
  <c r="BU63"/>
  <c r="BT63"/>
  <c r="BS63"/>
  <c r="BR63"/>
  <c r="BQ63"/>
  <c r="BP63"/>
  <c r="BO63"/>
  <c r="BN63"/>
  <c r="BM63"/>
  <c r="BL63"/>
  <c r="BG63"/>
  <c r="BE63"/>
  <c r="BD63"/>
  <c r="BA63"/>
  <c r="AX63"/>
  <c r="AQ63"/>
  <c r="AJ63"/>
  <c r="AC63"/>
  <c r="W63"/>
  <c r="J63"/>
  <c r="G63"/>
  <c r="A63"/>
  <c r="CO62"/>
  <c r="CN62"/>
  <c r="CM62"/>
  <c r="CL62"/>
  <c r="CK62"/>
  <c r="CJ62"/>
  <c r="CI62"/>
  <c r="CH62"/>
  <c r="CG62"/>
  <c r="CF62"/>
  <c r="CE62"/>
  <c r="CD62"/>
  <c r="CC62"/>
  <c r="CB62"/>
  <c r="CA62"/>
  <c r="BZ62"/>
  <c r="BY62"/>
  <c r="BX62"/>
  <c r="BW62"/>
  <c r="BV62"/>
  <c r="BU62"/>
  <c r="BT62"/>
  <c r="BS62"/>
  <c r="BR62"/>
  <c r="BQ62"/>
  <c r="BP62"/>
  <c r="BO62"/>
  <c r="BN62"/>
  <c r="BM62"/>
  <c r="BL62"/>
  <c r="BG62"/>
  <c r="BE62"/>
  <c r="BD62"/>
  <c r="BA62"/>
  <c r="AX62"/>
  <c r="AQ62"/>
  <c r="AJ62"/>
  <c r="AC62"/>
  <c r="W62"/>
  <c r="J62"/>
  <c r="G62"/>
  <c r="A62"/>
  <c r="CO61"/>
  <c r="CN61"/>
  <c r="CM61"/>
  <c r="CL61"/>
  <c r="CK61"/>
  <c r="CJ61"/>
  <c r="CI61"/>
  <c r="CH61"/>
  <c r="CG61"/>
  <c r="CF61"/>
  <c r="CE61"/>
  <c r="CD61"/>
  <c r="CC61"/>
  <c r="CB61"/>
  <c r="CA61"/>
  <c r="BZ61"/>
  <c r="BY61"/>
  <c r="BX61"/>
  <c r="BW61"/>
  <c r="BV61"/>
  <c r="BU61"/>
  <c r="BT61"/>
  <c r="BS61"/>
  <c r="BR61"/>
  <c r="BQ61"/>
  <c r="BP61"/>
  <c r="BO61"/>
  <c r="BN61"/>
  <c r="BM61"/>
  <c r="BL61"/>
  <c r="BG61"/>
  <c r="BE61"/>
  <c r="BD61"/>
  <c r="BA61"/>
  <c r="AX61"/>
  <c r="AQ61"/>
  <c r="AJ61"/>
  <c r="AC61"/>
  <c r="W61"/>
  <c r="J61"/>
  <c r="G61"/>
  <c r="A61"/>
  <c r="CO60"/>
  <c r="CN60"/>
  <c r="CM60"/>
  <c r="CL60"/>
  <c r="CK60"/>
  <c r="CJ60"/>
  <c r="CI60"/>
  <c r="CH60"/>
  <c r="CG60"/>
  <c r="CF60"/>
  <c r="CE60"/>
  <c r="CD60"/>
  <c r="CC60"/>
  <c r="CB60"/>
  <c r="CA60"/>
  <c r="BZ60"/>
  <c r="BY60"/>
  <c r="BX60"/>
  <c r="BW60"/>
  <c r="BV60"/>
  <c r="BU60"/>
  <c r="BT60"/>
  <c r="BS60"/>
  <c r="BR60"/>
  <c r="BQ60"/>
  <c r="BP60"/>
  <c r="BO60"/>
  <c r="BN60"/>
  <c r="BM60"/>
  <c r="BL60"/>
  <c r="BG60"/>
  <c r="BE60"/>
  <c r="BD60"/>
  <c r="BA60"/>
  <c r="AX60"/>
  <c r="AQ60"/>
  <c r="AJ60"/>
  <c r="AC60"/>
  <c r="W60"/>
  <c r="J60"/>
  <c r="G60"/>
  <c r="A60"/>
  <c r="CM58"/>
  <c r="CL58"/>
  <c r="CK58"/>
  <c r="CJ58"/>
  <c r="CI58"/>
  <c r="CH58"/>
  <c r="CG58"/>
  <c r="CF58"/>
  <c r="CE58"/>
  <c r="CD58"/>
  <c r="CC58"/>
  <c r="CB58"/>
  <c r="CA58"/>
  <c r="BZ58"/>
  <c r="BY58"/>
  <c r="BX58"/>
  <c r="BW58"/>
  <c r="BV58"/>
  <c r="BU58"/>
  <c r="BT58"/>
  <c r="BS58"/>
  <c r="BR58"/>
  <c r="BQ58"/>
  <c r="BP58"/>
  <c r="BO58"/>
  <c r="BN58"/>
  <c r="BM58"/>
  <c r="BL58"/>
  <c r="BG58"/>
  <c r="BE58"/>
  <c r="BD58"/>
  <c r="BA58"/>
  <c r="AX58"/>
  <c r="AQ58"/>
  <c r="AJ58"/>
  <c r="AC58"/>
  <c r="W58"/>
  <c r="J58"/>
  <c r="G58"/>
  <c r="A58"/>
  <c r="CM57"/>
  <c r="CL57"/>
  <c r="CK57"/>
  <c r="CJ57"/>
  <c r="CI57"/>
  <c r="CH57"/>
  <c r="CG57"/>
  <c r="CF57"/>
  <c r="CE57"/>
  <c r="CD57"/>
  <c r="CC57"/>
  <c r="CB57"/>
  <c r="CA57"/>
  <c r="BZ57"/>
  <c r="BY57"/>
  <c r="BX57"/>
  <c r="BW57"/>
  <c r="BV57"/>
  <c r="BU57"/>
  <c r="BT57"/>
  <c r="BS57"/>
  <c r="BR57"/>
  <c r="BQ57"/>
  <c r="BP57"/>
  <c r="BO57"/>
  <c r="BN57"/>
  <c r="BM57"/>
  <c r="BL57"/>
  <c r="BG57"/>
  <c r="BE57"/>
  <c r="BD57"/>
  <c r="BA57"/>
  <c r="AX57"/>
  <c r="AQ57"/>
  <c r="AJ57"/>
  <c r="AC57"/>
  <c r="W57"/>
  <c r="J57"/>
  <c r="G57"/>
  <c r="A57"/>
  <c r="CI56"/>
  <c r="CH56"/>
  <c r="CG56"/>
  <c r="CF56"/>
  <c r="CE56"/>
  <c r="CD56"/>
  <c r="CC56"/>
  <c r="CB56"/>
  <c r="CA56"/>
  <c r="BZ56"/>
  <c r="BY56"/>
  <c r="BX56"/>
  <c r="BW56"/>
  <c r="BV56"/>
  <c r="BU56"/>
  <c r="BT56"/>
  <c r="BS56"/>
  <c r="BR56"/>
  <c r="BQ56"/>
  <c r="BP56"/>
  <c r="BO56"/>
  <c r="BN56"/>
  <c r="BM56"/>
  <c r="BL56"/>
  <c r="BG56"/>
  <c r="BE56"/>
  <c r="BD56"/>
  <c r="BA56"/>
  <c r="AX56"/>
  <c r="AQ56"/>
  <c r="AJ56"/>
  <c r="AC56"/>
  <c r="W56"/>
  <c r="J56"/>
  <c r="G56"/>
  <c r="A56"/>
  <c r="CI55"/>
  <c r="CH55"/>
  <c r="CG55"/>
  <c r="CF55"/>
  <c r="CE55"/>
  <c r="CD55"/>
  <c r="CC55"/>
  <c r="CB55"/>
  <c r="CA55"/>
  <c r="BZ55"/>
  <c r="BY55"/>
  <c r="BX55"/>
  <c r="BW55"/>
  <c r="BV55"/>
  <c r="BU55"/>
  <c r="BT55"/>
  <c r="BS55"/>
  <c r="BR55"/>
  <c r="BQ55"/>
  <c r="BP55"/>
  <c r="BO55"/>
  <c r="BN55"/>
  <c r="BM55"/>
  <c r="BL55"/>
  <c r="BG55"/>
  <c r="BE55"/>
  <c r="BD55"/>
  <c r="BA55"/>
  <c r="AX55"/>
  <c r="AQ55"/>
  <c r="AJ55"/>
  <c r="AC55"/>
  <c r="W55"/>
  <c r="J55"/>
  <c r="G55"/>
  <c r="A55"/>
  <c r="CI54"/>
  <c r="CH54"/>
  <c r="CG54"/>
  <c r="CF54"/>
  <c r="CE54"/>
  <c r="CD54"/>
  <c r="CC54"/>
  <c r="CB54"/>
  <c r="CA54"/>
  <c r="BZ54"/>
  <c r="BY54"/>
  <c r="BX54"/>
  <c r="BW54"/>
  <c r="BV54"/>
  <c r="BU54"/>
  <c r="BT54"/>
  <c r="BS54"/>
  <c r="BR54"/>
  <c r="BQ54"/>
  <c r="BP54"/>
  <c r="BO54"/>
  <c r="BN54"/>
  <c r="BM54"/>
  <c r="BL54"/>
  <c r="BG54"/>
  <c r="BE54"/>
  <c r="BD54"/>
  <c r="BA54"/>
  <c r="AX54"/>
  <c r="AQ54"/>
  <c r="AJ54"/>
  <c r="AC54"/>
  <c r="W54"/>
  <c r="J54"/>
  <c r="G54"/>
  <c r="A54"/>
  <c r="CI53"/>
  <c r="CH53"/>
  <c r="CG53"/>
  <c r="CF53"/>
  <c r="CE53"/>
  <c r="CD53"/>
  <c r="CC53"/>
  <c r="CB53"/>
  <c r="CA53"/>
  <c r="BZ53"/>
  <c r="BY53"/>
  <c r="BX53"/>
  <c r="BW53"/>
  <c r="BV53"/>
  <c r="BU53"/>
  <c r="BT53"/>
  <c r="BS53"/>
  <c r="BR53"/>
  <c r="BQ53"/>
  <c r="BP53"/>
  <c r="BO53"/>
  <c r="BN53"/>
  <c r="BM53"/>
  <c r="BL53"/>
  <c r="BG53"/>
  <c r="BE53"/>
  <c r="BD53"/>
  <c r="BA53"/>
  <c r="AX53"/>
  <c r="AQ53"/>
  <c r="AJ53"/>
  <c r="AC53"/>
  <c r="W53"/>
  <c r="J53"/>
  <c r="G53"/>
  <c r="A53"/>
  <c r="CI52"/>
  <c r="CH52"/>
  <c r="CG52"/>
  <c r="CF52"/>
  <c r="CE52"/>
  <c r="CD52"/>
  <c r="CC52"/>
  <c r="CB52"/>
  <c r="CA52"/>
  <c r="BZ52"/>
  <c r="BY52"/>
  <c r="BX52"/>
  <c r="BW52"/>
  <c r="BV52"/>
  <c r="BU52"/>
  <c r="BT52"/>
  <c r="BS52"/>
  <c r="BR52"/>
  <c r="BQ52"/>
  <c r="BP52"/>
  <c r="BO52"/>
  <c r="BN52"/>
  <c r="BM52"/>
  <c r="BL52"/>
  <c r="BG52"/>
  <c r="BE52"/>
  <c r="BD52"/>
  <c r="BA52"/>
  <c r="AX52"/>
  <c r="AQ52"/>
  <c r="AJ52"/>
  <c r="AC52"/>
  <c r="W52"/>
  <c r="J52"/>
  <c r="G52"/>
  <c r="A52"/>
  <c r="CK51"/>
  <c r="CJ51"/>
  <c r="CI51"/>
  <c r="CH51"/>
  <c r="CG51"/>
  <c r="CF51"/>
  <c r="CE51"/>
  <c r="CD51"/>
  <c r="CC51"/>
  <c r="CB51"/>
  <c r="CA51"/>
  <c r="BZ51"/>
  <c r="BY51"/>
  <c r="BX51"/>
  <c r="BW51"/>
  <c r="BV51"/>
  <c r="BU51"/>
  <c r="BT51"/>
  <c r="BS51"/>
  <c r="BR51"/>
  <c r="BQ51"/>
  <c r="BP51"/>
  <c r="BO51"/>
  <c r="BN51"/>
  <c r="BM51"/>
  <c r="BL51"/>
  <c r="BG51"/>
  <c r="BE51"/>
  <c r="BD51"/>
  <c r="BA51"/>
  <c r="AX51"/>
  <c r="AQ51"/>
  <c r="AJ51"/>
  <c r="AC51"/>
  <c r="W51"/>
  <c r="J51"/>
  <c r="G51"/>
  <c r="A51"/>
  <c r="CK50"/>
  <c r="CJ50"/>
  <c r="CI50"/>
  <c r="CH50"/>
  <c r="CG50"/>
  <c r="CF50"/>
  <c r="CE50"/>
  <c r="CD50"/>
  <c r="CC50"/>
  <c r="CB50"/>
  <c r="CA50"/>
  <c r="BZ50"/>
  <c r="BY50"/>
  <c r="BX50"/>
  <c r="BW50"/>
  <c r="BV50"/>
  <c r="BU50"/>
  <c r="BT50"/>
  <c r="BS50"/>
  <c r="BR50"/>
  <c r="BQ50"/>
  <c r="BP50"/>
  <c r="BO50"/>
  <c r="BN50"/>
  <c r="BM50"/>
  <c r="BL50"/>
  <c r="BG50"/>
  <c r="BE50"/>
  <c r="BD50"/>
  <c r="BA50"/>
  <c r="AX50"/>
  <c r="AQ50"/>
  <c r="AJ50"/>
  <c r="AC50"/>
  <c r="W50"/>
  <c r="J50"/>
  <c r="G50"/>
  <c r="A50"/>
  <c r="CC49"/>
  <c r="CB49"/>
  <c r="CA49"/>
  <c r="BZ49"/>
  <c r="BY49"/>
  <c r="BX49"/>
  <c r="BW49"/>
  <c r="BV49"/>
  <c r="BU49"/>
  <c r="BT49"/>
  <c r="BS49"/>
  <c r="BR49"/>
  <c r="BQ49"/>
  <c r="BP49"/>
  <c r="BO49"/>
  <c r="BN49"/>
  <c r="BM49"/>
  <c r="BL49"/>
  <c r="BG49"/>
  <c r="BE49"/>
  <c r="BD49"/>
  <c r="BA49"/>
  <c r="AX49"/>
  <c r="AQ49"/>
  <c r="AJ49"/>
  <c r="AC49"/>
  <c r="W49"/>
  <c r="J49"/>
  <c r="G49"/>
  <c r="A49"/>
  <c r="CI48"/>
  <c r="CH48"/>
  <c r="CG48"/>
  <c r="CF48"/>
  <c r="CE48"/>
  <c r="CD48"/>
  <c r="CC48"/>
  <c r="CB48"/>
  <c r="CA48"/>
  <c r="BZ48"/>
  <c r="BY48"/>
  <c r="BX48"/>
  <c r="BW48"/>
  <c r="BV48"/>
  <c r="BU48"/>
  <c r="BT48"/>
  <c r="BS48"/>
  <c r="BR48"/>
  <c r="BQ48"/>
  <c r="BP48"/>
  <c r="BO48"/>
  <c r="BN48"/>
  <c r="BM48"/>
  <c r="BL48"/>
  <c r="BG48"/>
  <c r="BE48"/>
  <c r="BD48"/>
  <c r="BA48"/>
  <c r="AX48"/>
  <c r="AQ48"/>
  <c r="AJ48"/>
  <c r="AC48"/>
  <c r="W48"/>
  <c r="J48"/>
  <c r="G48"/>
  <c r="A48"/>
  <c r="CK47"/>
  <c r="CJ47"/>
  <c r="CI47"/>
  <c r="CH47"/>
  <c r="CG47"/>
  <c r="CF47"/>
  <c r="CE47"/>
  <c r="CD47"/>
  <c r="CC47"/>
  <c r="CB47"/>
  <c r="CA47"/>
  <c r="BZ47"/>
  <c r="BY47"/>
  <c r="BX47"/>
  <c r="BW47"/>
  <c r="BV47"/>
  <c r="BU47"/>
  <c r="BT47"/>
  <c r="BS47"/>
  <c r="BR47"/>
  <c r="BQ47"/>
  <c r="BP47"/>
  <c r="BO47"/>
  <c r="BN47"/>
  <c r="BM47"/>
  <c r="BL47"/>
  <c r="BI47"/>
  <c r="BG47"/>
  <c r="BE47"/>
  <c r="BD47"/>
  <c r="BA47"/>
  <c r="AX47"/>
  <c r="AQ47"/>
  <c r="AJ47"/>
  <c r="AC47"/>
  <c r="W47"/>
  <c r="J47"/>
  <c r="G47"/>
  <c r="A47"/>
  <c r="CM46"/>
  <c r="CL46"/>
  <c r="CK46"/>
  <c r="CJ46"/>
  <c r="CI46"/>
  <c r="CH46"/>
  <c r="CG46"/>
  <c r="CF46"/>
  <c r="CE46"/>
  <c r="CD46"/>
  <c r="CC46"/>
  <c r="CB46"/>
  <c r="CA46"/>
  <c r="BZ46"/>
  <c r="BY46"/>
  <c r="BX46"/>
  <c r="BW46"/>
  <c r="BV46"/>
  <c r="BU46"/>
  <c r="BT46"/>
  <c r="BS46"/>
  <c r="BR46"/>
  <c r="BQ46"/>
  <c r="BP46"/>
  <c r="BO46"/>
  <c r="BN46"/>
  <c r="BM46"/>
  <c r="BL46"/>
  <c r="BG46"/>
  <c r="BE46"/>
  <c r="BD46"/>
  <c r="BA46"/>
  <c r="AX46"/>
  <c r="AQ46"/>
  <c r="AJ46"/>
  <c r="AC46"/>
  <c r="W46"/>
  <c r="J46"/>
  <c r="G46"/>
  <c r="A46"/>
  <c r="CO45"/>
  <c r="CN45"/>
  <c r="CM45"/>
  <c r="CL45"/>
  <c r="CK45"/>
  <c r="CJ45"/>
  <c r="CI45"/>
  <c r="CH45"/>
  <c r="CG45"/>
  <c r="CF45"/>
  <c r="CE45"/>
  <c r="CD45"/>
  <c r="CC45"/>
  <c r="CB45"/>
  <c r="CA45"/>
  <c r="BZ45"/>
  <c r="BY45"/>
  <c r="BX45"/>
  <c r="BW45"/>
  <c r="BV45"/>
  <c r="BU45"/>
  <c r="BT45"/>
  <c r="BS45"/>
  <c r="BR45"/>
  <c r="BQ45"/>
  <c r="BP45"/>
  <c r="BO45"/>
  <c r="BN45"/>
  <c r="BM45"/>
  <c r="BL45"/>
  <c r="BG45"/>
  <c r="BE45"/>
  <c r="BD45"/>
  <c r="BA45"/>
  <c r="AX45"/>
  <c r="AQ45"/>
  <c r="AJ45"/>
  <c r="AC45"/>
  <c r="W45"/>
  <c r="J45"/>
  <c r="G45"/>
  <c r="A45"/>
  <c r="CO44"/>
  <c r="CN44"/>
  <c r="CM44"/>
  <c r="CL44"/>
  <c r="CK44"/>
  <c r="CJ44"/>
  <c r="CI44"/>
  <c r="CH44"/>
  <c r="CG44"/>
  <c r="CF44"/>
  <c r="CE44"/>
  <c r="CD44"/>
  <c r="CC44"/>
  <c r="CB44"/>
  <c r="CA44"/>
  <c r="BZ44"/>
  <c r="BY44"/>
  <c r="BX44"/>
  <c r="BW44"/>
  <c r="BV44"/>
  <c r="BU44"/>
  <c r="BT44"/>
  <c r="BS44"/>
  <c r="BR44"/>
  <c r="BQ44"/>
  <c r="BP44"/>
  <c r="BO44"/>
  <c r="BN44"/>
  <c r="BM44"/>
  <c r="BL44"/>
  <c r="BG44"/>
  <c r="BE44"/>
  <c r="BD44"/>
  <c r="BA44"/>
  <c r="AX44"/>
  <c r="AQ44"/>
  <c r="AJ44"/>
  <c r="AC44"/>
  <c r="W44"/>
  <c r="J44"/>
  <c r="G44"/>
  <c r="A44"/>
  <c r="CO43"/>
  <c r="CN43"/>
  <c r="CM43"/>
  <c r="CL43"/>
  <c r="CK43"/>
  <c r="CJ43"/>
  <c r="CI43"/>
  <c r="CH43"/>
  <c r="CG43"/>
  <c r="CF43"/>
  <c r="CE43"/>
  <c r="CD43"/>
  <c r="CC43"/>
  <c r="CB43"/>
  <c r="CA43"/>
  <c r="BZ43"/>
  <c r="BY43"/>
  <c r="BX43"/>
  <c r="BW43"/>
  <c r="BV43"/>
  <c r="BU43"/>
  <c r="BT43"/>
  <c r="BS43"/>
  <c r="BR43"/>
  <c r="BQ43"/>
  <c r="BP43"/>
  <c r="BO43"/>
  <c r="BN43"/>
  <c r="BM43"/>
  <c r="BL43"/>
  <c r="BG43"/>
  <c r="BE43"/>
  <c r="BD43"/>
  <c r="BA43"/>
  <c r="AX43"/>
  <c r="AQ43"/>
  <c r="AJ43"/>
  <c r="AC43"/>
  <c r="W43"/>
  <c r="J43"/>
  <c r="G43"/>
  <c r="A43"/>
  <c r="CO42"/>
  <c r="CN42"/>
  <c r="CM42"/>
  <c r="CL42"/>
  <c r="CK42"/>
  <c r="CJ42"/>
  <c r="CI42"/>
  <c r="CH42"/>
  <c r="CG42"/>
  <c r="CF42"/>
  <c r="CE42"/>
  <c r="CD42"/>
  <c r="CC42"/>
  <c r="CB42"/>
  <c r="CA42"/>
  <c r="BZ42"/>
  <c r="BY42"/>
  <c r="BX42"/>
  <c r="BW42"/>
  <c r="BV42"/>
  <c r="BU42"/>
  <c r="BT42"/>
  <c r="BS42"/>
  <c r="BR42"/>
  <c r="BQ42"/>
  <c r="BP42"/>
  <c r="BO42"/>
  <c r="BN42"/>
  <c r="BM42"/>
  <c r="BL42"/>
  <c r="BG42"/>
  <c r="BE42"/>
  <c r="BD42"/>
  <c r="BA42"/>
  <c r="AX42"/>
  <c r="AQ42"/>
  <c r="AJ42"/>
  <c r="AC42"/>
  <c r="W42"/>
  <c r="J42"/>
  <c r="G42"/>
  <c r="A42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G41"/>
  <c r="BE41"/>
  <c r="BD41"/>
  <c r="BA41"/>
  <c r="AX41"/>
  <c r="AQ41"/>
  <c r="AJ41"/>
  <c r="AC41"/>
  <c r="W41"/>
  <c r="J41"/>
  <c r="G41"/>
  <c r="A41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I39"/>
  <c r="BG39"/>
  <c r="BE39"/>
  <c r="BD39"/>
  <c r="BA39"/>
  <c r="AX39"/>
  <c r="AQ39"/>
  <c r="AJ39"/>
  <c r="AC39"/>
  <c r="W39"/>
  <c r="J39"/>
  <c r="G39"/>
  <c r="A39"/>
  <c r="CO38"/>
  <c r="CN38"/>
  <c r="CM38"/>
  <c r="CL38"/>
  <c r="CK38"/>
  <c r="CJ38"/>
  <c r="CI38"/>
  <c r="CH38"/>
  <c r="CG38"/>
  <c r="CF38"/>
  <c r="CE38"/>
  <c r="CD38"/>
  <c r="CC38"/>
  <c r="CB38"/>
  <c r="CA38"/>
  <c r="BZ38"/>
  <c r="BY38"/>
  <c r="BX38"/>
  <c r="BW38"/>
  <c r="BV38"/>
  <c r="BU38"/>
  <c r="BT38"/>
  <c r="BS38"/>
  <c r="BR38"/>
  <c r="BQ38"/>
  <c r="BP38"/>
  <c r="BO38"/>
  <c r="BN38"/>
  <c r="BM38"/>
  <c r="BL38"/>
  <c r="BI38"/>
  <c r="BG38"/>
  <c r="BE38"/>
  <c r="BD38"/>
  <c r="BA38"/>
  <c r="AX38"/>
  <c r="AQ38"/>
  <c r="AJ38"/>
  <c r="AC38"/>
  <c r="W38"/>
  <c r="J38"/>
  <c r="G38"/>
  <c r="A38"/>
  <c r="CM37"/>
  <c r="CL37"/>
  <c r="CK37"/>
  <c r="CJ37"/>
  <c r="CI37"/>
  <c r="CH37"/>
  <c r="CG37"/>
  <c r="CF37"/>
  <c r="CE37"/>
  <c r="CD37"/>
  <c r="CC37"/>
  <c r="CB37"/>
  <c r="CA37"/>
  <c r="BZ37"/>
  <c r="BY37"/>
  <c r="BX37"/>
  <c r="BW37"/>
  <c r="BV37"/>
  <c r="BU37"/>
  <c r="BT37"/>
  <c r="BS37"/>
  <c r="BR37"/>
  <c r="BQ37"/>
  <c r="BP37"/>
  <c r="BO37"/>
  <c r="BN37"/>
  <c r="BM37"/>
  <c r="BL37"/>
  <c r="BI37"/>
  <c r="BG37"/>
  <c r="BE37"/>
  <c r="BD37"/>
  <c r="BA37"/>
  <c r="AX37"/>
  <c r="AQ37"/>
  <c r="AJ37"/>
  <c r="AC37"/>
  <c r="W37"/>
  <c r="J37"/>
  <c r="G37"/>
  <c r="A37"/>
  <c r="CM36"/>
  <c r="CL36"/>
  <c r="CK36"/>
  <c r="CJ36"/>
  <c r="CI36"/>
  <c r="CH36"/>
  <c r="CG36"/>
  <c r="CF36"/>
  <c r="CE36"/>
  <c r="CD36"/>
  <c r="CC36"/>
  <c r="CB36"/>
  <c r="CA36"/>
  <c r="BZ36"/>
  <c r="BY36"/>
  <c r="BX36"/>
  <c r="BW36"/>
  <c r="BV36"/>
  <c r="BU36"/>
  <c r="BT36"/>
  <c r="BS36"/>
  <c r="BR36"/>
  <c r="BQ36"/>
  <c r="BP36"/>
  <c r="BO36"/>
  <c r="BN36"/>
  <c r="BM36"/>
  <c r="BL36"/>
  <c r="BI36"/>
  <c r="BG36"/>
  <c r="BE36"/>
  <c r="BD36"/>
  <c r="BA36"/>
  <c r="AX36"/>
  <c r="AQ36"/>
  <c r="AJ36"/>
  <c r="AC36"/>
  <c r="W36"/>
  <c r="J36"/>
  <c r="G36"/>
  <c r="A36"/>
  <c r="CK35"/>
  <c r="CJ35"/>
  <c r="CI35"/>
  <c r="CH35"/>
  <c r="CG35"/>
  <c r="CF35"/>
  <c r="CE35"/>
  <c r="CD35"/>
  <c r="CC35"/>
  <c r="CB35"/>
  <c r="CA35"/>
  <c r="BZ35"/>
  <c r="BY35"/>
  <c r="BX35"/>
  <c r="BW35"/>
  <c r="BV35"/>
  <c r="BU35"/>
  <c r="BT35"/>
  <c r="BS35"/>
  <c r="BR35"/>
  <c r="BQ35"/>
  <c r="BP35"/>
  <c r="BO35"/>
  <c r="BN35"/>
  <c r="BM35"/>
  <c r="BL35"/>
  <c r="BG35"/>
  <c r="BE35"/>
  <c r="BD35"/>
  <c r="BA35"/>
  <c r="AX35"/>
  <c r="AQ35"/>
  <c r="AC35"/>
  <c r="W35"/>
  <c r="J35"/>
  <c r="G35"/>
  <c r="A35"/>
  <c r="CK34"/>
  <c r="CJ34"/>
  <c r="CI34"/>
  <c r="CH34"/>
  <c r="CG34"/>
  <c r="CF34"/>
  <c r="CE34"/>
  <c r="CD34"/>
  <c r="CC34"/>
  <c r="CB34"/>
  <c r="CA34"/>
  <c r="BZ34"/>
  <c r="BY34"/>
  <c r="BX34"/>
  <c r="BW34"/>
  <c r="BV34"/>
  <c r="BU34"/>
  <c r="BT34"/>
  <c r="BS34"/>
  <c r="BR34"/>
  <c r="BQ34"/>
  <c r="BP34"/>
  <c r="BO34"/>
  <c r="BN34"/>
  <c r="BM34"/>
  <c r="BL34"/>
  <c r="BG34"/>
  <c r="BE34"/>
  <c r="BD34"/>
  <c r="BA34"/>
  <c r="AX34"/>
  <c r="AQ34"/>
  <c r="AC34"/>
  <c r="W34"/>
  <c r="J34"/>
  <c r="G34"/>
  <c r="A34"/>
  <c r="CK33"/>
  <c r="CJ33"/>
  <c r="CI33"/>
  <c r="CH33"/>
  <c r="CG33"/>
  <c r="CF33"/>
  <c r="CE33"/>
  <c r="CD33"/>
  <c r="CC33"/>
  <c r="CB33"/>
  <c r="CA33"/>
  <c r="BZ33"/>
  <c r="BY33"/>
  <c r="BX33"/>
  <c r="BW33"/>
  <c r="BV33"/>
  <c r="BU33"/>
  <c r="BT33"/>
  <c r="BS33"/>
  <c r="BR33"/>
  <c r="BQ33"/>
  <c r="BP33"/>
  <c r="BO33"/>
  <c r="BN33"/>
  <c r="BM33"/>
  <c r="BL33"/>
  <c r="BG33"/>
  <c r="BE33"/>
  <c r="BD33"/>
  <c r="BA33"/>
  <c r="AX33"/>
  <c r="AQ33"/>
  <c r="AC33"/>
  <c r="W33"/>
  <c r="J33"/>
  <c r="G33"/>
  <c r="A33"/>
  <c r="CM32"/>
  <c r="CL32"/>
  <c r="CK32"/>
  <c r="CJ32"/>
  <c r="CI32"/>
  <c r="CH32"/>
  <c r="CG32"/>
  <c r="CF32"/>
  <c r="CE32"/>
  <c r="CD32"/>
  <c r="CC32"/>
  <c r="CB32"/>
  <c r="CA32"/>
  <c r="BZ32"/>
  <c r="BY32"/>
  <c r="BX32"/>
  <c r="BW32"/>
  <c r="BV32"/>
  <c r="BU32"/>
  <c r="BT32"/>
  <c r="BS32"/>
  <c r="BR32"/>
  <c r="BQ32"/>
  <c r="BP32"/>
  <c r="BO32"/>
  <c r="BN32"/>
  <c r="BM32"/>
  <c r="BL32"/>
  <c r="BG32"/>
  <c r="BE32"/>
  <c r="BD32"/>
  <c r="BA32"/>
  <c r="AX32"/>
  <c r="AQ32"/>
  <c r="AC32"/>
  <c r="W32"/>
  <c r="J32"/>
  <c r="G32"/>
  <c r="A32"/>
  <c r="CM31"/>
  <c r="CL31"/>
  <c r="CK31"/>
  <c r="CJ31"/>
  <c r="CI31"/>
  <c r="CH31"/>
  <c r="CG31"/>
  <c r="CF31"/>
  <c r="CE31"/>
  <c r="CD31"/>
  <c r="CC31"/>
  <c r="CB31"/>
  <c r="CA31"/>
  <c r="BZ31"/>
  <c r="BY31"/>
  <c r="BX31"/>
  <c r="BW31"/>
  <c r="BV31"/>
  <c r="BU31"/>
  <c r="BT31"/>
  <c r="BS31"/>
  <c r="BR31"/>
  <c r="BQ31"/>
  <c r="BP31"/>
  <c r="BO31"/>
  <c r="BN31"/>
  <c r="BM31"/>
  <c r="BL31"/>
  <c r="BG31"/>
  <c r="BE31"/>
  <c r="BD31"/>
  <c r="BA31"/>
  <c r="AX31"/>
  <c r="AQ31"/>
  <c r="AC31"/>
  <c r="W31"/>
  <c r="J31"/>
  <c r="G31"/>
  <c r="A31"/>
  <c r="CM30"/>
  <c r="CL30"/>
  <c r="CK30"/>
  <c r="CJ30"/>
  <c r="CI30"/>
  <c r="CH30"/>
  <c r="CG30"/>
  <c r="CF30"/>
  <c r="CE30"/>
  <c r="CD30"/>
  <c r="CC30"/>
  <c r="CB30"/>
  <c r="CA30"/>
  <c r="BZ30"/>
  <c r="BY30"/>
  <c r="BX30"/>
  <c r="BW30"/>
  <c r="BV30"/>
  <c r="BU30"/>
  <c r="BT30"/>
  <c r="BS30"/>
  <c r="BR30"/>
  <c r="BQ30"/>
  <c r="BP30"/>
  <c r="BO30"/>
  <c r="BN30"/>
  <c r="BM30"/>
  <c r="BL30"/>
  <c r="BG30"/>
  <c r="BE30"/>
  <c r="BD30"/>
  <c r="BA30"/>
  <c r="AX30"/>
  <c r="AQ30"/>
  <c r="AC30"/>
  <c r="W30"/>
  <c r="J30"/>
  <c r="G30"/>
  <c r="A30"/>
  <c r="CM29"/>
  <c r="CL29"/>
  <c r="CK29"/>
  <c r="CJ29"/>
  <c r="CI29"/>
  <c r="CH29"/>
  <c r="CG29"/>
  <c r="CF29"/>
  <c r="CE29"/>
  <c r="CD29"/>
  <c r="CC29"/>
  <c r="CB29"/>
  <c r="CA29"/>
  <c r="BZ29"/>
  <c r="BY29"/>
  <c r="BX29"/>
  <c r="BW29"/>
  <c r="BV29"/>
  <c r="BU29"/>
  <c r="BT29"/>
  <c r="BS29"/>
  <c r="BR29"/>
  <c r="BQ29"/>
  <c r="BP29"/>
  <c r="BO29"/>
  <c r="BN29"/>
  <c r="BM29"/>
  <c r="BL29"/>
  <c r="BI29"/>
  <c r="BG29"/>
  <c r="BE29"/>
  <c r="BD29"/>
  <c r="BA29"/>
  <c r="AX29"/>
  <c r="AQ29"/>
  <c r="AC29"/>
  <c r="W29"/>
  <c r="J29"/>
  <c r="G29"/>
  <c r="A29"/>
  <c r="CM28"/>
  <c r="CL28"/>
  <c r="CK28"/>
  <c r="CJ28"/>
  <c r="CI28"/>
  <c r="CH28"/>
  <c r="CG28"/>
  <c r="CF28"/>
  <c r="CE28"/>
  <c r="CD28"/>
  <c r="CC28"/>
  <c r="CB28"/>
  <c r="CA28"/>
  <c r="BZ28"/>
  <c r="BY28"/>
  <c r="BX28"/>
  <c r="BW28"/>
  <c r="BV28"/>
  <c r="BU28"/>
  <c r="BT28"/>
  <c r="BS28"/>
  <c r="BR28"/>
  <c r="BQ28"/>
  <c r="BP28"/>
  <c r="BO28"/>
  <c r="BN28"/>
  <c r="BM28"/>
  <c r="BL28"/>
  <c r="BG28"/>
  <c r="BE28"/>
  <c r="BD28"/>
  <c r="BA28"/>
  <c r="AX28"/>
  <c r="AQ28"/>
  <c r="AC28"/>
  <c r="W28"/>
  <c r="J28"/>
  <c r="G28"/>
  <c r="A28"/>
  <c r="CO27"/>
  <c r="CN27"/>
  <c r="CM27"/>
  <c r="CL27"/>
  <c r="CK27"/>
  <c r="CJ27"/>
  <c r="CI27"/>
  <c r="CH27"/>
  <c r="CG27"/>
  <c r="CF27"/>
  <c r="CE27"/>
  <c r="CD27"/>
  <c r="CC27"/>
  <c r="CB27"/>
  <c r="CA27"/>
  <c r="BZ27"/>
  <c r="BY27"/>
  <c r="BX27"/>
  <c r="BW27"/>
  <c r="BV27"/>
  <c r="BU27"/>
  <c r="BT27"/>
  <c r="BS27"/>
  <c r="BR27"/>
  <c r="BQ27"/>
  <c r="BP27"/>
  <c r="BO27"/>
  <c r="BN27"/>
  <c r="BM27"/>
  <c r="BL27"/>
  <c r="BG27"/>
  <c r="BE27"/>
  <c r="BD27"/>
  <c r="BA27"/>
  <c r="AX27"/>
  <c r="AQ27"/>
  <c r="AC27"/>
  <c r="W27"/>
  <c r="J27"/>
  <c r="G27"/>
  <c r="A27"/>
  <c r="CO26"/>
  <c r="CN26"/>
  <c r="CM26"/>
  <c r="CL26"/>
  <c r="CK26"/>
  <c r="CJ26"/>
  <c r="CI26"/>
  <c r="CH26"/>
  <c r="CG26"/>
  <c r="CF26"/>
  <c r="CE26"/>
  <c r="CD26"/>
  <c r="CC26"/>
  <c r="CB26"/>
  <c r="CA26"/>
  <c r="BZ26"/>
  <c r="BY26"/>
  <c r="BX26"/>
  <c r="BW26"/>
  <c r="BV26"/>
  <c r="BU26"/>
  <c r="BT26"/>
  <c r="BS26"/>
  <c r="BR26"/>
  <c r="BQ26"/>
  <c r="BP26"/>
  <c r="BO26"/>
  <c r="BN26"/>
  <c r="BM26"/>
  <c r="BL26"/>
  <c r="BG26"/>
  <c r="BE26"/>
  <c r="BD26"/>
  <c r="BA26"/>
  <c r="AX26"/>
  <c r="AQ26"/>
  <c r="AC26"/>
  <c r="W26"/>
  <c r="J26"/>
  <c r="G26"/>
  <c r="A26"/>
  <c r="CO25"/>
  <c r="CN25"/>
  <c r="CM25"/>
  <c r="CL25"/>
  <c r="CK25"/>
  <c r="CJ25"/>
  <c r="CI25"/>
  <c r="CH25"/>
  <c r="CG25"/>
  <c r="CF25"/>
  <c r="CE25"/>
  <c r="CD25"/>
  <c r="CC25"/>
  <c r="CB25"/>
  <c r="CA25"/>
  <c r="BZ25"/>
  <c r="BY25"/>
  <c r="BX25"/>
  <c r="BW25"/>
  <c r="BV25"/>
  <c r="BU25"/>
  <c r="BT25"/>
  <c r="BS25"/>
  <c r="BR25"/>
  <c r="BQ25"/>
  <c r="BP25"/>
  <c r="BO25"/>
  <c r="BN25"/>
  <c r="BM25"/>
  <c r="BL25"/>
  <c r="BG25"/>
  <c r="BE25"/>
  <c r="BD25"/>
  <c r="BA25"/>
  <c r="AX25"/>
  <c r="AQ25"/>
  <c r="AC25"/>
  <c r="W25"/>
  <c r="J25"/>
  <c r="G25"/>
  <c r="A25"/>
  <c r="CO24"/>
  <c r="CN24"/>
  <c r="CM24"/>
  <c r="CL24"/>
  <c r="CK24"/>
  <c r="CJ24"/>
  <c r="CI24"/>
  <c r="CH24"/>
  <c r="CG24"/>
  <c r="CF24"/>
  <c r="CE24"/>
  <c r="CD24"/>
  <c r="CC24"/>
  <c r="CB24"/>
  <c r="CA24"/>
  <c r="BZ24"/>
  <c r="BY24"/>
  <c r="BX24"/>
  <c r="BW24"/>
  <c r="BV24"/>
  <c r="BU24"/>
  <c r="BT24"/>
  <c r="BS24"/>
  <c r="BR24"/>
  <c r="BQ24"/>
  <c r="BP24"/>
  <c r="BO24"/>
  <c r="BN24"/>
  <c r="BM24"/>
  <c r="BL24"/>
  <c r="BG24"/>
  <c r="BE24"/>
  <c r="BD24"/>
  <c r="BA24"/>
  <c r="AX24"/>
  <c r="AQ24"/>
  <c r="AC24"/>
  <c r="W24"/>
  <c r="J24"/>
  <c r="G24"/>
  <c r="A24"/>
  <c r="CO23"/>
  <c r="CN23"/>
  <c r="CM23"/>
  <c r="CL23"/>
  <c r="CK23"/>
  <c r="CJ23"/>
  <c r="CI23"/>
  <c r="CH23"/>
  <c r="CG23"/>
  <c r="CF23"/>
  <c r="CE23"/>
  <c r="CD23"/>
  <c r="CC23"/>
  <c r="CB23"/>
  <c r="CA23"/>
  <c r="BZ23"/>
  <c r="BY23"/>
  <c r="BX23"/>
  <c r="BW23"/>
  <c r="BV23"/>
  <c r="BU23"/>
  <c r="BT23"/>
  <c r="BS23"/>
  <c r="BR23"/>
  <c r="BQ23"/>
  <c r="BP23"/>
  <c r="BO23"/>
  <c r="BN23"/>
  <c r="BM23"/>
  <c r="BL23"/>
  <c r="BG23"/>
  <c r="BE23"/>
  <c r="BD23"/>
  <c r="BA23"/>
  <c r="AX23"/>
  <c r="AQ23"/>
  <c r="AC23"/>
  <c r="W23"/>
  <c r="J23"/>
  <c r="G23"/>
  <c r="A23"/>
  <c r="CO22"/>
  <c r="CN22"/>
  <c r="CM22"/>
  <c r="CL22"/>
  <c r="CK22"/>
  <c r="CJ22"/>
  <c r="CI22"/>
  <c r="CH22"/>
  <c r="CG22"/>
  <c r="CF22"/>
  <c r="CE22"/>
  <c r="CD22"/>
  <c r="CC22"/>
  <c r="CB22"/>
  <c r="CA22"/>
  <c r="BZ22"/>
  <c r="BY22"/>
  <c r="BX22"/>
  <c r="BW22"/>
  <c r="BV22"/>
  <c r="BU22"/>
  <c r="BT22"/>
  <c r="BS22"/>
  <c r="BR22"/>
  <c r="BQ22"/>
  <c r="BP22"/>
  <c r="BO22"/>
  <c r="BN22"/>
  <c r="BM22"/>
  <c r="BL22"/>
  <c r="BG22"/>
  <c r="BE22"/>
  <c r="BD22"/>
  <c r="BA22"/>
  <c r="AX22"/>
  <c r="AQ22"/>
  <c r="AC22"/>
  <c r="W22"/>
  <c r="J22"/>
  <c r="G22"/>
  <c r="A22"/>
  <c r="CO20"/>
  <c r="CN20"/>
  <c r="CM20"/>
  <c r="CL20"/>
  <c r="CK20"/>
  <c r="CJ20"/>
  <c r="CI20"/>
  <c r="CH20"/>
  <c r="CG20"/>
  <c r="CF20"/>
  <c r="CE20"/>
  <c r="CD20"/>
  <c r="CC20"/>
  <c r="CB20"/>
  <c r="CA20"/>
  <c r="BZ20"/>
  <c r="BY20"/>
  <c r="BX20"/>
  <c r="BW20"/>
  <c r="BV20"/>
  <c r="BU20"/>
  <c r="BT20"/>
  <c r="BS20"/>
  <c r="BR20"/>
  <c r="BQ20"/>
  <c r="BP20"/>
  <c r="BO20"/>
  <c r="BN20"/>
  <c r="BM20"/>
  <c r="BL20"/>
  <c r="BG20"/>
  <c r="BE20"/>
  <c r="BD20"/>
  <c r="BA20"/>
  <c r="AX20"/>
  <c r="AQ20"/>
  <c r="AC20"/>
  <c r="W20"/>
  <c r="J20"/>
  <c r="G20"/>
  <c r="A20"/>
  <c r="CO19"/>
  <c r="CN19"/>
  <c r="CM19"/>
  <c r="CL19"/>
  <c r="CK19"/>
  <c r="CJ19"/>
  <c r="CI19"/>
  <c r="CH19"/>
  <c r="CG19"/>
  <c r="CF19"/>
  <c r="CE19"/>
  <c r="CD19"/>
  <c r="CC19"/>
  <c r="CB19"/>
  <c r="CA19"/>
  <c r="BZ19"/>
  <c r="BY19"/>
  <c r="BX19"/>
  <c r="BW19"/>
  <c r="BV19"/>
  <c r="BU19"/>
  <c r="BT19"/>
  <c r="BS19"/>
  <c r="BR19"/>
  <c r="BQ19"/>
  <c r="BP19"/>
  <c r="BO19"/>
  <c r="BN19"/>
  <c r="BM19"/>
  <c r="BL19"/>
  <c r="BG19"/>
  <c r="BE19"/>
  <c r="BD19"/>
  <c r="BA19"/>
  <c r="AX19"/>
  <c r="AQ19"/>
  <c r="AC19"/>
  <c r="W19"/>
  <c r="J19"/>
  <c r="G19"/>
  <c r="A19"/>
  <c r="CK18"/>
  <c r="CJ18"/>
  <c r="CI18"/>
  <c r="CH18"/>
  <c r="CG18"/>
  <c r="CF18"/>
  <c r="CE18"/>
  <c r="CD18"/>
  <c r="CC18"/>
  <c r="CB18"/>
  <c r="CA18"/>
  <c r="BZ18"/>
  <c r="BY18"/>
  <c r="BX18"/>
  <c r="BW18"/>
  <c r="BV18"/>
  <c r="BU18"/>
  <c r="BT18"/>
  <c r="BS18"/>
  <c r="BR18"/>
  <c r="BQ18"/>
  <c r="BP18"/>
  <c r="BO18"/>
  <c r="BN18"/>
  <c r="BM18"/>
  <c r="BL18"/>
  <c r="BG18"/>
  <c r="BE18"/>
  <c r="BD18"/>
  <c r="BA18"/>
  <c r="AX18"/>
  <c r="AQ18"/>
  <c r="AC18"/>
  <c r="W18"/>
  <c r="J18"/>
  <c r="G18"/>
  <c r="A18"/>
  <c r="CK17"/>
  <c r="CJ17"/>
  <c r="CI17"/>
  <c r="CH17"/>
  <c r="CG17"/>
  <c r="CF17"/>
  <c r="CE17"/>
  <c r="CD17"/>
  <c r="CC17"/>
  <c r="CB17"/>
  <c r="CA17"/>
  <c r="BZ17"/>
  <c r="BY17"/>
  <c r="BX17"/>
  <c r="BW17"/>
  <c r="BV17"/>
  <c r="BU17"/>
  <c r="BT17"/>
  <c r="BS17"/>
  <c r="BR17"/>
  <c r="BQ17"/>
  <c r="BP17"/>
  <c r="BO17"/>
  <c r="BN17"/>
  <c r="BM17"/>
  <c r="BL17"/>
  <c r="BG17"/>
  <c r="BE17"/>
  <c r="BD17"/>
  <c r="BA17"/>
  <c r="AX17"/>
  <c r="AQ17"/>
  <c r="AC17"/>
  <c r="W17"/>
  <c r="J17"/>
  <c r="G17"/>
  <c r="A17"/>
  <c r="CK16"/>
  <c r="CJ16"/>
  <c r="CI16"/>
  <c r="CH16"/>
  <c r="CG16"/>
  <c r="CF16"/>
  <c r="CE16"/>
  <c r="CD16"/>
  <c r="CC16"/>
  <c r="CB16"/>
  <c r="CA16"/>
  <c r="BZ16"/>
  <c r="BY16"/>
  <c r="BX16"/>
  <c r="BW16"/>
  <c r="BV16"/>
  <c r="BU16"/>
  <c r="BT16"/>
  <c r="BS16"/>
  <c r="BR16"/>
  <c r="BQ16"/>
  <c r="BP16"/>
  <c r="BO16"/>
  <c r="BN16"/>
  <c r="BM16"/>
  <c r="BL16"/>
  <c r="BI16"/>
  <c r="BG16"/>
  <c r="BE16"/>
  <c r="BD16"/>
  <c r="BA16"/>
  <c r="AX16"/>
  <c r="AQ16"/>
  <c r="AC16"/>
  <c r="W16"/>
  <c r="J16"/>
  <c r="G16"/>
  <c r="A16"/>
  <c r="CM15"/>
  <c r="CL15"/>
  <c r="CK15"/>
  <c r="CJ15"/>
  <c r="CI15"/>
  <c r="CH15"/>
  <c r="CG15"/>
  <c r="CF15"/>
  <c r="CE15"/>
  <c r="CD15"/>
  <c r="CC15"/>
  <c r="CB15"/>
  <c r="CA15"/>
  <c r="BZ15"/>
  <c r="BY15"/>
  <c r="BX15"/>
  <c r="BW15"/>
  <c r="BV15"/>
  <c r="BU15"/>
  <c r="BT15"/>
  <c r="BS15"/>
  <c r="BR15"/>
  <c r="BQ15"/>
  <c r="BP15"/>
  <c r="BO15"/>
  <c r="BN15"/>
  <c r="BM15"/>
  <c r="BL15"/>
  <c r="BG15"/>
  <c r="BE15"/>
  <c r="BD15"/>
  <c r="BA15"/>
  <c r="AX15"/>
  <c r="AQ15"/>
  <c r="AC15"/>
  <c r="W15"/>
  <c r="J15"/>
  <c r="G15"/>
  <c r="A15"/>
  <c r="CO14"/>
  <c r="CN14"/>
  <c r="CM14"/>
  <c r="CL14"/>
  <c r="CK14"/>
  <c r="CJ14"/>
  <c r="CI14"/>
  <c r="CH14"/>
  <c r="CG14"/>
  <c r="CF14"/>
  <c r="CE14"/>
  <c r="CD14"/>
  <c r="CC14"/>
  <c r="CB14"/>
  <c r="CA14"/>
  <c r="BZ14"/>
  <c r="BY14"/>
  <c r="BX14"/>
  <c r="BW14"/>
  <c r="BV14"/>
  <c r="BU14"/>
  <c r="BT14"/>
  <c r="BS14"/>
  <c r="BR14"/>
  <c r="BQ14"/>
  <c r="BP14"/>
  <c r="BO14"/>
  <c r="BN14"/>
  <c r="BM14"/>
  <c r="BL14"/>
  <c r="BG14"/>
  <c r="BE14"/>
  <c r="BD14"/>
  <c r="BA14"/>
  <c r="AX14"/>
  <c r="AQ14"/>
  <c r="AC14"/>
  <c r="W14"/>
  <c r="J14"/>
  <c r="G14"/>
  <c r="A14"/>
  <c r="CO13"/>
  <c r="CN13"/>
  <c r="CM13"/>
  <c r="CL13"/>
  <c r="CK13"/>
  <c r="CJ13"/>
  <c r="CI13"/>
  <c r="CH13"/>
  <c r="CG13"/>
  <c r="CF13"/>
  <c r="CE13"/>
  <c r="CD13"/>
  <c r="CC13"/>
  <c r="CB13"/>
  <c r="CA13"/>
  <c r="BZ13"/>
  <c r="BY13"/>
  <c r="BX13"/>
  <c r="BW13"/>
  <c r="BV13"/>
  <c r="BU13"/>
  <c r="BT13"/>
  <c r="BS13"/>
  <c r="BR13"/>
  <c r="BQ13"/>
  <c r="BP13"/>
  <c r="BO13"/>
  <c r="BN13"/>
  <c r="BM13"/>
  <c r="BL13"/>
  <c r="BG13"/>
  <c r="BE13"/>
  <c r="BD13"/>
  <c r="BA13"/>
  <c r="AX13"/>
  <c r="AQ13"/>
  <c r="AC13"/>
  <c r="W13"/>
  <c r="J13"/>
  <c r="G13"/>
  <c r="A13"/>
  <c r="CM12"/>
  <c r="CL12"/>
  <c r="CK12"/>
  <c r="CJ12"/>
  <c r="CI12"/>
  <c r="CH12"/>
  <c r="CG12"/>
  <c r="CF12"/>
  <c r="CE12"/>
  <c r="CD12"/>
  <c r="CC12"/>
  <c r="CB12"/>
  <c r="CA12"/>
  <c r="BZ12"/>
  <c r="BY12"/>
  <c r="BX12"/>
  <c r="BW12"/>
  <c r="BV12"/>
  <c r="BU12"/>
  <c r="BT12"/>
  <c r="BS12"/>
  <c r="BR12"/>
  <c r="BQ12"/>
  <c r="BP12"/>
  <c r="BO12"/>
  <c r="BN12"/>
  <c r="BM12"/>
  <c r="BL12"/>
  <c r="BG12"/>
  <c r="BE12"/>
  <c r="BD12"/>
  <c r="BA12"/>
  <c r="AX12"/>
  <c r="AQ12"/>
  <c r="AC12"/>
  <c r="W12"/>
  <c r="J12"/>
  <c r="G12"/>
  <c r="A12"/>
  <c r="CM11"/>
  <c r="CL11"/>
  <c r="CK11"/>
  <c r="CJ11"/>
  <c r="CI11"/>
  <c r="CH11"/>
  <c r="CG11"/>
  <c r="CF11"/>
  <c r="CE11"/>
  <c r="CD11"/>
  <c r="CC11"/>
  <c r="CB11"/>
  <c r="CA11"/>
  <c r="BZ11"/>
  <c r="BY11"/>
  <c r="BX11"/>
  <c r="BW11"/>
  <c r="BV11"/>
  <c r="BU11"/>
  <c r="BT11"/>
  <c r="BS11"/>
  <c r="BR11"/>
  <c r="BQ11"/>
  <c r="BP11"/>
  <c r="BO11"/>
  <c r="BN11"/>
  <c r="BM11"/>
  <c r="BL11"/>
  <c r="BG11"/>
  <c r="BE11"/>
  <c r="BD11"/>
  <c r="BA11"/>
  <c r="AX11"/>
  <c r="AQ11"/>
  <c r="AC11"/>
  <c r="W11"/>
  <c r="J11"/>
  <c r="G11"/>
  <c r="A11"/>
  <c r="CM10"/>
  <c r="CL10"/>
  <c r="CK10"/>
  <c r="CJ10"/>
  <c r="CI10"/>
  <c r="CH10"/>
  <c r="CG10"/>
  <c r="CF10"/>
  <c r="CE10"/>
  <c r="CD10"/>
  <c r="CC10"/>
  <c r="CB10"/>
  <c r="CA10"/>
  <c r="BZ10"/>
  <c r="BY10"/>
  <c r="BX10"/>
  <c r="BW10"/>
  <c r="BV10"/>
  <c r="BU10"/>
  <c r="BT10"/>
  <c r="BS10"/>
  <c r="BR10"/>
  <c r="BQ10"/>
  <c r="BP10"/>
  <c r="BO10"/>
  <c r="BN10"/>
  <c r="BM10"/>
  <c r="BL10"/>
  <c r="BG10"/>
  <c r="BE10"/>
  <c r="BD10"/>
  <c r="BA10"/>
  <c r="AX10"/>
  <c r="AQ10"/>
  <c r="AC10"/>
  <c r="W10"/>
  <c r="J10"/>
  <c r="G10"/>
  <c r="A10"/>
  <c r="CO9"/>
  <c r="CN9"/>
  <c r="CM9"/>
  <c r="CL9"/>
  <c r="CK9"/>
  <c r="CJ9"/>
  <c r="CI9"/>
  <c r="CH9"/>
  <c r="CG9"/>
  <c r="CF9"/>
  <c r="CE9"/>
  <c r="CD9"/>
  <c r="CC9"/>
  <c r="CB9"/>
  <c r="CA9"/>
  <c r="BZ9"/>
  <c r="BY9"/>
  <c r="BX9"/>
  <c r="BW9"/>
  <c r="BV9"/>
  <c r="BU9"/>
  <c r="BT9"/>
  <c r="BS9"/>
  <c r="BR9"/>
  <c r="BQ9"/>
  <c r="BP9"/>
  <c r="BO9"/>
  <c r="BN9"/>
  <c r="BM9"/>
  <c r="BL9"/>
  <c r="BG9"/>
  <c r="BE9"/>
  <c r="BD9"/>
  <c r="BA9"/>
  <c r="AX9"/>
  <c r="AQ9"/>
  <c r="AC9"/>
  <c r="W9"/>
  <c r="J9"/>
  <c r="G9"/>
  <c r="A9"/>
  <c r="CO8"/>
  <c r="CN8"/>
  <c r="CM8"/>
  <c r="CL8"/>
  <c r="CK8"/>
  <c r="CJ8"/>
  <c r="CI8"/>
  <c r="CH8"/>
  <c r="CG8"/>
  <c r="CF8"/>
  <c r="CE8"/>
  <c r="CD8"/>
  <c r="CC8"/>
  <c r="CB8"/>
  <c r="CA8"/>
  <c r="BZ8"/>
  <c r="BY8"/>
  <c r="BX8"/>
  <c r="BW8"/>
  <c r="BV8"/>
  <c r="BU8"/>
  <c r="BT8"/>
  <c r="BS8"/>
  <c r="BR8"/>
  <c r="BQ8"/>
  <c r="BP8"/>
  <c r="BO8"/>
  <c r="BN8"/>
  <c r="BM8"/>
  <c r="BL8"/>
  <c r="BG8"/>
  <c r="BE8"/>
  <c r="BD8"/>
  <c r="BA8"/>
  <c r="AX8"/>
  <c r="AQ8"/>
  <c r="AC8"/>
  <c r="W8"/>
  <c r="J8"/>
  <c r="G8"/>
  <c r="A8"/>
  <c r="CO7"/>
  <c r="CN7"/>
  <c r="CM7"/>
  <c r="CL7"/>
  <c r="CK7"/>
  <c r="CJ7"/>
  <c r="CI7"/>
  <c r="CH7"/>
  <c r="CG7"/>
  <c r="CF7"/>
  <c r="CE7"/>
  <c r="CD7"/>
  <c r="CC7"/>
  <c r="CB7"/>
  <c r="CA7"/>
  <c r="BZ7"/>
  <c r="BY7"/>
  <c r="BX7"/>
  <c r="BW7"/>
  <c r="BV7"/>
  <c r="BU7"/>
  <c r="BT7"/>
  <c r="BS7"/>
  <c r="BR7"/>
  <c r="BQ7"/>
  <c r="BP7"/>
  <c r="BO7"/>
  <c r="BN7"/>
  <c r="BM7"/>
  <c r="BL7"/>
  <c r="BG7"/>
  <c r="BE7"/>
  <c r="BD7"/>
  <c r="BA7"/>
  <c r="AX7"/>
  <c r="AQ7"/>
  <c r="AC7"/>
  <c r="W7"/>
  <c r="J7"/>
  <c r="G7"/>
  <c r="A7"/>
  <c r="CO6"/>
  <c r="CN6"/>
  <c r="CM6"/>
  <c r="CL6"/>
  <c r="CK6"/>
  <c r="CJ6"/>
  <c r="CI6"/>
  <c r="CH6"/>
  <c r="CG6"/>
  <c r="CF6"/>
  <c r="CE6"/>
  <c r="CD6"/>
  <c r="CC6"/>
  <c r="CB6"/>
  <c r="CA6"/>
  <c r="BZ6"/>
  <c r="BY6"/>
  <c r="BX6"/>
  <c r="BW6"/>
  <c r="BV6"/>
  <c r="BU6"/>
  <c r="BT6"/>
  <c r="BS6"/>
  <c r="BR6"/>
  <c r="BQ6"/>
  <c r="BP6"/>
  <c r="BO6"/>
  <c r="BN6"/>
  <c r="BM6"/>
  <c r="BL6"/>
  <c r="BG6"/>
  <c r="BE6"/>
  <c r="BD6"/>
  <c r="BA6"/>
  <c r="AX6"/>
  <c r="AQ6"/>
  <c r="AJ6"/>
  <c r="AC6"/>
  <c r="W6"/>
  <c r="J6"/>
  <c r="G6"/>
  <c r="A6"/>
  <c r="CO5"/>
  <c r="CN5"/>
  <c r="CM5"/>
  <c r="CL5"/>
  <c r="CK5"/>
  <c r="CJ5"/>
  <c r="CI5"/>
  <c r="CH5"/>
  <c r="CG5"/>
  <c r="CF5"/>
  <c r="CE5"/>
  <c r="CD5"/>
  <c r="CC5"/>
  <c r="CB5"/>
  <c r="CA5"/>
  <c r="BZ5"/>
  <c r="BY5"/>
  <c r="BX5"/>
  <c r="BW5"/>
  <c r="BV5"/>
  <c r="BU5"/>
  <c r="BT5"/>
  <c r="BS5"/>
  <c r="BR5"/>
  <c r="BQ5"/>
  <c r="BP5"/>
  <c r="BO5"/>
  <c r="BN5"/>
  <c r="BM5"/>
  <c r="BL5"/>
  <c r="BG5"/>
  <c r="BE5"/>
  <c r="BD5"/>
  <c r="BA5"/>
  <c r="AX5"/>
  <c r="AQ5"/>
  <c r="AJ5"/>
  <c r="AC5"/>
  <c r="W5"/>
  <c r="J5"/>
  <c r="G5"/>
  <c r="A5"/>
  <c r="CO4"/>
  <c r="CN4"/>
  <c r="CM4"/>
  <c r="CL4"/>
  <c r="CK4"/>
  <c r="CJ4"/>
  <c r="CI4"/>
  <c r="CH4"/>
  <c r="CG4"/>
  <c r="CF4"/>
  <c r="CE4"/>
  <c r="CD4"/>
  <c r="CC4"/>
  <c r="CB4"/>
  <c r="CA4"/>
  <c r="BZ4"/>
  <c r="BY4"/>
  <c r="BX4"/>
  <c r="BW4"/>
  <c r="BV4"/>
  <c r="BU4"/>
  <c r="BT4"/>
  <c r="BS4"/>
  <c r="BR4"/>
  <c r="BQ4"/>
  <c r="BP4"/>
  <c r="BO4"/>
  <c r="BN4"/>
  <c r="BM4"/>
  <c r="BL4"/>
  <c r="BG4"/>
  <c r="BE4"/>
  <c r="BD4"/>
  <c r="BA4"/>
  <c r="AX4"/>
  <c r="AQ4"/>
  <c r="AJ4"/>
  <c r="AC4"/>
  <c r="W4"/>
  <c r="J4"/>
  <c r="G4"/>
  <c r="A4"/>
  <c r="BH888"/>
  <c r="BF888"/>
  <c r="BB888"/>
  <c r="AY888"/>
  <c r="AS888"/>
  <c r="AR888"/>
  <c r="AL888"/>
  <c r="AK888"/>
  <c r="AE888"/>
  <c r="AD888"/>
  <c r="BH887"/>
  <c r="BF887"/>
  <c r="BB887"/>
  <c r="AY887"/>
  <c r="AS887"/>
  <c r="AR887"/>
  <c r="AL887"/>
  <c r="AK887"/>
  <c r="AE887"/>
  <c r="AD887"/>
  <c r="BH885"/>
  <c r="BF885"/>
  <c r="BB885"/>
  <c r="AY885"/>
  <c r="AS885"/>
  <c r="AR885"/>
  <c r="AL885"/>
  <c r="AK885"/>
  <c r="AE885"/>
  <c r="AD885"/>
  <c r="BH884"/>
  <c r="BF884"/>
  <c r="BB884"/>
  <c r="AY884"/>
  <c r="AS884"/>
  <c r="AR884"/>
  <c r="AL884"/>
  <c r="AK884"/>
  <c r="AE884"/>
  <c r="AD884"/>
  <c r="BF883"/>
  <c r="BB883"/>
  <c r="AY883"/>
  <c r="AS883"/>
  <c r="AR883"/>
  <c r="AL883"/>
  <c r="AK883"/>
  <c r="AE883"/>
  <c r="AD883"/>
  <c r="BH881"/>
  <c r="BF881"/>
  <c r="BB881"/>
  <c r="AY881"/>
  <c r="AS881"/>
  <c r="AR881"/>
  <c r="AL881"/>
  <c r="AK881"/>
  <c r="AE881"/>
  <c r="AD881"/>
  <c r="BH879"/>
  <c r="BF879"/>
  <c r="BB879"/>
  <c r="AY879"/>
  <c r="AS879"/>
  <c r="AR879"/>
  <c r="AL879"/>
  <c r="AK879"/>
  <c r="AE879"/>
  <c r="AD879"/>
  <c r="BH890"/>
  <c r="BF890"/>
  <c r="BB890"/>
  <c r="AY890"/>
  <c r="AS890"/>
  <c r="AR890"/>
  <c r="AL890"/>
  <c r="AK890"/>
  <c r="AE890"/>
  <c r="AD890"/>
  <c r="BH880"/>
  <c r="BF880"/>
  <c r="BB880"/>
  <c r="AY880"/>
  <c r="AS880"/>
  <c r="AR880"/>
  <c r="AL880"/>
  <c r="AK880"/>
  <c r="AE880"/>
  <c r="AD880"/>
  <c r="BH877"/>
  <c r="BF877"/>
  <c r="BB877"/>
  <c r="AY877"/>
  <c r="AS877"/>
  <c r="AR877"/>
  <c r="AL877"/>
  <c r="AK877"/>
  <c r="AE877"/>
  <c r="AD877"/>
  <c r="BH876"/>
  <c r="BF876"/>
  <c r="BB876"/>
  <c r="AY876"/>
  <c r="AS876"/>
  <c r="AR876"/>
  <c r="AL876"/>
  <c r="AK876"/>
  <c r="AE876"/>
  <c r="AD876"/>
  <c r="BH875"/>
  <c r="BF875"/>
  <c r="BB875"/>
  <c r="AY875"/>
  <c r="AS875"/>
  <c r="AR875"/>
  <c r="AL875"/>
  <c r="AK875"/>
  <c r="AE875"/>
  <c r="AD875"/>
  <c r="BH874"/>
  <c r="BF874"/>
  <c r="BB874"/>
  <c r="AY874"/>
  <c r="AS874"/>
  <c r="AR874"/>
  <c r="AL874"/>
  <c r="AK874"/>
  <c r="AE874"/>
  <c r="AD874"/>
  <c r="BH870"/>
  <c r="BF870"/>
  <c r="BB870"/>
  <c r="AY870"/>
  <c r="AS870"/>
  <c r="AR870"/>
  <c r="AL870"/>
  <c r="AK870"/>
  <c r="AE870"/>
  <c r="AD870"/>
  <c r="BH869"/>
  <c r="BF869"/>
  <c r="BB869"/>
  <c r="AY869"/>
  <c r="AS869"/>
  <c r="AR869"/>
  <c r="AL869"/>
  <c r="AK869"/>
  <c r="AE869"/>
  <c r="AD869"/>
  <c r="BH871"/>
  <c r="BF871"/>
  <c r="BB871"/>
  <c r="AY871"/>
  <c r="AS871"/>
  <c r="AR871"/>
  <c r="AL871"/>
  <c r="AK871"/>
  <c r="AE871"/>
  <c r="AD871"/>
  <c r="BH868"/>
  <c r="BF868"/>
  <c r="BB868"/>
  <c r="AY868"/>
  <c r="AS868"/>
  <c r="AR868"/>
  <c r="AL868"/>
  <c r="AK868"/>
  <c r="AE868"/>
  <c r="AD868"/>
  <c r="BH867"/>
  <c r="BF867"/>
  <c r="BB867"/>
  <c r="AY867"/>
  <c r="AS867"/>
  <c r="AR867"/>
  <c r="AL867"/>
  <c r="AK867"/>
  <c r="AE867"/>
  <c r="AD867"/>
  <c r="BH866"/>
  <c r="BF866"/>
  <c r="BB866"/>
  <c r="AY866"/>
  <c r="AS866"/>
  <c r="AR866"/>
  <c r="AL866"/>
  <c r="AK866"/>
  <c r="AE866"/>
  <c r="AD866"/>
  <c r="BH864"/>
  <c r="BF864"/>
  <c r="BB864"/>
  <c r="AY864"/>
  <c r="AS864"/>
  <c r="AR864"/>
  <c r="AL864"/>
  <c r="AK864"/>
  <c r="AE864"/>
  <c r="AD864"/>
  <c r="BH863"/>
  <c r="BF863"/>
  <c r="BB863"/>
  <c r="AY863"/>
  <c r="AS863"/>
  <c r="AR863"/>
  <c r="AL863"/>
  <c r="AK863"/>
  <c r="AE863"/>
  <c r="AD863"/>
  <c r="BH862"/>
  <c r="BF862"/>
  <c r="BB862"/>
  <c r="AY862"/>
  <c r="AS862"/>
  <c r="AR862"/>
  <c r="AL862"/>
  <c r="AK862"/>
  <c r="AE862"/>
  <c r="AD862"/>
  <c r="BH860"/>
  <c r="BF860"/>
  <c r="BB860"/>
  <c r="AY860"/>
  <c r="AS860"/>
  <c r="AR860"/>
  <c r="AL860"/>
  <c r="AK860"/>
  <c r="AE860"/>
  <c r="AD860"/>
  <c r="BH859"/>
  <c r="BF859"/>
  <c r="BB859"/>
  <c r="AY859"/>
  <c r="AS859"/>
  <c r="AR859"/>
  <c r="AL859"/>
  <c r="AK859"/>
  <c r="AE859"/>
  <c r="AD859"/>
  <c r="BH858"/>
  <c r="BF858"/>
  <c r="BB858"/>
  <c r="AY858"/>
  <c r="AS858"/>
  <c r="AR858"/>
  <c r="AL858"/>
  <c r="AK858"/>
  <c r="AE858"/>
  <c r="AD858"/>
  <c r="BH856"/>
  <c r="BF856"/>
  <c r="BB856"/>
  <c r="AY856"/>
  <c r="AS856"/>
  <c r="AR856"/>
  <c r="AL856"/>
  <c r="AK856"/>
  <c r="AE856"/>
  <c r="AD856"/>
  <c r="BH855"/>
  <c r="BF855"/>
  <c r="BB855"/>
  <c r="AY855"/>
  <c r="AS855"/>
  <c r="AR855"/>
  <c r="AL855"/>
  <c r="AK855"/>
  <c r="AE855"/>
  <c r="AD855"/>
  <c r="BH848"/>
  <c r="BF848"/>
  <c r="BB848"/>
  <c r="AY848"/>
  <c r="AS848"/>
  <c r="AR848"/>
  <c r="AL848"/>
  <c r="AK848"/>
  <c r="AE848"/>
  <c r="AD848"/>
  <c r="BH847"/>
  <c r="BF847"/>
  <c r="BB847"/>
  <c r="AY847"/>
  <c r="AS847"/>
  <c r="AR847"/>
  <c r="AL847"/>
  <c r="AK847"/>
  <c r="AE847"/>
  <c r="AD847"/>
  <c r="BH849"/>
  <c r="BF849"/>
  <c r="BB849"/>
  <c r="AY849"/>
  <c r="AS849"/>
  <c r="AR849"/>
  <c r="AL849"/>
  <c r="AK849"/>
  <c r="AE849"/>
  <c r="AD849"/>
  <c r="BH845"/>
  <c r="BF845"/>
  <c r="BB845"/>
  <c r="AY845"/>
  <c r="AS845"/>
  <c r="AR845"/>
  <c r="AL845"/>
  <c r="AK845"/>
  <c r="AE845"/>
  <c r="AD845"/>
  <c r="BH844"/>
  <c r="BF844"/>
  <c r="BB844"/>
  <c r="AY844"/>
  <c r="AS844"/>
  <c r="AR844"/>
  <c r="AL844"/>
  <c r="AK844"/>
  <c r="AE844"/>
  <c r="AD844"/>
  <c r="BH843"/>
  <c r="BF843"/>
  <c r="BB843"/>
  <c r="AY843"/>
  <c r="AS843"/>
  <c r="AR843"/>
  <c r="AL843"/>
  <c r="AK843"/>
  <c r="AE843"/>
  <c r="AD843"/>
  <c r="BH841"/>
  <c r="BF841"/>
  <c r="BB841"/>
  <c r="AY841"/>
  <c r="AS841"/>
  <c r="AR841"/>
  <c r="AL841"/>
  <c r="AK841"/>
  <c r="AE841"/>
  <c r="AD841"/>
  <c r="BH840"/>
  <c r="BF840"/>
  <c r="BB840"/>
  <c r="AY840"/>
  <c r="AS840"/>
  <c r="AR840"/>
  <c r="AL840"/>
  <c r="AK840"/>
  <c r="AE840"/>
  <c r="AD840"/>
  <c r="BH851"/>
  <c r="BF851"/>
  <c r="BB851"/>
  <c r="AY851"/>
  <c r="AS851"/>
  <c r="AR851"/>
  <c r="AL851"/>
  <c r="AK851"/>
  <c r="AE851"/>
  <c r="AD851"/>
  <c r="BH839"/>
  <c r="BF839"/>
  <c r="BB839"/>
  <c r="AY839"/>
  <c r="AS839"/>
  <c r="AR839"/>
  <c r="AL839"/>
  <c r="AK839"/>
  <c r="AE839"/>
  <c r="AD839"/>
  <c r="BH836"/>
  <c r="BF836"/>
  <c r="BB836"/>
  <c r="AY836"/>
  <c r="AS836"/>
  <c r="AR836"/>
  <c r="AL836"/>
  <c r="AK836"/>
  <c r="AE836"/>
  <c r="AD836"/>
  <c r="BH837"/>
  <c r="BF837"/>
  <c r="BB837"/>
  <c r="AY837"/>
  <c r="AS837"/>
  <c r="AR837"/>
  <c r="AL837"/>
  <c r="AK837"/>
  <c r="AE837"/>
  <c r="AD837"/>
  <c r="BH833"/>
  <c r="BF833"/>
  <c r="BB833"/>
  <c r="AY833"/>
  <c r="AS833"/>
  <c r="AR833"/>
  <c r="AL833"/>
  <c r="AK833"/>
  <c r="AE833"/>
  <c r="AD833"/>
  <c r="BH831"/>
  <c r="BF831"/>
  <c r="BB831"/>
  <c r="AY831"/>
  <c r="AS831"/>
  <c r="AR831"/>
  <c r="AL831"/>
  <c r="AK831"/>
  <c r="AE831"/>
  <c r="AD831"/>
  <c r="BH830"/>
  <c r="BF830"/>
  <c r="BB830"/>
  <c r="AY830"/>
  <c r="AS830"/>
  <c r="AR830"/>
  <c r="AL830"/>
  <c r="AK830"/>
  <c r="AE830"/>
  <c r="AD830"/>
  <c r="BH829"/>
  <c r="BF829"/>
  <c r="BB829"/>
  <c r="AY829"/>
  <c r="AS829"/>
  <c r="AR829"/>
  <c r="AL829"/>
  <c r="AK829"/>
  <c r="AE829"/>
  <c r="AD829"/>
  <c r="BH828"/>
  <c r="BF828"/>
  <c r="BB828"/>
  <c r="AY828"/>
  <c r="AS828"/>
  <c r="AR828"/>
  <c r="AL828"/>
  <c r="AK828"/>
  <c r="AE828"/>
  <c r="AD828"/>
  <c r="BH827"/>
  <c r="BF827"/>
  <c r="BB827"/>
  <c r="AY827"/>
  <c r="AS827"/>
  <c r="AR827"/>
  <c r="AL827"/>
  <c r="AK827"/>
  <c r="AE827"/>
  <c r="AD827"/>
  <c r="BH826"/>
  <c r="BF826"/>
  <c r="BB826"/>
  <c r="AY826"/>
  <c r="AS826"/>
  <c r="AR826"/>
  <c r="AL826"/>
  <c r="AK826"/>
  <c r="AE826"/>
  <c r="AD826"/>
  <c r="BH820"/>
  <c r="BF820"/>
  <c r="BB820"/>
  <c r="AY820"/>
  <c r="AS820"/>
  <c r="AR820"/>
  <c r="AL820"/>
  <c r="AK820"/>
  <c r="AE820"/>
  <c r="AD820"/>
  <c r="BH819"/>
  <c r="BF819"/>
  <c r="BB819"/>
  <c r="AY819"/>
  <c r="AS819"/>
  <c r="AR819"/>
  <c r="AL819"/>
  <c r="AK819"/>
  <c r="AE819"/>
  <c r="AD819"/>
  <c r="BH818"/>
  <c r="BF818"/>
  <c r="BB818"/>
  <c r="AY818"/>
  <c r="AS818"/>
  <c r="AR818"/>
  <c r="AL818"/>
  <c r="AK818"/>
  <c r="AE818"/>
  <c r="AD818"/>
  <c r="BH817"/>
  <c r="BF817"/>
  <c r="BB817"/>
  <c r="AY817"/>
  <c r="AS817"/>
  <c r="AR817"/>
  <c r="AL817"/>
  <c r="AK817"/>
  <c r="AE817"/>
  <c r="AD817"/>
  <c r="BH815"/>
  <c r="BF815"/>
  <c r="BB815"/>
  <c r="AY815"/>
  <c r="AS815"/>
  <c r="AR815"/>
  <c r="AL815"/>
  <c r="AK815"/>
  <c r="AE815"/>
  <c r="AD815"/>
  <c r="BH814"/>
  <c r="BF814"/>
  <c r="BB814"/>
  <c r="AY814"/>
  <c r="AS814"/>
  <c r="AR814"/>
  <c r="AL814"/>
  <c r="AK814"/>
  <c r="AE814"/>
  <c r="AD814"/>
  <c r="BH813"/>
  <c r="BF813"/>
  <c r="BB813"/>
  <c r="AY813"/>
  <c r="AS813"/>
  <c r="AR813"/>
  <c r="AL813"/>
  <c r="AK813"/>
  <c r="AE813"/>
  <c r="AD813"/>
  <c r="BH821"/>
  <c r="BF821"/>
  <c r="BB821"/>
  <c r="AY821"/>
  <c r="AS821"/>
  <c r="AR821"/>
  <c r="AL821"/>
  <c r="AK821"/>
  <c r="AE821"/>
  <c r="AD821"/>
  <c r="BH811"/>
  <c r="BF811"/>
  <c r="BB811"/>
  <c r="AY811"/>
  <c r="AS811"/>
  <c r="AR811"/>
  <c r="AL811"/>
  <c r="AK811"/>
  <c r="AE811"/>
  <c r="AD811"/>
  <c r="BH810"/>
  <c r="BF810"/>
  <c r="BB810"/>
  <c r="AY810"/>
  <c r="AS810"/>
  <c r="AR810"/>
  <c r="AL810"/>
  <c r="AK810"/>
  <c r="AE810"/>
  <c r="AD810"/>
  <c r="BH809"/>
  <c r="BF809"/>
  <c r="BB809"/>
  <c r="AY809"/>
  <c r="AS809"/>
  <c r="AR809"/>
  <c r="AL809"/>
  <c r="AK809"/>
  <c r="AE809"/>
  <c r="AD809"/>
  <c r="BH806"/>
  <c r="BF806"/>
  <c r="BB806"/>
  <c r="AY806"/>
  <c r="AS806"/>
  <c r="AR806"/>
  <c r="AL806"/>
  <c r="AK806"/>
  <c r="AE806"/>
  <c r="AD806"/>
  <c r="BH807"/>
  <c r="BF807"/>
  <c r="BB807"/>
  <c r="AY807"/>
  <c r="AS807"/>
  <c r="AR807"/>
  <c r="AL807"/>
  <c r="AK807"/>
  <c r="AE807"/>
  <c r="AD807"/>
  <c r="BH824"/>
  <c r="BF824"/>
  <c r="BB824"/>
  <c r="AY824"/>
  <c r="AS824"/>
  <c r="AR824"/>
  <c r="AL824"/>
  <c r="AK824"/>
  <c r="AE824"/>
  <c r="AD824"/>
  <c r="BH803"/>
  <c r="BF803"/>
  <c r="BB803"/>
  <c r="AY803"/>
  <c r="AS803"/>
  <c r="AR803"/>
  <c r="AL803"/>
  <c r="AK803"/>
  <c r="AE803"/>
  <c r="AD803"/>
  <c r="BH792"/>
  <c r="BF792"/>
  <c r="BB792"/>
  <c r="AY792"/>
  <c r="AS792"/>
  <c r="AR792"/>
  <c r="AE792"/>
  <c r="AD792"/>
  <c r="BH796"/>
  <c r="BF796"/>
  <c r="BB796"/>
  <c r="AY796"/>
  <c r="AS796"/>
  <c r="AR796"/>
  <c r="AE796"/>
  <c r="AD796"/>
  <c r="BH791"/>
  <c r="BF791"/>
  <c r="BB791"/>
  <c r="AY791"/>
  <c r="AS791"/>
  <c r="AR791"/>
  <c r="AE791"/>
  <c r="AD791"/>
  <c r="BH794"/>
  <c r="BF794"/>
  <c r="BB794"/>
  <c r="AY794"/>
  <c r="AS794"/>
  <c r="AR794"/>
  <c r="AE794"/>
  <c r="AD794"/>
  <c r="BH790"/>
  <c r="BF790"/>
  <c r="BB790"/>
  <c r="AY790"/>
  <c r="AS790"/>
  <c r="AR790"/>
  <c r="AE790"/>
  <c r="AD790"/>
  <c r="BH789"/>
  <c r="BF789"/>
  <c r="BB789"/>
  <c r="AY789"/>
  <c r="AS789"/>
  <c r="AR789"/>
  <c r="AE789"/>
  <c r="AD789"/>
  <c r="BH788"/>
  <c r="BF788"/>
  <c r="BB788"/>
  <c r="AY788"/>
  <c r="AS788"/>
  <c r="AR788"/>
  <c r="AE788"/>
  <c r="AD788"/>
  <c r="BH802"/>
  <c r="BF802"/>
  <c r="BB802"/>
  <c r="AY802"/>
  <c r="AS802"/>
  <c r="AR802"/>
  <c r="AL802"/>
  <c r="AK802"/>
  <c r="AE802"/>
  <c r="AD802"/>
  <c r="BH787"/>
  <c r="BF787"/>
  <c r="BB787"/>
  <c r="AY787"/>
  <c r="AS787"/>
  <c r="AR787"/>
  <c r="AE787"/>
  <c r="AD787"/>
  <c r="BH786"/>
  <c r="BF786"/>
  <c r="BB786"/>
  <c r="AY786"/>
  <c r="AS786"/>
  <c r="AR786"/>
  <c r="AE786"/>
  <c r="AD786"/>
  <c r="BH801"/>
  <c r="BF801"/>
  <c r="BB801"/>
  <c r="AY801"/>
  <c r="AS801"/>
  <c r="AR801"/>
  <c r="AL801"/>
  <c r="AK801"/>
  <c r="AE801"/>
  <c r="AD801"/>
  <c r="BH785"/>
  <c r="BF785"/>
  <c r="BB785"/>
  <c r="AY785"/>
  <c r="AS785"/>
  <c r="AR785"/>
  <c r="AE785"/>
  <c r="AD785"/>
  <c r="BH800"/>
  <c r="BF800"/>
  <c r="BB800"/>
  <c r="AY800"/>
  <c r="AS800"/>
  <c r="AR800"/>
  <c r="AL800"/>
  <c r="AK800"/>
  <c r="AE800"/>
  <c r="AD800"/>
  <c r="BH799"/>
  <c r="BF799"/>
  <c r="BB799"/>
  <c r="AY799"/>
  <c r="AS799"/>
  <c r="AR799"/>
  <c r="AL799"/>
  <c r="AK799"/>
  <c r="AE799"/>
  <c r="AD799"/>
  <c r="BH783"/>
  <c r="BF783"/>
  <c r="BB783"/>
  <c r="AY783"/>
  <c r="AS783"/>
  <c r="AR783"/>
  <c r="AE783"/>
  <c r="AD783"/>
  <c r="BH795"/>
  <c r="BF795"/>
  <c r="BB795"/>
  <c r="AY795"/>
  <c r="AS795"/>
  <c r="AR795"/>
  <c r="AE795"/>
  <c r="AD795"/>
  <c r="BH782"/>
  <c r="BF782"/>
  <c r="BB782"/>
  <c r="AY782"/>
  <c r="AS782"/>
  <c r="AR782"/>
  <c r="AE782"/>
  <c r="AD782"/>
  <c r="BH779"/>
  <c r="BF779"/>
  <c r="BB779"/>
  <c r="AY779"/>
  <c r="AS779"/>
  <c r="AR779"/>
  <c r="AE779"/>
  <c r="AD779"/>
  <c r="BH778"/>
  <c r="BF778"/>
  <c r="BB778"/>
  <c r="AY778"/>
  <c r="AS778"/>
  <c r="AR778"/>
  <c r="AE778"/>
  <c r="AD778"/>
  <c r="BH763"/>
  <c r="BF763"/>
  <c r="BB763"/>
  <c r="AY763"/>
  <c r="AS763"/>
  <c r="AR763"/>
  <c r="AL763"/>
  <c r="AK763"/>
  <c r="AE763"/>
  <c r="AD763"/>
  <c r="BH762"/>
  <c r="BF762"/>
  <c r="BB762"/>
  <c r="AY762"/>
  <c r="AS762"/>
  <c r="AR762"/>
  <c r="AL762"/>
  <c r="AK762"/>
  <c r="AE762"/>
  <c r="AD762"/>
  <c r="BH776"/>
  <c r="BF776"/>
  <c r="BB776"/>
  <c r="AY776"/>
  <c r="AS776"/>
  <c r="AR776"/>
  <c r="AE776"/>
  <c r="AD776"/>
  <c r="BH760"/>
  <c r="BF760"/>
  <c r="BB760"/>
  <c r="AY760"/>
  <c r="AS760"/>
  <c r="AR760"/>
  <c r="AL760"/>
  <c r="AK760"/>
  <c r="AE760"/>
  <c r="AD760"/>
  <c r="BH774"/>
  <c r="BF774"/>
  <c r="BB774"/>
  <c r="AY774"/>
  <c r="AS774"/>
  <c r="AR774"/>
  <c r="AE774"/>
  <c r="AD774"/>
  <c r="BH759"/>
  <c r="BF759"/>
  <c r="BB759"/>
  <c r="AY759"/>
  <c r="AS759"/>
  <c r="AR759"/>
  <c r="AL759"/>
  <c r="AK759"/>
  <c r="AE759"/>
  <c r="AD759"/>
  <c r="BH773"/>
  <c r="BF773"/>
  <c r="BB773"/>
  <c r="AY773"/>
  <c r="AS773"/>
  <c r="AR773"/>
  <c r="AE773"/>
  <c r="AD773"/>
  <c r="BH758"/>
  <c r="BF758"/>
  <c r="BB758"/>
  <c r="AY758"/>
  <c r="AS758"/>
  <c r="AR758"/>
  <c r="AL758"/>
  <c r="AK758"/>
  <c r="AE758"/>
  <c r="AD758"/>
  <c r="BH772"/>
  <c r="BF772"/>
  <c r="BB772"/>
  <c r="AY772"/>
  <c r="AS772"/>
  <c r="AR772"/>
  <c r="AE772"/>
  <c r="AD772"/>
  <c r="BH771"/>
  <c r="BF771"/>
  <c r="BB771"/>
  <c r="AY771"/>
  <c r="AS771"/>
  <c r="AR771"/>
  <c r="AE771"/>
  <c r="AD771"/>
  <c r="BH756"/>
  <c r="BF756"/>
  <c r="BB756"/>
  <c r="AY756"/>
  <c r="AS756"/>
  <c r="AR756"/>
  <c r="AL756"/>
  <c r="AK756"/>
  <c r="AE756"/>
  <c r="AD756"/>
  <c r="BH755"/>
  <c r="BF755"/>
  <c r="BB755"/>
  <c r="AY755"/>
  <c r="AS755"/>
  <c r="AR755"/>
  <c r="AL755"/>
  <c r="AK755"/>
  <c r="AE755"/>
  <c r="AD755"/>
  <c r="BH769"/>
  <c r="BF769"/>
  <c r="BB769"/>
  <c r="AY769"/>
  <c r="AS769"/>
  <c r="AR769"/>
  <c r="AE769"/>
  <c r="AD769"/>
  <c r="BH767"/>
  <c r="BF767"/>
  <c r="BB767"/>
  <c r="AY767"/>
  <c r="AS767"/>
  <c r="AR767"/>
  <c r="AL767"/>
  <c r="AK767"/>
  <c r="AE767"/>
  <c r="AD767"/>
  <c r="BH754"/>
  <c r="BF754"/>
  <c r="BB754"/>
  <c r="AY754"/>
  <c r="AS754"/>
  <c r="AR754"/>
  <c r="AL754"/>
  <c r="AK754"/>
  <c r="AE754"/>
  <c r="AD754"/>
  <c r="BH768"/>
  <c r="BF768"/>
  <c r="BB768"/>
  <c r="AY768"/>
  <c r="AS768"/>
  <c r="AR768"/>
  <c r="AE768"/>
  <c r="AD768"/>
  <c r="BH752"/>
  <c r="BF752"/>
  <c r="BB752"/>
  <c r="AY752"/>
  <c r="AS752"/>
  <c r="AR752"/>
  <c r="AL752"/>
  <c r="AK752"/>
  <c r="AE752"/>
  <c r="AD752"/>
  <c r="BH751"/>
  <c r="BF751"/>
  <c r="BB751"/>
  <c r="AY751"/>
  <c r="AS751"/>
  <c r="AR751"/>
  <c r="AL751"/>
  <c r="AK751"/>
  <c r="AE751"/>
  <c r="AD751"/>
  <c r="BH743"/>
  <c r="BF743"/>
  <c r="BB743"/>
  <c r="AY743"/>
  <c r="AS743"/>
  <c r="AR743"/>
  <c r="AL743"/>
  <c r="AK743"/>
  <c r="AE743"/>
  <c r="AD743"/>
  <c r="BH742"/>
  <c r="BF742"/>
  <c r="BB742"/>
  <c r="AY742"/>
  <c r="AS742"/>
  <c r="AR742"/>
  <c r="AL742"/>
  <c r="AK742"/>
  <c r="AE742"/>
  <c r="AD742"/>
  <c r="BH741"/>
  <c r="BF741"/>
  <c r="BB741"/>
  <c r="AY741"/>
  <c r="AS741"/>
  <c r="AR741"/>
  <c r="AL741"/>
  <c r="AK741"/>
  <c r="AE741"/>
  <c r="AD741"/>
  <c r="BF739"/>
  <c r="BB739"/>
  <c r="AY739"/>
  <c r="AS739"/>
  <c r="AR739"/>
  <c r="AL739"/>
  <c r="AK739"/>
  <c r="AE739"/>
  <c r="AD739"/>
  <c r="BH738"/>
  <c r="BF738"/>
  <c r="BB738"/>
  <c r="AY738"/>
  <c r="AS738"/>
  <c r="AR738"/>
  <c r="AL738"/>
  <c r="AK738"/>
  <c r="AE738"/>
  <c r="AD738"/>
  <c r="BH737"/>
  <c r="BF737"/>
  <c r="BB737"/>
  <c r="AY737"/>
  <c r="AS737"/>
  <c r="AR737"/>
  <c r="AL737"/>
  <c r="AK737"/>
  <c r="AE737"/>
  <c r="AD737"/>
  <c r="BH745"/>
  <c r="BF745"/>
  <c r="BB745"/>
  <c r="AY745"/>
  <c r="AS745"/>
  <c r="AR745"/>
  <c r="AL745"/>
  <c r="AK745"/>
  <c r="AE745"/>
  <c r="AD745"/>
  <c r="BH735"/>
  <c r="BF735"/>
  <c r="BB735"/>
  <c r="AY735"/>
  <c r="AS735"/>
  <c r="AR735"/>
  <c r="AL735"/>
  <c r="AK735"/>
  <c r="AE735"/>
  <c r="AD735"/>
  <c r="BH734"/>
  <c r="BF734"/>
  <c r="BB734"/>
  <c r="AY734"/>
  <c r="AS734"/>
  <c r="AR734"/>
  <c r="AL734"/>
  <c r="AK734"/>
  <c r="AE734"/>
  <c r="AD734"/>
  <c r="BH733"/>
  <c r="BF733"/>
  <c r="BB733"/>
  <c r="AY733"/>
  <c r="AS733"/>
  <c r="AR733"/>
  <c r="AL733"/>
  <c r="AK733"/>
  <c r="AE733"/>
  <c r="AD733"/>
  <c r="BH731"/>
  <c r="BF731"/>
  <c r="BB731"/>
  <c r="AY731"/>
  <c r="AS731"/>
  <c r="AR731"/>
  <c r="AL731"/>
  <c r="AK731"/>
  <c r="AE731"/>
  <c r="AD731"/>
  <c r="BH730"/>
  <c r="BF730"/>
  <c r="BB730"/>
  <c r="AY730"/>
  <c r="AS730"/>
  <c r="AR730"/>
  <c r="AL730"/>
  <c r="AK730"/>
  <c r="AE730"/>
  <c r="AD730"/>
  <c r="BH724"/>
  <c r="BF724"/>
  <c r="BB724"/>
  <c r="AY724"/>
  <c r="AS724"/>
  <c r="AR724"/>
  <c r="AL724"/>
  <c r="AK724"/>
  <c r="AE724"/>
  <c r="AD724"/>
  <c r="BH722"/>
  <c r="BF722"/>
  <c r="BB722"/>
  <c r="AY722"/>
  <c r="AS722"/>
  <c r="AR722"/>
  <c r="AL722"/>
  <c r="AK722"/>
  <c r="AE722"/>
  <c r="AD722"/>
  <c r="BH721"/>
  <c r="BF721"/>
  <c r="BB721"/>
  <c r="AY721"/>
  <c r="AS721"/>
  <c r="AR721"/>
  <c r="AL721"/>
  <c r="AK721"/>
  <c r="AE721"/>
  <c r="AD721"/>
  <c r="BH720"/>
  <c r="BF720"/>
  <c r="BB720"/>
  <c r="AY720"/>
  <c r="AS720"/>
  <c r="AR720"/>
  <c r="AL720"/>
  <c r="AK720"/>
  <c r="AE720"/>
  <c r="AD720"/>
  <c r="BH728"/>
  <c r="BF728"/>
  <c r="BB728"/>
  <c r="AY728"/>
  <c r="AS728"/>
  <c r="AR728"/>
  <c r="AL728"/>
  <c r="AK728"/>
  <c r="AE728"/>
  <c r="AD728"/>
  <c r="BH726"/>
  <c r="BF726"/>
  <c r="BB726"/>
  <c r="AY726"/>
  <c r="AS726"/>
  <c r="AR726"/>
  <c r="AL726"/>
  <c r="AK726"/>
  <c r="AE726"/>
  <c r="AD726"/>
  <c r="BH727"/>
  <c r="BF727"/>
  <c r="BB727"/>
  <c r="AY727"/>
  <c r="AS727"/>
  <c r="AR727"/>
  <c r="AL727"/>
  <c r="AK727"/>
  <c r="AE727"/>
  <c r="AD727"/>
  <c r="BH714"/>
  <c r="BF714"/>
  <c r="BB714"/>
  <c r="AS714"/>
  <c r="AR714"/>
  <c r="AL714"/>
  <c r="AK714"/>
  <c r="AE714"/>
  <c r="AD714"/>
  <c r="BH713"/>
  <c r="BF713"/>
  <c r="BB713"/>
  <c r="AY713"/>
  <c r="AS713"/>
  <c r="AR713"/>
  <c r="AL713"/>
  <c r="AK713"/>
  <c r="AE713"/>
  <c r="AD713"/>
  <c r="BH718"/>
  <c r="BF718"/>
  <c r="BB718"/>
  <c r="AY718"/>
  <c r="AS718"/>
  <c r="AR718"/>
  <c r="AL718"/>
  <c r="AK718"/>
  <c r="AE718"/>
  <c r="AD718"/>
  <c r="BH717"/>
  <c r="BF717"/>
  <c r="BB717"/>
  <c r="AS717"/>
  <c r="AR717"/>
  <c r="AL717"/>
  <c r="AK717"/>
  <c r="AE717"/>
  <c r="AD717"/>
  <c r="BH716"/>
  <c r="BF716"/>
  <c r="BB716"/>
  <c r="AY716"/>
  <c r="AS716"/>
  <c r="AR716"/>
  <c r="AL716"/>
  <c r="AK716"/>
  <c r="AE716"/>
  <c r="AD716"/>
  <c r="BH709"/>
  <c r="BF709"/>
  <c r="BB709"/>
  <c r="AY709"/>
  <c r="AS709"/>
  <c r="AR709"/>
  <c r="AL709"/>
  <c r="AK709"/>
  <c r="AE709"/>
  <c r="AD709"/>
  <c r="BH708"/>
  <c r="BF708"/>
  <c r="BB708"/>
  <c r="AY708"/>
  <c r="AS708"/>
  <c r="AR708"/>
  <c r="AL708"/>
  <c r="AK708"/>
  <c r="AE708"/>
  <c r="AD708"/>
  <c r="BH707"/>
  <c r="BF707"/>
  <c r="BB707"/>
  <c r="AY707"/>
  <c r="AS707"/>
  <c r="AR707"/>
  <c r="AL707"/>
  <c r="AK707"/>
  <c r="AE707"/>
  <c r="AD707"/>
  <c r="BH705"/>
  <c r="BF705"/>
  <c r="BB705"/>
  <c r="AY705"/>
  <c r="AS705"/>
  <c r="AR705"/>
  <c r="AL705"/>
  <c r="AK705"/>
  <c r="AE705"/>
  <c r="AD705"/>
  <c r="BH704"/>
  <c r="BF704"/>
  <c r="BB704"/>
  <c r="AY704"/>
  <c r="AS704"/>
  <c r="AR704"/>
  <c r="AL704"/>
  <c r="AK704"/>
  <c r="AE704"/>
  <c r="AD704"/>
  <c r="BH700"/>
  <c r="BF700"/>
  <c r="BB700"/>
  <c r="AY700"/>
  <c r="AS700"/>
  <c r="AR700"/>
  <c r="AL700"/>
  <c r="AK700"/>
  <c r="AE700"/>
  <c r="AD700"/>
  <c r="BH699"/>
  <c r="BF699"/>
  <c r="BB699"/>
  <c r="AY699"/>
  <c r="AS699"/>
  <c r="AR699"/>
  <c r="AL699"/>
  <c r="AK699"/>
  <c r="AE699"/>
  <c r="AD699"/>
  <c r="BH698"/>
  <c r="BF698"/>
  <c r="BB698"/>
  <c r="AY698"/>
  <c r="AS698"/>
  <c r="AR698"/>
  <c r="AL698"/>
  <c r="AK698"/>
  <c r="AE698"/>
  <c r="AD698"/>
  <c r="BH696"/>
  <c r="BF696"/>
  <c r="BB696"/>
  <c r="AY696"/>
  <c r="AS696"/>
  <c r="AR696"/>
  <c r="AL696"/>
  <c r="AK696"/>
  <c r="AE696"/>
  <c r="AD696"/>
  <c r="BH695"/>
  <c r="BF695"/>
  <c r="BB695"/>
  <c r="AY695"/>
  <c r="AS695"/>
  <c r="AR695"/>
  <c r="AL695"/>
  <c r="AK695"/>
  <c r="AE695"/>
  <c r="AD695"/>
  <c r="BH687"/>
  <c r="BF687"/>
  <c r="BB687"/>
  <c r="AY687"/>
  <c r="AS687"/>
  <c r="AR687"/>
  <c r="AL687"/>
  <c r="AK687"/>
  <c r="AE687"/>
  <c r="AD687"/>
  <c r="BH686"/>
  <c r="BF686"/>
  <c r="BB686"/>
  <c r="AY686"/>
  <c r="AS686"/>
  <c r="AR686"/>
  <c r="AL686"/>
  <c r="AK686"/>
  <c r="AE686"/>
  <c r="AD686"/>
  <c r="BH684"/>
  <c r="BF684"/>
  <c r="BB684"/>
  <c r="AY684"/>
  <c r="AS684"/>
  <c r="AR684"/>
  <c r="AL684"/>
  <c r="AK684"/>
  <c r="AE684"/>
  <c r="AD684"/>
  <c r="BH683"/>
  <c r="BF683"/>
  <c r="BB683"/>
  <c r="AY683"/>
  <c r="AS683"/>
  <c r="AR683"/>
  <c r="AL683"/>
  <c r="AK683"/>
  <c r="AE683"/>
  <c r="AD683"/>
  <c r="BH682"/>
  <c r="BF682"/>
  <c r="BB682"/>
  <c r="AY682"/>
  <c r="AS682"/>
  <c r="AR682"/>
  <c r="AL682"/>
  <c r="AK682"/>
  <c r="AE682"/>
  <c r="AD682"/>
  <c r="BH680"/>
  <c r="BF680"/>
  <c r="BB680"/>
  <c r="AY680"/>
  <c r="AS680"/>
  <c r="AR680"/>
  <c r="AL680"/>
  <c r="AK680"/>
  <c r="AE680"/>
  <c r="AD680"/>
  <c r="BH679"/>
  <c r="BF679"/>
  <c r="BB679"/>
  <c r="AY679"/>
  <c r="AS679"/>
  <c r="AR679"/>
  <c r="AL679"/>
  <c r="AK679"/>
  <c r="AE679"/>
  <c r="AD679"/>
  <c r="BH689"/>
  <c r="BF689"/>
  <c r="BB689"/>
  <c r="AY689"/>
  <c r="AS689"/>
  <c r="AR689"/>
  <c r="AL689"/>
  <c r="AK689"/>
  <c r="AE689"/>
  <c r="AD689"/>
  <c r="BH678"/>
  <c r="BF678"/>
  <c r="BB678"/>
  <c r="AY678"/>
  <c r="AS678"/>
  <c r="AR678"/>
  <c r="AL678"/>
  <c r="AK678"/>
  <c r="AE678"/>
  <c r="AD678"/>
  <c r="BH676"/>
  <c r="BF676"/>
  <c r="BB676"/>
  <c r="AY676"/>
  <c r="AS676"/>
  <c r="AR676"/>
  <c r="AL676"/>
  <c r="AK676"/>
  <c r="AE676"/>
  <c r="AD676"/>
  <c r="BH692"/>
  <c r="BF692"/>
  <c r="BB692"/>
  <c r="AY692"/>
  <c r="AS692"/>
  <c r="AR692"/>
  <c r="AL692"/>
  <c r="AK692"/>
  <c r="AE692"/>
  <c r="AD692"/>
  <c r="BH691"/>
  <c r="BF691"/>
  <c r="BB691"/>
  <c r="AY691"/>
  <c r="AS691"/>
  <c r="AR691"/>
  <c r="AL691"/>
  <c r="AK691"/>
  <c r="AE691"/>
  <c r="AD691"/>
  <c r="BH675"/>
  <c r="BF675"/>
  <c r="BB675"/>
  <c r="AY675"/>
  <c r="AS675"/>
  <c r="AR675"/>
  <c r="AL675"/>
  <c r="AK675"/>
  <c r="AE675"/>
  <c r="AD675"/>
  <c r="BH665"/>
  <c r="BF665"/>
  <c r="BB665"/>
  <c r="AY665"/>
  <c r="AS665"/>
  <c r="AR665"/>
  <c r="AL665"/>
  <c r="AK665"/>
  <c r="AE665"/>
  <c r="AD665"/>
  <c r="BH664"/>
  <c r="BF664"/>
  <c r="BB664"/>
  <c r="AY664"/>
  <c r="AS664"/>
  <c r="AR664"/>
  <c r="AL664"/>
  <c r="AK664"/>
  <c r="AE664"/>
  <c r="AD664"/>
  <c r="BH663"/>
  <c r="BF663"/>
  <c r="BB663"/>
  <c r="AY663"/>
  <c r="AS663"/>
  <c r="AR663"/>
  <c r="AL663"/>
  <c r="AK663"/>
  <c r="AE663"/>
  <c r="AD663"/>
  <c r="BH661"/>
  <c r="BF661"/>
  <c r="BB661"/>
  <c r="AY661"/>
  <c r="AS661"/>
  <c r="AR661"/>
  <c r="AL661"/>
  <c r="AK661"/>
  <c r="AE661"/>
  <c r="AD661"/>
  <c r="BH660"/>
  <c r="BF660"/>
  <c r="BB660"/>
  <c r="AY660"/>
  <c r="AS660"/>
  <c r="AR660"/>
  <c r="AL660"/>
  <c r="AK660"/>
  <c r="AE660"/>
  <c r="AD660"/>
  <c r="BH667"/>
  <c r="BF667"/>
  <c r="BB667"/>
  <c r="AY667"/>
  <c r="AS667"/>
  <c r="AR667"/>
  <c r="AL667"/>
  <c r="AK667"/>
  <c r="AE667"/>
  <c r="AD667"/>
  <c r="BH659"/>
  <c r="BF659"/>
  <c r="BB659"/>
  <c r="AY659"/>
  <c r="AS659"/>
  <c r="AR659"/>
  <c r="AL659"/>
  <c r="AK659"/>
  <c r="AE659"/>
  <c r="AD659"/>
  <c r="BH669"/>
  <c r="BF669"/>
  <c r="BB669"/>
  <c r="AY669"/>
  <c r="AS669"/>
  <c r="AR669"/>
  <c r="AL669"/>
  <c r="AK669"/>
  <c r="AE669"/>
  <c r="AD669"/>
  <c r="BH672"/>
  <c r="BF672"/>
  <c r="BB672"/>
  <c r="AY672"/>
  <c r="AS672"/>
  <c r="AR672"/>
  <c r="AL672"/>
  <c r="AK672"/>
  <c r="AE672"/>
  <c r="AD672"/>
  <c r="BH671"/>
  <c r="BF671"/>
  <c r="BB671"/>
  <c r="AY671"/>
  <c r="AS671"/>
  <c r="AR671"/>
  <c r="AL671"/>
  <c r="AK671"/>
  <c r="AE671"/>
  <c r="AD671"/>
  <c r="BH657"/>
  <c r="BF657"/>
  <c r="BB657"/>
  <c r="AY657"/>
  <c r="AS657"/>
  <c r="AR657"/>
  <c r="AL657"/>
  <c r="AK657"/>
  <c r="AE657"/>
  <c r="AD657"/>
  <c r="BH649"/>
  <c r="BF649"/>
  <c r="BB649"/>
  <c r="AY649"/>
  <c r="AS649"/>
  <c r="AR649"/>
  <c r="AL649"/>
  <c r="AK649"/>
  <c r="AE649"/>
  <c r="AD649"/>
  <c r="BH648"/>
  <c r="BF648"/>
  <c r="BB648"/>
  <c r="AY648"/>
  <c r="AS648"/>
  <c r="AR648"/>
  <c r="AL648"/>
  <c r="AK648"/>
  <c r="AE648"/>
  <c r="AD648"/>
  <c r="BH650"/>
  <c r="BF650"/>
  <c r="BB650"/>
  <c r="AY650"/>
  <c r="AS650"/>
  <c r="AR650"/>
  <c r="AL650"/>
  <c r="AK650"/>
  <c r="AE650"/>
  <c r="AD650"/>
  <c r="BH646"/>
  <c r="BF646"/>
  <c r="BB646"/>
  <c r="AY646"/>
  <c r="AS646"/>
  <c r="AR646"/>
  <c r="AL646"/>
  <c r="AK646"/>
  <c r="AE646"/>
  <c r="AD646"/>
  <c r="BH645"/>
  <c r="BF645"/>
  <c r="BB645"/>
  <c r="AY645"/>
  <c r="AS645"/>
  <c r="AR645"/>
  <c r="AL645"/>
  <c r="AK645"/>
  <c r="AE645"/>
  <c r="AD645"/>
  <c r="BH644"/>
  <c r="BF644"/>
  <c r="BB644"/>
  <c r="AY644"/>
  <c r="AS644"/>
  <c r="AR644"/>
  <c r="AL644"/>
  <c r="AK644"/>
  <c r="AE644"/>
  <c r="AD644"/>
  <c r="BH642"/>
  <c r="BF642"/>
  <c r="BB642"/>
  <c r="AY642"/>
  <c r="AS642"/>
  <c r="AR642"/>
  <c r="AL642"/>
  <c r="AK642"/>
  <c r="AE642"/>
  <c r="AD642"/>
  <c r="BH641"/>
  <c r="BF641"/>
  <c r="BB641"/>
  <c r="AY641"/>
  <c r="AS641"/>
  <c r="AR641"/>
  <c r="AL641"/>
  <c r="AK641"/>
  <c r="AE641"/>
  <c r="AD641"/>
  <c r="BH640"/>
  <c r="BF640"/>
  <c r="BB640"/>
  <c r="AY640"/>
  <c r="AS640"/>
  <c r="AR640"/>
  <c r="AL640"/>
  <c r="AK640"/>
  <c r="AE640"/>
  <c r="AD640"/>
  <c r="BH638"/>
  <c r="BF638"/>
  <c r="BB638"/>
  <c r="AY638"/>
  <c r="AS638"/>
  <c r="AR638"/>
  <c r="AL638"/>
  <c r="AK638"/>
  <c r="AE638"/>
  <c r="AD638"/>
  <c r="BH637"/>
  <c r="BF637"/>
  <c r="BB637"/>
  <c r="AY637"/>
  <c r="AS637"/>
  <c r="AR637"/>
  <c r="AL637"/>
  <c r="AK637"/>
  <c r="AE637"/>
  <c r="AD637"/>
  <c r="BH652"/>
  <c r="BF652"/>
  <c r="BB652"/>
  <c r="AY652"/>
  <c r="AS652"/>
  <c r="AR652"/>
  <c r="AL652"/>
  <c r="AK652"/>
  <c r="AE652"/>
  <c r="AD652"/>
  <c r="BH654"/>
  <c r="BF654"/>
  <c r="BB654"/>
  <c r="AY654"/>
  <c r="AS654"/>
  <c r="AR654"/>
  <c r="AL654"/>
  <c r="AK654"/>
  <c r="AE654"/>
  <c r="AD654"/>
  <c r="BH630"/>
  <c r="BF630"/>
  <c r="BB630"/>
  <c r="AY630"/>
  <c r="AS630"/>
  <c r="AR630"/>
  <c r="AL630"/>
  <c r="AK630"/>
  <c r="AE630"/>
  <c r="AD630"/>
  <c r="BH628"/>
  <c r="BF628"/>
  <c r="BB628"/>
  <c r="AY628"/>
  <c r="AS628"/>
  <c r="AR628"/>
  <c r="AL628"/>
  <c r="AK628"/>
  <c r="AE628"/>
  <c r="AD628"/>
  <c r="BH627"/>
  <c r="BF627"/>
  <c r="BB627"/>
  <c r="AY627"/>
  <c r="AS627"/>
  <c r="AR627"/>
  <c r="AL627"/>
  <c r="AK627"/>
  <c r="AE627"/>
  <c r="AD627"/>
  <c r="BH626"/>
  <c r="BF626"/>
  <c r="BB626"/>
  <c r="AY626"/>
  <c r="AS626"/>
  <c r="AR626"/>
  <c r="AL626"/>
  <c r="AK626"/>
  <c r="AE626"/>
  <c r="AD626"/>
  <c r="BH624"/>
  <c r="BF624"/>
  <c r="BB624"/>
  <c r="AY624"/>
  <c r="AS624"/>
  <c r="AR624"/>
  <c r="AL624"/>
  <c r="AK624"/>
  <c r="AE624"/>
  <c r="AD624"/>
  <c r="BH623"/>
  <c r="BF623"/>
  <c r="BB623"/>
  <c r="AY623"/>
  <c r="AS623"/>
  <c r="AR623"/>
  <c r="AL623"/>
  <c r="AK623"/>
  <c r="AE623"/>
  <c r="AD623"/>
  <c r="BH622"/>
  <c r="BF622"/>
  <c r="BB622"/>
  <c r="AY622"/>
  <c r="AS622"/>
  <c r="AR622"/>
  <c r="AL622"/>
  <c r="AK622"/>
  <c r="AE622"/>
  <c r="AD622"/>
  <c r="BH632"/>
  <c r="BF632"/>
  <c r="BB632"/>
  <c r="AY632"/>
  <c r="AS632"/>
  <c r="AR632"/>
  <c r="AL632"/>
  <c r="AK632"/>
  <c r="AE632"/>
  <c r="AD632"/>
  <c r="BH620"/>
  <c r="BF620"/>
  <c r="BB620"/>
  <c r="AY620"/>
  <c r="AS620"/>
  <c r="AR620"/>
  <c r="AL620"/>
  <c r="AK620"/>
  <c r="AE620"/>
  <c r="AD620"/>
  <c r="BH619"/>
  <c r="BF619"/>
  <c r="BB619"/>
  <c r="AY619"/>
  <c r="AS619"/>
  <c r="AR619"/>
  <c r="AL619"/>
  <c r="AK619"/>
  <c r="AE619"/>
  <c r="AD619"/>
  <c r="BH635"/>
  <c r="BF635"/>
  <c r="BB635"/>
  <c r="AY635"/>
  <c r="AS635"/>
  <c r="AR635"/>
  <c r="AL635"/>
  <c r="AK635"/>
  <c r="AE635"/>
  <c r="AD635"/>
  <c r="BH634"/>
  <c r="BF634"/>
  <c r="BB634"/>
  <c r="AY634"/>
  <c r="AS634"/>
  <c r="AR634"/>
  <c r="AL634"/>
  <c r="AK634"/>
  <c r="AE634"/>
  <c r="AD634"/>
  <c r="BH612"/>
  <c r="BF612"/>
  <c r="BB612"/>
  <c r="AY612"/>
  <c r="AS612"/>
  <c r="AR612"/>
  <c r="AL612"/>
  <c r="AK612"/>
  <c r="AE612"/>
  <c r="AD612"/>
  <c r="BH611"/>
  <c r="BF611"/>
  <c r="BB611"/>
  <c r="AY611"/>
  <c r="AS611"/>
  <c r="AR611"/>
  <c r="AL611"/>
  <c r="AK611"/>
  <c r="AE611"/>
  <c r="AD611"/>
  <c r="BH617"/>
  <c r="BF617"/>
  <c r="BB617"/>
  <c r="AY617"/>
  <c r="AS617"/>
  <c r="AR617"/>
  <c r="AL617"/>
  <c r="AK617"/>
  <c r="AE617"/>
  <c r="AD617"/>
  <c r="BH610"/>
  <c r="BF610"/>
  <c r="BB610"/>
  <c r="AY610"/>
  <c r="AS610"/>
  <c r="AR610"/>
  <c r="AL610"/>
  <c r="AK610"/>
  <c r="AE610"/>
  <c r="AD610"/>
  <c r="BH608"/>
  <c r="BF608"/>
  <c r="BB608"/>
  <c r="AY608"/>
  <c r="AS608"/>
  <c r="AR608"/>
  <c r="AL608"/>
  <c r="AK608"/>
  <c r="AE608"/>
  <c r="AD608"/>
  <c r="BH607"/>
  <c r="BF607"/>
  <c r="BB607"/>
  <c r="AY607"/>
  <c r="AS607"/>
  <c r="AR607"/>
  <c r="AL607"/>
  <c r="AK607"/>
  <c r="AE607"/>
  <c r="AD607"/>
  <c r="BH606"/>
  <c r="BF606"/>
  <c r="BB606"/>
  <c r="AY606"/>
  <c r="AS606"/>
  <c r="AR606"/>
  <c r="AL606"/>
  <c r="AK606"/>
  <c r="AE606"/>
  <c r="AD606"/>
  <c r="BH614"/>
  <c r="BF614"/>
  <c r="BB614"/>
  <c r="AY614"/>
  <c r="AS614"/>
  <c r="AR614"/>
  <c r="AL614"/>
  <c r="AK614"/>
  <c r="AE614"/>
  <c r="AD614"/>
  <c r="BH604"/>
  <c r="BF604"/>
  <c r="BB604"/>
  <c r="AY604"/>
  <c r="AS604"/>
  <c r="AR604"/>
  <c r="AL604"/>
  <c r="AK604"/>
  <c r="AE604"/>
  <c r="AD604"/>
  <c r="BH603"/>
  <c r="BF603"/>
  <c r="BB603"/>
  <c r="AY603"/>
  <c r="AS603"/>
  <c r="AR603"/>
  <c r="AL603"/>
  <c r="AK603"/>
  <c r="AE603"/>
  <c r="AD603"/>
  <c r="BH602"/>
  <c r="BF602"/>
  <c r="BB602"/>
  <c r="AY602"/>
  <c r="AS602"/>
  <c r="AR602"/>
  <c r="AL602"/>
  <c r="AK602"/>
  <c r="AE602"/>
  <c r="AD602"/>
  <c r="BH600"/>
  <c r="BF600"/>
  <c r="BB600"/>
  <c r="AY600"/>
  <c r="AS600"/>
  <c r="AR600"/>
  <c r="AL600"/>
  <c r="AK600"/>
  <c r="AE600"/>
  <c r="AD600"/>
  <c r="BH616"/>
  <c r="BF616"/>
  <c r="BB616"/>
  <c r="AY616"/>
  <c r="AS616"/>
  <c r="AR616"/>
  <c r="AL616"/>
  <c r="AK616"/>
  <c r="AE616"/>
  <c r="AD616"/>
  <c r="BH599"/>
  <c r="BF599"/>
  <c r="BB599"/>
  <c r="AY599"/>
  <c r="AS599"/>
  <c r="AR599"/>
  <c r="AL599"/>
  <c r="AK599"/>
  <c r="AE599"/>
  <c r="AD599"/>
  <c r="BH593"/>
  <c r="BF593"/>
  <c r="BB593"/>
  <c r="AY593"/>
  <c r="AS593"/>
  <c r="AR593"/>
  <c r="AL593"/>
  <c r="AK593"/>
  <c r="AE593"/>
  <c r="AD593"/>
  <c r="BH592"/>
  <c r="BF592"/>
  <c r="BB592"/>
  <c r="AY592"/>
  <c r="AS592"/>
  <c r="AR592"/>
  <c r="AL592"/>
  <c r="AK592"/>
  <c r="AE592"/>
  <c r="AD592"/>
  <c r="BH588"/>
  <c r="BF588"/>
  <c r="BB588"/>
  <c r="AY588"/>
  <c r="AS588"/>
  <c r="AR588"/>
  <c r="AE588"/>
  <c r="AD588"/>
  <c r="BH589"/>
  <c r="BF589"/>
  <c r="BB589"/>
  <c r="AY589"/>
  <c r="AS589"/>
  <c r="AR589"/>
  <c r="AL589"/>
  <c r="AK589"/>
  <c r="AE589"/>
  <c r="AD589"/>
  <c r="BH586"/>
  <c r="BF586"/>
  <c r="BB586"/>
  <c r="AY586"/>
  <c r="AS586"/>
  <c r="AR586"/>
  <c r="AE586"/>
  <c r="AD586"/>
  <c r="BH584"/>
  <c r="BF584"/>
  <c r="BB584"/>
  <c r="AY584"/>
  <c r="AS584"/>
  <c r="AR584"/>
  <c r="AE584"/>
  <c r="AD584"/>
  <c r="BH583"/>
  <c r="BF583"/>
  <c r="BB583"/>
  <c r="AY583"/>
  <c r="AS583"/>
  <c r="AR583"/>
  <c r="AE583"/>
  <c r="AD583"/>
  <c r="BH582"/>
  <c r="BF582"/>
  <c r="BB582"/>
  <c r="AY582"/>
  <c r="AS582"/>
  <c r="AR582"/>
  <c r="AE582"/>
  <c r="AD582"/>
  <c r="BH580"/>
  <c r="BF580"/>
  <c r="BB580"/>
  <c r="AY580"/>
  <c r="AS580"/>
  <c r="AR580"/>
  <c r="AE580"/>
  <c r="AD580"/>
  <c r="BH594"/>
  <c r="BF594"/>
  <c r="BB594"/>
  <c r="AY594"/>
  <c r="AS594"/>
  <c r="AR594"/>
  <c r="AL594"/>
  <c r="AK594"/>
  <c r="AE594"/>
  <c r="AD594"/>
  <c r="BH590"/>
  <c r="BF590"/>
  <c r="BB590"/>
  <c r="AY590"/>
  <c r="AS590"/>
  <c r="AR590"/>
  <c r="AL590"/>
  <c r="AK590"/>
  <c r="AE590"/>
  <c r="AD590"/>
  <c r="BH572"/>
  <c r="BF572"/>
  <c r="BB572"/>
  <c r="AY572"/>
  <c r="AS572"/>
  <c r="AR572"/>
  <c r="AE572"/>
  <c r="AD572"/>
  <c r="BH571"/>
  <c r="BF571"/>
  <c r="BB571"/>
  <c r="AY571"/>
  <c r="AS571"/>
  <c r="AR571"/>
  <c r="AE571"/>
  <c r="AD571"/>
  <c r="BH574"/>
  <c r="BF574"/>
  <c r="BB574"/>
  <c r="AY574"/>
  <c r="AS574"/>
  <c r="AR574"/>
  <c r="AE574"/>
  <c r="AD574"/>
  <c r="BH566"/>
  <c r="BF566"/>
  <c r="BB566"/>
  <c r="AY566"/>
  <c r="AS566"/>
  <c r="AR566"/>
  <c r="AE566"/>
  <c r="AD566"/>
  <c r="BH565"/>
  <c r="BF565"/>
  <c r="BB565"/>
  <c r="AY565"/>
  <c r="AS565"/>
  <c r="AR565"/>
  <c r="AE565"/>
  <c r="AD565"/>
  <c r="BH564"/>
  <c r="BF564"/>
  <c r="BB564"/>
  <c r="AY564"/>
  <c r="AS564"/>
  <c r="AR564"/>
  <c r="AE564"/>
  <c r="AD564"/>
  <c r="BH570"/>
  <c r="BF570"/>
  <c r="BB570"/>
  <c r="AY570"/>
  <c r="AS570"/>
  <c r="AR570"/>
  <c r="AE570"/>
  <c r="AD570"/>
  <c r="BH569"/>
  <c r="BF569"/>
  <c r="BB569"/>
  <c r="AY569"/>
  <c r="AS569"/>
  <c r="AR569"/>
  <c r="AE569"/>
  <c r="AD569"/>
  <c r="BH567"/>
  <c r="BF567"/>
  <c r="BB567"/>
  <c r="AY567"/>
  <c r="AS567"/>
  <c r="AR567"/>
  <c r="AE567"/>
  <c r="AD567"/>
  <c r="BH578"/>
  <c r="BF578"/>
  <c r="BB578"/>
  <c r="AY578"/>
  <c r="AS578"/>
  <c r="AR578"/>
  <c r="AE578"/>
  <c r="AD578"/>
  <c r="BH577"/>
  <c r="BF577"/>
  <c r="BB577"/>
  <c r="AY577"/>
  <c r="AS577"/>
  <c r="AR577"/>
  <c r="AE577"/>
  <c r="AD577"/>
  <c r="BH575"/>
  <c r="BF575"/>
  <c r="BB575"/>
  <c r="AY575"/>
  <c r="AS575"/>
  <c r="AR575"/>
  <c r="AE575"/>
  <c r="AD575"/>
  <c r="BH563"/>
  <c r="BF563"/>
  <c r="BB563"/>
  <c r="AY563"/>
  <c r="AS563"/>
  <c r="AR563"/>
  <c r="AE563"/>
  <c r="AD563"/>
  <c r="BH561"/>
  <c r="BF561"/>
  <c r="BB561"/>
  <c r="AY561"/>
  <c r="AS561"/>
  <c r="AR561"/>
  <c r="AE561"/>
  <c r="AD561"/>
  <c r="BH555"/>
  <c r="BF555"/>
  <c r="BB555"/>
  <c r="AY555"/>
  <c r="AS555"/>
  <c r="AR555"/>
  <c r="AL555"/>
  <c r="AK555"/>
  <c r="AE555"/>
  <c r="AD555"/>
  <c r="BH554"/>
  <c r="BF554"/>
  <c r="BB554"/>
  <c r="AY554"/>
  <c r="AS554"/>
  <c r="AR554"/>
  <c r="AL554"/>
  <c r="AK554"/>
  <c r="AE554"/>
  <c r="AD554"/>
  <c r="BH553"/>
  <c r="BF553"/>
  <c r="BB553"/>
  <c r="AY553"/>
  <c r="AS553"/>
  <c r="AR553"/>
  <c r="AL553"/>
  <c r="AK553"/>
  <c r="AE553"/>
  <c r="AD553"/>
  <c r="BH557"/>
  <c r="BF557"/>
  <c r="BB557"/>
  <c r="AY557"/>
  <c r="AS557"/>
  <c r="AR557"/>
  <c r="AL557"/>
  <c r="AK557"/>
  <c r="AE557"/>
  <c r="AD557"/>
  <c r="BH545"/>
  <c r="BF545"/>
  <c r="BB545"/>
  <c r="AY545"/>
  <c r="AS545"/>
  <c r="AR545"/>
  <c r="AL545"/>
  <c r="AK545"/>
  <c r="AE545"/>
  <c r="AD545"/>
  <c r="BH551"/>
  <c r="BF551"/>
  <c r="BB551"/>
  <c r="AY551"/>
  <c r="AS551"/>
  <c r="AR551"/>
  <c r="AL551"/>
  <c r="AK551"/>
  <c r="AE551"/>
  <c r="AD551"/>
  <c r="BH550"/>
  <c r="BF550"/>
  <c r="BB550"/>
  <c r="AY550"/>
  <c r="AS550"/>
  <c r="AR550"/>
  <c r="AL550"/>
  <c r="AK550"/>
  <c r="AE550"/>
  <c r="AD550"/>
  <c r="BH549"/>
  <c r="BF549"/>
  <c r="BB549"/>
  <c r="AY549"/>
  <c r="AS549"/>
  <c r="AR549"/>
  <c r="AL549"/>
  <c r="AK549"/>
  <c r="AE549"/>
  <c r="AD549"/>
  <c r="BH547"/>
  <c r="BF547"/>
  <c r="BB547"/>
  <c r="AY547"/>
  <c r="AS547"/>
  <c r="AR547"/>
  <c r="AL547"/>
  <c r="AK547"/>
  <c r="AE547"/>
  <c r="AD547"/>
  <c r="BH546"/>
  <c r="BF546"/>
  <c r="BB546"/>
  <c r="AY546"/>
  <c r="AS546"/>
  <c r="AR546"/>
  <c r="AL546"/>
  <c r="AK546"/>
  <c r="AE546"/>
  <c r="AD546"/>
  <c r="BH559"/>
  <c r="BF559"/>
  <c r="BB559"/>
  <c r="AY559"/>
  <c r="AS559"/>
  <c r="AR559"/>
  <c r="AE559"/>
  <c r="AD559"/>
  <c r="BH543"/>
  <c r="BF543"/>
  <c r="BB543"/>
  <c r="AY543"/>
  <c r="AS543"/>
  <c r="AR543"/>
  <c r="AL543"/>
  <c r="AK543"/>
  <c r="AE543"/>
  <c r="AD543"/>
  <c r="BH537"/>
  <c r="BF537"/>
  <c r="BB537"/>
  <c r="AY537"/>
  <c r="AS537"/>
  <c r="AR537"/>
  <c r="AL537"/>
  <c r="AK537"/>
  <c r="AE537"/>
  <c r="AD537"/>
  <c r="BH536"/>
  <c r="BF536"/>
  <c r="BB536"/>
  <c r="AY536"/>
  <c r="AS536"/>
  <c r="AR536"/>
  <c r="AL536"/>
  <c r="AK536"/>
  <c r="AE536"/>
  <c r="AD536"/>
  <c r="BH535"/>
  <c r="BF535"/>
  <c r="BB535"/>
  <c r="AY535"/>
  <c r="AS535"/>
  <c r="AR535"/>
  <c r="AL535"/>
  <c r="AK535"/>
  <c r="AE535"/>
  <c r="AD535"/>
  <c r="BH533"/>
  <c r="BF533"/>
  <c r="BB533"/>
  <c r="AY533"/>
  <c r="AS533"/>
  <c r="AR533"/>
  <c r="AL533"/>
  <c r="AK533"/>
  <c r="AE533"/>
  <c r="AD533"/>
  <c r="BH532"/>
  <c r="BF532"/>
  <c r="BB532"/>
  <c r="AY532"/>
  <c r="AS532"/>
  <c r="AR532"/>
  <c r="AL532"/>
  <c r="AK532"/>
  <c r="AE532"/>
  <c r="AD532"/>
  <c r="BH531"/>
  <c r="BF531"/>
  <c r="BB531"/>
  <c r="AY531"/>
  <c r="AS531"/>
  <c r="AR531"/>
  <c r="AL531"/>
  <c r="AK531"/>
  <c r="AE531"/>
  <c r="AD531"/>
  <c r="BH529"/>
  <c r="BF529"/>
  <c r="BB529"/>
  <c r="AY529"/>
  <c r="AS529"/>
  <c r="AR529"/>
  <c r="AL529"/>
  <c r="AK529"/>
  <c r="AE529"/>
  <c r="AD529"/>
  <c r="BH528"/>
  <c r="BF528"/>
  <c r="BB528"/>
  <c r="AY528"/>
  <c r="AS528"/>
  <c r="AR528"/>
  <c r="AL528"/>
  <c r="AK528"/>
  <c r="AE528"/>
  <c r="AD528"/>
  <c r="BH527"/>
  <c r="BF527"/>
  <c r="BB527"/>
  <c r="AY527"/>
  <c r="AS527"/>
  <c r="AR527"/>
  <c r="AL527"/>
  <c r="AK527"/>
  <c r="AE527"/>
  <c r="AD527"/>
  <c r="BH525"/>
  <c r="BF525"/>
  <c r="BB525"/>
  <c r="AY525"/>
  <c r="AS525"/>
  <c r="AR525"/>
  <c r="AL525"/>
  <c r="AK525"/>
  <c r="AE525"/>
  <c r="AD525"/>
  <c r="BH524"/>
  <c r="BF524"/>
  <c r="BB524"/>
  <c r="AY524"/>
  <c r="AS524"/>
  <c r="AR524"/>
  <c r="AL524"/>
  <c r="AK524"/>
  <c r="AE524"/>
  <c r="AD524"/>
  <c r="BH521"/>
  <c r="BF521"/>
  <c r="BB521"/>
  <c r="AY521"/>
  <c r="AS521"/>
  <c r="AR521"/>
  <c r="AL521"/>
  <c r="AK521"/>
  <c r="AE521"/>
  <c r="AD521"/>
  <c r="BH520"/>
  <c r="BF520"/>
  <c r="BB520"/>
  <c r="AY520"/>
  <c r="AS520"/>
  <c r="AR520"/>
  <c r="AL520"/>
  <c r="AK520"/>
  <c r="AE520"/>
  <c r="AD520"/>
  <c r="BH519"/>
  <c r="BF519"/>
  <c r="BB519"/>
  <c r="AY519"/>
  <c r="AS519"/>
  <c r="AR519"/>
  <c r="AL519"/>
  <c r="AK519"/>
  <c r="AE519"/>
  <c r="AD519"/>
  <c r="BH517"/>
  <c r="BF517"/>
  <c r="BB517"/>
  <c r="AY517"/>
  <c r="AS517"/>
  <c r="AR517"/>
  <c r="AL517"/>
  <c r="AK517"/>
  <c r="AE517"/>
  <c r="AD517"/>
  <c r="BH515"/>
  <c r="BF515"/>
  <c r="BB515"/>
  <c r="AY515"/>
  <c r="AS515"/>
  <c r="AR515"/>
  <c r="AL515"/>
  <c r="AK515"/>
  <c r="AE515"/>
  <c r="AD515"/>
  <c r="BH514"/>
  <c r="BF514"/>
  <c r="BB514"/>
  <c r="AY514"/>
  <c r="AS514"/>
  <c r="AR514"/>
  <c r="AL514"/>
  <c r="AK514"/>
  <c r="AE514"/>
  <c r="AD514"/>
  <c r="BH513"/>
  <c r="BF513"/>
  <c r="BB513"/>
  <c r="AY513"/>
  <c r="AS513"/>
  <c r="AR513"/>
  <c r="AL513"/>
  <c r="AK513"/>
  <c r="AE513"/>
  <c r="AD513"/>
  <c r="BH512"/>
  <c r="BF512"/>
  <c r="BB512"/>
  <c r="AY512"/>
  <c r="AS512"/>
  <c r="AR512"/>
  <c r="AL512"/>
  <c r="AK512"/>
  <c r="AE512"/>
  <c r="AD512"/>
  <c r="BH511"/>
  <c r="BF511"/>
  <c r="BB511"/>
  <c r="AY511"/>
  <c r="AS511"/>
  <c r="AR511"/>
  <c r="AL511"/>
  <c r="AK511"/>
  <c r="AE511"/>
  <c r="AD511"/>
  <c r="BH510"/>
  <c r="BF510"/>
  <c r="BB510"/>
  <c r="AY510"/>
  <c r="AS510"/>
  <c r="AR510"/>
  <c r="AL510"/>
  <c r="AK510"/>
  <c r="AE510"/>
  <c r="AD510"/>
  <c r="BH509"/>
  <c r="BF509"/>
  <c r="BB509"/>
  <c r="AY509"/>
  <c r="AS509"/>
  <c r="AR509"/>
  <c r="AL509"/>
  <c r="AK509"/>
  <c r="AE509"/>
  <c r="AD509"/>
  <c r="BH508"/>
  <c r="BF508"/>
  <c r="BB508"/>
  <c r="AY508"/>
  <c r="AS508"/>
  <c r="AR508"/>
  <c r="AL508"/>
  <c r="AK508"/>
  <c r="AE508"/>
  <c r="AD508"/>
  <c r="BH506"/>
  <c r="BF506"/>
  <c r="BB506"/>
  <c r="AY506"/>
  <c r="AS506"/>
  <c r="AR506"/>
  <c r="AL506"/>
  <c r="AK506"/>
  <c r="AE506"/>
  <c r="AD506"/>
  <c r="BH489"/>
  <c r="BF489"/>
  <c r="BB489"/>
  <c r="AY489"/>
  <c r="AS489"/>
  <c r="AR489"/>
  <c r="AL489"/>
  <c r="AK489"/>
  <c r="AE489"/>
  <c r="AD489"/>
  <c r="BH504"/>
  <c r="BF504"/>
  <c r="BB504"/>
  <c r="AY504"/>
  <c r="AS504"/>
  <c r="AR504"/>
  <c r="AL504"/>
  <c r="AK504"/>
  <c r="AE504"/>
  <c r="AD504"/>
  <c r="BH487"/>
  <c r="BF487"/>
  <c r="BB487"/>
  <c r="AY487"/>
  <c r="AS487"/>
  <c r="AR487"/>
  <c r="AL487"/>
  <c r="AK487"/>
  <c r="AE487"/>
  <c r="AD487"/>
  <c r="BH503"/>
  <c r="BF503"/>
  <c r="BB503"/>
  <c r="AY503"/>
  <c r="AS503"/>
  <c r="AR503"/>
  <c r="AL503"/>
  <c r="AK503"/>
  <c r="AE503"/>
  <c r="AD503"/>
  <c r="BH486"/>
  <c r="BF486"/>
  <c r="BB486"/>
  <c r="AY486"/>
  <c r="AS486"/>
  <c r="AR486"/>
  <c r="AL486"/>
  <c r="AK486"/>
  <c r="AE486"/>
  <c r="AD486"/>
  <c r="BH488"/>
  <c r="BF488"/>
  <c r="BB488"/>
  <c r="AY488"/>
  <c r="AS488"/>
  <c r="AR488"/>
  <c r="AL488"/>
  <c r="AK488"/>
  <c r="AE488"/>
  <c r="AD488"/>
  <c r="BH485"/>
  <c r="BF485"/>
  <c r="BB485"/>
  <c r="AY485"/>
  <c r="AS485"/>
  <c r="AR485"/>
  <c r="AL485"/>
  <c r="AK485"/>
  <c r="AE485"/>
  <c r="AD485"/>
  <c r="BH502"/>
  <c r="BF502"/>
  <c r="BB502"/>
  <c r="AY502"/>
  <c r="AS502"/>
  <c r="AR502"/>
  <c r="AL502"/>
  <c r="AK502"/>
  <c r="AE502"/>
  <c r="AD502"/>
  <c r="BH501"/>
  <c r="BF501"/>
  <c r="BB501"/>
  <c r="AY501"/>
  <c r="AS501"/>
  <c r="AR501"/>
  <c r="AL501"/>
  <c r="AK501"/>
  <c r="AE501"/>
  <c r="AD501"/>
  <c r="BH484"/>
  <c r="BF484"/>
  <c r="BB484"/>
  <c r="AY484"/>
  <c r="AS484"/>
  <c r="AR484"/>
  <c r="AL484"/>
  <c r="AK484"/>
  <c r="AE484"/>
  <c r="AD484"/>
  <c r="BH483"/>
  <c r="BF483"/>
  <c r="BB483"/>
  <c r="AY483"/>
  <c r="AS483"/>
  <c r="AR483"/>
  <c r="AL483"/>
  <c r="AK483"/>
  <c r="AE483"/>
  <c r="AD483"/>
  <c r="BH500"/>
  <c r="BF500"/>
  <c r="BB500"/>
  <c r="AY500"/>
  <c r="AS500"/>
  <c r="AR500"/>
  <c r="AL500"/>
  <c r="AK500"/>
  <c r="AE500"/>
  <c r="AD500"/>
  <c r="BH499"/>
  <c r="BF499"/>
  <c r="BB499"/>
  <c r="AY499"/>
  <c r="AS499"/>
  <c r="AR499"/>
  <c r="AL499"/>
  <c r="AK499"/>
  <c r="AE499"/>
  <c r="AD499"/>
  <c r="BH482"/>
  <c r="BF482"/>
  <c r="BB482"/>
  <c r="AY482"/>
  <c r="AS482"/>
  <c r="AR482"/>
  <c r="AL482"/>
  <c r="AK482"/>
  <c r="AE482"/>
  <c r="AD482"/>
  <c r="BH481"/>
  <c r="BF481"/>
  <c r="BB481"/>
  <c r="AY481"/>
  <c r="AS481"/>
  <c r="AR481"/>
  <c r="AL481"/>
  <c r="AK481"/>
  <c r="AE481"/>
  <c r="AD481"/>
  <c r="BH498"/>
  <c r="BF498"/>
  <c r="BB498"/>
  <c r="AY498"/>
  <c r="AS498"/>
  <c r="AR498"/>
  <c r="AL498"/>
  <c r="AK498"/>
  <c r="AE498"/>
  <c r="AD498"/>
  <c r="BH497"/>
  <c r="BF497"/>
  <c r="BB497"/>
  <c r="AY497"/>
  <c r="AS497"/>
  <c r="AR497"/>
  <c r="AL497"/>
  <c r="AK497"/>
  <c r="AE497"/>
  <c r="AD497"/>
  <c r="BH480"/>
  <c r="BF480"/>
  <c r="BB480"/>
  <c r="AY480"/>
  <c r="AS480"/>
  <c r="AR480"/>
  <c r="AL480"/>
  <c r="AK480"/>
  <c r="AE480"/>
  <c r="AD480"/>
  <c r="BH496"/>
  <c r="BF496"/>
  <c r="BB496"/>
  <c r="AY496"/>
  <c r="AS496"/>
  <c r="AR496"/>
  <c r="AL496"/>
  <c r="AK496"/>
  <c r="AE496"/>
  <c r="AD496"/>
  <c r="BH479"/>
  <c r="BF479"/>
  <c r="BB479"/>
  <c r="AY479"/>
  <c r="AS479"/>
  <c r="AR479"/>
  <c r="AL479"/>
  <c r="AK479"/>
  <c r="AE479"/>
  <c r="AD479"/>
  <c r="BH495"/>
  <c r="BF495"/>
  <c r="BB495"/>
  <c r="AY495"/>
  <c r="AS495"/>
  <c r="AR495"/>
  <c r="AL495"/>
  <c r="AK495"/>
  <c r="AE495"/>
  <c r="AD495"/>
  <c r="BH494"/>
  <c r="BF494"/>
  <c r="BB494"/>
  <c r="AY494"/>
  <c r="AS494"/>
  <c r="AR494"/>
  <c r="AL494"/>
  <c r="AK494"/>
  <c r="AE494"/>
  <c r="AD494"/>
  <c r="BH478"/>
  <c r="BF478"/>
  <c r="BB478"/>
  <c r="AY478"/>
  <c r="AS478"/>
  <c r="AR478"/>
  <c r="AL478"/>
  <c r="AK478"/>
  <c r="AE478"/>
  <c r="AD478"/>
  <c r="BH477"/>
  <c r="BF477"/>
  <c r="BB477"/>
  <c r="AY477"/>
  <c r="AS477"/>
  <c r="AR477"/>
  <c r="AL477"/>
  <c r="AK477"/>
  <c r="AE477"/>
  <c r="AD477"/>
  <c r="BH493"/>
  <c r="BF493"/>
  <c r="BB493"/>
  <c r="AY493"/>
  <c r="AS493"/>
  <c r="AR493"/>
  <c r="AL493"/>
  <c r="AK493"/>
  <c r="AE493"/>
  <c r="AD493"/>
  <c r="BH476"/>
  <c r="BF476"/>
  <c r="BB476"/>
  <c r="AY476"/>
  <c r="AS476"/>
  <c r="AR476"/>
  <c r="AL476"/>
  <c r="AK476"/>
  <c r="AE476"/>
  <c r="AD476"/>
  <c r="BH474"/>
  <c r="BF474"/>
  <c r="BB474"/>
  <c r="AY474"/>
  <c r="AS474"/>
  <c r="AR474"/>
  <c r="AL474"/>
  <c r="AK474"/>
  <c r="AE474"/>
  <c r="AD474"/>
  <c r="BH491"/>
  <c r="BF491"/>
  <c r="BB491"/>
  <c r="AY491"/>
  <c r="AS491"/>
  <c r="AR491"/>
  <c r="AL491"/>
  <c r="AK491"/>
  <c r="AE491"/>
  <c r="AD491"/>
  <c r="BH473"/>
  <c r="BF473"/>
  <c r="BB473"/>
  <c r="AY473"/>
  <c r="AS473"/>
  <c r="AR473"/>
  <c r="AL473"/>
  <c r="AK473"/>
  <c r="AE473"/>
  <c r="AD473"/>
  <c r="BH467"/>
  <c r="BF467"/>
  <c r="BB467"/>
  <c r="AY467"/>
  <c r="AS467"/>
  <c r="AR467"/>
  <c r="AL467"/>
  <c r="AK467"/>
  <c r="AE467"/>
  <c r="AD467"/>
  <c r="BH466"/>
  <c r="BF466"/>
  <c r="BB466"/>
  <c r="AY466"/>
  <c r="AS466"/>
  <c r="AR466"/>
  <c r="AL466"/>
  <c r="AK466"/>
  <c r="AE466"/>
  <c r="AD466"/>
  <c r="BH461"/>
  <c r="BB461"/>
  <c r="AY461"/>
  <c r="AS461"/>
  <c r="AR461"/>
  <c r="AL461"/>
  <c r="AK461"/>
  <c r="AE461"/>
  <c r="AD461"/>
  <c r="BH460"/>
  <c r="BF460"/>
  <c r="BB460"/>
  <c r="AY460"/>
  <c r="AS460"/>
  <c r="AR460"/>
  <c r="AL460"/>
  <c r="AK460"/>
  <c r="AE460"/>
  <c r="AD460"/>
  <c r="BH459"/>
  <c r="BF459"/>
  <c r="BB459"/>
  <c r="AY459"/>
  <c r="AS459"/>
  <c r="AR459"/>
  <c r="AL459"/>
  <c r="AK459"/>
  <c r="AE459"/>
  <c r="AD459"/>
  <c r="BH470"/>
  <c r="BF470"/>
  <c r="BB470"/>
  <c r="AY470"/>
  <c r="AS470"/>
  <c r="AR470"/>
  <c r="AL470"/>
  <c r="AK470"/>
  <c r="AE470"/>
  <c r="AD470"/>
  <c r="BH462"/>
  <c r="BF462"/>
  <c r="BB462"/>
  <c r="AY462"/>
  <c r="AS462"/>
  <c r="AR462"/>
  <c r="AL462"/>
  <c r="AK462"/>
  <c r="AE462"/>
  <c r="AD462"/>
  <c r="BH445"/>
  <c r="BF445"/>
  <c r="BB445"/>
  <c r="AY445"/>
  <c r="AS445"/>
  <c r="AR445"/>
  <c r="AL445"/>
  <c r="AK445"/>
  <c r="AE445"/>
  <c r="AD445"/>
  <c r="BH442"/>
  <c r="BF442"/>
  <c r="BB442"/>
  <c r="AY442"/>
  <c r="AS442"/>
  <c r="AR442"/>
  <c r="AL442"/>
  <c r="AK442"/>
  <c r="AE442"/>
  <c r="AD442"/>
  <c r="BH447"/>
  <c r="BF447"/>
  <c r="BB447"/>
  <c r="AY447"/>
  <c r="AS447"/>
  <c r="AR447"/>
  <c r="AL447"/>
  <c r="AK447"/>
  <c r="AE447"/>
  <c r="AD447"/>
  <c r="BH457"/>
  <c r="BF457"/>
  <c r="BB457"/>
  <c r="AY457"/>
  <c r="AS457"/>
  <c r="AR457"/>
  <c r="AL457"/>
  <c r="AK457"/>
  <c r="AE457"/>
  <c r="AD457"/>
  <c r="BH441"/>
  <c r="BF441"/>
  <c r="BB441"/>
  <c r="AY441"/>
  <c r="AS441"/>
  <c r="AR441"/>
  <c r="AL441"/>
  <c r="AK441"/>
  <c r="AE441"/>
  <c r="AD441"/>
  <c r="BH440"/>
  <c r="BF440"/>
  <c r="BB440"/>
  <c r="AY440"/>
  <c r="AS440"/>
  <c r="AR440"/>
  <c r="AL440"/>
  <c r="AK440"/>
  <c r="AE440"/>
  <c r="AD440"/>
  <c r="BH438"/>
  <c r="BF438"/>
  <c r="BB438"/>
  <c r="AY438"/>
  <c r="AS438"/>
  <c r="AR438"/>
  <c r="AL438"/>
  <c r="AK438"/>
  <c r="AE438"/>
  <c r="AD438"/>
  <c r="BH456"/>
  <c r="BF456"/>
  <c r="BB456"/>
  <c r="AY456"/>
  <c r="AS456"/>
  <c r="AR456"/>
  <c r="AL456"/>
  <c r="AK456"/>
  <c r="AE456"/>
  <c r="AD456"/>
  <c r="BH437"/>
  <c r="BF437"/>
  <c r="BB437"/>
  <c r="AY437"/>
  <c r="AS437"/>
  <c r="AR437"/>
  <c r="AL437"/>
  <c r="AK437"/>
  <c r="AE437"/>
  <c r="AD437"/>
  <c r="BH455"/>
  <c r="BF455"/>
  <c r="BB455"/>
  <c r="AY455"/>
  <c r="AS455"/>
  <c r="AR455"/>
  <c r="AL455"/>
  <c r="AK455"/>
  <c r="AE455"/>
  <c r="AD455"/>
  <c r="BH436"/>
  <c r="BF436"/>
  <c r="BB436"/>
  <c r="AY436"/>
  <c r="AS436"/>
  <c r="AR436"/>
  <c r="AL436"/>
  <c r="AK436"/>
  <c r="AE436"/>
  <c r="AD436"/>
  <c r="BH454"/>
  <c r="BF454"/>
  <c r="BB454"/>
  <c r="AY454"/>
  <c r="AS454"/>
  <c r="AR454"/>
  <c r="AL454"/>
  <c r="AK454"/>
  <c r="AE454"/>
  <c r="AD454"/>
  <c r="BH468"/>
  <c r="BF468"/>
  <c r="BB468"/>
  <c r="AY468"/>
  <c r="AS468"/>
  <c r="AR468"/>
  <c r="AL468"/>
  <c r="AK468"/>
  <c r="AE468"/>
  <c r="AD468"/>
  <c r="BH446"/>
  <c r="BF446"/>
  <c r="BB446"/>
  <c r="AY446"/>
  <c r="AS446"/>
  <c r="AR446"/>
  <c r="AL446"/>
  <c r="AK446"/>
  <c r="AE446"/>
  <c r="AD446"/>
  <c r="BH444"/>
  <c r="BF444"/>
  <c r="BB444"/>
  <c r="AY444"/>
  <c r="AS444"/>
  <c r="AR444"/>
  <c r="AL444"/>
  <c r="AK444"/>
  <c r="AE444"/>
  <c r="AD444"/>
  <c r="BH434"/>
  <c r="BF434"/>
  <c r="BB434"/>
  <c r="AY434"/>
  <c r="AS434"/>
  <c r="AR434"/>
  <c r="AL434"/>
  <c r="AK434"/>
  <c r="AE434"/>
  <c r="AD434"/>
  <c r="BH453"/>
  <c r="BF453"/>
  <c r="BB453"/>
  <c r="AY453"/>
  <c r="AS453"/>
  <c r="AR453"/>
  <c r="AL453"/>
  <c r="AK453"/>
  <c r="AE453"/>
  <c r="AD453"/>
  <c r="BH433"/>
  <c r="BF433"/>
  <c r="BB433"/>
  <c r="AY433"/>
  <c r="AS433"/>
  <c r="AR433"/>
  <c r="AL433"/>
  <c r="AK433"/>
  <c r="AE433"/>
  <c r="AD433"/>
  <c r="BH452"/>
  <c r="BF452"/>
  <c r="BB452"/>
  <c r="AY452"/>
  <c r="AS452"/>
  <c r="AR452"/>
  <c r="AL452"/>
  <c r="AK452"/>
  <c r="AE452"/>
  <c r="AD452"/>
  <c r="BH432"/>
  <c r="BF432"/>
  <c r="BB432"/>
  <c r="AY432"/>
  <c r="AS432"/>
  <c r="AR432"/>
  <c r="AL432"/>
  <c r="AK432"/>
  <c r="AE432"/>
  <c r="AD432"/>
  <c r="BH464"/>
  <c r="BF464"/>
  <c r="BB464"/>
  <c r="AY464"/>
  <c r="AS464"/>
  <c r="AR464"/>
  <c r="AL464"/>
  <c r="AK464"/>
  <c r="AE464"/>
  <c r="AD464"/>
  <c r="BH451"/>
  <c r="BF451"/>
  <c r="BB451"/>
  <c r="AY451"/>
  <c r="AS451"/>
  <c r="AR451"/>
  <c r="AL451"/>
  <c r="AK451"/>
  <c r="AE451"/>
  <c r="AD451"/>
  <c r="BH430"/>
  <c r="BF430"/>
  <c r="BB430"/>
  <c r="AY430"/>
  <c r="AS430"/>
  <c r="AR430"/>
  <c r="AL430"/>
  <c r="AK430"/>
  <c r="AE430"/>
  <c r="AD430"/>
  <c r="BH429"/>
  <c r="BF429"/>
  <c r="BB429"/>
  <c r="AY429"/>
  <c r="AS429"/>
  <c r="AR429"/>
  <c r="AL429"/>
  <c r="AK429"/>
  <c r="AE429"/>
  <c r="AD429"/>
  <c r="BH450"/>
  <c r="BF450"/>
  <c r="BB450"/>
  <c r="AY450"/>
  <c r="AS450"/>
  <c r="AR450"/>
  <c r="AL450"/>
  <c r="AK450"/>
  <c r="AE450"/>
  <c r="AD450"/>
  <c r="BH558"/>
  <c r="BF558"/>
  <c r="BB558"/>
  <c r="AY558"/>
  <c r="AS558"/>
  <c r="AR558"/>
  <c r="AL558"/>
  <c r="AK558"/>
  <c r="AE558"/>
  <c r="AD558"/>
  <c r="BH556"/>
  <c r="BF556"/>
  <c r="BB556"/>
  <c r="AY556"/>
  <c r="AS556"/>
  <c r="AR556"/>
  <c r="AL556"/>
  <c r="AK556"/>
  <c r="AE556"/>
  <c r="AD556"/>
  <c r="BH552"/>
  <c r="BF552"/>
  <c r="BB552"/>
  <c r="AY552"/>
  <c r="AS552"/>
  <c r="AR552"/>
  <c r="AL552"/>
  <c r="AK552"/>
  <c r="AE552"/>
  <c r="AD552"/>
  <c r="BH548"/>
  <c r="BF548"/>
  <c r="BB548"/>
  <c r="AY548"/>
  <c r="AS548"/>
  <c r="AR548"/>
  <c r="AL548"/>
  <c r="AK548"/>
  <c r="AE548"/>
  <c r="AD548"/>
  <c r="BH544"/>
  <c r="BF544"/>
  <c r="BB544"/>
  <c r="AY544"/>
  <c r="AS544"/>
  <c r="AR544"/>
  <c r="AL544"/>
  <c r="AK544"/>
  <c r="AE544"/>
  <c r="AD544"/>
  <c r="BH422"/>
  <c r="BF422"/>
  <c r="BB422"/>
  <c r="AY422"/>
  <c r="AS422"/>
  <c r="AR422"/>
  <c r="AL422"/>
  <c r="AK422"/>
  <c r="AE422"/>
  <c r="AD422"/>
  <c r="BH420"/>
  <c r="BF420"/>
  <c r="BB420"/>
  <c r="AY420"/>
  <c r="AS420"/>
  <c r="AR420"/>
  <c r="AL420"/>
  <c r="AK420"/>
  <c r="AE420"/>
  <c r="AD420"/>
  <c r="BH419"/>
  <c r="BF419"/>
  <c r="BB419"/>
  <c r="AY419"/>
  <c r="AS419"/>
  <c r="AR419"/>
  <c r="AL419"/>
  <c r="AK419"/>
  <c r="AE419"/>
  <c r="AD419"/>
  <c r="BH418"/>
  <c r="BF418"/>
  <c r="BB418"/>
  <c r="AY418"/>
  <c r="AS418"/>
  <c r="AR418"/>
  <c r="AL418"/>
  <c r="AK418"/>
  <c r="AE418"/>
  <c r="AD418"/>
  <c r="BH416"/>
  <c r="BF416"/>
  <c r="BB416"/>
  <c r="AY416"/>
  <c r="AS416"/>
  <c r="AR416"/>
  <c r="AL416"/>
  <c r="AK416"/>
  <c r="AE416"/>
  <c r="AD416"/>
  <c r="BH415"/>
  <c r="BF415"/>
  <c r="BB415"/>
  <c r="AY415"/>
  <c r="AS415"/>
  <c r="AR415"/>
  <c r="AL415"/>
  <c r="AK415"/>
  <c r="AE415"/>
  <c r="AD415"/>
  <c r="BH414"/>
  <c r="BF414"/>
  <c r="BB414"/>
  <c r="AY414"/>
  <c r="AS414"/>
  <c r="AR414"/>
  <c r="AL414"/>
  <c r="AK414"/>
  <c r="AE414"/>
  <c r="AD414"/>
  <c r="BH412"/>
  <c r="BF412"/>
  <c r="BB412"/>
  <c r="AY412"/>
  <c r="AS412"/>
  <c r="AR412"/>
  <c r="AL412"/>
  <c r="AK412"/>
  <c r="AE412"/>
  <c r="AD412"/>
  <c r="BH411"/>
  <c r="BF411"/>
  <c r="BB411"/>
  <c r="AY411"/>
  <c r="AS411"/>
  <c r="AR411"/>
  <c r="AL411"/>
  <c r="AK411"/>
  <c r="AE411"/>
  <c r="AD411"/>
  <c r="BH410"/>
  <c r="BF410"/>
  <c r="BB410"/>
  <c r="AY410"/>
  <c r="AS410"/>
  <c r="AR410"/>
  <c r="AL410"/>
  <c r="AK410"/>
  <c r="AE410"/>
  <c r="AD410"/>
  <c r="BH425"/>
  <c r="BF425"/>
  <c r="BB425"/>
  <c r="AY425"/>
  <c r="AS425"/>
  <c r="AR425"/>
  <c r="AL425"/>
  <c r="AK425"/>
  <c r="AE425"/>
  <c r="AD425"/>
  <c r="BH424"/>
  <c r="BF424"/>
  <c r="BB424"/>
  <c r="AY424"/>
  <c r="AS424"/>
  <c r="AR424"/>
  <c r="AL424"/>
  <c r="AK424"/>
  <c r="AE424"/>
  <c r="AD424"/>
  <c r="BH408"/>
  <c r="BF408"/>
  <c r="BB408"/>
  <c r="AY408"/>
  <c r="AS408"/>
  <c r="AR408"/>
  <c r="AL408"/>
  <c r="AK408"/>
  <c r="AE408"/>
  <c r="AD408"/>
  <c r="BH407"/>
  <c r="BF407"/>
  <c r="BB407"/>
  <c r="AY407"/>
  <c r="AS407"/>
  <c r="AR407"/>
  <c r="AL407"/>
  <c r="AK407"/>
  <c r="AE407"/>
  <c r="AD407"/>
  <c r="BH405"/>
  <c r="BF405"/>
  <c r="BB405"/>
  <c r="AY405"/>
  <c r="AS405"/>
  <c r="AR405"/>
  <c r="AL405"/>
  <c r="AK405"/>
  <c r="AE405"/>
  <c r="AD405"/>
  <c r="BH403"/>
  <c r="BF403"/>
  <c r="BB403"/>
  <c r="AY403"/>
  <c r="AS403"/>
  <c r="AR403"/>
  <c r="AL403"/>
  <c r="AK403"/>
  <c r="AE403"/>
  <c r="AD403"/>
  <c r="BH402"/>
  <c r="BF402"/>
  <c r="BB402"/>
  <c r="AY402"/>
  <c r="AS402"/>
  <c r="AR402"/>
  <c r="AL402"/>
  <c r="AK402"/>
  <c r="AE402"/>
  <c r="AD402"/>
  <c r="BH401"/>
  <c r="BF401"/>
  <c r="BB401"/>
  <c r="AY401"/>
  <c r="AS401"/>
  <c r="AR401"/>
  <c r="AL401"/>
  <c r="AK401"/>
  <c r="AE401"/>
  <c r="AD401"/>
  <c r="BH400"/>
  <c r="BF400"/>
  <c r="BB400"/>
  <c r="AY400"/>
  <c r="AS400"/>
  <c r="AR400"/>
  <c r="AL400"/>
  <c r="AK400"/>
  <c r="AE400"/>
  <c r="AD400"/>
  <c r="BH399"/>
  <c r="BF399"/>
  <c r="BB399"/>
  <c r="AY399"/>
  <c r="AS399"/>
  <c r="AR399"/>
  <c r="AL399"/>
  <c r="AK399"/>
  <c r="AE399"/>
  <c r="AD399"/>
  <c r="BH397"/>
  <c r="BF397"/>
  <c r="BB397"/>
  <c r="AY397"/>
  <c r="AS397"/>
  <c r="AR397"/>
  <c r="AL397"/>
  <c r="AK397"/>
  <c r="AE397"/>
  <c r="AD397"/>
  <c r="BH396"/>
  <c r="BF396"/>
  <c r="BB396"/>
  <c r="AY396"/>
  <c r="AS396"/>
  <c r="AR396"/>
  <c r="AL396"/>
  <c r="AK396"/>
  <c r="AE396"/>
  <c r="AD396"/>
  <c r="BH395"/>
  <c r="BF395"/>
  <c r="BB395"/>
  <c r="AY395"/>
  <c r="AS395"/>
  <c r="AR395"/>
  <c r="AL395"/>
  <c r="AK395"/>
  <c r="AE395"/>
  <c r="AD395"/>
  <c r="BH394"/>
  <c r="BF394"/>
  <c r="BB394"/>
  <c r="AY394"/>
  <c r="AS394"/>
  <c r="AR394"/>
  <c r="AL394"/>
  <c r="AK394"/>
  <c r="AE394"/>
  <c r="AD394"/>
  <c r="BH393"/>
  <c r="BF393"/>
  <c r="BB393"/>
  <c r="AY393"/>
  <c r="AS393"/>
  <c r="AR393"/>
  <c r="AL393"/>
  <c r="AK393"/>
  <c r="AE393"/>
  <c r="AD393"/>
  <c r="BH385"/>
  <c r="BF385"/>
  <c r="BB385"/>
  <c r="AY385"/>
  <c r="AS385"/>
  <c r="AR385"/>
  <c r="AL385"/>
  <c r="AK385"/>
  <c r="AE385"/>
  <c r="AD385"/>
  <c r="BH384"/>
  <c r="BF384"/>
  <c r="BB384"/>
  <c r="AY384"/>
  <c r="AS384"/>
  <c r="AR384"/>
  <c r="AL384"/>
  <c r="AK384"/>
  <c r="AE384"/>
  <c r="AD384"/>
  <c r="BH383"/>
  <c r="BF383"/>
  <c r="BB383"/>
  <c r="AY383"/>
  <c r="AS383"/>
  <c r="AR383"/>
  <c r="AL383"/>
  <c r="AK383"/>
  <c r="AE383"/>
  <c r="AD383"/>
  <c r="BH382"/>
  <c r="BF382"/>
  <c r="BB382"/>
  <c r="AY382"/>
  <c r="AS382"/>
  <c r="AR382"/>
  <c r="AL382"/>
  <c r="AK382"/>
  <c r="AE382"/>
  <c r="AD382"/>
  <c r="BH381"/>
  <c r="BF381"/>
  <c r="BB381"/>
  <c r="AY381"/>
  <c r="AS381"/>
  <c r="AR381"/>
  <c r="AL381"/>
  <c r="AK381"/>
  <c r="AE381"/>
  <c r="AD381"/>
  <c r="BH392"/>
  <c r="BF392"/>
  <c r="BB392"/>
  <c r="AY392"/>
  <c r="AS392"/>
  <c r="AR392"/>
  <c r="AL392"/>
  <c r="AK392"/>
  <c r="AE392"/>
  <c r="AD392"/>
  <c r="BH391"/>
  <c r="BF391"/>
  <c r="BB391"/>
  <c r="AY391"/>
  <c r="AS391"/>
  <c r="AR391"/>
  <c r="AL391"/>
  <c r="AK391"/>
  <c r="AE391"/>
  <c r="AD391"/>
  <c r="BH390"/>
  <c r="BF390"/>
  <c r="BB390"/>
  <c r="AY390"/>
  <c r="AS390"/>
  <c r="AR390"/>
  <c r="AL390"/>
  <c r="AK390"/>
  <c r="AE390"/>
  <c r="AD390"/>
  <c r="BH389"/>
  <c r="BF389"/>
  <c r="BB389"/>
  <c r="AY389"/>
  <c r="AS389"/>
  <c r="AR389"/>
  <c r="AL389"/>
  <c r="AK389"/>
  <c r="AE389"/>
  <c r="AD389"/>
  <c r="BH388"/>
  <c r="BF388"/>
  <c r="BB388"/>
  <c r="AY388"/>
  <c r="AS388"/>
  <c r="AR388"/>
  <c r="AL388"/>
  <c r="AK388"/>
  <c r="AE388"/>
  <c r="AD388"/>
  <c r="BH387"/>
  <c r="BF387"/>
  <c r="BB387"/>
  <c r="AY387"/>
  <c r="AS387"/>
  <c r="AR387"/>
  <c r="AL387"/>
  <c r="AK387"/>
  <c r="AE387"/>
  <c r="AD387"/>
  <c r="BH379"/>
  <c r="BF379"/>
  <c r="BB379"/>
  <c r="AY379"/>
  <c r="AS379"/>
  <c r="AR379"/>
  <c r="AL379"/>
  <c r="AK379"/>
  <c r="AE379"/>
  <c r="AD379"/>
  <c r="BH378"/>
  <c r="BF378"/>
  <c r="BB378"/>
  <c r="AY378"/>
  <c r="AS378"/>
  <c r="AR378"/>
  <c r="AL378"/>
  <c r="AK378"/>
  <c r="AE378"/>
  <c r="AD378"/>
  <c r="BH377"/>
  <c r="BF377"/>
  <c r="BB377"/>
  <c r="AY377"/>
  <c r="AS377"/>
  <c r="AR377"/>
  <c r="AL377"/>
  <c r="AK377"/>
  <c r="AE377"/>
  <c r="AD377"/>
  <c r="BH375"/>
  <c r="BF375"/>
  <c r="BB375"/>
  <c r="AY375"/>
  <c r="AS375"/>
  <c r="AR375"/>
  <c r="AL375"/>
  <c r="AK375"/>
  <c r="AE375"/>
  <c r="AD375"/>
  <c r="BH374"/>
  <c r="BF374"/>
  <c r="BB374"/>
  <c r="AY374"/>
  <c r="AS374"/>
  <c r="AR374"/>
  <c r="AL374"/>
  <c r="AK374"/>
  <c r="AE374"/>
  <c r="AD374"/>
  <c r="BH360"/>
  <c r="BF360"/>
  <c r="BB360"/>
  <c r="AY360"/>
  <c r="AS360"/>
  <c r="AR360"/>
  <c r="AL360"/>
  <c r="AK360"/>
  <c r="AE360"/>
  <c r="AD360"/>
  <c r="BH372"/>
  <c r="BF372"/>
  <c r="BB372"/>
  <c r="AY372"/>
  <c r="AS372"/>
  <c r="AR372"/>
  <c r="AL372"/>
  <c r="AK372"/>
  <c r="AE372"/>
  <c r="AD372"/>
  <c r="BH371"/>
  <c r="BF371"/>
  <c r="BB371"/>
  <c r="AY371"/>
  <c r="AS371"/>
  <c r="AR371"/>
  <c r="AL371"/>
  <c r="AK371"/>
  <c r="AE371"/>
  <c r="AD371"/>
  <c r="BH370"/>
  <c r="BF370"/>
  <c r="BB370"/>
  <c r="AY370"/>
  <c r="AS370"/>
  <c r="AR370"/>
  <c r="AL370"/>
  <c r="AK370"/>
  <c r="AE370"/>
  <c r="AD370"/>
  <c r="BH369"/>
  <c r="BF369"/>
  <c r="BB369"/>
  <c r="AY369"/>
  <c r="AS369"/>
  <c r="AR369"/>
  <c r="AL369"/>
  <c r="AK369"/>
  <c r="AE369"/>
  <c r="AD369"/>
  <c r="BH368"/>
  <c r="BF368"/>
  <c r="BB368"/>
  <c r="AY368"/>
  <c r="AS368"/>
  <c r="AR368"/>
  <c r="AL368"/>
  <c r="AK368"/>
  <c r="AE368"/>
  <c r="AD368"/>
  <c r="BH367"/>
  <c r="BF367"/>
  <c r="BB367"/>
  <c r="AY367"/>
  <c r="AS367"/>
  <c r="AR367"/>
  <c r="AL367"/>
  <c r="AK367"/>
  <c r="AE367"/>
  <c r="AD367"/>
  <c r="BH366"/>
  <c r="BF366"/>
  <c r="BB366"/>
  <c r="AY366"/>
  <c r="AS366"/>
  <c r="AR366"/>
  <c r="AL366"/>
  <c r="AK366"/>
  <c r="AE366"/>
  <c r="AD366"/>
  <c r="BH365"/>
  <c r="BF365"/>
  <c r="BB365"/>
  <c r="AY365"/>
  <c r="AS365"/>
  <c r="AR365"/>
  <c r="AL365"/>
  <c r="AK365"/>
  <c r="AE365"/>
  <c r="AD365"/>
  <c r="BH364"/>
  <c r="BF364"/>
  <c r="BB364"/>
  <c r="AY364"/>
  <c r="AS364"/>
  <c r="AR364"/>
  <c r="AL364"/>
  <c r="AK364"/>
  <c r="AE364"/>
  <c r="AD364"/>
  <c r="BH363"/>
  <c r="BF363"/>
  <c r="BB363"/>
  <c r="AY363"/>
  <c r="AS363"/>
  <c r="AR363"/>
  <c r="AL363"/>
  <c r="AK363"/>
  <c r="AE363"/>
  <c r="AD363"/>
  <c r="BH362"/>
  <c r="BF362"/>
  <c r="BB362"/>
  <c r="AY362"/>
  <c r="AS362"/>
  <c r="AR362"/>
  <c r="AL362"/>
  <c r="AK362"/>
  <c r="AE362"/>
  <c r="AD362"/>
  <c r="BH359"/>
  <c r="BF359"/>
  <c r="BB359"/>
  <c r="AY359"/>
  <c r="AS359"/>
  <c r="AR359"/>
  <c r="AL359"/>
  <c r="AK359"/>
  <c r="AE359"/>
  <c r="AD359"/>
  <c r="BH357"/>
  <c r="BF357"/>
  <c r="BB357"/>
  <c r="AY357"/>
  <c r="AS357"/>
  <c r="AR357"/>
  <c r="AL357"/>
  <c r="AK357"/>
  <c r="AE357"/>
  <c r="AD357"/>
  <c r="BH356"/>
  <c r="BF356"/>
  <c r="BB356"/>
  <c r="AY356"/>
  <c r="AS356"/>
  <c r="AR356"/>
  <c r="AL356"/>
  <c r="AK356"/>
  <c r="AE356"/>
  <c r="AD356"/>
  <c r="BH355"/>
  <c r="BF355"/>
  <c r="BB355"/>
  <c r="AY355"/>
  <c r="AS355"/>
  <c r="AR355"/>
  <c r="AL355"/>
  <c r="AK355"/>
  <c r="AE355"/>
  <c r="AD355"/>
  <c r="BH353"/>
  <c r="BF353"/>
  <c r="BB353"/>
  <c r="AY353"/>
  <c r="AS353"/>
  <c r="AR353"/>
  <c r="AL353"/>
  <c r="AK353"/>
  <c r="AE353"/>
  <c r="AD353"/>
  <c r="BH352"/>
  <c r="BF352"/>
  <c r="BB352"/>
  <c r="AY352"/>
  <c r="AS352"/>
  <c r="AR352"/>
  <c r="AL352"/>
  <c r="AK352"/>
  <c r="AE352"/>
  <c r="AD352"/>
  <c r="BH351"/>
  <c r="BF351"/>
  <c r="BB351"/>
  <c r="AY351"/>
  <c r="AS351"/>
  <c r="AR351"/>
  <c r="AL351"/>
  <c r="AK351"/>
  <c r="AE351"/>
  <c r="AD351"/>
  <c r="BH350"/>
  <c r="BF350"/>
  <c r="BB350"/>
  <c r="AY350"/>
  <c r="AS350"/>
  <c r="AR350"/>
  <c r="AL350"/>
  <c r="AK350"/>
  <c r="AE350"/>
  <c r="AD350"/>
  <c r="BH349"/>
  <c r="BF349"/>
  <c r="BB349"/>
  <c r="AY349"/>
  <c r="AS349"/>
  <c r="AR349"/>
  <c r="AL349"/>
  <c r="AK349"/>
  <c r="AE349"/>
  <c r="AD349"/>
  <c r="BH348"/>
  <c r="BF348"/>
  <c r="BB348"/>
  <c r="AY348"/>
  <c r="AS348"/>
  <c r="AR348"/>
  <c r="AL348"/>
  <c r="AK348"/>
  <c r="AE348"/>
  <c r="AD348"/>
  <c r="BH347"/>
  <c r="BF347"/>
  <c r="BB347"/>
  <c r="AY347"/>
  <c r="AS347"/>
  <c r="AR347"/>
  <c r="AL347"/>
  <c r="AK347"/>
  <c r="AE347"/>
  <c r="AD347"/>
  <c r="BH346"/>
  <c r="BF346"/>
  <c r="BB346"/>
  <c r="AY346"/>
  <c r="AS346"/>
  <c r="AR346"/>
  <c r="AL346"/>
  <c r="AK346"/>
  <c r="AE346"/>
  <c r="AD346"/>
  <c r="BH345"/>
  <c r="BF345"/>
  <c r="BB345"/>
  <c r="AY345"/>
  <c r="AS345"/>
  <c r="AR345"/>
  <c r="AL345"/>
  <c r="AK345"/>
  <c r="AE345"/>
  <c r="AD345"/>
  <c r="BH344"/>
  <c r="BF344"/>
  <c r="BB344"/>
  <c r="AY344"/>
  <c r="AS344"/>
  <c r="AR344"/>
  <c r="AL344"/>
  <c r="AK344"/>
  <c r="AE344"/>
  <c r="AD344"/>
  <c r="BH343"/>
  <c r="BF343"/>
  <c r="BB343"/>
  <c r="AY343"/>
  <c r="AS343"/>
  <c r="AR343"/>
  <c r="AL343"/>
  <c r="AK343"/>
  <c r="AE343"/>
  <c r="AD343"/>
  <c r="BH341"/>
  <c r="BF341"/>
  <c r="BB341"/>
  <c r="AY341"/>
  <c r="AS341"/>
  <c r="AR341"/>
  <c r="AL341"/>
  <c r="AK341"/>
  <c r="AE341"/>
  <c r="AD341"/>
  <c r="BH340"/>
  <c r="BF340"/>
  <c r="BB340"/>
  <c r="AY340"/>
  <c r="AS340"/>
  <c r="AR340"/>
  <c r="AL340"/>
  <c r="AK340"/>
  <c r="AE340"/>
  <c r="AD340"/>
  <c r="BH404"/>
  <c r="BF404"/>
  <c r="BB404"/>
  <c r="AY404"/>
  <c r="AS404"/>
  <c r="AR404"/>
  <c r="AL404"/>
  <c r="AK404"/>
  <c r="AE404"/>
  <c r="AD404"/>
  <c r="BH338"/>
  <c r="BF338"/>
  <c r="BB338"/>
  <c r="AY338"/>
  <c r="AS338"/>
  <c r="AR338"/>
  <c r="AL338"/>
  <c r="AK338"/>
  <c r="AE338"/>
  <c r="AD338"/>
  <c r="BH337"/>
  <c r="BF337"/>
  <c r="BB337"/>
  <c r="AY337"/>
  <c r="AS337"/>
  <c r="AR337"/>
  <c r="AL337"/>
  <c r="AK337"/>
  <c r="AE337"/>
  <c r="AD337"/>
  <c r="BH336"/>
  <c r="BF336"/>
  <c r="BB336"/>
  <c r="AY336"/>
  <c r="AS336"/>
  <c r="AR336"/>
  <c r="AL336"/>
  <c r="AK336"/>
  <c r="AE336"/>
  <c r="AD336"/>
  <c r="BH335"/>
  <c r="BF335"/>
  <c r="BB335"/>
  <c r="AY335"/>
  <c r="AS335"/>
  <c r="AR335"/>
  <c r="AL335"/>
  <c r="AK335"/>
  <c r="AE335"/>
  <c r="AD335"/>
  <c r="BH334"/>
  <c r="BF334"/>
  <c r="BB334"/>
  <c r="AY334"/>
  <c r="AS334"/>
  <c r="AR334"/>
  <c r="AL334"/>
  <c r="AK334"/>
  <c r="AE334"/>
  <c r="AD334"/>
  <c r="BH333"/>
  <c r="BF333"/>
  <c r="BB333"/>
  <c r="AY333"/>
  <c r="AS333"/>
  <c r="AR333"/>
  <c r="AL333"/>
  <c r="AK333"/>
  <c r="AE333"/>
  <c r="AD333"/>
  <c r="BH332"/>
  <c r="BF332"/>
  <c r="BB332"/>
  <c r="AY332"/>
  <c r="AS332"/>
  <c r="AR332"/>
  <c r="AL332"/>
  <c r="AK332"/>
  <c r="AE332"/>
  <c r="AD332"/>
  <c r="BH331"/>
  <c r="BF331"/>
  <c r="BB331"/>
  <c r="AY331"/>
  <c r="AS331"/>
  <c r="AR331"/>
  <c r="AL331"/>
  <c r="AK331"/>
  <c r="AE331"/>
  <c r="AD331"/>
  <c r="BH330"/>
  <c r="BF330"/>
  <c r="BB330"/>
  <c r="AY330"/>
  <c r="AS330"/>
  <c r="AR330"/>
  <c r="AL330"/>
  <c r="AK330"/>
  <c r="AE330"/>
  <c r="AD330"/>
  <c r="BH329"/>
  <c r="BF329"/>
  <c r="BB329"/>
  <c r="AY329"/>
  <c r="AS329"/>
  <c r="AR329"/>
  <c r="AL329"/>
  <c r="AK329"/>
  <c r="AE329"/>
  <c r="AD329"/>
  <c r="BH328"/>
  <c r="BF328"/>
  <c r="BB328"/>
  <c r="AY328"/>
  <c r="AS328"/>
  <c r="AR328"/>
  <c r="AL328"/>
  <c r="AK328"/>
  <c r="AE328"/>
  <c r="AD328"/>
  <c r="BH327"/>
  <c r="BF327"/>
  <c r="BB327"/>
  <c r="AY327"/>
  <c r="AS327"/>
  <c r="AR327"/>
  <c r="AL327"/>
  <c r="AK327"/>
  <c r="AE327"/>
  <c r="AD327"/>
  <c r="BH326"/>
  <c r="BF326"/>
  <c r="BB326"/>
  <c r="AY326"/>
  <c r="AS326"/>
  <c r="AR326"/>
  <c r="AL326"/>
  <c r="AK326"/>
  <c r="AE326"/>
  <c r="AD326"/>
  <c r="BH325"/>
  <c r="BF325"/>
  <c r="BB325"/>
  <c r="AY325"/>
  <c r="AS325"/>
  <c r="AR325"/>
  <c r="AL325"/>
  <c r="AK325"/>
  <c r="AE325"/>
  <c r="AD325"/>
  <c r="BH324"/>
  <c r="BF324"/>
  <c r="BB324"/>
  <c r="AY324"/>
  <c r="AS324"/>
  <c r="AR324"/>
  <c r="AL324"/>
  <c r="AK324"/>
  <c r="AE324"/>
  <c r="AD324"/>
  <c r="BH323"/>
  <c r="BF323"/>
  <c r="BB323"/>
  <c r="AY323"/>
  <c r="AS323"/>
  <c r="AR323"/>
  <c r="AL323"/>
  <c r="AK323"/>
  <c r="AE323"/>
  <c r="AD323"/>
  <c r="BH322"/>
  <c r="BF322"/>
  <c r="BB322"/>
  <c r="AY322"/>
  <c r="AS322"/>
  <c r="AR322"/>
  <c r="AL322"/>
  <c r="AK322"/>
  <c r="AE322"/>
  <c r="AD322"/>
  <c r="BH321"/>
  <c r="BF321"/>
  <c r="BB321"/>
  <c r="AY321"/>
  <c r="AS321"/>
  <c r="AR321"/>
  <c r="AL321"/>
  <c r="AK321"/>
  <c r="AE321"/>
  <c r="AD321"/>
  <c r="BH319"/>
  <c r="BF319"/>
  <c r="BB319"/>
  <c r="AY319"/>
  <c r="AS319"/>
  <c r="AR319"/>
  <c r="AL319"/>
  <c r="AK319"/>
  <c r="AE319"/>
  <c r="AD319"/>
  <c r="BH318"/>
  <c r="BF318"/>
  <c r="BB318"/>
  <c r="AY318"/>
  <c r="AS318"/>
  <c r="AR318"/>
  <c r="AL318"/>
  <c r="AK318"/>
  <c r="AE318"/>
  <c r="AD318"/>
  <c r="BH307"/>
  <c r="BF307"/>
  <c r="BB307"/>
  <c r="AY307"/>
  <c r="AS307"/>
  <c r="AR307"/>
  <c r="AL307"/>
  <c r="AK307"/>
  <c r="AE307"/>
  <c r="AD307"/>
  <c r="BH306"/>
  <c r="BF306"/>
  <c r="BB306"/>
  <c r="AY306"/>
  <c r="AS306"/>
  <c r="AR306"/>
  <c r="AL306"/>
  <c r="AK306"/>
  <c r="AE306"/>
  <c r="AD306"/>
  <c r="BH312"/>
  <c r="BF312"/>
  <c r="BB312"/>
  <c r="AY312"/>
  <c r="AS312"/>
  <c r="AR312"/>
  <c r="AL312"/>
  <c r="AK312"/>
  <c r="AE312"/>
  <c r="AD312"/>
  <c r="BH303"/>
  <c r="BF303"/>
  <c r="BB303"/>
  <c r="AY303"/>
  <c r="AS303"/>
  <c r="AR303"/>
  <c r="AL303"/>
  <c r="AK303"/>
  <c r="AE303"/>
  <c r="AD303"/>
  <c r="BH302"/>
  <c r="BF302"/>
  <c r="BB302"/>
  <c r="AY302"/>
  <c r="AS302"/>
  <c r="AR302"/>
  <c r="AL302"/>
  <c r="AK302"/>
  <c r="AE302"/>
  <c r="AD302"/>
  <c r="BH301"/>
  <c r="BF301"/>
  <c r="BB301"/>
  <c r="AY301"/>
  <c r="AS301"/>
  <c r="AR301"/>
  <c r="AL301"/>
  <c r="AK301"/>
  <c r="AE301"/>
  <c r="AD301"/>
  <c r="BH300"/>
  <c r="BF300"/>
  <c r="BB300"/>
  <c r="AY300"/>
  <c r="AS300"/>
  <c r="AR300"/>
  <c r="AL300"/>
  <c r="AK300"/>
  <c r="AE300"/>
  <c r="AD300"/>
  <c r="BH299"/>
  <c r="BF299"/>
  <c r="BB299"/>
  <c r="AY299"/>
  <c r="AS299"/>
  <c r="AR299"/>
  <c r="AL299"/>
  <c r="AK299"/>
  <c r="AE299"/>
  <c r="AD299"/>
  <c r="BH298"/>
  <c r="BF298"/>
  <c r="BB298"/>
  <c r="AY298"/>
  <c r="AS298"/>
  <c r="AR298"/>
  <c r="AL298"/>
  <c r="AK298"/>
  <c r="AE298"/>
  <c r="AD298"/>
  <c r="BH311"/>
  <c r="BF311"/>
  <c r="BB311"/>
  <c r="AY311"/>
  <c r="AS311"/>
  <c r="AR311"/>
  <c r="AL311"/>
  <c r="AK311"/>
  <c r="AE311"/>
  <c r="AD311"/>
  <c r="BH309"/>
  <c r="BF309"/>
  <c r="BB309"/>
  <c r="AY309"/>
  <c r="AS309"/>
  <c r="AR309"/>
  <c r="AL309"/>
  <c r="AK309"/>
  <c r="AE309"/>
  <c r="AD309"/>
  <c r="BH315"/>
  <c r="BF315"/>
  <c r="BB315"/>
  <c r="AY315"/>
  <c r="AS315"/>
  <c r="AR315"/>
  <c r="AL315"/>
  <c r="AK315"/>
  <c r="AE315"/>
  <c r="AD315"/>
  <c r="BH314"/>
  <c r="BF314"/>
  <c r="BB314"/>
  <c r="AY314"/>
  <c r="AS314"/>
  <c r="AR314"/>
  <c r="AL314"/>
  <c r="AK314"/>
  <c r="AE314"/>
  <c r="AD314"/>
  <c r="BH292"/>
  <c r="BF292"/>
  <c r="BB292"/>
  <c r="AY292"/>
  <c r="AS292"/>
  <c r="AR292"/>
  <c r="AL292"/>
  <c r="AK292"/>
  <c r="AE292"/>
  <c r="AD292"/>
  <c r="BH291"/>
  <c r="BF291"/>
  <c r="BB291"/>
  <c r="AY291"/>
  <c r="AS291"/>
  <c r="AR291"/>
  <c r="AL291"/>
  <c r="AK291"/>
  <c r="AE291"/>
  <c r="AD291"/>
  <c r="BH294"/>
  <c r="BF294"/>
  <c r="BB294"/>
  <c r="AY294"/>
  <c r="AS294"/>
  <c r="AR294"/>
  <c r="AL294"/>
  <c r="AK294"/>
  <c r="AE294"/>
  <c r="AD294"/>
  <c r="BH290"/>
  <c r="BF290"/>
  <c r="BB290"/>
  <c r="AY290"/>
  <c r="AS290"/>
  <c r="AR290"/>
  <c r="AL290"/>
  <c r="AK290"/>
  <c r="AE290"/>
  <c r="AD290"/>
  <c r="BH287"/>
  <c r="BF287"/>
  <c r="BB287"/>
  <c r="AY287"/>
  <c r="AS287"/>
  <c r="AR287"/>
  <c r="AL287"/>
  <c r="AK287"/>
  <c r="AE287"/>
  <c r="AD287"/>
  <c r="BH289"/>
  <c r="BF289"/>
  <c r="BB289"/>
  <c r="AY289"/>
  <c r="AS289"/>
  <c r="AR289"/>
  <c r="AL289"/>
  <c r="AK289"/>
  <c r="AE289"/>
  <c r="AD289"/>
  <c r="BH288"/>
  <c r="BF288"/>
  <c r="BB288"/>
  <c r="AY288"/>
  <c r="AS288"/>
  <c r="AR288"/>
  <c r="AL288"/>
  <c r="AK288"/>
  <c r="AE288"/>
  <c r="AD288"/>
  <c r="BH286"/>
  <c r="BF286"/>
  <c r="BB286"/>
  <c r="AY286"/>
  <c r="AS286"/>
  <c r="AR286"/>
  <c r="AL286"/>
  <c r="AK286"/>
  <c r="AE286"/>
  <c r="AD286"/>
  <c r="BH285"/>
  <c r="BF285"/>
  <c r="BB285"/>
  <c r="AY285"/>
  <c r="AS285"/>
  <c r="AR285"/>
  <c r="AL285"/>
  <c r="AK285"/>
  <c r="AE285"/>
  <c r="AD285"/>
  <c r="BH284"/>
  <c r="BF284"/>
  <c r="BB284"/>
  <c r="AY284"/>
  <c r="AS284"/>
  <c r="AR284"/>
  <c r="AL284"/>
  <c r="AK284"/>
  <c r="AE284"/>
  <c r="AD284"/>
  <c r="BH282"/>
  <c r="BF282"/>
  <c r="BB282"/>
  <c r="AY282"/>
  <c r="AS282"/>
  <c r="AR282"/>
  <c r="AL282"/>
  <c r="AK282"/>
  <c r="AE282"/>
  <c r="AD282"/>
  <c r="BH281"/>
  <c r="BF281"/>
  <c r="BB281"/>
  <c r="AY281"/>
  <c r="AS281"/>
  <c r="AR281"/>
  <c r="AL281"/>
  <c r="AK281"/>
  <c r="AE281"/>
  <c r="AD281"/>
  <c r="BH295"/>
  <c r="BF295"/>
  <c r="BB295"/>
  <c r="AY295"/>
  <c r="AS295"/>
  <c r="AR295"/>
  <c r="AL295"/>
  <c r="AK295"/>
  <c r="AE295"/>
  <c r="AD295"/>
  <c r="BH279"/>
  <c r="BF279"/>
  <c r="BB279"/>
  <c r="AY279"/>
  <c r="AS279"/>
  <c r="AR279"/>
  <c r="AL279"/>
  <c r="AK279"/>
  <c r="AE279"/>
  <c r="AD279"/>
  <c r="BH278"/>
  <c r="BF278"/>
  <c r="BB278"/>
  <c r="AY278"/>
  <c r="AS278"/>
  <c r="AR278"/>
  <c r="AL278"/>
  <c r="AK278"/>
  <c r="AE278"/>
  <c r="AD278"/>
  <c r="BH277"/>
  <c r="BF277"/>
  <c r="BB277"/>
  <c r="AY277"/>
  <c r="AS277"/>
  <c r="AR277"/>
  <c r="AL277"/>
  <c r="AK277"/>
  <c r="AE277"/>
  <c r="AD277"/>
  <c r="BH276"/>
  <c r="BF276"/>
  <c r="BB276"/>
  <c r="AY276"/>
  <c r="AS276"/>
  <c r="AR276"/>
  <c r="AL276"/>
  <c r="AK276"/>
  <c r="AE276"/>
  <c r="AD276"/>
  <c r="BH275"/>
  <c r="BF275"/>
  <c r="BB275"/>
  <c r="AY275"/>
  <c r="AS275"/>
  <c r="AR275"/>
  <c r="AL275"/>
  <c r="AK275"/>
  <c r="AE275"/>
  <c r="AD275"/>
  <c r="BH274"/>
  <c r="BF274"/>
  <c r="BB274"/>
  <c r="AY274"/>
  <c r="AS274"/>
  <c r="AR274"/>
  <c r="AL274"/>
  <c r="AK274"/>
  <c r="AE274"/>
  <c r="AD274"/>
  <c r="BH273"/>
  <c r="BF273"/>
  <c r="BB273"/>
  <c r="AY273"/>
  <c r="AS273"/>
  <c r="AR273"/>
  <c r="AL273"/>
  <c r="AK273"/>
  <c r="AE273"/>
  <c r="AD273"/>
  <c r="BH272"/>
  <c r="BF272"/>
  <c r="BB272"/>
  <c r="AY272"/>
  <c r="AS272"/>
  <c r="AR272"/>
  <c r="AL272"/>
  <c r="AK272"/>
  <c r="AE272"/>
  <c r="AD272"/>
  <c r="BH271"/>
  <c r="BF271"/>
  <c r="BB271"/>
  <c r="AY271"/>
  <c r="AS271"/>
  <c r="AR271"/>
  <c r="AL271"/>
  <c r="AK271"/>
  <c r="AE271"/>
  <c r="AD271"/>
  <c r="BH270"/>
  <c r="BF270"/>
  <c r="BB270"/>
  <c r="AY270"/>
  <c r="AS270"/>
  <c r="AR270"/>
  <c r="AL270"/>
  <c r="AK270"/>
  <c r="AE270"/>
  <c r="AD270"/>
  <c r="BH266"/>
  <c r="BF266"/>
  <c r="BB266"/>
  <c r="AY266"/>
  <c r="AS266"/>
  <c r="AR266"/>
  <c r="AL266"/>
  <c r="AK266"/>
  <c r="AE266"/>
  <c r="AD266"/>
  <c r="BH263"/>
  <c r="BF263"/>
  <c r="BB263"/>
  <c r="AY263"/>
  <c r="AS263"/>
  <c r="AR263"/>
  <c r="AL263"/>
  <c r="AK263"/>
  <c r="AE263"/>
  <c r="AD263"/>
  <c r="BH264"/>
  <c r="BF264"/>
  <c r="BB264"/>
  <c r="AY264"/>
  <c r="AS264"/>
  <c r="AR264"/>
  <c r="AL264"/>
  <c r="AK264"/>
  <c r="AE264"/>
  <c r="AD264"/>
  <c r="BH261"/>
  <c r="BF261"/>
  <c r="BB261"/>
  <c r="AY261"/>
  <c r="AS261"/>
  <c r="AR261"/>
  <c r="AL261"/>
  <c r="AK261"/>
  <c r="AE261"/>
  <c r="AD261"/>
  <c r="BH260"/>
  <c r="BF260"/>
  <c r="BB260"/>
  <c r="AY260"/>
  <c r="AS260"/>
  <c r="AR260"/>
  <c r="AL260"/>
  <c r="AK260"/>
  <c r="AE260"/>
  <c r="AD260"/>
  <c r="BH228"/>
  <c r="BF228"/>
  <c r="BB228"/>
  <c r="AY228"/>
  <c r="AS228"/>
  <c r="AR228"/>
  <c r="AL228"/>
  <c r="AK228"/>
  <c r="AE228"/>
  <c r="AD228"/>
  <c r="BH227"/>
  <c r="BF227"/>
  <c r="BB227"/>
  <c r="AY227"/>
  <c r="AS227"/>
  <c r="AR227"/>
  <c r="AL227"/>
  <c r="AK227"/>
  <c r="AE227"/>
  <c r="AD227"/>
  <c r="BH226"/>
  <c r="BF226"/>
  <c r="BB226"/>
  <c r="AY226"/>
  <c r="AS226"/>
  <c r="AR226"/>
  <c r="AL226"/>
  <c r="AK226"/>
  <c r="AE226"/>
  <c r="AD226"/>
  <c r="BH225"/>
  <c r="BF225"/>
  <c r="BB225"/>
  <c r="AY225"/>
  <c r="AS225"/>
  <c r="AR225"/>
  <c r="AL225"/>
  <c r="AK225"/>
  <c r="AE225"/>
  <c r="AD225"/>
  <c r="BH224"/>
  <c r="BF224"/>
  <c r="BB224"/>
  <c r="AY224"/>
  <c r="AS224"/>
  <c r="AR224"/>
  <c r="AL224"/>
  <c r="AK224"/>
  <c r="AE224"/>
  <c r="AD224"/>
  <c r="BH223"/>
  <c r="BF223"/>
  <c r="BB223"/>
  <c r="AY223"/>
  <c r="AS223"/>
  <c r="AR223"/>
  <c r="AL223"/>
  <c r="AK223"/>
  <c r="AE223"/>
  <c r="AD223"/>
  <c r="BH222"/>
  <c r="BF222"/>
  <c r="BB222"/>
  <c r="AY222"/>
  <c r="AS222"/>
  <c r="AR222"/>
  <c r="AL222"/>
  <c r="AK222"/>
  <c r="AE222"/>
  <c r="AD222"/>
  <c r="BH221"/>
  <c r="BF221"/>
  <c r="BB221"/>
  <c r="AY221"/>
  <c r="AS221"/>
  <c r="AR221"/>
  <c r="AL221"/>
  <c r="AK221"/>
  <c r="AE221"/>
  <c r="AD221"/>
  <c r="BH220"/>
  <c r="BF220"/>
  <c r="BB220"/>
  <c r="AY220"/>
  <c r="AS220"/>
  <c r="AR220"/>
  <c r="AL220"/>
  <c r="AK220"/>
  <c r="AE220"/>
  <c r="AD220"/>
  <c r="BH219"/>
  <c r="BF219"/>
  <c r="BB219"/>
  <c r="AY219"/>
  <c r="AS219"/>
  <c r="AR219"/>
  <c r="AL219"/>
  <c r="AK219"/>
  <c r="AE219"/>
  <c r="AD219"/>
  <c r="BH218"/>
  <c r="BF218"/>
  <c r="BB218"/>
  <c r="AY218"/>
  <c r="AS218"/>
  <c r="AR218"/>
  <c r="AL218"/>
  <c r="AK218"/>
  <c r="AE218"/>
  <c r="AD218"/>
  <c r="BH217"/>
  <c r="BF217"/>
  <c r="BB217"/>
  <c r="AY217"/>
  <c r="AS217"/>
  <c r="AR217"/>
  <c r="AL217"/>
  <c r="AK217"/>
  <c r="AE217"/>
  <c r="AD217"/>
  <c r="BH216"/>
  <c r="BF216"/>
  <c r="BB216"/>
  <c r="AY216"/>
  <c r="AS216"/>
  <c r="AR216"/>
  <c r="AL216"/>
  <c r="AK216"/>
  <c r="AE216"/>
  <c r="AD216"/>
  <c r="BH215"/>
  <c r="BF215"/>
  <c r="BB215"/>
  <c r="AY215"/>
  <c r="AS215"/>
  <c r="AR215"/>
  <c r="AL215"/>
  <c r="AK215"/>
  <c r="AE215"/>
  <c r="AD215"/>
  <c r="BH214"/>
  <c r="BF214"/>
  <c r="BB214"/>
  <c r="AY214"/>
  <c r="AS214"/>
  <c r="AR214"/>
  <c r="AL214"/>
  <c r="AK214"/>
  <c r="AE214"/>
  <c r="AD214"/>
  <c r="BH213"/>
  <c r="BF213"/>
  <c r="BB213"/>
  <c r="AY213"/>
  <c r="AS213"/>
  <c r="AR213"/>
  <c r="AL213"/>
  <c r="AK213"/>
  <c r="AE213"/>
  <c r="AD213"/>
  <c r="BH212"/>
  <c r="BF212"/>
  <c r="BB212"/>
  <c r="AY212"/>
  <c r="AS212"/>
  <c r="AR212"/>
  <c r="AL212"/>
  <c r="AK212"/>
  <c r="AE212"/>
  <c r="AD212"/>
  <c r="BH211"/>
  <c r="BF211"/>
  <c r="BB211"/>
  <c r="AY211"/>
  <c r="AS211"/>
  <c r="AR211"/>
  <c r="AL211"/>
  <c r="AK211"/>
  <c r="AE211"/>
  <c r="AD211"/>
  <c r="BH259"/>
  <c r="BF259"/>
  <c r="BB259"/>
  <c r="AY259"/>
  <c r="AS259"/>
  <c r="AR259"/>
  <c r="AL259"/>
  <c r="AK259"/>
  <c r="AE259"/>
  <c r="AD259"/>
  <c r="BH258"/>
  <c r="BF258"/>
  <c r="BB258"/>
  <c r="AY258"/>
  <c r="AS258"/>
  <c r="AR258"/>
  <c r="AL258"/>
  <c r="AK258"/>
  <c r="AE258"/>
  <c r="AD258"/>
  <c r="BH254"/>
  <c r="BF254"/>
  <c r="BB254"/>
  <c r="AY254"/>
  <c r="AS254"/>
  <c r="AR254"/>
  <c r="AL254"/>
  <c r="AK254"/>
  <c r="AE254"/>
  <c r="AD254"/>
  <c r="BH253"/>
  <c r="BF253"/>
  <c r="BB253"/>
  <c r="AY253"/>
  <c r="AS253"/>
  <c r="AR253"/>
  <c r="AL253"/>
  <c r="AK253"/>
  <c r="AE253"/>
  <c r="AD253"/>
  <c r="BH252"/>
  <c r="BF252"/>
  <c r="BB252"/>
  <c r="AY252"/>
  <c r="AS252"/>
  <c r="AR252"/>
  <c r="AL252"/>
  <c r="AK252"/>
  <c r="AE252"/>
  <c r="AD252"/>
  <c r="BH249"/>
  <c r="BF249"/>
  <c r="BB249"/>
  <c r="AY249"/>
  <c r="AS249"/>
  <c r="AR249"/>
  <c r="AL249"/>
  <c r="AK249"/>
  <c r="AE249"/>
  <c r="AD249"/>
  <c r="BH251"/>
  <c r="BF251"/>
  <c r="BB251"/>
  <c r="AY251"/>
  <c r="AS251"/>
  <c r="AR251"/>
  <c r="AL251"/>
  <c r="AK251"/>
  <c r="AE251"/>
  <c r="AD251"/>
  <c r="BH250"/>
  <c r="BF250"/>
  <c r="BB250"/>
  <c r="AY250"/>
  <c r="AS250"/>
  <c r="AR250"/>
  <c r="AL250"/>
  <c r="AK250"/>
  <c r="AE250"/>
  <c r="AD250"/>
  <c r="BH247"/>
  <c r="BF247"/>
  <c r="BB247"/>
  <c r="AY247"/>
  <c r="AS247"/>
  <c r="AR247"/>
  <c r="AL247"/>
  <c r="AK247"/>
  <c r="AE247"/>
  <c r="AD247"/>
  <c r="BH246"/>
  <c r="BF246"/>
  <c r="BB246"/>
  <c r="AY246"/>
  <c r="AS246"/>
  <c r="AR246"/>
  <c r="AL246"/>
  <c r="AK246"/>
  <c r="AE246"/>
  <c r="AD246"/>
  <c r="BH244"/>
  <c r="BF244"/>
  <c r="BB244"/>
  <c r="AY244"/>
  <c r="AS244"/>
  <c r="AR244"/>
  <c r="AL244"/>
  <c r="AK244"/>
  <c r="AE244"/>
  <c r="AD244"/>
  <c r="BH243"/>
  <c r="BF243"/>
  <c r="BB243"/>
  <c r="AY243"/>
  <c r="AS243"/>
  <c r="AR243"/>
  <c r="AL243"/>
  <c r="AK243"/>
  <c r="AE243"/>
  <c r="AD243"/>
  <c r="BH242"/>
  <c r="BF242"/>
  <c r="BB242"/>
  <c r="AY242"/>
  <c r="AS242"/>
  <c r="AR242"/>
  <c r="AL242"/>
  <c r="AK242"/>
  <c r="AE242"/>
  <c r="AD242"/>
  <c r="BH241"/>
  <c r="BF241"/>
  <c r="BB241"/>
  <c r="AY241"/>
  <c r="AS241"/>
  <c r="AR241"/>
  <c r="AL241"/>
  <c r="AK241"/>
  <c r="AE241"/>
  <c r="AD241"/>
  <c r="BH240"/>
  <c r="BF240"/>
  <c r="BB240"/>
  <c r="AY240"/>
  <c r="AS240"/>
  <c r="AR240"/>
  <c r="AL240"/>
  <c r="AK240"/>
  <c r="AE240"/>
  <c r="AD240"/>
  <c r="BH239"/>
  <c r="BF239"/>
  <c r="BB239"/>
  <c r="AY239"/>
  <c r="AS239"/>
  <c r="AR239"/>
  <c r="AL239"/>
  <c r="AK239"/>
  <c r="AE239"/>
  <c r="AD239"/>
  <c r="BH238"/>
  <c r="BF238"/>
  <c r="BB238"/>
  <c r="AY238"/>
  <c r="AS238"/>
  <c r="AR238"/>
  <c r="AL238"/>
  <c r="AK238"/>
  <c r="AE238"/>
  <c r="AD238"/>
  <c r="BH237"/>
  <c r="BF237"/>
  <c r="BB237"/>
  <c r="AY237"/>
  <c r="AS237"/>
  <c r="AR237"/>
  <c r="AL237"/>
  <c r="AK237"/>
  <c r="AE237"/>
  <c r="AD237"/>
  <c r="BH236"/>
  <c r="BF236"/>
  <c r="BB236"/>
  <c r="AY236"/>
  <c r="AS236"/>
  <c r="AR236"/>
  <c r="AL236"/>
  <c r="AK236"/>
  <c r="AE236"/>
  <c r="AD236"/>
  <c r="BH235"/>
  <c r="BF235"/>
  <c r="BB235"/>
  <c r="AY235"/>
  <c r="AS235"/>
  <c r="AR235"/>
  <c r="AL235"/>
  <c r="AK235"/>
  <c r="AE235"/>
  <c r="AD235"/>
  <c r="BH234"/>
  <c r="BF234"/>
  <c r="BB234"/>
  <c r="AY234"/>
  <c r="AS234"/>
  <c r="AR234"/>
  <c r="AL234"/>
  <c r="AK234"/>
  <c r="AE234"/>
  <c r="AD234"/>
  <c r="BH233"/>
  <c r="BF233"/>
  <c r="BB233"/>
  <c r="AY233"/>
  <c r="AS233"/>
  <c r="AR233"/>
  <c r="AL233"/>
  <c r="AK233"/>
  <c r="AE233"/>
  <c r="AD233"/>
  <c r="BH231"/>
  <c r="BF231"/>
  <c r="BB231"/>
  <c r="AY231"/>
  <c r="AS231"/>
  <c r="AR231"/>
  <c r="AL231"/>
  <c r="AK231"/>
  <c r="AE231"/>
  <c r="AD231"/>
  <c r="BH230"/>
  <c r="BF230"/>
  <c r="BB230"/>
  <c r="AY230"/>
  <c r="AS230"/>
  <c r="AR230"/>
  <c r="AL230"/>
  <c r="AK230"/>
  <c r="AE230"/>
  <c r="AD230"/>
  <c r="BH209"/>
  <c r="BF209"/>
  <c r="BB209"/>
  <c r="AY209"/>
  <c r="AS209"/>
  <c r="AR209"/>
  <c r="AL209"/>
  <c r="AK209"/>
  <c r="AE209"/>
  <c r="AD209"/>
  <c r="BH208"/>
  <c r="BF208"/>
  <c r="BB208"/>
  <c r="AY208"/>
  <c r="AS208"/>
  <c r="AR208"/>
  <c r="AL208"/>
  <c r="AK208"/>
  <c r="AE208"/>
  <c r="AD208"/>
  <c r="BH207"/>
  <c r="BF207"/>
  <c r="BB207"/>
  <c r="AY207"/>
  <c r="AS207"/>
  <c r="AR207"/>
  <c r="AL207"/>
  <c r="AK207"/>
  <c r="AE207"/>
  <c r="AD207"/>
  <c r="BH206"/>
  <c r="BF206"/>
  <c r="BB206"/>
  <c r="AY206"/>
  <c r="AS206"/>
  <c r="AR206"/>
  <c r="AL206"/>
  <c r="AK206"/>
  <c r="AE206"/>
  <c r="AD206"/>
  <c r="BH205"/>
  <c r="BF205"/>
  <c r="BB205"/>
  <c r="AY205"/>
  <c r="AS205"/>
  <c r="AR205"/>
  <c r="AL205"/>
  <c r="AK205"/>
  <c r="AE205"/>
  <c r="AD205"/>
  <c r="BH204"/>
  <c r="BF204"/>
  <c r="BB204"/>
  <c r="AY204"/>
  <c r="AS204"/>
  <c r="AR204"/>
  <c r="AL204"/>
  <c r="AK204"/>
  <c r="AE204"/>
  <c r="AD204"/>
  <c r="BH202"/>
  <c r="BF202"/>
  <c r="BB202"/>
  <c r="AY202"/>
  <c r="AS202"/>
  <c r="AR202"/>
  <c r="AL202"/>
  <c r="AK202"/>
  <c r="AE202"/>
  <c r="AD202"/>
  <c r="BH203"/>
  <c r="BF203"/>
  <c r="BB203"/>
  <c r="AY203"/>
  <c r="AS203"/>
  <c r="AR203"/>
  <c r="AL203"/>
  <c r="AK203"/>
  <c r="AE203"/>
  <c r="AD203"/>
  <c r="BH201"/>
  <c r="BF201"/>
  <c r="BB201"/>
  <c r="AY201"/>
  <c r="AS201"/>
  <c r="AR201"/>
  <c r="AL201"/>
  <c r="AK201"/>
  <c r="AE201"/>
  <c r="AD201"/>
  <c r="BH199"/>
  <c r="BF199"/>
  <c r="BB199"/>
  <c r="AY199"/>
  <c r="AS199"/>
  <c r="AR199"/>
  <c r="AL199"/>
  <c r="AK199"/>
  <c r="AE199"/>
  <c r="AD199"/>
  <c r="BH198"/>
  <c r="BF198"/>
  <c r="BB198"/>
  <c r="AY198"/>
  <c r="AS198"/>
  <c r="AR198"/>
  <c r="AL198"/>
  <c r="AK198"/>
  <c r="AE198"/>
  <c r="AD198"/>
  <c r="BH196"/>
  <c r="BF196"/>
  <c r="BB196"/>
  <c r="AY196"/>
  <c r="AS196"/>
  <c r="AR196"/>
  <c r="AL196"/>
  <c r="AK196"/>
  <c r="AE196"/>
  <c r="AD196"/>
  <c r="BH194"/>
  <c r="BF194"/>
  <c r="BB194"/>
  <c r="AY194"/>
  <c r="AS194"/>
  <c r="AR194"/>
  <c r="AL194"/>
  <c r="AK194"/>
  <c r="AE194"/>
  <c r="AD194"/>
  <c r="BH193"/>
  <c r="BF193"/>
  <c r="BB193"/>
  <c r="AY193"/>
  <c r="AS193"/>
  <c r="AR193"/>
  <c r="AL193"/>
  <c r="AK193"/>
  <c r="AE193"/>
  <c r="AD193"/>
  <c r="BH192"/>
  <c r="BF192"/>
  <c r="BB192"/>
  <c r="AY192"/>
  <c r="AS192"/>
  <c r="AR192"/>
  <c r="AL192"/>
  <c r="AK192"/>
  <c r="AE192"/>
  <c r="AD192"/>
  <c r="BH191"/>
  <c r="BF191"/>
  <c r="BB191"/>
  <c r="AY191"/>
  <c r="AS191"/>
  <c r="AR191"/>
  <c r="AL191"/>
  <c r="AK191"/>
  <c r="AE191"/>
  <c r="AD191"/>
  <c r="BH190"/>
  <c r="BF190"/>
  <c r="BB190"/>
  <c r="AY190"/>
  <c r="AS190"/>
  <c r="AR190"/>
  <c r="AL190"/>
  <c r="AK190"/>
  <c r="AE190"/>
  <c r="AD190"/>
  <c r="BH189"/>
  <c r="BF189"/>
  <c r="BB189"/>
  <c r="AY189"/>
  <c r="AS189"/>
  <c r="AR189"/>
  <c r="AL189"/>
  <c r="AK189"/>
  <c r="AE189"/>
  <c r="AD189"/>
  <c r="BH188"/>
  <c r="BF188"/>
  <c r="BB188"/>
  <c r="AY188"/>
  <c r="AS188"/>
  <c r="AR188"/>
  <c r="AL188"/>
  <c r="AK188"/>
  <c r="AE188"/>
  <c r="AD188"/>
  <c r="BH187"/>
  <c r="BF187"/>
  <c r="BB187"/>
  <c r="AY187"/>
  <c r="AS187"/>
  <c r="AR187"/>
  <c r="AL187"/>
  <c r="AK187"/>
  <c r="AE187"/>
  <c r="AD187"/>
  <c r="BH186"/>
  <c r="BF186"/>
  <c r="BB186"/>
  <c r="AY186"/>
  <c r="AS186"/>
  <c r="AR186"/>
  <c r="AL186"/>
  <c r="AK186"/>
  <c r="AE186"/>
  <c r="AD186"/>
  <c r="BH185"/>
  <c r="BF185"/>
  <c r="BB185"/>
  <c r="AY185"/>
  <c r="AS185"/>
  <c r="AR185"/>
  <c r="AL185"/>
  <c r="AK185"/>
  <c r="AE185"/>
  <c r="AD185"/>
  <c r="BH184"/>
  <c r="BF184"/>
  <c r="BB184"/>
  <c r="AY184"/>
  <c r="AS184"/>
  <c r="AR184"/>
  <c r="AL184"/>
  <c r="AK184"/>
  <c r="AE184"/>
  <c r="AD184"/>
  <c r="BH183"/>
  <c r="BF183"/>
  <c r="BB183"/>
  <c r="AY183"/>
  <c r="AS183"/>
  <c r="AR183"/>
  <c r="AL183"/>
  <c r="AK183"/>
  <c r="AE183"/>
  <c r="AD183"/>
  <c r="BH182"/>
  <c r="BF182"/>
  <c r="BB182"/>
  <c r="AY182"/>
  <c r="AS182"/>
  <c r="AR182"/>
  <c r="AL182"/>
  <c r="AK182"/>
  <c r="AE182"/>
  <c r="AD182"/>
  <c r="BH181"/>
  <c r="BF181"/>
  <c r="BB181"/>
  <c r="AY181"/>
  <c r="AS181"/>
  <c r="AR181"/>
  <c r="AL181"/>
  <c r="AK181"/>
  <c r="AE181"/>
  <c r="AD181"/>
  <c r="BH180"/>
  <c r="BF180"/>
  <c r="BB180"/>
  <c r="AY180"/>
  <c r="AS180"/>
  <c r="AR180"/>
  <c r="AL180"/>
  <c r="AK180"/>
  <c r="AE180"/>
  <c r="AD180"/>
  <c r="BH179"/>
  <c r="BF179"/>
  <c r="BB179"/>
  <c r="AY179"/>
  <c r="AS179"/>
  <c r="AR179"/>
  <c r="AL179"/>
  <c r="AK179"/>
  <c r="AE179"/>
  <c r="AD179"/>
  <c r="BH172"/>
  <c r="BF172"/>
  <c r="BB172"/>
  <c r="AY172"/>
  <c r="AS172"/>
  <c r="AR172"/>
  <c r="AL172"/>
  <c r="AK172"/>
  <c r="AE172"/>
  <c r="AD172"/>
  <c r="BH175"/>
  <c r="BF175"/>
  <c r="BB175"/>
  <c r="AY175"/>
  <c r="AS175"/>
  <c r="AR175"/>
  <c r="AL175"/>
  <c r="AK175"/>
  <c r="AE175"/>
  <c r="AD175"/>
  <c r="BH166"/>
  <c r="BF166"/>
  <c r="BB166"/>
  <c r="AY166"/>
  <c r="AS166"/>
  <c r="AR166"/>
  <c r="AL166"/>
  <c r="AK166"/>
  <c r="AE166"/>
  <c r="AD166"/>
  <c r="BH173"/>
  <c r="BF173"/>
  <c r="BB173"/>
  <c r="AY173"/>
  <c r="AS173"/>
  <c r="AR173"/>
  <c r="AL173"/>
  <c r="AK173"/>
  <c r="AE173"/>
  <c r="AD173"/>
  <c r="BH170"/>
  <c r="BF170"/>
  <c r="BB170"/>
  <c r="AY170"/>
  <c r="AS170"/>
  <c r="AR170"/>
  <c r="AL170"/>
  <c r="AK170"/>
  <c r="AE170"/>
  <c r="AD170"/>
  <c r="BH168"/>
  <c r="BF168"/>
  <c r="BB168"/>
  <c r="AY168"/>
  <c r="AS168"/>
  <c r="AR168"/>
  <c r="AL168"/>
  <c r="AK168"/>
  <c r="AE168"/>
  <c r="AD168"/>
  <c r="BH167"/>
  <c r="BF167"/>
  <c r="BB167"/>
  <c r="AY167"/>
  <c r="AS167"/>
  <c r="AR167"/>
  <c r="AL167"/>
  <c r="AK167"/>
  <c r="AE167"/>
  <c r="AD167"/>
  <c r="BH164"/>
  <c r="BF164"/>
  <c r="BB164"/>
  <c r="AY164"/>
  <c r="AS164"/>
  <c r="AR164"/>
  <c r="AL164"/>
  <c r="AK164"/>
  <c r="AE164"/>
  <c r="AD164"/>
  <c r="BH163"/>
  <c r="BF163"/>
  <c r="BB163"/>
  <c r="AY163"/>
  <c r="AS163"/>
  <c r="AR163"/>
  <c r="AL163"/>
  <c r="AK163"/>
  <c r="AE163"/>
  <c r="AD163"/>
  <c r="BH161"/>
  <c r="BF161"/>
  <c r="BB161"/>
  <c r="AY161"/>
  <c r="AS161"/>
  <c r="AR161"/>
  <c r="AL161"/>
  <c r="AK161"/>
  <c r="AE161"/>
  <c r="AD161"/>
  <c r="BH160"/>
  <c r="BF160"/>
  <c r="BB160"/>
  <c r="AY160"/>
  <c r="AS160"/>
  <c r="AR160"/>
  <c r="AL160"/>
  <c r="AK160"/>
  <c r="AE160"/>
  <c r="AD160"/>
  <c r="BH174"/>
  <c r="BF174"/>
  <c r="BB174"/>
  <c r="AY174"/>
  <c r="AS174"/>
  <c r="AR174"/>
  <c r="AL174"/>
  <c r="AK174"/>
  <c r="AE174"/>
  <c r="AD174"/>
  <c r="BH152"/>
  <c r="BF152"/>
  <c r="BB152"/>
  <c r="AY152"/>
  <c r="AS152"/>
  <c r="AR152"/>
  <c r="AL152"/>
  <c r="AK152"/>
  <c r="AE152"/>
  <c r="AD152"/>
  <c r="BH150"/>
  <c r="BF150"/>
  <c r="BB150"/>
  <c r="AY150"/>
  <c r="AS150"/>
  <c r="AR150"/>
  <c r="AL150"/>
  <c r="AK150"/>
  <c r="AE150"/>
  <c r="AD150"/>
  <c r="BH149"/>
  <c r="BF149"/>
  <c r="BB149"/>
  <c r="AY149"/>
  <c r="AS149"/>
  <c r="AR149"/>
  <c r="AL149"/>
  <c r="AK149"/>
  <c r="AE149"/>
  <c r="AD149"/>
  <c r="BH148"/>
  <c r="BF148"/>
  <c r="BB148"/>
  <c r="AY148"/>
  <c r="AS148"/>
  <c r="AR148"/>
  <c r="AL148"/>
  <c r="AK148"/>
  <c r="AE148"/>
  <c r="AD148"/>
  <c r="BH154"/>
  <c r="BF154"/>
  <c r="BB154"/>
  <c r="AY154"/>
  <c r="AS154"/>
  <c r="AR154"/>
  <c r="AL154"/>
  <c r="AK154"/>
  <c r="AE154"/>
  <c r="AD154"/>
  <c r="BH155"/>
  <c r="BF155"/>
  <c r="BB155"/>
  <c r="AY155"/>
  <c r="AS155"/>
  <c r="AR155"/>
  <c r="AL155"/>
  <c r="AK155"/>
  <c r="AE155"/>
  <c r="AD155"/>
  <c r="BH146"/>
  <c r="BF146"/>
  <c r="BB146"/>
  <c r="AY146"/>
  <c r="AS146"/>
  <c r="AR146"/>
  <c r="AL146"/>
  <c r="AK146"/>
  <c r="AE146"/>
  <c r="AD146"/>
  <c r="BH145"/>
  <c r="BF145"/>
  <c r="BB145"/>
  <c r="AY145"/>
  <c r="AS145"/>
  <c r="AR145"/>
  <c r="AL145"/>
  <c r="AK145"/>
  <c r="AE145"/>
  <c r="AD145"/>
  <c r="BH143"/>
  <c r="BF143"/>
  <c r="BB143"/>
  <c r="AY143"/>
  <c r="AS143"/>
  <c r="AR143"/>
  <c r="AL143"/>
  <c r="AK143"/>
  <c r="AE143"/>
  <c r="AD143"/>
  <c r="BH142"/>
  <c r="BF142"/>
  <c r="BB142"/>
  <c r="AY142"/>
  <c r="AS142"/>
  <c r="AR142"/>
  <c r="AL142"/>
  <c r="AK142"/>
  <c r="AE142"/>
  <c r="AD142"/>
  <c r="BH158"/>
  <c r="BF158"/>
  <c r="BB158"/>
  <c r="AY158"/>
  <c r="AS158"/>
  <c r="AR158"/>
  <c r="AL158"/>
  <c r="AK158"/>
  <c r="AE158"/>
  <c r="AD158"/>
  <c r="BH157"/>
  <c r="BF157"/>
  <c r="BB157"/>
  <c r="AY157"/>
  <c r="AS157"/>
  <c r="AR157"/>
  <c r="AL157"/>
  <c r="AK157"/>
  <c r="AE157"/>
  <c r="AD157"/>
  <c r="BH135"/>
  <c r="BF135"/>
  <c r="BB135"/>
  <c r="AY135"/>
  <c r="AS135"/>
  <c r="AR135"/>
  <c r="AL135"/>
  <c r="AK135"/>
  <c r="AE135"/>
  <c r="AD135"/>
  <c r="BH140"/>
  <c r="BF140"/>
  <c r="BB140"/>
  <c r="AY140"/>
  <c r="AS140"/>
  <c r="AR140"/>
  <c r="AL140"/>
  <c r="AK140"/>
  <c r="AE140"/>
  <c r="AD140"/>
  <c r="BH139"/>
  <c r="BF139"/>
  <c r="BB139"/>
  <c r="AY139"/>
  <c r="AS139"/>
  <c r="AR139"/>
  <c r="AL139"/>
  <c r="AK139"/>
  <c r="AE139"/>
  <c r="AD139"/>
  <c r="BH138"/>
  <c r="BF138"/>
  <c r="BB138"/>
  <c r="AY138"/>
  <c r="AS138"/>
  <c r="AR138"/>
  <c r="AL138"/>
  <c r="AK138"/>
  <c r="AE138"/>
  <c r="AD138"/>
  <c r="BH137"/>
  <c r="BF137"/>
  <c r="BB137"/>
  <c r="AY137"/>
  <c r="AS137"/>
  <c r="AR137"/>
  <c r="AL137"/>
  <c r="AK137"/>
  <c r="AE137"/>
  <c r="AD137"/>
  <c r="BH133"/>
  <c r="BF133"/>
  <c r="BB133"/>
  <c r="AY133"/>
  <c r="AS133"/>
  <c r="AR133"/>
  <c r="AL133"/>
  <c r="AK133"/>
  <c r="AE133"/>
  <c r="AD133"/>
  <c r="BH132"/>
  <c r="BF132"/>
  <c r="BB132"/>
  <c r="AY132"/>
  <c r="AS132"/>
  <c r="AR132"/>
  <c r="AL132"/>
  <c r="AK132"/>
  <c r="AE132"/>
  <c r="AD132"/>
  <c r="BH131"/>
  <c r="BF131"/>
  <c r="BB131"/>
  <c r="AY131"/>
  <c r="AS131"/>
  <c r="AR131"/>
  <c r="AL131"/>
  <c r="AK131"/>
  <c r="AE131"/>
  <c r="AD131"/>
  <c r="BH130"/>
  <c r="BF130"/>
  <c r="BB130"/>
  <c r="AY130"/>
  <c r="AS130"/>
  <c r="AR130"/>
  <c r="AL130"/>
  <c r="AK130"/>
  <c r="AE130"/>
  <c r="AD130"/>
  <c r="BH129"/>
  <c r="BF129"/>
  <c r="BB129"/>
  <c r="AY129"/>
  <c r="AS129"/>
  <c r="AR129"/>
  <c r="AL129"/>
  <c r="AK129"/>
  <c r="AE129"/>
  <c r="AD129"/>
  <c r="BH128"/>
  <c r="BF128"/>
  <c r="BB128"/>
  <c r="AY128"/>
  <c r="AS128"/>
  <c r="AR128"/>
  <c r="AL128"/>
  <c r="AK128"/>
  <c r="AE128"/>
  <c r="AD128"/>
  <c r="BH127"/>
  <c r="BF127"/>
  <c r="BB127"/>
  <c r="AY127"/>
  <c r="AS127"/>
  <c r="AR127"/>
  <c r="AL127"/>
  <c r="AK127"/>
  <c r="AE127"/>
  <c r="AD127"/>
  <c r="BH126"/>
  <c r="BF126"/>
  <c r="BB126"/>
  <c r="AY126"/>
  <c r="AS126"/>
  <c r="AR126"/>
  <c r="AL126"/>
  <c r="AK126"/>
  <c r="AE126"/>
  <c r="AD126"/>
  <c r="BH125"/>
  <c r="BF125"/>
  <c r="BB125"/>
  <c r="AY125"/>
  <c r="AS125"/>
  <c r="AR125"/>
  <c r="AL125"/>
  <c r="AK125"/>
  <c r="AE125"/>
  <c r="AD125"/>
  <c r="BH124"/>
  <c r="BF124"/>
  <c r="BB124"/>
  <c r="AY124"/>
  <c r="AS124"/>
  <c r="AR124"/>
  <c r="AL124"/>
  <c r="AK124"/>
  <c r="AE124"/>
  <c r="AD124"/>
  <c r="BH123"/>
  <c r="BF123"/>
  <c r="BB123"/>
  <c r="AY123"/>
  <c r="AS123"/>
  <c r="AR123"/>
  <c r="AL123"/>
  <c r="AK123"/>
  <c r="AE123"/>
  <c r="AD123"/>
  <c r="BH122"/>
  <c r="BF122"/>
  <c r="BB122"/>
  <c r="AY122"/>
  <c r="AS122"/>
  <c r="AR122"/>
  <c r="AL122"/>
  <c r="AK122"/>
  <c r="AE122"/>
  <c r="AD122"/>
  <c r="BH121"/>
  <c r="BF121"/>
  <c r="BB121"/>
  <c r="AY121"/>
  <c r="AS121"/>
  <c r="AR121"/>
  <c r="AL121"/>
  <c r="AK121"/>
  <c r="AE121"/>
  <c r="AD121"/>
  <c r="BH120"/>
  <c r="BF120"/>
  <c r="BB120"/>
  <c r="AY120"/>
  <c r="AS120"/>
  <c r="AR120"/>
  <c r="AL120"/>
  <c r="AK120"/>
  <c r="AE120"/>
  <c r="AD120"/>
  <c r="BH119"/>
  <c r="BF119"/>
  <c r="BB119"/>
  <c r="AY119"/>
  <c r="AS119"/>
  <c r="AR119"/>
  <c r="AL119"/>
  <c r="AK119"/>
  <c r="AE119"/>
  <c r="AD119"/>
  <c r="BH118"/>
  <c r="BF118"/>
  <c r="BB118"/>
  <c r="AY118"/>
  <c r="AS118"/>
  <c r="AR118"/>
  <c r="AL118"/>
  <c r="AK118"/>
  <c r="AE118"/>
  <c r="AD118"/>
  <c r="BH117"/>
  <c r="BF117"/>
  <c r="BB117"/>
  <c r="AY117"/>
  <c r="AS117"/>
  <c r="AR117"/>
  <c r="AL117"/>
  <c r="AK117"/>
  <c r="AE117"/>
  <c r="AD117"/>
  <c r="BH107"/>
  <c r="BF107"/>
  <c r="BB107"/>
  <c r="AY107"/>
  <c r="AS107"/>
  <c r="AR107"/>
  <c r="AL107"/>
  <c r="AK107"/>
  <c r="AE107"/>
  <c r="AD107"/>
  <c r="BH114"/>
  <c r="BF114"/>
  <c r="BB114"/>
  <c r="AY114"/>
  <c r="AS114"/>
  <c r="AR114"/>
  <c r="AL114"/>
  <c r="AK114"/>
  <c r="AE114"/>
  <c r="AD114"/>
  <c r="BH113"/>
  <c r="BF113"/>
  <c r="BB113"/>
  <c r="AY113"/>
  <c r="AS113"/>
  <c r="AR113"/>
  <c r="AL113"/>
  <c r="AK113"/>
  <c r="AE113"/>
  <c r="AD113"/>
  <c r="BF106"/>
  <c r="BB106"/>
  <c r="AY106"/>
  <c r="AS106"/>
  <c r="AR106"/>
  <c r="AL106"/>
  <c r="AK106"/>
  <c r="AE106"/>
  <c r="AD106"/>
  <c r="BH104"/>
  <c r="BF104"/>
  <c r="BB104"/>
  <c r="AY104"/>
  <c r="AS104"/>
  <c r="AR104"/>
  <c r="AL104"/>
  <c r="AK104"/>
  <c r="AE104"/>
  <c r="AD104"/>
  <c r="BH103"/>
  <c r="BF103"/>
  <c r="BB103"/>
  <c r="AY103"/>
  <c r="AS103"/>
  <c r="AR103"/>
  <c r="AL103"/>
  <c r="AK103"/>
  <c r="AE103"/>
  <c r="AD103"/>
  <c r="BH102"/>
  <c r="BF102"/>
  <c r="BB102"/>
  <c r="AY102"/>
  <c r="AS102"/>
  <c r="AR102"/>
  <c r="AL102"/>
  <c r="AK102"/>
  <c r="AE102"/>
  <c r="AD102"/>
  <c r="BH109"/>
  <c r="BF109"/>
  <c r="BB109"/>
  <c r="AY109"/>
  <c r="AS109"/>
  <c r="AR109"/>
  <c r="AL109"/>
  <c r="AK109"/>
  <c r="AE109"/>
  <c r="AD109"/>
  <c r="BH98"/>
  <c r="BF98"/>
  <c r="BB98"/>
  <c r="AY98"/>
  <c r="AS98"/>
  <c r="AR98"/>
  <c r="AL98"/>
  <c r="AK98"/>
  <c r="AE98"/>
  <c r="AD98"/>
  <c r="BH100"/>
  <c r="BF100"/>
  <c r="BB100"/>
  <c r="AY100"/>
  <c r="AS100"/>
  <c r="AR100"/>
  <c r="AL100"/>
  <c r="AK100"/>
  <c r="AE100"/>
  <c r="AD100"/>
  <c r="BH99"/>
  <c r="BF99"/>
  <c r="BB99"/>
  <c r="AY99"/>
  <c r="AS99"/>
  <c r="AR99"/>
  <c r="AL99"/>
  <c r="AK99"/>
  <c r="AE99"/>
  <c r="AD99"/>
  <c r="BH96"/>
  <c r="BF96"/>
  <c r="BB96"/>
  <c r="AY96"/>
  <c r="AS96"/>
  <c r="AR96"/>
  <c r="AL96"/>
  <c r="AK96"/>
  <c r="AE96"/>
  <c r="AD96"/>
  <c r="BH112"/>
  <c r="BF112"/>
  <c r="BB112"/>
  <c r="AY112"/>
  <c r="AS112"/>
  <c r="AR112"/>
  <c r="AL112"/>
  <c r="AK112"/>
  <c r="AE112"/>
  <c r="AD112"/>
  <c r="BH111"/>
  <c r="BF111"/>
  <c r="BB111"/>
  <c r="AY111"/>
  <c r="AS111"/>
  <c r="AR111"/>
  <c r="AL111"/>
  <c r="AK111"/>
  <c r="AE111"/>
  <c r="AD111"/>
  <c r="BH88"/>
  <c r="BF88"/>
  <c r="BB88"/>
  <c r="AY88"/>
  <c r="AS88"/>
  <c r="AR88"/>
  <c r="AL88"/>
  <c r="AK88"/>
  <c r="AE88"/>
  <c r="AD88"/>
  <c r="BH94"/>
  <c r="BF94"/>
  <c r="BB94"/>
  <c r="AY94"/>
  <c r="AS94"/>
  <c r="AR94"/>
  <c r="AL94"/>
  <c r="AK94"/>
  <c r="AE94"/>
  <c r="AD94"/>
  <c r="BH90"/>
  <c r="BF90"/>
  <c r="BB90"/>
  <c r="AY90"/>
  <c r="AS90"/>
  <c r="AR90"/>
  <c r="AL90"/>
  <c r="AK90"/>
  <c r="AE90"/>
  <c r="AD90"/>
  <c r="AD89"/>
  <c r="AE89"/>
  <c r="AK89"/>
  <c r="AL89"/>
  <c r="AR89"/>
  <c r="AS89"/>
  <c r="AY89"/>
  <c r="BB89"/>
  <c r="BF89"/>
  <c r="BH89"/>
  <c r="BH86"/>
  <c r="BF86"/>
  <c r="BB86"/>
  <c r="AY86"/>
  <c r="AS86"/>
  <c r="AR86"/>
  <c r="AL86"/>
  <c r="AK86"/>
  <c r="AE86"/>
  <c r="AD86"/>
  <c r="BH85"/>
  <c r="BF85"/>
  <c r="BB85"/>
  <c r="AY85"/>
  <c r="AS85"/>
  <c r="AR85"/>
  <c r="AL85"/>
  <c r="AK85"/>
  <c r="AE85"/>
  <c r="AD85"/>
  <c r="BH84"/>
  <c r="BF84"/>
  <c r="BB84"/>
  <c r="AY84"/>
  <c r="AS84"/>
  <c r="AR84"/>
  <c r="AL84"/>
  <c r="AK84"/>
  <c r="AE84"/>
  <c r="AD84"/>
  <c r="BH82"/>
  <c r="BF82"/>
  <c r="BB82"/>
  <c r="AY82"/>
  <c r="AS82"/>
  <c r="AR82"/>
  <c r="AL82"/>
  <c r="AK82"/>
  <c r="AE82"/>
  <c r="AD82"/>
  <c r="BH81"/>
  <c r="BF81"/>
  <c r="BB81"/>
  <c r="AY81"/>
  <c r="AS81"/>
  <c r="AR81"/>
  <c r="AL81"/>
  <c r="AK81"/>
  <c r="AE81"/>
  <c r="AD81"/>
  <c r="BH91"/>
  <c r="BF91"/>
  <c r="BB91"/>
  <c r="AY91"/>
  <c r="AS91"/>
  <c r="AR91"/>
  <c r="AL91"/>
  <c r="AK91"/>
  <c r="AE91"/>
  <c r="AD91"/>
  <c r="BH79"/>
  <c r="BF79"/>
  <c r="BB79"/>
  <c r="AY79"/>
  <c r="AS79"/>
  <c r="AR79"/>
  <c r="AL79"/>
  <c r="AK79"/>
  <c r="AE79"/>
  <c r="AD79"/>
  <c r="BH78"/>
  <c r="BF78"/>
  <c r="BB78"/>
  <c r="AY78"/>
  <c r="AS78"/>
  <c r="AR78"/>
  <c r="AL78"/>
  <c r="AK78"/>
  <c r="AE78"/>
  <c r="AD78"/>
  <c r="BH93"/>
  <c r="BF93"/>
  <c r="BB93"/>
  <c r="AY93"/>
  <c r="AS93"/>
  <c r="AR93"/>
  <c r="AL93"/>
  <c r="AK93"/>
  <c r="AE93"/>
  <c r="AD93"/>
  <c r="BH71"/>
  <c r="BF71"/>
  <c r="BB71"/>
  <c r="AY71"/>
  <c r="AS71"/>
  <c r="AR71"/>
  <c r="AL71"/>
  <c r="AK71"/>
  <c r="AE71"/>
  <c r="AD71"/>
  <c r="BH70"/>
  <c r="BF70"/>
  <c r="BB70"/>
  <c r="AY70"/>
  <c r="AS70"/>
  <c r="AR70"/>
  <c r="AL70"/>
  <c r="AK70"/>
  <c r="AE70"/>
  <c r="AD70"/>
  <c r="BH68"/>
  <c r="BF68"/>
  <c r="BB68"/>
  <c r="AY68"/>
  <c r="AS68"/>
  <c r="AR68"/>
  <c r="AL68"/>
  <c r="AK68"/>
  <c r="AE68"/>
  <c r="AD68"/>
  <c r="BH67"/>
  <c r="BF67"/>
  <c r="BB67"/>
  <c r="AY67"/>
  <c r="AS67"/>
  <c r="AR67"/>
  <c r="AL67"/>
  <c r="AK67"/>
  <c r="AE67"/>
  <c r="AD67"/>
  <c r="BH73"/>
  <c r="BF73"/>
  <c r="BB73"/>
  <c r="AY73"/>
  <c r="AS73"/>
  <c r="AR73"/>
  <c r="AL73"/>
  <c r="AK73"/>
  <c r="AE73"/>
  <c r="AD73"/>
  <c r="BH63"/>
  <c r="BF63"/>
  <c r="BB63"/>
  <c r="AY63"/>
  <c r="AS63"/>
  <c r="AR63"/>
  <c r="AL63"/>
  <c r="AK63"/>
  <c r="AE63"/>
  <c r="AD63"/>
  <c r="BH65"/>
  <c r="BF65"/>
  <c r="BB65"/>
  <c r="AY65"/>
  <c r="AS65"/>
  <c r="AR65"/>
  <c r="AL65"/>
  <c r="AK65"/>
  <c r="AE65"/>
  <c r="AD65"/>
  <c r="BH64"/>
  <c r="BF64"/>
  <c r="BB64"/>
  <c r="AY64"/>
  <c r="AS64"/>
  <c r="AR64"/>
  <c r="AL64"/>
  <c r="AK64"/>
  <c r="AE64"/>
  <c r="AD64"/>
  <c r="BH60"/>
  <c r="BF60"/>
  <c r="BB60"/>
  <c r="AY60"/>
  <c r="AS60"/>
  <c r="AR60"/>
  <c r="AL60"/>
  <c r="AK60"/>
  <c r="AE60"/>
  <c r="AD60"/>
  <c r="BH61"/>
  <c r="BF61"/>
  <c r="BB61"/>
  <c r="AY61"/>
  <c r="AS61"/>
  <c r="AR61"/>
  <c r="AL61"/>
  <c r="AK61"/>
  <c r="AE61"/>
  <c r="AD61"/>
  <c r="BH75"/>
  <c r="BF75"/>
  <c r="BB75"/>
  <c r="AY75"/>
  <c r="AS75"/>
  <c r="AR75"/>
  <c r="AL75"/>
  <c r="AK75"/>
  <c r="AE75"/>
  <c r="AD75"/>
  <c r="BH76"/>
  <c r="BF76"/>
  <c r="BB76"/>
  <c r="AY76"/>
  <c r="AS76"/>
  <c r="AR76"/>
  <c r="AL76"/>
  <c r="AK76"/>
  <c r="AE76"/>
  <c r="AD76"/>
  <c r="BH52"/>
  <c r="BF52"/>
  <c r="BB52"/>
  <c r="AY52"/>
  <c r="AS52"/>
  <c r="AR52"/>
  <c r="AL52"/>
  <c r="AK52"/>
  <c r="AE52"/>
  <c r="AD52"/>
  <c r="BH55"/>
  <c r="BF55"/>
  <c r="BB55"/>
  <c r="AY55"/>
  <c r="AS55"/>
  <c r="AR55"/>
  <c r="AL55"/>
  <c r="AK55"/>
  <c r="AE55"/>
  <c r="AD55"/>
  <c r="BH53"/>
  <c r="BF53"/>
  <c r="BB53"/>
  <c r="AY53"/>
  <c r="AS53"/>
  <c r="AR53"/>
  <c r="AL53"/>
  <c r="AK53"/>
  <c r="AE53"/>
  <c r="AD53"/>
  <c r="BH50"/>
  <c r="BF50"/>
  <c r="BB50"/>
  <c r="AY50"/>
  <c r="AS50"/>
  <c r="AR50"/>
  <c r="AL50"/>
  <c r="AK50"/>
  <c r="AE50"/>
  <c r="AD50"/>
  <c r="BH49"/>
  <c r="BF49"/>
  <c r="BB49"/>
  <c r="AY49"/>
  <c r="AS49"/>
  <c r="AR49"/>
  <c r="AL49"/>
  <c r="AK49"/>
  <c r="AE49"/>
  <c r="AD49"/>
  <c r="BH48"/>
  <c r="BF48"/>
  <c r="BB48"/>
  <c r="AY48"/>
  <c r="AS48"/>
  <c r="AR48"/>
  <c r="AL48"/>
  <c r="AK48"/>
  <c r="AE48"/>
  <c r="AD48"/>
  <c r="BH58"/>
  <c r="BF58"/>
  <c r="BB58"/>
  <c r="AY58"/>
  <c r="AS58"/>
  <c r="AR58"/>
  <c r="AL58"/>
  <c r="AK58"/>
  <c r="AE58"/>
  <c r="AD58"/>
  <c r="BH46"/>
  <c r="BF46"/>
  <c r="BB46"/>
  <c r="AY46"/>
  <c r="AS46"/>
  <c r="AR46"/>
  <c r="AL46"/>
  <c r="AK46"/>
  <c r="AE46"/>
  <c r="AD46"/>
  <c r="BH45"/>
  <c r="BF45"/>
  <c r="BB45"/>
  <c r="AY45"/>
  <c r="AS45"/>
  <c r="AR45"/>
  <c r="AL45"/>
  <c r="AK45"/>
  <c r="AE45"/>
  <c r="AD45"/>
  <c r="BH44"/>
  <c r="BF44"/>
  <c r="BB44"/>
  <c r="AY44"/>
  <c r="AS44"/>
  <c r="AR44"/>
  <c r="AL44"/>
  <c r="AK44"/>
  <c r="AE44"/>
  <c r="AD44"/>
  <c r="BH42"/>
  <c r="BF42"/>
  <c r="BB42"/>
  <c r="AY42"/>
  <c r="AS42"/>
  <c r="AR42"/>
  <c r="AL42"/>
  <c r="AK42"/>
  <c r="AE42"/>
  <c r="AD42"/>
  <c r="BH57"/>
  <c r="BF57"/>
  <c r="BB57"/>
  <c r="AY57"/>
  <c r="AS57"/>
  <c r="AR57"/>
  <c r="AL57"/>
  <c r="AK57"/>
  <c r="AE57"/>
  <c r="AD57"/>
  <c r="BH41"/>
  <c r="BF41"/>
  <c r="BB41"/>
  <c r="AY41"/>
  <c r="AS41"/>
  <c r="AR41"/>
  <c r="AL41"/>
  <c r="AK41"/>
  <c r="AE41"/>
  <c r="AD41"/>
  <c r="BH34"/>
  <c r="BF34"/>
  <c r="BB34"/>
  <c r="AY34"/>
  <c r="AS34"/>
  <c r="AR34"/>
  <c r="AE34"/>
  <c r="AD34"/>
  <c r="BH39"/>
  <c r="BF39"/>
  <c r="BB39"/>
  <c r="AY39"/>
  <c r="AS39"/>
  <c r="AR39"/>
  <c r="AL39"/>
  <c r="AK39"/>
  <c r="AE39"/>
  <c r="AD39"/>
  <c r="BH33"/>
  <c r="BF33"/>
  <c r="BB33"/>
  <c r="AY33"/>
  <c r="AS33"/>
  <c r="AR33"/>
  <c r="AE33"/>
  <c r="AD33"/>
  <c r="BH31"/>
  <c r="BF31"/>
  <c r="BB31"/>
  <c r="AY31"/>
  <c r="AS31"/>
  <c r="AR31"/>
  <c r="AE31"/>
  <c r="AD31"/>
  <c r="BH30"/>
  <c r="BF30"/>
  <c r="BB30"/>
  <c r="AY30"/>
  <c r="AS30"/>
  <c r="AR30"/>
  <c r="AE30"/>
  <c r="AD30"/>
  <c r="BH29"/>
  <c r="BF29"/>
  <c r="BB29"/>
  <c r="AY29"/>
  <c r="AS29"/>
  <c r="AR29"/>
  <c r="AE29"/>
  <c r="AD29"/>
  <c r="BH27"/>
  <c r="BF27"/>
  <c r="BB27"/>
  <c r="AY27"/>
  <c r="AS27"/>
  <c r="AR27"/>
  <c r="AE27"/>
  <c r="AD27"/>
  <c r="BH26"/>
  <c r="BF26"/>
  <c r="BB26"/>
  <c r="AY26"/>
  <c r="AS26"/>
  <c r="AR26"/>
  <c r="AE26"/>
  <c r="AD26"/>
  <c r="BH25"/>
  <c r="BF25"/>
  <c r="BB25"/>
  <c r="AY25"/>
  <c r="AS25"/>
  <c r="AR25"/>
  <c r="AE25"/>
  <c r="AD25"/>
  <c r="BH38"/>
  <c r="BF38"/>
  <c r="BB38"/>
  <c r="AY38"/>
  <c r="AS38"/>
  <c r="AR38"/>
  <c r="AL38"/>
  <c r="AK38"/>
  <c r="AE38"/>
  <c r="AD38"/>
  <c r="BH23"/>
  <c r="BF23"/>
  <c r="BB23"/>
  <c r="AY23"/>
  <c r="AS23"/>
  <c r="AR23"/>
  <c r="AE23"/>
  <c r="AD23"/>
  <c r="BH22"/>
  <c r="BF22"/>
  <c r="BB22"/>
  <c r="AY22"/>
  <c r="AS22"/>
  <c r="AR22"/>
  <c r="AE22"/>
  <c r="AD22"/>
  <c r="BH36"/>
  <c r="BF36"/>
  <c r="BB36"/>
  <c r="AY36"/>
  <c r="AS36"/>
  <c r="AR36"/>
  <c r="AL36"/>
  <c r="AK36"/>
  <c r="AE36"/>
  <c r="AD36"/>
  <c r="BH20"/>
  <c r="BF20"/>
  <c r="BB20"/>
  <c r="AY20"/>
  <c r="AS20"/>
  <c r="AR20"/>
  <c r="AE20"/>
  <c r="AD20"/>
  <c r="BH15"/>
  <c r="BF15"/>
  <c r="BB15"/>
  <c r="AY15"/>
  <c r="AS15"/>
  <c r="AR15"/>
  <c r="AE15"/>
  <c r="AD15"/>
  <c r="BH13"/>
  <c r="BF13"/>
  <c r="BB13"/>
  <c r="AY13"/>
  <c r="AS13"/>
  <c r="AR13"/>
  <c r="AE13"/>
  <c r="AD13"/>
  <c r="BH12"/>
  <c r="BF12"/>
  <c r="BB12"/>
  <c r="AY12"/>
  <c r="AS12"/>
  <c r="AR12"/>
  <c r="AE12"/>
  <c r="AD12"/>
  <c r="BH17"/>
  <c r="BF17"/>
  <c r="BB17"/>
  <c r="AY17"/>
  <c r="AS17"/>
  <c r="AR17"/>
  <c r="AE17"/>
  <c r="AD17"/>
  <c r="BH11"/>
  <c r="BF11"/>
  <c r="BB11"/>
  <c r="AY11"/>
  <c r="AS11"/>
  <c r="AR11"/>
  <c r="AE11"/>
  <c r="AD11"/>
  <c r="BH9"/>
  <c r="BF9"/>
  <c r="BB9"/>
  <c r="AY9"/>
  <c r="AS9"/>
  <c r="AR9"/>
  <c r="AE9"/>
  <c r="AD9"/>
  <c r="BH8"/>
  <c r="BF8"/>
  <c r="BB8"/>
  <c r="AY8"/>
  <c r="AS8"/>
  <c r="AR8"/>
  <c r="AE8"/>
  <c r="AD8"/>
  <c r="BH7"/>
  <c r="BF7"/>
  <c r="BB7"/>
  <c r="AY7"/>
  <c r="AS7"/>
  <c r="AR7"/>
  <c r="AE7"/>
  <c r="AD7"/>
  <c r="BH5"/>
  <c r="BF5"/>
  <c r="BB5"/>
  <c r="AY5"/>
  <c r="AS5"/>
  <c r="AR5"/>
  <c r="AL5"/>
  <c r="AK5"/>
  <c r="AE5"/>
  <c r="AD5"/>
  <c r="BH19"/>
  <c r="BF19"/>
  <c r="BB19"/>
  <c r="AY19"/>
  <c r="AS19"/>
  <c r="AR19"/>
  <c r="AE19"/>
  <c r="AD19"/>
  <c r="BH4"/>
  <c r="BF4"/>
  <c r="BB4"/>
  <c r="AY4"/>
  <c r="AS4"/>
  <c r="AR4"/>
  <c r="AL4"/>
  <c r="AK4"/>
  <c r="AE4"/>
  <c r="AD4"/>
  <c r="BH711"/>
  <c r="BF711"/>
  <c r="BB711"/>
  <c r="AY711"/>
  <c r="AS711"/>
  <c r="AR711"/>
  <c r="AL711"/>
  <c r="AK711"/>
  <c r="AE711"/>
  <c r="AD711"/>
  <c r="BH710"/>
  <c r="BF710"/>
  <c r="BB710"/>
  <c r="AY710"/>
  <c r="AS710"/>
  <c r="AR710"/>
  <c r="AL710"/>
  <c r="AK710"/>
  <c r="AE710"/>
  <c r="AD710"/>
  <c r="BH706"/>
  <c r="BF706"/>
  <c r="BB706"/>
  <c r="AY706"/>
  <c r="AS706"/>
  <c r="AR706"/>
  <c r="AL706"/>
  <c r="AK706"/>
  <c r="AE706"/>
  <c r="AD706"/>
  <c r="BH702"/>
  <c r="BF702"/>
  <c r="BB702"/>
  <c r="AY702"/>
  <c r="AS702"/>
  <c r="AR702"/>
  <c r="AL702"/>
  <c r="AK702"/>
  <c r="AE702"/>
  <c r="AD702"/>
  <c r="BH701"/>
  <c r="BF701"/>
  <c r="BB701"/>
  <c r="AY701"/>
  <c r="AS701"/>
  <c r="AR701"/>
  <c r="AL701"/>
  <c r="AK701"/>
  <c r="AE701"/>
  <c r="AD701"/>
  <c r="BH697"/>
  <c r="BF697"/>
  <c r="BB697"/>
  <c r="AY697"/>
  <c r="AS697"/>
  <c r="AR697"/>
  <c r="AL697"/>
  <c r="AK697"/>
  <c r="AE697"/>
  <c r="AD697"/>
  <c r="BH725"/>
  <c r="BF725"/>
  <c r="BB725"/>
  <c r="AY725"/>
  <c r="AS725"/>
  <c r="AR725"/>
  <c r="AL725"/>
  <c r="AK725"/>
  <c r="AE725"/>
  <c r="AD725"/>
  <c r="BH723"/>
  <c r="BF723"/>
  <c r="BB723"/>
  <c r="AY723"/>
  <c r="AS723"/>
  <c r="AR723"/>
  <c r="AL723"/>
  <c r="AK723"/>
  <c r="AE723"/>
  <c r="AD723"/>
  <c r="BH719"/>
  <c r="BF719"/>
  <c r="BB719"/>
  <c r="AY719"/>
  <c r="AS719"/>
  <c r="AR719"/>
  <c r="AL719"/>
  <c r="AK719"/>
  <c r="AE719"/>
  <c r="AD719"/>
  <c r="BH715"/>
  <c r="BF715"/>
  <c r="BB715"/>
  <c r="AS715"/>
  <c r="AR715"/>
  <c r="AL715"/>
  <c r="AK715"/>
  <c r="AE715"/>
  <c r="AD715"/>
  <c r="BH690"/>
  <c r="BF690"/>
  <c r="BB690"/>
  <c r="AY690"/>
  <c r="AS690"/>
  <c r="AR690"/>
  <c r="AL690"/>
  <c r="AK690"/>
  <c r="AE690"/>
  <c r="AD690"/>
  <c r="BH688"/>
  <c r="BF688"/>
  <c r="BB688"/>
  <c r="AY688"/>
  <c r="AS688"/>
  <c r="AR688"/>
  <c r="AL688"/>
  <c r="AK688"/>
  <c r="AE688"/>
  <c r="AD688"/>
  <c r="BH685"/>
  <c r="BF685"/>
  <c r="BB685"/>
  <c r="AY685"/>
  <c r="AS685"/>
  <c r="AR685"/>
  <c r="AL685"/>
  <c r="AK685"/>
  <c r="AE685"/>
  <c r="AD685"/>
  <c r="BH681"/>
  <c r="BF681"/>
  <c r="BB681"/>
  <c r="AY681"/>
  <c r="AS681"/>
  <c r="AR681"/>
  <c r="AL681"/>
  <c r="AK681"/>
  <c r="AE681"/>
  <c r="AD681"/>
  <c r="BH677"/>
  <c r="BF677"/>
  <c r="BB677"/>
  <c r="AY677"/>
  <c r="AS677"/>
  <c r="AR677"/>
  <c r="AL677"/>
  <c r="AK677"/>
  <c r="AE677"/>
  <c r="AD677"/>
  <c r="BH748"/>
  <c r="BF748"/>
  <c r="BB748"/>
  <c r="AY748"/>
  <c r="AS748"/>
  <c r="AR748"/>
  <c r="AL748"/>
  <c r="AK748"/>
  <c r="AE748"/>
  <c r="AD748"/>
  <c r="BH747"/>
  <c r="BF747"/>
  <c r="BB747"/>
  <c r="AY747"/>
  <c r="AS747"/>
  <c r="AR747"/>
  <c r="AL747"/>
  <c r="AK747"/>
  <c r="AE747"/>
  <c r="AD747"/>
  <c r="BH746"/>
  <c r="BF746"/>
  <c r="BB746"/>
  <c r="AY746"/>
  <c r="AS746"/>
  <c r="AR746"/>
  <c r="AL746"/>
  <c r="AK746"/>
  <c r="AE746"/>
  <c r="AD746"/>
  <c r="BH744"/>
  <c r="BF744"/>
  <c r="BB744"/>
  <c r="AY744"/>
  <c r="AS744"/>
  <c r="AR744"/>
  <c r="AL744"/>
  <c r="AK744"/>
  <c r="AE744"/>
  <c r="AD744"/>
  <c r="BH740"/>
  <c r="BF740"/>
  <c r="BB740"/>
  <c r="AY740"/>
  <c r="AS740"/>
  <c r="AR740"/>
  <c r="AL740"/>
  <c r="AK740"/>
  <c r="AE740"/>
  <c r="AD740"/>
  <c r="BH736"/>
  <c r="BF736"/>
  <c r="BB736"/>
  <c r="AY736"/>
  <c r="AS736"/>
  <c r="AR736"/>
  <c r="AL736"/>
  <c r="AK736"/>
  <c r="AE736"/>
  <c r="AD736"/>
  <c r="BH732"/>
  <c r="BF732"/>
  <c r="BB732"/>
  <c r="AY732"/>
  <c r="AS732"/>
  <c r="AR732"/>
  <c r="AL732"/>
  <c r="AK732"/>
  <c r="AE732"/>
  <c r="AD732"/>
  <c r="BH777"/>
  <c r="BF777"/>
  <c r="BB777"/>
  <c r="AY777"/>
  <c r="AS777"/>
  <c r="AR777"/>
  <c r="AE777"/>
  <c r="AD777"/>
  <c r="BH775"/>
  <c r="BF775"/>
  <c r="BB775"/>
  <c r="AY775"/>
  <c r="AS775"/>
  <c r="AR775"/>
  <c r="AE775"/>
  <c r="AD775"/>
  <c r="BH770"/>
  <c r="BF770"/>
  <c r="BB770"/>
  <c r="AY770"/>
  <c r="AS770"/>
  <c r="AR770"/>
  <c r="AE770"/>
  <c r="AD770"/>
  <c r="BH766"/>
  <c r="BF766"/>
  <c r="BB766"/>
  <c r="AY766"/>
  <c r="AS766"/>
  <c r="AR766"/>
  <c r="AL766"/>
  <c r="AK766"/>
  <c r="AE766"/>
  <c r="AD766"/>
  <c r="BH764"/>
  <c r="BF764"/>
  <c r="BB764"/>
  <c r="AY764"/>
  <c r="AS764"/>
  <c r="AR764"/>
  <c r="AL764"/>
  <c r="AK764"/>
  <c r="AE764"/>
  <c r="AD764"/>
  <c r="BH761"/>
  <c r="BF761"/>
  <c r="BB761"/>
  <c r="AY761"/>
  <c r="AS761"/>
  <c r="AR761"/>
  <c r="AL761"/>
  <c r="AK761"/>
  <c r="AE761"/>
  <c r="AD761"/>
  <c r="BH757"/>
  <c r="BF757"/>
  <c r="BB757"/>
  <c r="AY757"/>
  <c r="AS757"/>
  <c r="AR757"/>
  <c r="AL757"/>
  <c r="AK757"/>
  <c r="AE757"/>
  <c r="AD757"/>
  <c r="BH753"/>
  <c r="BF753"/>
  <c r="BB753"/>
  <c r="AY753"/>
  <c r="AS753"/>
  <c r="AR753"/>
  <c r="AL753"/>
  <c r="AK753"/>
  <c r="AE753"/>
  <c r="AD753"/>
  <c r="BH653"/>
  <c r="BF653"/>
  <c r="BB653"/>
  <c r="AY653"/>
  <c r="AS653"/>
  <c r="AR653"/>
  <c r="AL653"/>
  <c r="AK653"/>
  <c r="AE653"/>
  <c r="AD653"/>
  <c r="BH651"/>
  <c r="BF651"/>
  <c r="BB651"/>
  <c r="AY651"/>
  <c r="AS651"/>
  <c r="AR651"/>
  <c r="AL651"/>
  <c r="AK651"/>
  <c r="AE651"/>
  <c r="AD651"/>
  <c r="BH647"/>
  <c r="BF647"/>
  <c r="BB647"/>
  <c r="AY647"/>
  <c r="AS647"/>
  <c r="AR647"/>
  <c r="AL647"/>
  <c r="AK647"/>
  <c r="AE647"/>
  <c r="AD647"/>
  <c r="BH643"/>
  <c r="BF643"/>
  <c r="BB643"/>
  <c r="AY643"/>
  <c r="AS643"/>
  <c r="AR643"/>
  <c r="AL643"/>
  <c r="AK643"/>
  <c r="AE643"/>
  <c r="AD643"/>
  <c r="BH639"/>
  <c r="BF639"/>
  <c r="BB639"/>
  <c r="AY639"/>
  <c r="AS639"/>
  <c r="AR639"/>
  <c r="AL639"/>
  <c r="AK639"/>
  <c r="AE639"/>
  <c r="AD639"/>
  <c r="BH670"/>
  <c r="BF670"/>
  <c r="BB670"/>
  <c r="AY670"/>
  <c r="AS670"/>
  <c r="AR670"/>
  <c r="AL670"/>
  <c r="AK670"/>
  <c r="AE670"/>
  <c r="AD670"/>
  <c r="BH668"/>
  <c r="BF668"/>
  <c r="BB668"/>
  <c r="AY668"/>
  <c r="AS668"/>
  <c r="AR668"/>
  <c r="AL668"/>
  <c r="AK668"/>
  <c r="AE668"/>
  <c r="AD668"/>
  <c r="BH666"/>
  <c r="BF666"/>
  <c r="BB666"/>
  <c r="AY666"/>
  <c r="AS666"/>
  <c r="AR666"/>
  <c r="AL666"/>
  <c r="AK666"/>
  <c r="AE666"/>
  <c r="AD666"/>
  <c r="BH662"/>
  <c r="BF662"/>
  <c r="BB662"/>
  <c r="AY662"/>
  <c r="AS662"/>
  <c r="AR662"/>
  <c r="AL662"/>
  <c r="AK662"/>
  <c r="AE662"/>
  <c r="AD662"/>
  <c r="BH658"/>
  <c r="BF658"/>
  <c r="BB658"/>
  <c r="AY658"/>
  <c r="AS658"/>
  <c r="AR658"/>
  <c r="AL658"/>
  <c r="AK658"/>
  <c r="AE658"/>
  <c r="AD658"/>
  <c r="BH597"/>
  <c r="BF597"/>
  <c r="BB597"/>
  <c r="AY597"/>
  <c r="AS597"/>
  <c r="AR597"/>
  <c r="AL597"/>
  <c r="AK597"/>
  <c r="AE597"/>
  <c r="AD597"/>
  <c r="BH596"/>
  <c r="BF596"/>
  <c r="BB596"/>
  <c r="AY596"/>
  <c r="AS596"/>
  <c r="AR596"/>
  <c r="AL596"/>
  <c r="AK596"/>
  <c r="AE596"/>
  <c r="AD596"/>
  <c r="BH595"/>
  <c r="BF595"/>
  <c r="BB595"/>
  <c r="AY595"/>
  <c r="AS595"/>
  <c r="AR595"/>
  <c r="AL595"/>
  <c r="AK595"/>
  <c r="AE595"/>
  <c r="AD595"/>
  <c r="BH591"/>
  <c r="BF591"/>
  <c r="BB591"/>
  <c r="AY591"/>
  <c r="AS591"/>
  <c r="AR591"/>
  <c r="AL591"/>
  <c r="AK591"/>
  <c r="AE591"/>
  <c r="AD591"/>
  <c r="BH587"/>
  <c r="BF587"/>
  <c r="BB587"/>
  <c r="AY587"/>
  <c r="AS587"/>
  <c r="AR587"/>
  <c r="AE587"/>
  <c r="AD587"/>
  <c r="BH585"/>
  <c r="BF585"/>
  <c r="BB585"/>
  <c r="AY585"/>
  <c r="AS585"/>
  <c r="AR585"/>
  <c r="AE585"/>
  <c r="AD585"/>
  <c r="BH581"/>
  <c r="BF581"/>
  <c r="BB581"/>
  <c r="AY581"/>
  <c r="AS581"/>
  <c r="AR581"/>
  <c r="AE581"/>
  <c r="AD581"/>
  <c r="BH576"/>
  <c r="BF576"/>
  <c r="BB576"/>
  <c r="AY576"/>
  <c r="AS576"/>
  <c r="AR576"/>
  <c r="AE576"/>
  <c r="AD576"/>
  <c r="BH573"/>
  <c r="BF573"/>
  <c r="BB573"/>
  <c r="AY573"/>
  <c r="AS573"/>
  <c r="AR573"/>
  <c r="AE573"/>
  <c r="AD573"/>
  <c r="BH568"/>
  <c r="BF568"/>
  <c r="BB568"/>
  <c r="AY568"/>
  <c r="AS568"/>
  <c r="AR568"/>
  <c r="AE568"/>
  <c r="AD568"/>
  <c r="BH562"/>
  <c r="BF562"/>
  <c r="BB562"/>
  <c r="AY562"/>
  <c r="AS562"/>
  <c r="AR562"/>
  <c r="AE562"/>
  <c r="AD562"/>
  <c r="BH541"/>
  <c r="BF541"/>
  <c r="BB541"/>
  <c r="AY541"/>
  <c r="AS541"/>
  <c r="AR541"/>
  <c r="AL541"/>
  <c r="AK541"/>
  <c r="AE541"/>
  <c r="AD541"/>
  <c r="BH540"/>
  <c r="BF540"/>
  <c r="BB540"/>
  <c r="AY540"/>
  <c r="AS540"/>
  <c r="AR540"/>
  <c r="AL540"/>
  <c r="AK540"/>
  <c r="AE540"/>
  <c r="AD540"/>
  <c r="BH539"/>
  <c r="BF539"/>
  <c r="BB539"/>
  <c r="AY539"/>
  <c r="AS539"/>
  <c r="AR539"/>
  <c r="AL539"/>
  <c r="AK539"/>
  <c r="AE539"/>
  <c r="AD539"/>
  <c r="BH538"/>
  <c r="BF538"/>
  <c r="BB538"/>
  <c r="AY538"/>
  <c r="AS538"/>
  <c r="AR538"/>
  <c r="AL538"/>
  <c r="AK538"/>
  <c r="AE538"/>
  <c r="AD538"/>
  <c r="BH534"/>
  <c r="BF534"/>
  <c r="BB534"/>
  <c r="AY534"/>
  <c r="AS534"/>
  <c r="AR534"/>
  <c r="AL534"/>
  <c r="AK534"/>
  <c r="AE534"/>
  <c r="AD534"/>
  <c r="BH530"/>
  <c r="BF530"/>
  <c r="BB530"/>
  <c r="AY530"/>
  <c r="AS530"/>
  <c r="AR530"/>
  <c r="AL530"/>
  <c r="AK530"/>
  <c r="AE530"/>
  <c r="AD530"/>
  <c r="BH526"/>
  <c r="BF526"/>
  <c r="BB526"/>
  <c r="AY526"/>
  <c r="AS526"/>
  <c r="AR526"/>
  <c r="AL526"/>
  <c r="AK526"/>
  <c r="AE526"/>
  <c r="AD526"/>
  <c r="BH522"/>
  <c r="BF522"/>
  <c r="BB522"/>
  <c r="AY522"/>
  <c r="AS522"/>
  <c r="AR522"/>
  <c r="AL522"/>
  <c r="AK522"/>
  <c r="AE522"/>
  <c r="AD522"/>
  <c r="BH518"/>
  <c r="BF518"/>
  <c r="BB518"/>
  <c r="AY518"/>
  <c r="AS518"/>
  <c r="AR518"/>
  <c r="AL518"/>
  <c r="AK518"/>
  <c r="AE518"/>
  <c r="AD518"/>
  <c r="BH516"/>
  <c r="BF516"/>
  <c r="BB516"/>
  <c r="AY516"/>
  <c r="AS516"/>
  <c r="AR516"/>
  <c r="AL516"/>
  <c r="AK516"/>
  <c r="AE516"/>
  <c r="AD516"/>
  <c r="BH507"/>
  <c r="BF507"/>
  <c r="BB507"/>
  <c r="AY507"/>
  <c r="AS507"/>
  <c r="AR507"/>
  <c r="AL507"/>
  <c r="AK507"/>
  <c r="AE507"/>
  <c r="AD507"/>
  <c r="BH492"/>
  <c r="BF492"/>
  <c r="BB492"/>
  <c r="AY492"/>
  <c r="AS492"/>
  <c r="AR492"/>
  <c r="AL492"/>
  <c r="AK492"/>
  <c r="AE492"/>
  <c r="AD492"/>
  <c r="BH475"/>
  <c r="BF475"/>
  <c r="BB475"/>
  <c r="AY475"/>
  <c r="AS475"/>
  <c r="AR475"/>
  <c r="AL475"/>
  <c r="AK475"/>
  <c r="AE475"/>
  <c r="AD475"/>
  <c r="BH469"/>
  <c r="BF469"/>
  <c r="BB469"/>
  <c r="AY469"/>
  <c r="AS469"/>
  <c r="AR469"/>
  <c r="AL469"/>
  <c r="AK469"/>
  <c r="AE469"/>
  <c r="AD469"/>
  <c r="BH465"/>
  <c r="BF465"/>
  <c r="BB465"/>
  <c r="AY465"/>
  <c r="AS465"/>
  <c r="AR465"/>
  <c r="AL465"/>
  <c r="AK465"/>
  <c r="AE465"/>
  <c r="AD465"/>
  <c r="BH458"/>
  <c r="BF458"/>
  <c r="BB458"/>
  <c r="AY458"/>
  <c r="AS458"/>
  <c r="AR458"/>
  <c r="AL458"/>
  <c r="AK458"/>
  <c r="AE458"/>
  <c r="AD458"/>
  <c r="BH449"/>
  <c r="BF449"/>
  <c r="BB449"/>
  <c r="AY449"/>
  <c r="AS449"/>
  <c r="AR449"/>
  <c r="AL449"/>
  <c r="AK449"/>
  <c r="AE449"/>
  <c r="AD449"/>
  <c r="BH443"/>
  <c r="BF443"/>
  <c r="BB443"/>
  <c r="AY443"/>
  <c r="AS443"/>
  <c r="AR443"/>
  <c r="AL443"/>
  <c r="AK443"/>
  <c r="AE443"/>
  <c r="AD443"/>
  <c r="BH439"/>
  <c r="BF439"/>
  <c r="BB439"/>
  <c r="AY439"/>
  <c r="AS439"/>
  <c r="AR439"/>
  <c r="AL439"/>
  <c r="AK439"/>
  <c r="AE439"/>
  <c r="AD439"/>
  <c r="BH435"/>
  <c r="BF435"/>
  <c r="BB435"/>
  <c r="AY435"/>
  <c r="AS435"/>
  <c r="AR435"/>
  <c r="AL435"/>
  <c r="AK435"/>
  <c r="AE435"/>
  <c r="AD435"/>
  <c r="BH431"/>
  <c r="BF431"/>
  <c r="BB431"/>
  <c r="AY431"/>
  <c r="AS431"/>
  <c r="AR431"/>
  <c r="AL431"/>
  <c r="AK431"/>
  <c r="AE431"/>
  <c r="AD431"/>
  <c r="BH265"/>
  <c r="BF265"/>
  <c r="BB265"/>
  <c r="AY265"/>
  <c r="AS265"/>
  <c r="AR265"/>
  <c r="AL265"/>
  <c r="AK265"/>
  <c r="AE265"/>
  <c r="AD265"/>
  <c r="BH262"/>
  <c r="BF262"/>
  <c r="BB262"/>
  <c r="AY262"/>
  <c r="AS262"/>
  <c r="AR262"/>
  <c r="AL262"/>
  <c r="AK262"/>
  <c r="AE262"/>
  <c r="AD262"/>
  <c r="BH257"/>
  <c r="BF257"/>
  <c r="BB257"/>
  <c r="AY257"/>
  <c r="AS257"/>
  <c r="AR257"/>
  <c r="AL257"/>
  <c r="AK257"/>
  <c r="AE257"/>
  <c r="AD257"/>
  <c r="BH255"/>
  <c r="BF255"/>
  <c r="BB255"/>
  <c r="AY255"/>
  <c r="AS255"/>
  <c r="AR255"/>
  <c r="AL255"/>
  <c r="AK255"/>
  <c r="AE255"/>
  <c r="AD255"/>
  <c r="BH248"/>
  <c r="BF248"/>
  <c r="BB248"/>
  <c r="AY248"/>
  <c r="AS248"/>
  <c r="AR248"/>
  <c r="AL248"/>
  <c r="AK248"/>
  <c r="AE248"/>
  <c r="AD248"/>
  <c r="BH232"/>
  <c r="BF232"/>
  <c r="BB232"/>
  <c r="AY232"/>
  <c r="AS232"/>
  <c r="AR232"/>
  <c r="AL232"/>
  <c r="AK232"/>
  <c r="AE232"/>
  <c r="AD232"/>
  <c r="BH200"/>
  <c r="BF200"/>
  <c r="BB200"/>
  <c r="AY200"/>
  <c r="AS200"/>
  <c r="AR200"/>
  <c r="AL200"/>
  <c r="AK200"/>
  <c r="AE200"/>
  <c r="AD200"/>
  <c r="BH195"/>
  <c r="BF195"/>
  <c r="BB195"/>
  <c r="AY195"/>
  <c r="AS195"/>
  <c r="AR195"/>
  <c r="AL195"/>
  <c r="AK195"/>
  <c r="AE195"/>
  <c r="AD195"/>
  <c r="BH156"/>
  <c r="BF156"/>
  <c r="BB156"/>
  <c r="AY156"/>
  <c r="AS156"/>
  <c r="AR156"/>
  <c r="AL156"/>
  <c r="AK156"/>
  <c r="AE156"/>
  <c r="AD156"/>
  <c r="BH153"/>
  <c r="BF153"/>
  <c r="BB153"/>
  <c r="AY153"/>
  <c r="AS153"/>
  <c r="AR153"/>
  <c r="AL153"/>
  <c r="AK153"/>
  <c r="AE153"/>
  <c r="AD153"/>
  <c r="BH151"/>
  <c r="BF151"/>
  <c r="BB151"/>
  <c r="AY151"/>
  <c r="AS151"/>
  <c r="AR151"/>
  <c r="AL151"/>
  <c r="AK151"/>
  <c r="AE151"/>
  <c r="AD151"/>
  <c r="BH147"/>
  <c r="BF147"/>
  <c r="BB147"/>
  <c r="AY147"/>
  <c r="AS147"/>
  <c r="AR147"/>
  <c r="AL147"/>
  <c r="AK147"/>
  <c r="AE147"/>
  <c r="AD147"/>
  <c r="BH144"/>
  <c r="BF144"/>
  <c r="BB144"/>
  <c r="AY144"/>
  <c r="AS144"/>
  <c r="AR144"/>
  <c r="AL144"/>
  <c r="AK144"/>
  <c r="AE144"/>
  <c r="AD144"/>
  <c r="BH134"/>
  <c r="BF134"/>
  <c r="BB134"/>
  <c r="AY134"/>
  <c r="AS134"/>
  <c r="AR134"/>
  <c r="AL134"/>
  <c r="AK134"/>
  <c r="AE134"/>
  <c r="AD134"/>
  <c r="BH92"/>
  <c r="BF92"/>
  <c r="BB92"/>
  <c r="AY92"/>
  <c r="AS92"/>
  <c r="AR92"/>
  <c r="AL92"/>
  <c r="AK92"/>
  <c r="AE92"/>
  <c r="AD92"/>
  <c r="BH87"/>
  <c r="BF87"/>
  <c r="BB87"/>
  <c r="AY87"/>
  <c r="AS87"/>
  <c r="AR87"/>
  <c r="AL87"/>
  <c r="AK87"/>
  <c r="AE87"/>
  <c r="AD87"/>
  <c r="BH83"/>
  <c r="BF83"/>
  <c r="BB83"/>
  <c r="AY83"/>
  <c r="AS83"/>
  <c r="AR83"/>
  <c r="AL83"/>
  <c r="AK83"/>
  <c r="AE83"/>
  <c r="AD83"/>
  <c r="BH80"/>
  <c r="BF80"/>
  <c r="BB80"/>
  <c r="AY80"/>
  <c r="AS80"/>
  <c r="AR80"/>
  <c r="AL80"/>
  <c r="AK80"/>
  <c r="AE80"/>
  <c r="AD80"/>
  <c r="BH74"/>
  <c r="BF74"/>
  <c r="BB74"/>
  <c r="AY74"/>
  <c r="AS74"/>
  <c r="AR74"/>
  <c r="AL74"/>
  <c r="AK74"/>
  <c r="AE74"/>
  <c r="AD74"/>
  <c r="BH72"/>
  <c r="BF72"/>
  <c r="BB72"/>
  <c r="AY72"/>
  <c r="AS72"/>
  <c r="AR72"/>
  <c r="AL72"/>
  <c r="AK72"/>
  <c r="AE72"/>
  <c r="AD72"/>
  <c r="BH69"/>
  <c r="BF69"/>
  <c r="BB69"/>
  <c r="AY69"/>
  <c r="AS69"/>
  <c r="AR69"/>
  <c r="AL69"/>
  <c r="AK69"/>
  <c r="AE69"/>
  <c r="AD69"/>
  <c r="BH66"/>
  <c r="BF66"/>
  <c r="BB66"/>
  <c r="AY66"/>
  <c r="AS66"/>
  <c r="AR66"/>
  <c r="AL66"/>
  <c r="AK66"/>
  <c r="AE66"/>
  <c r="AD66"/>
  <c r="BH62"/>
  <c r="BF62"/>
  <c r="BB62"/>
  <c r="AY62"/>
  <c r="AS62"/>
  <c r="AR62"/>
  <c r="AL62"/>
  <c r="AK62"/>
  <c r="AE62"/>
  <c r="AD62"/>
  <c r="BH56"/>
  <c r="BF56"/>
  <c r="BB56"/>
  <c r="AY56"/>
  <c r="AS56"/>
  <c r="AR56"/>
  <c r="AL56"/>
  <c r="AK56"/>
  <c r="AE56"/>
  <c r="AD56"/>
  <c r="BH54"/>
  <c r="BF54"/>
  <c r="BB54"/>
  <c r="AY54"/>
  <c r="AS54"/>
  <c r="AR54"/>
  <c r="AL54"/>
  <c r="AK54"/>
  <c r="AE54"/>
  <c r="AD54"/>
  <c r="BH51"/>
  <c r="BF51"/>
  <c r="BB51"/>
  <c r="AY51"/>
  <c r="AS51"/>
  <c r="AR51"/>
  <c r="AL51"/>
  <c r="AK51"/>
  <c r="AE51"/>
  <c r="AD51"/>
  <c r="BH47"/>
  <c r="BF47"/>
  <c r="BB47"/>
  <c r="AY47"/>
  <c r="AS47"/>
  <c r="AR47"/>
  <c r="AL47"/>
  <c r="AK47"/>
  <c r="AE47"/>
  <c r="AD47"/>
  <c r="BH43"/>
  <c r="BF43"/>
  <c r="BB43"/>
  <c r="AY43"/>
  <c r="AS43"/>
  <c r="AR43"/>
  <c r="AL43"/>
  <c r="AK43"/>
  <c r="AE43"/>
  <c r="AD43"/>
  <c r="BH18"/>
  <c r="BF18"/>
  <c r="BB18"/>
  <c r="AY18"/>
  <c r="AS18"/>
  <c r="AR18"/>
  <c r="AE18"/>
  <c r="AD18"/>
  <c r="BH16"/>
  <c r="BF16"/>
  <c r="BB16"/>
  <c r="AY16"/>
  <c r="AS16"/>
  <c r="AR16"/>
  <c r="AE16"/>
  <c r="AD16"/>
  <c r="BH14"/>
  <c r="BF14"/>
  <c r="BB14"/>
  <c r="AY14"/>
  <c r="AS14"/>
  <c r="AR14"/>
  <c r="AE14"/>
  <c r="AD14"/>
  <c r="BH10"/>
  <c r="BF10"/>
  <c r="BB10"/>
  <c r="AY10"/>
  <c r="AS10"/>
  <c r="AR10"/>
  <c r="AE10"/>
  <c r="AD10"/>
  <c r="BH6"/>
  <c r="BF6"/>
  <c r="BB6"/>
  <c r="AY6"/>
  <c r="AS6"/>
  <c r="AR6"/>
  <c r="AL6"/>
  <c r="AK6"/>
  <c r="AE6"/>
  <c r="AD6"/>
  <c r="BH834"/>
  <c r="BF834"/>
  <c r="BB834"/>
  <c r="AY834"/>
  <c r="AS834"/>
  <c r="AR834"/>
  <c r="AL834"/>
  <c r="AK834"/>
  <c r="AE834"/>
  <c r="AD834"/>
  <c r="BH832"/>
  <c r="BF832"/>
  <c r="BB832"/>
  <c r="AY832"/>
  <c r="AS832"/>
  <c r="AR832"/>
  <c r="AL832"/>
  <c r="AK832"/>
  <c r="AE832"/>
  <c r="AD832"/>
  <c r="BH825"/>
  <c r="BF825"/>
  <c r="BB825"/>
  <c r="AY825"/>
  <c r="AS825"/>
  <c r="AR825"/>
  <c r="AL825"/>
  <c r="AK825"/>
  <c r="AE825"/>
  <c r="AD825"/>
  <c r="BH822"/>
  <c r="BF822"/>
  <c r="BB822"/>
  <c r="AY822"/>
  <c r="AS822"/>
  <c r="AR822"/>
  <c r="AL822"/>
  <c r="AK822"/>
  <c r="AE822"/>
  <c r="AD822"/>
  <c r="BH816"/>
  <c r="BF816"/>
  <c r="BB816"/>
  <c r="AY816"/>
  <c r="AS816"/>
  <c r="AR816"/>
  <c r="AL816"/>
  <c r="AK816"/>
  <c r="AE816"/>
  <c r="AD816"/>
  <c r="BH812"/>
  <c r="BF812"/>
  <c r="BB812"/>
  <c r="AY812"/>
  <c r="AS812"/>
  <c r="AR812"/>
  <c r="AL812"/>
  <c r="AK812"/>
  <c r="AE812"/>
  <c r="AD812"/>
  <c r="BH808"/>
  <c r="BF808"/>
  <c r="BB808"/>
  <c r="AY808"/>
  <c r="AS808"/>
  <c r="AR808"/>
  <c r="AL808"/>
  <c r="AK808"/>
  <c r="AE808"/>
  <c r="AD808"/>
  <c r="BH892"/>
  <c r="BF892"/>
  <c r="BB892"/>
  <c r="AY892"/>
  <c r="AS892"/>
  <c r="AR892"/>
  <c r="AL892"/>
  <c r="AK892"/>
  <c r="AE892"/>
  <c r="AD892"/>
  <c r="BH891"/>
  <c r="BF891"/>
  <c r="BB891"/>
  <c r="AY891"/>
  <c r="AS891"/>
  <c r="AR891"/>
  <c r="AL891"/>
  <c r="AK891"/>
  <c r="AE891"/>
  <c r="AD891"/>
  <c r="BH889"/>
  <c r="BF889"/>
  <c r="BB889"/>
  <c r="AY889"/>
  <c r="AS889"/>
  <c r="AR889"/>
  <c r="AL889"/>
  <c r="AK889"/>
  <c r="AE889"/>
  <c r="AD889"/>
  <c r="BH886"/>
  <c r="BF886"/>
  <c r="BB886"/>
  <c r="AY886"/>
  <c r="AS886"/>
  <c r="AR886"/>
  <c r="AL886"/>
  <c r="AK886"/>
  <c r="AE886"/>
  <c r="AD886"/>
  <c r="BF882"/>
  <c r="BB882"/>
  <c r="AY882"/>
  <c r="AS882"/>
  <c r="AR882"/>
  <c r="AL882"/>
  <c r="AK882"/>
  <c r="AE882"/>
  <c r="AD882"/>
  <c r="BH878"/>
  <c r="BF878"/>
  <c r="BB878"/>
  <c r="AY878"/>
  <c r="AS878"/>
  <c r="AR878"/>
  <c r="AL878"/>
  <c r="AK878"/>
  <c r="AE878"/>
  <c r="AD878"/>
  <c r="BH872"/>
  <c r="BF872"/>
  <c r="BB872"/>
  <c r="AY872"/>
  <c r="AS872"/>
  <c r="AR872"/>
  <c r="AL872"/>
  <c r="AK872"/>
  <c r="AE872"/>
  <c r="AD872"/>
  <c r="BH865"/>
  <c r="BF865"/>
  <c r="BB865"/>
  <c r="AY865"/>
  <c r="AS865"/>
  <c r="AR865"/>
  <c r="AL865"/>
  <c r="AK865"/>
  <c r="AE865"/>
  <c r="AD865"/>
  <c r="BH861"/>
  <c r="BF861"/>
  <c r="BB861"/>
  <c r="AY861"/>
  <c r="AS861"/>
  <c r="AR861"/>
  <c r="AL861"/>
  <c r="AK861"/>
  <c r="AE861"/>
  <c r="AD861"/>
  <c r="BH857"/>
  <c r="BF857"/>
  <c r="BB857"/>
  <c r="AY857"/>
  <c r="AS857"/>
  <c r="AR857"/>
  <c r="AL857"/>
  <c r="AK857"/>
  <c r="AE857"/>
  <c r="AD857"/>
  <c r="BH852"/>
  <c r="BF852"/>
  <c r="BB852"/>
  <c r="AY852"/>
  <c r="AS852"/>
  <c r="AR852"/>
  <c r="AL852"/>
  <c r="AK852"/>
  <c r="AE852"/>
  <c r="AD852"/>
  <c r="BH850"/>
  <c r="BF850"/>
  <c r="BB850"/>
  <c r="AY850"/>
  <c r="AS850"/>
  <c r="AR850"/>
  <c r="AL850"/>
  <c r="AK850"/>
  <c r="AE850"/>
  <c r="AD850"/>
  <c r="BH846"/>
  <c r="BF846"/>
  <c r="BB846"/>
  <c r="AY846"/>
  <c r="AS846"/>
  <c r="AR846"/>
  <c r="AL846"/>
  <c r="AK846"/>
  <c r="AE846"/>
  <c r="AD846"/>
  <c r="BH842"/>
  <c r="BF842"/>
  <c r="BB842"/>
  <c r="AY842"/>
  <c r="AS842"/>
  <c r="AR842"/>
  <c r="AL842"/>
  <c r="AK842"/>
  <c r="AE842"/>
  <c r="AD842"/>
  <c r="BH838"/>
  <c r="BF838"/>
  <c r="BB838"/>
  <c r="AY838"/>
  <c r="AS838"/>
  <c r="AR838"/>
  <c r="AL838"/>
  <c r="AK838"/>
  <c r="AE838"/>
  <c r="AD838"/>
  <c r="BH798"/>
  <c r="BF798"/>
  <c r="BB798"/>
  <c r="AY798"/>
  <c r="AS798"/>
  <c r="AR798"/>
  <c r="AE798"/>
  <c r="AD798"/>
  <c r="BH793"/>
  <c r="BF793"/>
  <c r="BB793"/>
  <c r="AY793"/>
  <c r="AS793"/>
  <c r="AR793"/>
  <c r="AE793"/>
  <c r="AD793"/>
  <c r="BH784"/>
  <c r="BF784"/>
  <c r="BB784"/>
  <c r="AY784"/>
  <c r="AS784"/>
  <c r="AR784"/>
  <c r="AE784"/>
  <c r="AD784"/>
  <c r="BF633"/>
  <c r="BB633"/>
  <c r="AY633"/>
  <c r="AS633"/>
  <c r="AR633"/>
  <c r="AL633"/>
  <c r="AK633"/>
  <c r="AE633"/>
  <c r="AD633"/>
  <c r="BH631"/>
  <c r="BF631"/>
  <c r="BB631"/>
  <c r="AY631"/>
  <c r="AS631"/>
  <c r="AR631"/>
  <c r="AL631"/>
  <c r="AK631"/>
  <c r="AE631"/>
  <c r="AD631"/>
  <c r="BH629"/>
  <c r="BF629"/>
  <c r="BB629"/>
  <c r="AY629"/>
  <c r="AS629"/>
  <c r="AR629"/>
  <c r="AL629"/>
  <c r="AK629"/>
  <c r="AE629"/>
  <c r="AD629"/>
  <c r="BH625"/>
  <c r="BF625"/>
  <c r="BB625"/>
  <c r="AY625"/>
  <c r="AS625"/>
  <c r="AR625"/>
  <c r="AL625"/>
  <c r="AK625"/>
  <c r="AE625"/>
  <c r="AD625"/>
  <c r="BH621"/>
  <c r="BF621"/>
  <c r="BB621"/>
  <c r="AY621"/>
  <c r="AS621"/>
  <c r="AR621"/>
  <c r="AL621"/>
  <c r="AK621"/>
  <c r="AE621"/>
  <c r="AD621"/>
  <c r="BH615"/>
  <c r="BF615"/>
  <c r="BB615"/>
  <c r="AY615"/>
  <c r="AS615"/>
  <c r="AR615"/>
  <c r="AL615"/>
  <c r="AK615"/>
  <c r="AE615"/>
  <c r="AD615"/>
  <c r="BH613"/>
  <c r="BF613"/>
  <c r="BB613"/>
  <c r="AY613"/>
  <c r="AS613"/>
  <c r="AR613"/>
  <c r="AL613"/>
  <c r="AK613"/>
  <c r="AE613"/>
  <c r="AD613"/>
  <c r="BH609"/>
  <c r="BF609"/>
  <c r="BB609"/>
  <c r="AY609"/>
  <c r="AS609"/>
  <c r="AR609"/>
  <c r="AL609"/>
  <c r="AK609"/>
  <c r="AE609"/>
  <c r="AD609"/>
  <c r="BH605"/>
  <c r="BF605"/>
  <c r="BB605"/>
  <c r="AY605"/>
  <c r="AS605"/>
  <c r="AR605"/>
  <c r="AL605"/>
  <c r="AK605"/>
  <c r="AE605"/>
  <c r="AD605"/>
  <c r="BH601"/>
  <c r="BF601"/>
  <c r="BB601"/>
  <c r="AY601"/>
  <c r="AS601"/>
  <c r="AR601"/>
  <c r="AL601"/>
  <c r="AK601"/>
  <c r="AE601"/>
  <c r="AD601"/>
  <c r="BH423"/>
  <c r="BF423"/>
  <c r="BB423"/>
  <c r="AY423"/>
  <c r="AS423"/>
  <c r="AR423"/>
  <c r="AL423"/>
  <c r="AK423"/>
  <c r="AE423"/>
  <c r="AD423"/>
  <c r="BH421"/>
  <c r="BF421"/>
  <c r="BB421"/>
  <c r="AY421"/>
  <c r="AS421"/>
  <c r="AR421"/>
  <c r="AL421"/>
  <c r="AK421"/>
  <c r="AE421"/>
  <c r="AD421"/>
  <c r="BH417"/>
  <c r="BF417"/>
  <c r="BB417"/>
  <c r="AY417"/>
  <c r="AS417"/>
  <c r="AR417"/>
  <c r="AL417"/>
  <c r="AK417"/>
  <c r="AE417"/>
  <c r="AD417"/>
  <c r="BH413"/>
  <c r="BF413"/>
  <c r="BB413"/>
  <c r="AY413"/>
  <c r="AS413"/>
  <c r="AR413"/>
  <c r="AL413"/>
  <c r="AK413"/>
  <c r="AE413"/>
  <c r="AD413"/>
  <c r="BH409"/>
  <c r="BF409"/>
  <c r="BB409"/>
  <c r="AY409"/>
  <c r="AS409"/>
  <c r="AR409"/>
  <c r="AL409"/>
  <c r="AK409"/>
  <c r="AE409"/>
  <c r="AD409"/>
  <c r="BH398"/>
  <c r="BF398"/>
  <c r="BB398"/>
  <c r="AY398"/>
  <c r="AS398"/>
  <c r="AR398"/>
  <c r="AL398"/>
  <c r="AK398"/>
  <c r="AE398"/>
  <c r="AD398"/>
  <c r="BH380"/>
  <c r="BF380"/>
  <c r="BB380"/>
  <c r="AY380"/>
  <c r="AS380"/>
  <c r="AR380"/>
  <c r="AL380"/>
  <c r="AK380"/>
  <c r="AE380"/>
  <c r="AD380"/>
  <c r="BH376"/>
  <c r="BF376"/>
  <c r="BB376"/>
  <c r="AY376"/>
  <c r="AS376"/>
  <c r="AR376"/>
  <c r="AL376"/>
  <c r="AK376"/>
  <c r="AE376"/>
  <c r="AD376"/>
  <c r="BH361"/>
  <c r="BF361"/>
  <c r="BB361"/>
  <c r="AY361"/>
  <c r="AS361"/>
  <c r="AR361"/>
  <c r="AL361"/>
  <c r="AK361"/>
  <c r="AE361"/>
  <c r="AD361"/>
  <c r="BH342"/>
  <c r="BF342"/>
  <c r="BB342"/>
  <c r="AY342"/>
  <c r="AS342"/>
  <c r="AR342"/>
  <c r="AL342"/>
  <c r="AK342"/>
  <c r="AE342"/>
  <c r="AD342"/>
  <c r="BH320"/>
  <c r="BF320"/>
  <c r="BB320"/>
  <c r="AY320"/>
  <c r="AS320"/>
  <c r="AR320"/>
  <c r="AL320"/>
  <c r="AK320"/>
  <c r="AE320"/>
  <c r="AD320"/>
  <c r="BH313"/>
  <c r="BF313"/>
  <c r="BB313"/>
  <c r="AY313"/>
  <c r="AS313"/>
  <c r="AR313"/>
  <c r="AL313"/>
  <c r="AK313"/>
  <c r="AE313"/>
  <c r="AD313"/>
  <c r="BH310"/>
  <c r="BF310"/>
  <c r="BB310"/>
  <c r="AY310"/>
  <c r="AS310"/>
  <c r="AR310"/>
  <c r="AL310"/>
  <c r="AK310"/>
  <c r="AE310"/>
  <c r="AD310"/>
  <c r="BH308"/>
  <c r="BF308"/>
  <c r="BB308"/>
  <c r="AY308"/>
  <c r="AS308"/>
  <c r="AR308"/>
  <c r="AL308"/>
  <c r="AK308"/>
  <c r="AE308"/>
  <c r="AD308"/>
  <c r="BH305"/>
  <c r="BF305"/>
  <c r="BB305"/>
  <c r="AY305"/>
  <c r="AS305"/>
  <c r="AR305"/>
  <c r="AL305"/>
  <c r="AK305"/>
  <c r="AE305"/>
  <c r="AD305"/>
  <c r="BH304"/>
  <c r="BF304"/>
  <c r="BB304"/>
  <c r="AY304"/>
  <c r="AS304"/>
  <c r="AR304"/>
  <c r="AL304"/>
  <c r="AK304"/>
  <c r="AE304"/>
  <c r="AD304"/>
  <c r="BH296"/>
  <c r="BF296"/>
  <c r="BB296"/>
  <c r="AY296"/>
  <c r="AS296"/>
  <c r="AR296"/>
  <c r="AL296"/>
  <c r="AK296"/>
  <c r="AE296"/>
  <c r="AD296"/>
  <c r="BH293"/>
  <c r="BF293"/>
  <c r="BB293"/>
  <c r="AY293"/>
  <c r="AS293"/>
  <c r="AR293"/>
  <c r="AL293"/>
  <c r="AK293"/>
  <c r="AE293"/>
  <c r="AD293"/>
  <c r="BH283"/>
  <c r="BF283"/>
  <c r="BB283"/>
  <c r="AY283"/>
  <c r="AS283"/>
  <c r="AR283"/>
  <c r="AL283"/>
  <c r="AK283"/>
  <c r="AE283"/>
  <c r="AD283"/>
  <c r="BH171"/>
  <c r="BF171"/>
  <c r="BB171"/>
  <c r="AY171"/>
  <c r="AS171"/>
  <c r="AR171"/>
  <c r="AL171"/>
  <c r="AK171"/>
  <c r="AE171"/>
  <c r="AD171"/>
  <c r="BH169"/>
  <c r="BF169"/>
  <c r="BB169"/>
  <c r="AY169"/>
  <c r="AS169"/>
  <c r="AR169"/>
  <c r="AL169"/>
  <c r="AK169"/>
  <c r="AE169"/>
  <c r="AD169"/>
  <c r="BH165"/>
  <c r="BF165"/>
  <c r="BB165"/>
  <c r="AY165"/>
  <c r="AS165"/>
  <c r="AR165"/>
  <c r="AL165"/>
  <c r="AK165"/>
  <c r="AE165"/>
  <c r="AD165"/>
  <c r="BH162"/>
  <c r="BF162"/>
  <c r="BB162"/>
  <c r="AY162"/>
  <c r="AS162"/>
  <c r="AR162"/>
  <c r="AL162"/>
  <c r="AK162"/>
  <c r="AE162"/>
  <c r="AD162"/>
  <c r="BH110"/>
  <c r="BF110"/>
  <c r="BB110"/>
  <c r="AY110"/>
  <c r="AS110"/>
  <c r="AR110"/>
  <c r="AL110"/>
  <c r="AK110"/>
  <c r="AE110"/>
  <c r="AD110"/>
  <c r="BH108"/>
  <c r="BF108"/>
  <c r="BB108"/>
  <c r="AY108"/>
  <c r="AS108"/>
  <c r="AR108"/>
  <c r="AL108"/>
  <c r="AK108"/>
  <c r="AE108"/>
  <c r="AD108"/>
  <c r="BH105"/>
  <c r="BF105"/>
  <c r="BB105"/>
  <c r="AY105"/>
  <c r="AS105"/>
  <c r="AR105"/>
  <c r="AL105"/>
  <c r="AK105"/>
  <c r="AE105"/>
  <c r="AD105"/>
  <c r="BH101"/>
  <c r="BF101"/>
  <c r="BB101"/>
  <c r="AY101"/>
  <c r="AS101"/>
  <c r="AR101"/>
  <c r="AL101"/>
  <c r="AK101"/>
  <c r="AE101"/>
  <c r="AD101"/>
  <c r="BH97"/>
  <c r="BF97"/>
  <c r="BB97"/>
  <c r="AY97"/>
  <c r="AS97"/>
  <c r="AR97"/>
  <c r="AL97"/>
  <c r="AK97"/>
  <c r="AE97"/>
  <c r="AD97"/>
  <c r="BH37"/>
  <c r="BF37"/>
  <c r="BB37"/>
  <c r="AY37"/>
  <c r="AS37"/>
  <c r="AR37"/>
  <c r="AL37"/>
  <c r="AK37"/>
  <c r="AE37"/>
  <c r="AD37"/>
  <c r="BH35"/>
  <c r="BF35"/>
  <c r="BB35"/>
  <c r="AY35"/>
  <c r="AS35"/>
  <c r="AR35"/>
  <c r="AE35"/>
  <c r="AD35"/>
  <c r="BH32"/>
  <c r="BF32"/>
  <c r="BB32"/>
  <c r="AY32"/>
  <c r="AS32"/>
  <c r="AR32"/>
  <c r="AE32"/>
  <c r="AD32"/>
  <c r="BH28"/>
  <c r="BF28"/>
  <c r="BB28"/>
  <c r="AY28"/>
  <c r="AS28"/>
  <c r="AR28"/>
  <c r="AE28"/>
  <c r="AD28"/>
  <c r="BH24"/>
  <c r="BF24"/>
  <c r="BB24"/>
  <c r="AY24"/>
  <c r="AS24"/>
  <c r="AR24"/>
  <c r="AE24"/>
  <c r="AD24"/>
  <c r="W1"/>
</calcChain>
</file>

<file path=xl/sharedStrings.xml><?xml version="1.0" encoding="utf-8"?>
<sst xmlns="http://schemas.openxmlformats.org/spreadsheetml/2006/main" count="16976" uniqueCount="3221">
  <si>
    <t>Seq size</t>
  </si>
  <si>
    <t>*</t>
  </si>
  <si>
    <t>DP's</t>
  </si>
  <si>
    <t xml:space="preserve"> AGAP009974 </t>
  </si>
  <si>
    <t xml:space="preserve">  </t>
  </si>
  <si>
    <t>ATG</t>
  </si>
  <si>
    <t xml:space="preserve"> ACOM029386 </t>
  </si>
  <si>
    <t xml:space="preserve"> to_be_corrected </t>
  </si>
  <si>
    <t xml:space="preserve"> AARA003801 </t>
  </si>
  <si>
    <t xml:space="preserve"> AQUA009087 </t>
  </si>
  <si>
    <t xml:space="preserve"> AMEM017930 </t>
  </si>
  <si>
    <t xml:space="preserve"> AMEC010268 </t>
  </si>
  <si>
    <t xml:space="preserve"> ACHR008324 </t>
  </si>
  <si>
    <t xml:space="preserve"> AEPI004621 </t>
  </si>
  <si>
    <t xml:space="preserve"> AFUN010733 </t>
  </si>
  <si>
    <t xml:space="preserve"> AMIN006751 </t>
  </si>
  <si>
    <t xml:space="preserve"> ACUA010790 </t>
  </si>
  <si>
    <t xml:space="preserve"> ASTE004273 </t>
  </si>
  <si>
    <t xml:space="preserve"> AMAM018273 </t>
  </si>
  <si>
    <t xml:space="preserve"> AFAF008536 </t>
  </si>
  <si>
    <t xml:space="preserve"> ADIR009422 </t>
  </si>
  <si>
    <t xml:space="preserve"> AATE019098 </t>
  </si>
  <si>
    <t xml:space="preserve"> ASIS009633 </t>
  </si>
  <si>
    <t xml:space="preserve"> AALB000058 </t>
  </si>
  <si>
    <t xml:space="preserve"> ADAC001757 </t>
  </si>
  <si>
    <t xml:space="preserve"> AGAP005822 </t>
  </si>
  <si>
    <t xml:space="preserve"> AARA007686 </t>
  </si>
  <si>
    <t xml:space="preserve"> AQUA011055 </t>
  </si>
  <si>
    <t xml:space="preserve"> AMEM018002 </t>
  </si>
  <si>
    <t xml:space="preserve"> AMEC005302 </t>
  </si>
  <si>
    <t xml:space="preserve"> ACHR005317 </t>
  </si>
  <si>
    <t xml:space="preserve"> AEPI006718 </t>
  </si>
  <si>
    <t xml:space="preserve"> AFUN000965 </t>
  </si>
  <si>
    <t xml:space="preserve"> AMIN011164 </t>
  </si>
  <si>
    <t xml:space="preserve"> ACUA027649 </t>
  </si>
  <si>
    <t xml:space="preserve"> ASTE007423 </t>
  </si>
  <si>
    <t xml:space="preserve"> ADIR007794 </t>
  </si>
  <si>
    <t xml:space="preserve"> AATE019916 </t>
  </si>
  <si>
    <t xml:space="preserve"> ASIS012753 </t>
  </si>
  <si>
    <t xml:space="preserve"> AALB005741 </t>
  </si>
  <si>
    <t xml:space="preserve"> AGAP006421 </t>
  </si>
  <si>
    <t xml:space="preserve"> ACOM039767 </t>
  </si>
  <si>
    <t xml:space="preserve"> AARA008299 </t>
  </si>
  <si>
    <t xml:space="preserve"> AQUA006260 </t>
  </si>
  <si>
    <t xml:space="preserve"> AMEM017124 </t>
  </si>
  <si>
    <t xml:space="preserve"> AMEC012577 </t>
  </si>
  <si>
    <t xml:space="preserve"> ACHR009568 </t>
  </si>
  <si>
    <t xml:space="preserve"> AEPI005724 </t>
  </si>
  <si>
    <t xml:space="preserve"> AFUN007481 </t>
  </si>
  <si>
    <t xml:space="preserve"> AMIN007945 </t>
  </si>
  <si>
    <t xml:space="preserve"> ACUA004641 </t>
  </si>
  <si>
    <t xml:space="preserve"> ASTE001082 </t>
  </si>
  <si>
    <t xml:space="preserve"> AMAM004433 </t>
  </si>
  <si>
    <t xml:space="preserve"> AFAF021038 </t>
  </si>
  <si>
    <t xml:space="preserve"> ADIR007691 </t>
  </si>
  <si>
    <t xml:space="preserve"> ASIS013026 </t>
  </si>
  <si>
    <t xml:space="preserve"> AALB005083 </t>
  </si>
  <si>
    <t xml:space="preserve"> ADAC003516 </t>
  </si>
  <si>
    <t xml:space="preserve"> AGAP006419 </t>
  </si>
  <si>
    <t xml:space="preserve"> ACOM039768 </t>
  </si>
  <si>
    <t xml:space="preserve"> AMEM007398 </t>
  </si>
  <si>
    <t xml:space="preserve"> AEPI005725 </t>
  </si>
  <si>
    <t xml:space="preserve"> ASIS011197 </t>
  </si>
  <si>
    <t xml:space="preserve"> ADAC003517 </t>
  </si>
  <si>
    <t xml:space="preserve"> AGAP003354 </t>
  </si>
  <si>
    <t xml:space="preserve"> ACOM028249 </t>
  </si>
  <si>
    <t xml:space="preserve"> AARA015775 </t>
  </si>
  <si>
    <t xml:space="preserve"> AQUA010315 </t>
  </si>
  <si>
    <t xml:space="preserve"> AMEM008216 </t>
  </si>
  <si>
    <t xml:space="preserve"> AMEC019365 </t>
  </si>
  <si>
    <t xml:space="preserve"> AEPI011018 </t>
  </si>
  <si>
    <t xml:space="preserve"> AFUN004172 </t>
  </si>
  <si>
    <t xml:space="preserve"> AMIN003044 </t>
  </si>
  <si>
    <t xml:space="preserve"> ACUA025302 </t>
  </si>
  <si>
    <t xml:space="preserve"> AFAF001108 </t>
  </si>
  <si>
    <t xml:space="preserve"> ADIR010711 </t>
  </si>
  <si>
    <t xml:space="preserve"> AATE010641 </t>
  </si>
  <si>
    <t xml:space="preserve"> ASIS014590 </t>
  </si>
  <si>
    <t xml:space="preserve"> AALB002581 </t>
  </si>
  <si>
    <t xml:space="preserve"> ADAC006142 </t>
  </si>
  <si>
    <t xml:space="preserve"> AGAP006420 </t>
  </si>
  <si>
    <t xml:space="preserve"> ACOM039766 </t>
  </si>
  <si>
    <t xml:space="preserve"> AMEM000805 </t>
  </si>
  <si>
    <t xml:space="preserve"> ACUA016170 </t>
  </si>
  <si>
    <t xml:space="preserve"> AFAF001464 </t>
  </si>
  <si>
    <t xml:space="preserve"> ASIS005129 </t>
  </si>
  <si>
    <t xml:space="preserve"> AGAP006418 </t>
  </si>
  <si>
    <t xml:space="preserve"> AMEM017902 </t>
  </si>
  <si>
    <t xml:space="preserve"> AMEC020481 </t>
  </si>
  <si>
    <t xml:space="preserve"> AFAF006174 </t>
  </si>
  <si>
    <t xml:space="preserve"> ASIS001015 </t>
  </si>
  <si>
    <t xml:space="preserve"> ADAC003518 </t>
  </si>
  <si>
    <t xml:space="preserve"> AGAP013192 </t>
  </si>
  <si>
    <t xml:space="preserve"> ACOM028250 </t>
  </si>
  <si>
    <t xml:space="preserve"> AARA015774 </t>
  </si>
  <si>
    <t xml:space="preserve"> AMEM000557 </t>
  </si>
  <si>
    <t xml:space="preserve"> AMEC015417 </t>
  </si>
  <si>
    <t xml:space="preserve"> AEPI011019 </t>
  </si>
  <si>
    <t xml:space="preserve"> AFAF019076 </t>
  </si>
  <si>
    <t xml:space="preserve"> AGAP011971 </t>
  </si>
  <si>
    <t xml:space="preserve"> ACOM032249 </t>
  </si>
  <si>
    <t xml:space="preserve"> AARA000759 </t>
  </si>
  <si>
    <t xml:space="preserve"> AQUA010060 </t>
  </si>
  <si>
    <t xml:space="preserve"> AMEM008494 </t>
  </si>
  <si>
    <t xml:space="preserve"> AMEC016732 </t>
  </si>
  <si>
    <t xml:space="preserve"> ACHR000919 </t>
  </si>
  <si>
    <t xml:space="preserve"> AEPI000215 </t>
  </si>
  <si>
    <t xml:space="preserve"> AFUN006729 </t>
  </si>
  <si>
    <t xml:space="preserve"> AMIN004390 </t>
  </si>
  <si>
    <t xml:space="preserve"> ACUA012978 </t>
  </si>
  <si>
    <t xml:space="preserve"> ASTE008470 </t>
  </si>
  <si>
    <t xml:space="preserve"> ADIR001999 </t>
  </si>
  <si>
    <t xml:space="preserve"> AATE008433 </t>
  </si>
  <si>
    <t xml:space="preserve"> AALB009940 </t>
  </si>
  <si>
    <t xml:space="preserve"> ADAC004611 </t>
  </si>
  <si>
    <t xml:space="preserve"> AGAP011026 </t>
  </si>
  <si>
    <t xml:space="preserve"> ACOM022921 </t>
  </si>
  <si>
    <t xml:space="preserve"> AARA005456 </t>
  </si>
  <si>
    <t xml:space="preserve"> AQUA001199 </t>
  </si>
  <si>
    <t xml:space="preserve"> AMEM004850 </t>
  </si>
  <si>
    <t xml:space="preserve"> AMEC019957 </t>
  </si>
  <si>
    <t xml:space="preserve"> ACHR002755 </t>
  </si>
  <si>
    <t xml:space="preserve"> AEPI005349 </t>
  </si>
  <si>
    <t xml:space="preserve"> AFUN006704 </t>
  </si>
  <si>
    <t xml:space="preserve"> AMIN004362 </t>
  </si>
  <si>
    <t xml:space="preserve"> ACUA002898 </t>
  </si>
  <si>
    <t xml:space="preserve"> ASTE008450 </t>
  </si>
  <si>
    <t xml:space="preserve"> AFAF008432 </t>
  </si>
  <si>
    <t xml:space="preserve"> </t>
  </si>
  <si>
    <t xml:space="preserve"> ADIR002021 </t>
  </si>
  <si>
    <t xml:space="preserve"> AATE015296 </t>
  </si>
  <si>
    <t xml:space="preserve"> ASIS007148 </t>
  </si>
  <si>
    <t xml:space="preserve"> AALB009922 </t>
  </si>
  <si>
    <t xml:space="preserve"> ADAC007226 </t>
  </si>
  <si>
    <t xml:space="preserve"> AGAP008004 </t>
  </si>
  <si>
    <t xml:space="preserve"> ACOM030673 </t>
  </si>
  <si>
    <t xml:space="preserve"> AARA005120 </t>
  </si>
  <si>
    <t xml:space="preserve"> AQUA000660 </t>
  </si>
  <si>
    <t xml:space="preserve"> AMEM012461 </t>
  </si>
  <si>
    <t xml:space="preserve"> AFUN004964 </t>
  </si>
  <si>
    <t xml:space="preserve"> AMIN006263 </t>
  </si>
  <si>
    <t xml:space="preserve"> ACUA026308 </t>
  </si>
  <si>
    <t xml:space="preserve"> ASTE006313 </t>
  </si>
  <si>
    <t xml:space="preserve"> ADIR011024 </t>
  </si>
  <si>
    <t xml:space="preserve"> ASIS010361 </t>
  </si>
  <si>
    <t xml:space="preserve"> AALB014019 </t>
  </si>
  <si>
    <t xml:space="preserve"> GI:208657572 </t>
  </si>
  <si>
    <t xml:space="preserve"> AGAP008284 </t>
  </si>
  <si>
    <t xml:space="preserve"> ACOM030195 </t>
  </si>
  <si>
    <t xml:space="preserve"> AARA011279 </t>
  </si>
  <si>
    <t xml:space="preserve"> AQUA010607 </t>
  </si>
  <si>
    <t xml:space="preserve"> AMEM004777 </t>
  </si>
  <si>
    <t xml:space="preserve"> AMEC015049 </t>
  </si>
  <si>
    <t xml:space="preserve"> AEPI004706 </t>
  </si>
  <si>
    <t xml:space="preserve"> AFUN007415 </t>
  </si>
  <si>
    <t xml:space="preserve"> AMIN006009 </t>
  </si>
  <si>
    <t xml:space="preserve"> ASTE008616 </t>
  </si>
  <si>
    <t xml:space="preserve"> AFAF000074 </t>
  </si>
  <si>
    <t xml:space="preserve"> AFAF019923 </t>
  </si>
  <si>
    <t xml:space="preserve"> ADIR000604 </t>
  </si>
  <si>
    <t xml:space="preserve"> AATE005138 </t>
  </si>
  <si>
    <t xml:space="preserve"> ASIS015632 </t>
  </si>
  <si>
    <t xml:space="preserve"> AGAP008282 </t>
  </si>
  <si>
    <t xml:space="preserve"> ACOM030196 </t>
  </si>
  <si>
    <t xml:space="preserve"> AMEM009601 </t>
  </si>
  <si>
    <t xml:space="preserve"> AMEC007834 </t>
  </si>
  <si>
    <t xml:space="preserve"> ACUA022599 </t>
  </si>
  <si>
    <t xml:space="preserve"> AATE019249 </t>
  </si>
  <si>
    <t xml:space="preserve"> AALB001306 </t>
  </si>
  <si>
    <t xml:space="preserve"> ADAC010085 </t>
  </si>
  <si>
    <t xml:space="preserve"> AGAP008283 </t>
  </si>
  <si>
    <t xml:space="preserve"> ACOM030198 </t>
  </si>
  <si>
    <t xml:space="preserve"> AMEM012547 </t>
  </si>
  <si>
    <t xml:space="preserve"> ASIS003042 </t>
  </si>
  <si>
    <t xml:space="preserve"> AGAP008281 </t>
  </si>
  <si>
    <t xml:space="preserve"> ACOM030199 </t>
  </si>
  <si>
    <t xml:space="preserve"> AMEM012916 </t>
  </si>
  <si>
    <t xml:space="preserve"> ACHR009978 </t>
  </si>
  <si>
    <t xml:space="preserve"> ACUA001093 </t>
  </si>
  <si>
    <t xml:space="preserve"> AFAF019494 </t>
  </si>
  <si>
    <t xml:space="preserve"> AGAP008280 </t>
  </si>
  <si>
    <t xml:space="preserve"> AMEM009711 </t>
  </si>
  <si>
    <t xml:space="preserve"> AMAM012607 </t>
  </si>
  <si>
    <t xml:space="preserve"> AFAF004698 </t>
  </si>
  <si>
    <t xml:space="preserve"> AATE017505 </t>
  </si>
  <si>
    <t xml:space="preserve"> ADAC010087 </t>
  </si>
  <si>
    <t xml:space="preserve"> AGAP008278 </t>
  </si>
  <si>
    <t xml:space="preserve"> ACOM030202 </t>
  </si>
  <si>
    <t xml:space="preserve"> AARA011281 </t>
  </si>
  <si>
    <t xml:space="preserve"> AQUA010605 </t>
  </si>
  <si>
    <t xml:space="preserve"> AMEM010580 </t>
  </si>
  <si>
    <t xml:space="preserve"> AEPI004705 </t>
  </si>
  <si>
    <t xml:space="preserve"> ASTE008614 </t>
  </si>
  <si>
    <t xml:space="preserve"> AATE004070 </t>
  </si>
  <si>
    <t xml:space="preserve"> ASIS003637 </t>
  </si>
  <si>
    <t xml:space="preserve"> AGAP008279 </t>
  </si>
  <si>
    <t xml:space="preserve"> ACOM024401 </t>
  </si>
  <si>
    <t xml:space="preserve"> AMEM006210 </t>
  </si>
  <si>
    <t xml:space="preserve"> AMEC000311 </t>
  </si>
  <si>
    <t xml:space="preserve"> AMIN006011 </t>
  </si>
  <si>
    <t xml:space="preserve"> ACUA018525 </t>
  </si>
  <si>
    <t xml:space="preserve"> AFAF020231 </t>
  </si>
  <si>
    <t xml:space="preserve"> ADIR000603 </t>
  </si>
  <si>
    <t xml:space="preserve"> AATE003612 </t>
  </si>
  <si>
    <t xml:space="preserve"> ASIS017507 </t>
  </si>
  <si>
    <t xml:space="preserve"> AALB001305 </t>
  </si>
  <si>
    <t xml:space="preserve"> ADAC010080 </t>
  </si>
  <si>
    <t xml:space="preserve"> AGAP028120 </t>
  </si>
  <si>
    <t xml:space="preserve"> ACOM030203 </t>
  </si>
  <si>
    <t xml:space="preserve"> AARA011280 </t>
  </si>
  <si>
    <t xml:space="preserve"> AQUA010606 </t>
  </si>
  <si>
    <t xml:space="preserve"> AMEM010013 </t>
  </si>
  <si>
    <t xml:space="preserve"> AMEC006220 </t>
  </si>
  <si>
    <t xml:space="preserve"> AFUN007416 </t>
  </si>
  <si>
    <t xml:space="preserve"> AMIN006010 </t>
  </si>
  <si>
    <t xml:space="preserve"> ACUA008578 </t>
  </si>
  <si>
    <t xml:space="preserve"> ASTE014974 </t>
  </si>
  <si>
    <t xml:space="preserve"> AFAF004343 </t>
  </si>
  <si>
    <t xml:space="preserve"> ADIR014049 </t>
  </si>
  <si>
    <t xml:space="preserve"> AATE011300 </t>
  </si>
  <si>
    <t xml:space="preserve"> ASIS010119 </t>
  </si>
  <si>
    <t xml:space="preserve"> AALB014151 </t>
  </si>
  <si>
    <t xml:space="preserve"> ADAC010075 </t>
  </si>
  <si>
    <t xml:space="preserve"> AGAP011970 </t>
  </si>
  <si>
    <t xml:space="preserve"> ACOM032251 </t>
  </si>
  <si>
    <t xml:space="preserve"> AARA000758 </t>
  </si>
  <si>
    <t xml:space="preserve"> AQUA010061 </t>
  </si>
  <si>
    <t xml:space="preserve"> AMEM010232 </t>
  </si>
  <si>
    <t xml:space="preserve"> AMEC008013 </t>
  </si>
  <si>
    <t xml:space="preserve"> ACHR000918 </t>
  </si>
  <si>
    <t xml:space="preserve"> AEPI000214 </t>
  </si>
  <si>
    <t xml:space="preserve"> AFUN006728 </t>
  </si>
  <si>
    <t xml:space="preserve"> AMIN004389 </t>
  </si>
  <si>
    <t xml:space="preserve"> ACUA004043 </t>
  </si>
  <si>
    <t xml:space="preserve"> ASTE008469 </t>
  </si>
  <si>
    <t xml:space="preserve"> AFAF007943 </t>
  </si>
  <si>
    <t xml:space="preserve"> ADIR002000 </t>
  </si>
  <si>
    <t xml:space="preserve"> AATE002302 </t>
  </si>
  <si>
    <t xml:space="preserve"> ASIS018211 </t>
  </si>
  <si>
    <t xml:space="preserve"> AALB009939 </t>
  </si>
  <si>
    <t xml:space="preserve"> AGAP003473 </t>
  </si>
  <si>
    <t xml:space="preserve"> AARA001547 </t>
  </si>
  <si>
    <t xml:space="preserve"> AQUA010205 </t>
  </si>
  <si>
    <t xml:space="preserve"> AGAP003474 </t>
  </si>
  <si>
    <t xml:space="preserve"> AARA014154 </t>
  </si>
  <si>
    <t xml:space="preserve"> AQUA015135 </t>
  </si>
  <si>
    <t xml:space="preserve"> AGAP006495 </t>
  </si>
  <si>
    <t xml:space="preserve"> ACHR001623 </t>
  </si>
  <si>
    <t xml:space="preserve"> AMIN007878 </t>
  </si>
  <si>
    <t xml:space="preserve"> ACUA014083 </t>
  </si>
  <si>
    <t xml:space="preserve"> ASTE005093 </t>
  </si>
  <si>
    <t xml:space="preserve"> ADIR007626 </t>
  </si>
  <si>
    <t xml:space="preserve"> AGAP006494 </t>
  </si>
  <si>
    <t xml:space="preserve"> AQUA006326 </t>
  </si>
  <si>
    <t xml:space="preserve"> ACHR001622 </t>
  </si>
  <si>
    <t xml:space="preserve"> AEPI000177 </t>
  </si>
  <si>
    <t xml:space="preserve"> AMAM004018 </t>
  </si>
  <si>
    <t xml:space="preserve"> ADIR007627 </t>
  </si>
  <si>
    <t xml:space="preserve"> AATE002472 </t>
  </si>
  <si>
    <t xml:space="preserve"> AALB005634 </t>
  </si>
  <si>
    <t xml:space="preserve"> AGAP008307 </t>
  </si>
  <si>
    <t xml:space="preserve"> AARA011261 </t>
  </si>
  <si>
    <t xml:space="preserve"> AQUA010628 </t>
  </si>
  <si>
    <t xml:space="preserve"> ACHR000532 </t>
  </si>
  <si>
    <t xml:space="preserve"> AEPI004057 </t>
  </si>
  <si>
    <t xml:space="preserve"> to_be corrected </t>
  </si>
  <si>
    <t xml:space="preserve"> AFUN007399 </t>
  </si>
  <si>
    <t xml:space="preserve"> AMIN005994 </t>
  </si>
  <si>
    <t xml:space="preserve"> ACUA005170 </t>
  </si>
  <si>
    <t xml:space="preserve"> ASTE008633 </t>
  </si>
  <si>
    <t xml:space="preserve"> AFAF013005 </t>
  </si>
  <si>
    <t xml:space="preserve"> ADIR011066 </t>
  </si>
  <si>
    <t xml:space="preserve"> AGAP008306 </t>
  </si>
  <si>
    <t xml:space="preserve"> ACOM030178 </t>
  </si>
  <si>
    <t xml:space="preserve"> AARA011262 </t>
  </si>
  <si>
    <t xml:space="preserve"> AQUA010627 </t>
  </si>
  <si>
    <t xml:space="preserve"> AMEM015828 </t>
  </si>
  <si>
    <t xml:space="preserve"> ACHR000533 </t>
  </si>
  <si>
    <t xml:space="preserve"> AFUN007400 </t>
  </si>
  <si>
    <t xml:space="preserve"> AGAP000152 </t>
  </si>
  <si>
    <t xml:space="preserve"> ACOM040123 </t>
  </si>
  <si>
    <t xml:space="preserve"> AARA001015 </t>
  </si>
  <si>
    <t xml:space="preserve"> AQUA002525 </t>
  </si>
  <si>
    <t xml:space="preserve"> AMEM002793 </t>
  </si>
  <si>
    <t xml:space="preserve"> AFUN003884 </t>
  </si>
  <si>
    <t xml:space="preserve"> AMIN005446 </t>
  </si>
  <si>
    <t xml:space="preserve"> ASTE000265 </t>
  </si>
  <si>
    <t xml:space="preserve"> ADIR000827 </t>
  </si>
  <si>
    <t xml:space="preserve"> AATE010554 </t>
  </si>
  <si>
    <t xml:space="preserve"> ASIS008632 </t>
  </si>
  <si>
    <t xml:space="preserve"> AALB006647 </t>
  </si>
  <si>
    <t xml:space="preserve"> ADAC003913 </t>
  </si>
  <si>
    <t xml:space="preserve"> AGAP000151 </t>
  </si>
  <si>
    <t xml:space="preserve"> ACOM040122 </t>
  </si>
  <si>
    <t xml:space="preserve"> AARA001016 </t>
  </si>
  <si>
    <t xml:space="preserve"> AQUA002524 </t>
  </si>
  <si>
    <t xml:space="preserve"> AMEM001932 </t>
  </si>
  <si>
    <t xml:space="preserve"> AGAP001988 </t>
  </si>
  <si>
    <t xml:space="preserve"> ACOM023547 </t>
  </si>
  <si>
    <t xml:space="preserve"> AARA006955 </t>
  </si>
  <si>
    <t xml:space="preserve"> AQUA007131 </t>
  </si>
  <si>
    <t xml:space="preserve"> AMEM018447 </t>
  </si>
  <si>
    <t xml:space="preserve"> AEPI007453 </t>
  </si>
  <si>
    <t xml:space="preserve"> AFUN008280 </t>
  </si>
  <si>
    <t xml:space="preserve"> AMIN003299 </t>
  </si>
  <si>
    <t xml:space="preserve"> ACUA017424 </t>
  </si>
  <si>
    <t xml:space="preserve"> ASTE002796 </t>
  </si>
  <si>
    <t xml:space="preserve"> AMAM019210 </t>
  </si>
  <si>
    <t xml:space="preserve"> AFAF007373 </t>
  </si>
  <si>
    <t xml:space="preserve"> ADIR010517 </t>
  </si>
  <si>
    <t xml:space="preserve"> AATE004909 </t>
  </si>
  <si>
    <t xml:space="preserve"> ASIS019331 </t>
  </si>
  <si>
    <t xml:space="preserve"> AALB002192 </t>
  </si>
  <si>
    <t xml:space="preserve"> ADAC004853 </t>
  </si>
  <si>
    <t xml:space="preserve"> AGAP001989 </t>
  </si>
  <si>
    <t xml:space="preserve"> ACOM023546 </t>
  </si>
  <si>
    <t xml:space="preserve"> AEPI007454 </t>
  </si>
  <si>
    <t xml:space="preserve"> AFAF001632 </t>
  </si>
  <si>
    <t xml:space="preserve"> AGAP006371 </t>
  </si>
  <si>
    <t xml:space="preserve"> ACOM039848 </t>
  </si>
  <si>
    <t xml:space="preserve"> AARA000880 </t>
  </si>
  <si>
    <t xml:space="preserve"> AQUA000932! </t>
  </si>
  <si>
    <t xml:space="preserve"> AMEM001625 </t>
  </si>
  <si>
    <t xml:space="preserve"> AMEC014899 </t>
  </si>
  <si>
    <t xml:space="preserve"> ACHR003565 </t>
  </si>
  <si>
    <t xml:space="preserve"> AFUN005946 </t>
  </si>
  <si>
    <t xml:space="preserve"> AMIN007997 </t>
  </si>
  <si>
    <t xml:space="preserve"> ACUA007778 </t>
  </si>
  <si>
    <t xml:space="preserve"> ASTE000796 </t>
  </si>
  <si>
    <t xml:space="preserve"> AFAF005820 </t>
  </si>
  <si>
    <t xml:space="preserve"> ADIR007445 </t>
  </si>
  <si>
    <t xml:space="preserve"> AATE013253 </t>
  </si>
  <si>
    <t xml:space="preserve"> ASIS008538 </t>
  </si>
  <si>
    <t xml:space="preserve"> AALB005920 </t>
  </si>
  <si>
    <t xml:space="preserve"> ADAC003304 </t>
  </si>
  <si>
    <t xml:space="preserve"> AGAP002102 </t>
  </si>
  <si>
    <t xml:space="preserve"> ACOM042226 </t>
  </si>
  <si>
    <t xml:space="preserve"> AARA006843 </t>
  </si>
  <si>
    <t xml:space="preserve"> AQUA008930 </t>
  </si>
  <si>
    <t xml:space="preserve"> AMEM003587 </t>
  </si>
  <si>
    <t xml:space="preserve"> AEPI006283 </t>
  </si>
  <si>
    <t xml:space="preserve"> AFUN009470 </t>
  </si>
  <si>
    <t xml:space="preserve"> AMIN000636 </t>
  </si>
  <si>
    <t xml:space="preserve"> ACUA002457 </t>
  </si>
  <si>
    <t xml:space="preserve"> ASTE004235 </t>
  </si>
  <si>
    <t xml:space="preserve"> AFAF005346 </t>
  </si>
  <si>
    <t xml:space="preserve"> ADIR003184 </t>
  </si>
  <si>
    <t xml:space="preserve"> AATE018919 </t>
  </si>
  <si>
    <t xml:space="preserve"> ASIS015385 </t>
  </si>
  <si>
    <t xml:space="preserve"> AALB015728 </t>
  </si>
  <si>
    <t xml:space="preserve"> ADAC007180 </t>
  </si>
  <si>
    <t xml:space="preserve"> AGAP010735 </t>
  </si>
  <si>
    <t xml:space="preserve"> AARA008970 </t>
  </si>
  <si>
    <t xml:space="preserve"> AQUA002357 </t>
  </si>
  <si>
    <t xml:space="preserve"> AMEM003858 </t>
  </si>
  <si>
    <t xml:space="preserve"> AMEC003752 </t>
  </si>
  <si>
    <t xml:space="preserve"> AEPI000705 </t>
  </si>
  <si>
    <t xml:space="preserve"> AFUN006947 </t>
  </si>
  <si>
    <t xml:space="preserve"> AMIN009228 </t>
  </si>
  <si>
    <t xml:space="preserve"> ACUA003065 </t>
  </si>
  <si>
    <t xml:space="preserve"> ASTE009399 </t>
  </si>
  <si>
    <t xml:space="preserve"> AFAF007386 </t>
  </si>
  <si>
    <t xml:space="preserve"> ADIR005268 </t>
  </si>
  <si>
    <t xml:space="preserve"> AATE019233 </t>
  </si>
  <si>
    <t xml:space="preserve"> ASIS004536 </t>
  </si>
  <si>
    <t xml:space="preserve"> AALB009827 </t>
  </si>
  <si>
    <t xml:space="preserve"> ADAC002186 </t>
  </si>
  <si>
    <t xml:space="preserve"> ADAC002185 </t>
  </si>
  <si>
    <t xml:space="preserve"> AGAP011912 </t>
  </si>
  <si>
    <t xml:space="preserve"> ACOM032155 </t>
  </si>
  <si>
    <t xml:space="preserve"> AARA000708 </t>
  </si>
  <si>
    <t xml:space="preserve"> AQUA010114 </t>
  </si>
  <si>
    <t xml:space="preserve"> AMEM011769 </t>
  </si>
  <si>
    <t xml:space="preserve"> AMEC004662 </t>
  </si>
  <si>
    <t xml:space="preserve"> ACHR006023 </t>
  </si>
  <si>
    <t xml:space="preserve"> AEPI008705 </t>
  </si>
  <si>
    <t xml:space="preserve"> AFUN010292 </t>
  </si>
  <si>
    <t xml:space="preserve"> AMIN008592 </t>
  </si>
  <si>
    <t xml:space="preserve"> ACUA020205 </t>
  </si>
  <si>
    <t xml:space="preserve"> ASTE007347 </t>
  </si>
  <si>
    <t xml:space="preserve"> AMAM007764 </t>
  </si>
  <si>
    <t xml:space="preserve"> AFAF011946 </t>
  </si>
  <si>
    <t xml:space="preserve"> ADIR001957 </t>
  </si>
  <si>
    <t xml:space="preserve"> AATE015923 </t>
  </si>
  <si>
    <t xml:space="preserve"> ASIS007156 </t>
  </si>
  <si>
    <t xml:space="preserve"> AALB003742 </t>
  </si>
  <si>
    <t xml:space="preserve"> ADAC000414 </t>
  </si>
  <si>
    <t xml:space="preserve"> AGAP011914 </t>
  </si>
  <si>
    <t xml:space="preserve"> ACOM032153 </t>
  </si>
  <si>
    <t xml:space="preserve"> AARA000709 </t>
  </si>
  <si>
    <t xml:space="preserve"> AQUA010113 </t>
  </si>
  <si>
    <t xml:space="preserve"> AGAP011913 </t>
  </si>
  <si>
    <t xml:space="preserve"> ACOM032152 </t>
  </si>
  <si>
    <t xml:space="preserve"> ACHR006022 </t>
  </si>
  <si>
    <t xml:space="preserve"> AEPI008706 </t>
  </si>
  <si>
    <t xml:space="preserve"> AFUN010291 </t>
  </si>
  <si>
    <t xml:space="preserve"> AMIN008593 </t>
  </si>
  <si>
    <t xml:space="preserve"> ACUA007102 </t>
  </si>
  <si>
    <t xml:space="preserve"> ASTE007348 </t>
  </si>
  <si>
    <t xml:space="preserve"> AFAF000509 </t>
  </si>
  <si>
    <t xml:space="preserve"> ADIR001956 </t>
  </si>
  <si>
    <t xml:space="preserve"> AATE000387 </t>
  </si>
  <si>
    <t xml:space="preserve"> ASIS003246 </t>
  </si>
  <si>
    <t xml:space="preserve"> AALB003743 </t>
  </si>
  <si>
    <t xml:space="preserve"> ACOM035823 </t>
  </si>
  <si>
    <t xml:space="preserve"> AARA001380 </t>
  </si>
  <si>
    <t xml:space="preserve"> AQUA003812 </t>
  </si>
  <si>
    <t xml:space="preserve"> AMEM007207 </t>
  </si>
  <si>
    <t xml:space="preserve"> ACHR003156 </t>
  </si>
  <si>
    <t xml:space="preserve"> AEPI006898 </t>
  </si>
  <si>
    <t xml:space="preserve"> AFUN005848 </t>
  </si>
  <si>
    <t xml:space="preserve"> AMIN000343 </t>
  </si>
  <si>
    <t xml:space="preserve"> ACUA002290 </t>
  </si>
  <si>
    <t xml:space="preserve"> ASTE007428 </t>
  </si>
  <si>
    <t xml:space="preserve"> AFAF003068 </t>
  </si>
  <si>
    <t xml:space="preserve"> AATE017341 </t>
  </si>
  <si>
    <t xml:space="preserve"> AALB006325 </t>
  </si>
  <si>
    <t xml:space="preserve"> ADAC004451 </t>
  </si>
  <si>
    <t xml:space="preserve"> AGAP000612 </t>
  </si>
  <si>
    <t xml:space="preserve"> ACOM036307 </t>
  </si>
  <si>
    <t xml:space="preserve"> AARA010441 </t>
  </si>
  <si>
    <t xml:space="preserve"> AQUA001766 </t>
  </si>
  <si>
    <t xml:space="preserve"> AMEM001646 </t>
  </si>
  <si>
    <t xml:space="preserve"> AMEC011338 </t>
  </si>
  <si>
    <t xml:space="preserve"> ACHR000556 </t>
  </si>
  <si>
    <t xml:space="preserve"> AEPI010122 </t>
  </si>
  <si>
    <t xml:space="preserve"> AFUN000975 </t>
  </si>
  <si>
    <t xml:space="preserve"> AMIN005212 </t>
  </si>
  <si>
    <t xml:space="preserve"> ACUA025282 </t>
  </si>
  <si>
    <t xml:space="preserve"> ASTE006147 </t>
  </si>
  <si>
    <t xml:space="preserve"> AMAM000239 </t>
  </si>
  <si>
    <t xml:space="preserve"> AFAF011466 </t>
  </si>
  <si>
    <t xml:space="preserve"> ADIR000837 </t>
  </si>
  <si>
    <t xml:space="preserve"> AATE009065 </t>
  </si>
  <si>
    <t xml:space="preserve"> ASIS007113 </t>
  </si>
  <si>
    <t xml:space="preserve"> AGAP000611 </t>
  </si>
  <si>
    <t xml:space="preserve"> AMEM009376 </t>
  </si>
  <si>
    <t xml:space="preserve"> AMEC001365 </t>
  </si>
  <si>
    <t xml:space="preserve"> AFUN000976 </t>
  </si>
  <si>
    <t xml:space="preserve"> AMAM020016 </t>
  </si>
  <si>
    <t xml:space="preserve"> AFAF017561 </t>
  </si>
  <si>
    <t xml:space="preserve"> AGAP000610 </t>
  </si>
  <si>
    <t xml:space="preserve"> ACOM036306 </t>
  </si>
  <si>
    <t xml:space="preserve"> to_be_corrected_seq_error_ATA_for_ATG </t>
  </si>
  <si>
    <t xml:space="preserve"> AMEM018376 </t>
  </si>
  <si>
    <t xml:space="preserve"> AMEC009308_AMEC013632 </t>
  </si>
  <si>
    <t xml:space="preserve"> to_be_corrected_annotated_twice </t>
  </si>
  <si>
    <t xml:space="preserve"> AFUN000977 </t>
  </si>
  <si>
    <t xml:space="preserve"> AMAM011139 </t>
  </si>
  <si>
    <t xml:space="preserve"> ADIR000836 </t>
  </si>
  <si>
    <t xml:space="preserve"> AATE006576 </t>
  </si>
  <si>
    <t xml:space="preserve"> AALB006536 </t>
  </si>
  <si>
    <t xml:space="preserve"> AGAP000609 </t>
  </si>
  <si>
    <t xml:space="preserve"> AMEC003760 </t>
  </si>
  <si>
    <t xml:space="preserve"> AEPI010121 </t>
  </si>
  <si>
    <t xml:space="preserve"> ACUA008645 </t>
  </si>
  <si>
    <t xml:space="preserve"> ASTE006148 </t>
  </si>
  <si>
    <t xml:space="preserve"> AFAF018279 </t>
  </si>
  <si>
    <t xml:space="preserve"> ADIR000835 </t>
  </si>
  <si>
    <t xml:space="preserve"> ASIS009062 </t>
  </si>
  <si>
    <t xml:space="preserve"> AALB006535 </t>
  </si>
  <si>
    <t xml:space="preserve"> AGAP000607 </t>
  </si>
  <si>
    <t xml:space="preserve"> AARA010442 </t>
  </si>
  <si>
    <t xml:space="preserve"> AQUA001765 </t>
  </si>
  <si>
    <t xml:space="preserve"> AMEM018178 </t>
  </si>
  <si>
    <t xml:space="preserve"> AMEC010194 </t>
  </si>
  <si>
    <t xml:space="preserve"> ACHR000557 </t>
  </si>
  <si>
    <t xml:space="preserve"> AEPI010120 </t>
  </si>
  <si>
    <t xml:space="preserve"> AFUN000978 </t>
  </si>
  <si>
    <t xml:space="preserve"> AMIN005211 </t>
  </si>
  <si>
    <t xml:space="preserve"> ACUA010431 </t>
  </si>
  <si>
    <t xml:space="preserve"> ASTE006149 </t>
  </si>
  <si>
    <t xml:space="preserve"> AMAM016400 </t>
  </si>
  <si>
    <t xml:space="preserve"> AFAF002426 </t>
  </si>
  <si>
    <t xml:space="preserve"> ADIR000834 </t>
  </si>
  <si>
    <t xml:space="preserve"> AATE010388 </t>
  </si>
  <si>
    <t xml:space="preserve"> ASIS002484 </t>
  </si>
  <si>
    <t xml:space="preserve"> AALB006534 </t>
  </si>
  <si>
    <t xml:space="preserve"> AGAP000548 </t>
  </si>
  <si>
    <t xml:space="preserve"> ACOM037809 </t>
  </si>
  <si>
    <t xml:space="preserve"> AARA010498 </t>
  </si>
  <si>
    <t xml:space="preserve"> AQUA010824 </t>
  </si>
  <si>
    <t xml:space="preserve"> AMEM009320 </t>
  </si>
  <si>
    <t xml:space="preserve"> AMEC013436 </t>
  </si>
  <si>
    <t xml:space="preserve"> ACHR001577 </t>
  </si>
  <si>
    <t xml:space="preserve"> AEPI003018 </t>
  </si>
  <si>
    <t xml:space="preserve"> AFUN003544 </t>
  </si>
  <si>
    <t xml:space="preserve"> AMIN005301 </t>
  </si>
  <si>
    <t xml:space="preserve"> ACUA015800 </t>
  </si>
  <si>
    <t xml:space="preserve"> ASTE007699 </t>
  </si>
  <si>
    <t xml:space="preserve"> AFAF005002 </t>
  </si>
  <si>
    <t xml:space="preserve"> ADIR001321 </t>
  </si>
  <si>
    <t xml:space="preserve"> AATE000965 </t>
  </si>
  <si>
    <t xml:space="preserve"> ASIS004639 </t>
  </si>
  <si>
    <t xml:space="preserve"> AALB006440 </t>
  </si>
  <si>
    <t xml:space="preserve"> AGAP001374 </t>
  </si>
  <si>
    <t xml:space="preserve"> AARA001829 </t>
  </si>
  <si>
    <t xml:space="preserve"> AQUA006557 </t>
  </si>
  <si>
    <t xml:space="preserve"> AMEC016180 </t>
  </si>
  <si>
    <t xml:space="preserve"> ACHR002751 </t>
  </si>
  <si>
    <t xml:space="preserve"> AEPI001122 </t>
  </si>
  <si>
    <t xml:space="preserve"> AFUN007820 </t>
  </si>
  <si>
    <t xml:space="preserve"> AMIN000557 </t>
  </si>
  <si>
    <t xml:space="preserve"> ACUA002743 </t>
  </si>
  <si>
    <t xml:space="preserve"> ASTE008872 </t>
  </si>
  <si>
    <t xml:space="preserve"> AMAM002964 </t>
  </si>
  <si>
    <t xml:space="preserve"> ADIR002469 </t>
  </si>
  <si>
    <t xml:space="preserve"> AATE020852 </t>
  </si>
  <si>
    <t xml:space="preserve"> ASIS001969 </t>
  </si>
  <si>
    <t xml:space="preserve"> AALB002999 </t>
  </si>
  <si>
    <t xml:space="preserve"> AGAP006506 </t>
  </si>
  <si>
    <t xml:space="preserve"> ACOM039609 </t>
  </si>
  <si>
    <t xml:space="preserve"> AARA008387 </t>
  </si>
  <si>
    <t xml:space="preserve"> AQUA006341 </t>
  </si>
  <si>
    <t xml:space="preserve"> AMEM010672 </t>
  </si>
  <si>
    <t xml:space="preserve"> AMEC002763 </t>
  </si>
  <si>
    <t xml:space="preserve"> AEPI014008 </t>
  </si>
  <si>
    <t xml:space="preserve"> AFUN008756 </t>
  </si>
  <si>
    <t xml:space="preserve"> AMIN007867 </t>
  </si>
  <si>
    <t xml:space="preserve"> ACUA008035 </t>
  </si>
  <si>
    <t xml:space="preserve"> ASTE003900 </t>
  </si>
  <si>
    <t xml:space="preserve"> AMAM008764 </t>
  </si>
  <si>
    <t xml:space="preserve"> AFAF007937 </t>
  </si>
  <si>
    <t xml:space="preserve"> ADIR007613 </t>
  </si>
  <si>
    <t xml:space="preserve"> AATE013208 </t>
  </si>
  <si>
    <t xml:space="preserve"> ASIS005999 </t>
  </si>
  <si>
    <t xml:space="preserve"> AGAP006504 </t>
  </si>
  <si>
    <t xml:space="preserve"> AARA008386 </t>
  </si>
  <si>
    <t xml:space="preserve"> AQUA006340 </t>
  </si>
  <si>
    <t xml:space="preserve"> AMEM011874 </t>
  </si>
  <si>
    <t xml:space="preserve"> AMEC020566 </t>
  </si>
  <si>
    <t xml:space="preserve"> AMAM021051 </t>
  </si>
  <si>
    <t xml:space="preserve"> AGAP004334 </t>
  </si>
  <si>
    <t xml:space="preserve"> ACOM040963 </t>
  </si>
  <si>
    <t xml:space="preserve"> AARA005290 </t>
  </si>
  <si>
    <t xml:space="preserve"> AQUA001332 </t>
  </si>
  <si>
    <t xml:space="preserve"> AMEM017334 </t>
  </si>
  <si>
    <t xml:space="preserve"> AMEC019112 </t>
  </si>
  <si>
    <t xml:space="preserve"> ACHR007817 </t>
  </si>
  <si>
    <t xml:space="preserve"> AEPI001456 </t>
  </si>
  <si>
    <t xml:space="preserve"> AFUN002461 </t>
  </si>
  <si>
    <t xml:space="preserve"> AMIN004731 </t>
  </si>
  <si>
    <t xml:space="preserve"> ACUA027136 </t>
  </si>
  <si>
    <t xml:space="preserve"> ASTE002883 </t>
  </si>
  <si>
    <t xml:space="preserve"> AMAM001527 </t>
  </si>
  <si>
    <t xml:space="preserve"> AFAF001529 </t>
  </si>
  <si>
    <t xml:space="preserve"> ADIR005394 </t>
  </si>
  <si>
    <t xml:space="preserve"> AATE016685 </t>
  </si>
  <si>
    <t xml:space="preserve"> ASIS023620 </t>
  </si>
  <si>
    <t xml:space="preserve"> AALB002328 </t>
  </si>
  <si>
    <t xml:space="preserve"> AGAP000150 </t>
  </si>
  <si>
    <t xml:space="preserve"> ACOM040125 </t>
  </si>
  <si>
    <t xml:space="preserve"> AARA001017 </t>
  </si>
  <si>
    <t xml:space="preserve"> AQUA002523 </t>
  </si>
  <si>
    <t xml:space="preserve"> AMEM011397 </t>
  </si>
  <si>
    <t xml:space="preserve"> AMEC001483 </t>
  </si>
  <si>
    <t xml:space="preserve"> ACHR005518 </t>
  </si>
  <si>
    <t xml:space="preserve"> AEPI010446 </t>
  </si>
  <si>
    <t xml:space="preserve"> AFUN003883 </t>
  </si>
  <si>
    <t xml:space="preserve"> AMIN005447 </t>
  </si>
  <si>
    <t xml:space="preserve"> ASTE000264 </t>
  </si>
  <si>
    <t xml:space="preserve"> AMAM005167 </t>
  </si>
  <si>
    <t xml:space="preserve"> AFAF016250 </t>
  </si>
  <si>
    <t xml:space="preserve"> ADIR000828 </t>
  </si>
  <si>
    <t xml:space="preserve"> AATE009364 </t>
  </si>
  <si>
    <t xml:space="preserve"> ASIS003087 </t>
  </si>
  <si>
    <t xml:space="preserve"> AGAP008216 </t>
  </si>
  <si>
    <t xml:space="preserve"> ACOM030344 </t>
  </si>
  <si>
    <t xml:space="preserve"> AARA004918 </t>
  </si>
  <si>
    <t xml:space="preserve"> AQUA010544 </t>
  </si>
  <si>
    <t xml:space="preserve"> AMEM013747 </t>
  </si>
  <si>
    <t xml:space="preserve"> AMEC001237 </t>
  </si>
  <si>
    <t xml:space="preserve"> ACHR008117 </t>
  </si>
  <si>
    <t xml:space="preserve"> AEPI005590 </t>
  </si>
  <si>
    <t xml:space="preserve"> AFUN010916 </t>
  </si>
  <si>
    <t xml:space="preserve"> AMIN006065 </t>
  </si>
  <si>
    <t xml:space="preserve"> ACUA005709 </t>
  </si>
  <si>
    <t xml:space="preserve"> ASTE005068 </t>
  </si>
  <si>
    <t xml:space="preserve"> AMAM002523 </t>
  </si>
  <si>
    <t xml:space="preserve"> AFAF011308 </t>
  </si>
  <si>
    <t xml:space="preserve"> AATE014342 </t>
  </si>
  <si>
    <t xml:space="preserve"> ASIS019540 </t>
  </si>
  <si>
    <t xml:space="preserve"> AALB001854 </t>
  </si>
  <si>
    <t xml:space="preserve"> Calvo_et_al_2009 </t>
  </si>
  <si>
    <t xml:space="preserve"> AGAP008215 </t>
  </si>
  <si>
    <t xml:space="preserve"> ACOM030347 </t>
  </si>
  <si>
    <t xml:space="preserve"> AMEM004830 </t>
  </si>
  <si>
    <t xml:space="preserve"> AMEC014046 </t>
  </si>
  <si>
    <t xml:space="preserve"> ACHR008118 </t>
  </si>
  <si>
    <t xml:space="preserve"> ACUA017716 </t>
  </si>
  <si>
    <t xml:space="preserve"> AFAF019215 </t>
  </si>
  <si>
    <t xml:space="preserve"> ADIR006362 </t>
  </si>
  <si>
    <t xml:space="preserve"> AATE006599 </t>
  </si>
  <si>
    <t xml:space="preserve"> ASIS020198 </t>
  </si>
  <si>
    <t xml:space="preserve"> AGAP013724 </t>
  </si>
  <si>
    <t xml:space="preserve"> AGAP010647 </t>
  </si>
  <si>
    <t xml:space="preserve"> ACOM027376 </t>
  </si>
  <si>
    <t xml:space="preserve"> AARA009051 </t>
  </si>
  <si>
    <t xml:space="preserve"> AQUA000082 </t>
  </si>
  <si>
    <t xml:space="preserve"> AMEM006289 </t>
  </si>
  <si>
    <t xml:space="preserve"> AMEC010337 </t>
  </si>
  <si>
    <t xml:space="preserve"> AEPI004417 </t>
  </si>
  <si>
    <t xml:space="preserve"> AFUN007248 </t>
  </si>
  <si>
    <t xml:space="preserve"> AMIN008701 </t>
  </si>
  <si>
    <t xml:space="preserve"> ACUA015614 </t>
  </si>
  <si>
    <t xml:space="preserve"> AFAF002396 </t>
  </si>
  <si>
    <t xml:space="preserve"> ADIR000333 </t>
  </si>
  <si>
    <t xml:space="preserve"> AATE013683 </t>
  </si>
  <si>
    <t xml:space="preserve"> ASIS019158 </t>
  </si>
  <si>
    <t xml:space="preserve"> AALB010740 </t>
  </si>
  <si>
    <t xml:space="preserve"> ADAC001407 </t>
  </si>
  <si>
    <t xml:space="preserve"> AGAP013423 </t>
  </si>
  <si>
    <t xml:space="preserve"> ACOM023990 </t>
  </si>
  <si>
    <t xml:space="preserve"> AARA009800 </t>
  </si>
  <si>
    <t xml:space="preserve"> ACHR008629 </t>
  </si>
  <si>
    <t xml:space="preserve"> AEPI005519 </t>
  </si>
  <si>
    <t xml:space="preserve"> AFUN006264 </t>
  </si>
  <si>
    <t xml:space="preserve"> AMIN002825 </t>
  </si>
  <si>
    <t xml:space="preserve"> ACUA018606 </t>
  </si>
  <si>
    <t xml:space="preserve"> ASTE003397 </t>
  </si>
  <si>
    <t xml:space="preserve"> AMAM023191 </t>
  </si>
  <si>
    <t xml:space="preserve"> AFAF015063 </t>
  </si>
  <si>
    <t xml:space="preserve"> ADIR003224 </t>
  </si>
  <si>
    <t xml:space="preserve"> AATE017436 </t>
  </si>
  <si>
    <t xml:space="preserve"> ASIS014775 </t>
  </si>
  <si>
    <t xml:space="preserve"> AALB002653 </t>
  </si>
  <si>
    <t xml:space="preserve"> ADAC009580 </t>
  </si>
  <si>
    <t>NCBI or VB accession</t>
  </si>
  <si>
    <t>Note</t>
  </si>
  <si>
    <t>Link to Pep</t>
  </si>
  <si>
    <t>First codon</t>
  </si>
  <si>
    <t>Stop?</t>
  </si>
  <si>
    <t>Link to CDS</t>
  </si>
  <si>
    <t>SigP Result</t>
  </si>
  <si>
    <t>Cleavage Position</t>
  </si>
  <si>
    <t>MW</t>
  </si>
  <si>
    <t>pI</t>
  </si>
  <si>
    <t>Mature MW</t>
  </si>
  <si>
    <t xml:space="preserve">pI </t>
  </si>
  <si>
    <t>TMHMM result</t>
  </si>
  <si>
    <t>Predicted helices</t>
  </si>
  <si>
    <t>% membrane</t>
  </si>
  <si>
    <t>% outside</t>
  </si>
  <si>
    <t>% inside</t>
  </si>
  <si>
    <t>Possible GPI?</t>
  </si>
  <si>
    <t xml:space="preserve">Length of peptide after last membrane helix </t>
  </si>
  <si>
    <t>Percent Ser+Thr</t>
  </si>
  <si>
    <t>Percent Gly</t>
  </si>
  <si>
    <t>Percent Pro</t>
  </si>
  <si>
    <t xml:space="preserve">Percent GGY </t>
  </si>
  <si>
    <t xml:space="preserve">ProP furin cleavage predictions </t>
  </si>
  <si>
    <t>anoga_30kDa</t>
  </si>
  <si>
    <t xml:space="preserve"> 19-20</t>
  </si>
  <si>
    <t>ExpAA=1.26 First60=1.26 PredHel=0 Topology=o</t>
  </si>
  <si>
    <t xml:space="preserve">. </t>
  </si>
  <si>
    <t>anocol_30kDa</t>
  </si>
  <si>
    <t>anoara_30kDa</t>
  </si>
  <si>
    <t>ExpAA=1.27 First60=1.27 PredHel=0 Topology=o</t>
  </si>
  <si>
    <t>anoqua_30kDa</t>
  </si>
  <si>
    <t>anomer_30kDa</t>
  </si>
  <si>
    <t>ExpAA=0.44 First60=0.44 PredHel=0 Topology=o</t>
  </si>
  <si>
    <t>anomel_30kDa</t>
  </si>
  <si>
    <t>ExpAA=0.69 First60=0.69 PredHel=0 Topology=o</t>
  </si>
  <si>
    <t>anochris_30kDa</t>
  </si>
  <si>
    <t>ExpAA=0.26 First60=0.26 PredHel=0 Topology=o</t>
  </si>
  <si>
    <t>anoepi_30kDa</t>
  </si>
  <si>
    <t>ExpAA=0.32 First60=0.32 PredHel=0 Topology=o</t>
  </si>
  <si>
    <t>anofun_30kDa</t>
  </si>
  <si>
    <t>ExpAA=0.18 First60=0.18 PredHel=0 Topology=o</t>
  </si>
  <si>
    <t>anomin_30kDa</t>
  </si>
  <si>
    <t>ExpAA=0.27 First60=0.27 PredHel=0 Topology=o</t>
  </si>
  <si>
    <t>anocul_30kDa</t>
  </si>
  <si>
    <t>ExpAA=0.65 First60=0.65 PredHel=0 Topology=o</t>
  </si>
  <si>
    <t>anoste_30kDa</t>
  </si>
  <si>
    <t>ExpAA=0.31 First60=0.31 PredHel=0 Topology=o</t>
  </si>
  <si>
    <t>anomac_30kDa</t>
  </si>
  <si>
    <t>ExpAA=0.21 First60=0.21 PredHel=0 Topology=o</t>
  </si>
  <si>
    <t>anofar_30kDa</t>
  </si>
  <si>
    <t>ExpAA=1.30 First60=1.30 PredHel=0 Topology=o</t>
  </si>
  <si>
    <t>anodir_30kDa</t>
  </si>
  <si>
    <t>ExpAA=0.80 First60=0.80 PredHel=0 Topology=o</t>
  </si>
  <si>
    <t>anoatro_30kDa</t>
  </si>
  <si>
    <t>anosin_30kDa</t>
  </si>
  <si>
    <t>ExpAA=0.92 First60=0.92 PredHel=0 Topology=o</t>
  </si>
  <si>
    <t>anoalb_30kDa</t>
  </si>
  <si>
    <t>ExpAA=0.62 First60=0.62 PredHel=0 Topology=o</t>
  </si>
  <si>
    <t>anodar_30kDa</t>
  </si>
  <si>
    <t>ExpAA=0.19 First60=0.19 PredHel=0 Topology=o</t>
  </si>
  <si>
    <t>anoga_55.3kDa</t>
  </si>
  <si>
    <t xml:space="preserve"> 21-22</t>
  </si>
  <si>
    <t>ExpAA=1.19 First60=1.12 PredHel=0 Topology=o</t>
  </si>
  <si>
    <t>anoara_55.3kDa</t>
  </si>
  <si>
    <t xml:space="preserve"> 20-21</t>
  </si>
  <si>
    <t>ExpAA=0.46 First60=0.39 PredHel=0 Topology=o</t>
  </si>
  <si>
    <t>anoqua_55.3kDa</t>
  </si>
  <si>
    <t xml:space="preserve"> 22-23</t>
  </si>
  <si>
    <t>ExpAA=5.06 First60=4.99 PredHel=0 Topology=o</t>
  </si>
  <si>
    <t>anomer_55.3kDa</t>
  </si>
  <si>
    <t>ExpAA=1.12 First60=1.05 PredHel=0 Topology=o</t>
  </si>
  <si>
    <t>anomel_55.3kDa</t>
  </si>
  <si>
    <t>ExpAA=1.18 First60=1.12 PredHel=0 Topology=o</t>
  </si>
  <si>
    <t>anochris_55.3kDa</t>
  </si>
  <si>
    <t>ExpAA=0.03 First60=0.02 PredHel=0 Topology=o</t>
  </si>
  <si>
    <t xml:space="preserve">1 | 198    VNARYPR|SS  0.604 *ProP*  | </t>
  </si>
  <si>
    <t>anoepi_55.3kDa</t>
  </si>
  <si>
    <t>ExpAA=0.71 First60=0.68 PredHel=0 Topology=o</t>
  </si>
  <si>
    <t xml:space="preserve">1 | 199    VDARYPR|SA  0.527 *ProP*  | </t>
  </si>
  <si>
    <t>anofun_55.3kDa</t>
  </si>
  <si>
    <t xml:space="preserve"> 23-24</t>
  </si>
  <si>
    <t>ExpAA=3.92 First60=3.91 PredHel=0 Topology=o</t>
  </si>
  <si>
    <t>anomin_55.3kDa</t>
  </si>
  <si>
    <t>ExpAA=0.53 First60=0.36 PredHel=0 Topology=o</t>
  </si>
  <si>
    <t>anocul_55.3kDa</t>
  </si>
  <si>
    <t>ExpAA=0.79 First60=0.76 PredHel=0 Topology=o</t>
  </si>
  <si>
    <t>anoste_55.3kDa</t>
  </si>
  <si>
    <t xml:space="preserve"> 24-25</t>
  </si>
  <si>
    <t>ExpAA=0.64 First60=0.61 PredHel=0 Topology=o</t>
  </si>
  <si>
    <t>anodir_55.3kDa</t>
  </si>
  <si>
    <t xml:space="preserve"> 16-17</t>
  </si>
  <si>
    <t>ExpAA=0.04 First60=0.01 PredHel=0 Topology=o</t>
  </si>
  <si>
    <t>anoatro_55.3kDa</t>
  </si>
  <si>
    <t>ExpAA=7.04 First60=6.95 PredHel=0 Topology=o</t>
  </si>
  <si>
    <t>anosin_55.3kDa</t>
  </si>
  <si>
    <t>ExpAA=4.71 First60=4.70 PredHel=0 Topology=o</t>
  </si>
  <si>
    <t>anoalb_55.3kDa</t>
  </si>
  <si>
    <t>ExpAA=21.05 First60=20.89 PredHel=1 Topology=i5-27o</t>
  </si>
  <si>
    <t>anodar_55.3kDa</t>
  </si>
  <si>
    <t>ExpAA=0.47 First60=0.22 PredHel=0 Topology=o</t>
  </si>
  <si>
    <t>anoga_gVAG</t>
  </si>
  <si>
    <t>ExpAA=14.49 First60=14.48 PredHel=1 Topology=i2-24o</t>
  </si>
  <si>
    <t>anocol_gVAG</t>
  </si>
  <si>
    <t>ExpAA=9.79 First60=9.77 PredHel=0 Topology=o</t>
  </si>
  <si>
    <t>anoara_gVAG</t>
  </si>
  <si>
    <t>ExpAA=13.88 First60=13.86 PredHel=1 Topology=i2-24o</t>
  </si>
  <si>
    <t>anoqua_gVAG</t>
  </si>
  <si>
    <t>ExpAA=14.59 First60=14.57 PredHel=1 Topology=i2-24o</t>
  </si>
  <si>
    <t>anomer_gVAG</t>
  </si>
  <si>
    <t>anomel_gVAG</t>
  </si>
  <si>
    <t>ExpAA=15.00 First60=14.99 PredHel=1 Topology=i2-24o</t>
  </si>
  <si>
    <t>anochris_gVAG</t>
  </si>
  <si>
    <t>ExpAA=1.95 First60=1.94 PredHel=0 Topology=o</t>
  </si>
  <si>
    <t>anoepi_gVAG</t>
  </si>
  <si>
    <t>ExpAA=0.55 First60=0.53 PredHel=0 Topology=o</t>
  </si>
  <si>
    <t>anofun_gVAG</t>
  </si>
  <si>
    <t>ExpAA=5.49 First60=5.47 PredHel=0 Topology=o</t>
  </si>
  <si>
    <t>anomin_gVAG</t>
  </si>
  <si>
    <t>ExpAA=3.29 First60=3.28 PredHel=0 Topology=o</t>
  </si>
  <si>
    <t>anocul_gVAG</t>
  </si>
  <si>
    <t>ExpAA=1.37 First60=1.37 PredHel=0 Topology=o</t>
  </si>
  <si>
    <t>anoste_gVAG</t>
  </si>
  <si>
    <t>ExpAA=12.24 First60=12.24 PredHel=0 Topology=o</t>
  </si>
  <si>
    <t>anomac_gVAG</t>
  </si>
  <si>
    <t>ExpAA=2.69 First60=2.67 PredHel=0 Topology=o</t>
  </si>
  <si>
    <t xml:space="preserve">1 | 54    PTCRSKK|GA  0.521 *ProP*  | </t>
  </si>
  <si>
    <t>anofar_gVAG</t>
  </si>
  <si>
    <t>ExpAA=1.02 First60=1.01 PredHel=0 Topology=o</t>
  </si>
  <si>
    <t>anodir_gVAG</t>
  </si>
  <si>
    <t>ExpAA=2.15 First60=2.14 PredHel=0 Topology=o</t>
  </si>
  <si>
    <t>anosin_gVAG</t>
  </si>
  <si>
    <t>ExpAA=0.24 First60=0.24 PredHel=0 Topology=o</t>
  </si>
  <si>
    <t>anoalb_gVAG</t>
  </si>
  <si>
    <t>ExpAA=14.65 First60=14.52 PredHel=0 Topology=o</t>
  </si>
  <si>
    <t>anodar_gVAG</t>
  </si>
  <si>
    <t>ExpAA=9.39 First60=9.29 PredHel=0 Topology=o</t>
  </si>
  <si>
    <t>anoga_Ag5r2</t>
  </si>
  <si>
    <t>ExpAA=6.00 First60=5.91 PredHel=0 Topology=o</t>
  </si>
  <si>
    <t>anocol_Ag5r2</t>
  </si>
  <si>
    <t>ExpAA=6.56 First60=6.39 PredHel=0 Topology=o</t>
  </si>
  <si>
    <t>anoara_Ag5r2</t>
  </si>
  <si>
    <t>ExpAA=6.52 First60=6.36 PredHel=0 Topology=o</t>
  </si>
  <si>
    <t>anoqua_Ag5r2</t>
  </si>
  <si>
    <t>ExpAA=3.53 First60=3.49 PredHel=0 Topology=o</t>
  </si>
  <si>
    <t>anomer_Ag5r2</t>
  </si>
  <si>
    <t>ExpAA=5.46 First60=5.36 PredHel=0 Topology=o</t>
  </si>
  <si>
    <t>anoepi_Ag5r2</t>
  </si>
  <si>
    <t>ExpAA=0.89 First60=0.84 PredHel=0 Topology=o</t>
  </si>
  <si>
    <t>anomin_Ag5r2</t>
  </si>
  <si>
    <t>ExpAA=0.46 First60=0.42 PredHel=0 Topology=o</t>
  </si>
  <si>
    <t>anoste_Ag5r2</t>
  </si>
  <si>
    <t>ExpAA=1.25 First60=1.14 PredHel=0 Topology=o</t>
  </si>
  <si>
    <t>anodir_Ag5r2</t>
  </si>
  <si>
    <t>ExpAA=5.12 First60=4.97 PredHel=0 Topology=o</t>
  </si>
  <si>
    <t>anosin_Ag5r2</t>
  </si>
  <si>
    <t>ExpAA=0.06 First60=0.04 PredHel=0 Topology=o</t>
  </si>
  <si>
    <t>anoalb_Ag5r2</t>
  </si>
  <si>
    <t>ExpAA=18.47 First60=18.40 PredHel=1 Topology=i5-27o</t>
  </si>
  <si>
    <t>anodar_Ag5r2</t>
  </si>
  <si>
    <t xml:space="preserve"> 25-26</t>
  </si>
  <si>
    <t>ExpAA=11.71 First60=11.43 PredHel=0 Topology=o</t>
  </si>
  <si>
    <t>anoga_Ag5r3</t>
  </si>
  <si>
    <t>ExpAA=0.38 First60=0.36 PredHel=0 Topology=o</t>
  </si>
  <si>
    <t>anocol_Ag5r3</t>
  </si>
  <si>
    <t>anoara_Ag5r3</t>
  </si>
  <si>
    <t>ExpAA=0.55 First60=0.54 PredHel=0 Topology=o</t>
  </si>
  <si>
    <t>anoqua_Ag5r3</t>
  </si>
  <si>
    <t>ExpAA=0.73 First60=0.71 PredHel=0 Topology=o</t>
  </si>
  <si>
    <t>anomer_Ag5r3</t>
  </si>
  <si>
    <t>ExpAA=0.54 First60=0.53 PredHel=0 Topology=o</t>
  </si>
  <si>
    <t>anomel_Ag5r3</t>
  </si>
  <si>
    <t>anochris_Ag5r3</t>
  </si>
  <si>
    <t>ExpAA=0.16 First60=0.15 PredHel=0 Topology=o</t>
  </si>
  <si>
    <t>anoepi_Ag5r3</t>
  </si>
  <si>
    <t>ExpAA=0.04 First60=0.02 PredHel=0 Topology=o</t>
  </si>
  <si>
    <t>anofun_Ag5r3</t>
  </si>
  <si>
    <t>ExpAA=0.07 First60=0.06 PredHel=0 Topology=o</t>
  </si>
  <si>
    <t>anomin_Ag5r3</t>
  </si>
  <si>
    <t>ExpAA=0.05 First60=0.04 PredHel=0 Topology=o</t>
  </si>
  <si>
    <t>anocul_Ag5r3</t>
  </si>
  <si>
    <t>ExpAA=0.06 First60=0.05 PredHel=0 Topology=o</t>
  </si>
  <si>
    <t>anofar_Ag5r3</t>
  </si>
  <si>
    <t>ExpAA=0.20 First60=0.18 PredHel=0 Topology=o</t>
  </si>
  <si>
    <t>anodir_Ag5r3</t>
  </si>
  <si>
    <t>ExpAA=0.24 First60=0.22 PredHel=0 Topology=o</t>
  </si>
  <si>
    <t>anoatro_Ag5r3</t>
  </si>
  <si>
    <t>ExpAA=0.17 First60=0.15 PredHel=0 Topology=o</t>
  </si>
  <si>
    <t>anosin_Ag5r3</t>
  </si>
  <si>
    <t>ExpAA=3.40 First60=3.38 PredHel=0 Topology=o</t>
  </si>
  <si>
    <t>anoalb_Ag5r3</t>
  </si>
  <si>
    <t>ExpAA=0.08 First60=0.00 PredHel=0 Topology=o</t>
  </si>
  <si>
    <t>anodar_Ag5r3</t>
  </si>
  <si>
    <t>ExpAA=0.05 First60=0.00 PredHel=0 Topology=o</t>
  </si>
  <si>
    <t>anoga_Ag5r4</t>
  </si>
  <si>
    <t>ExpAA=0.23 First60=0.01 PredHel=0 Topology=o</t>
  </si>
  <si>
    <t>anocol_Ag5r4</t>
  </si>
  <si>
    <t>ExpAA=0.17 First60=0.01 PredHel=0 Topology=o</t>
  </si>
  <si>
    <t>anoara_Ag5r4</t>
  </si>
  <si>
    <t>ExpAA=0.22 First60=0.02 PredHel=0 Topology=o</t>
  </si>
  <si>
    <t>anoqua_Ag5r4</t>
  </si>
  <si>
    <t>anomer_Ag5r4</t>
  </si>
  <si>
    <t>anomel_Ag5r4</t>
  </si>
  <si>
    <t>ExpAA=0.15 First60=0.02 PredHel=0 Topology=o</t>
  </si>
  <si>
    <t>anochris_Ag5r4</t>
  </si>
  <si>
    <t>ExpAA=0.31 First60=0.18 PredHel=0 Topology=o</t>
  </si>
  <si>
    <t>anofun_Ag5r4a</t>
  </si>
  <si>
    <t xml:space="preserve"> 27-28</t>
  </si>
  <si>
    <t>ExpAA=19.99 First60=19.98 PredHel=1 Topology=i7-24o</t>
  </si>
  <si>
    <t>anofun_Ag5r4b</t>
  </si>
  <si>
    <t>ExpAA=14.77 First60=14.76 PredHel=0 Topology=o</t>
  </si>
  <si>
    <t>anomin_Ag5r4</t>
  </si>
  <si>
    <t>ExpAA=5.83 First60=5.83 PredHel=0 Topology=o</t>
  </si>
  <si>
    <t>anocul_Ag5r4</t>
  </si>
  <si>
    <t>ExpAA=0.10 First60=0.10 PredHel=0 Topology=o</t>
  </si>
  <si>
    <t>anoste_Ag5r4</t>
  </si>
  <si>
    <t>ExpAA=1.25 First60=1.18 PredHel=0 Topology=o</t>
  </si>
  <si>
    <t>anofar_Ag5r4</t>
  </si>
  <si>
    <t>ExpAA=1.46 First60=1.44 PredHel=0 Topology=o</t>
  </si>
  <si>
    <t>anodir_Ag5r4</t>
  </si>
  <si>
    <t>ExpAA=0.15 First60=0.12 PredHel=0 Topology=o</t>
  </si>
  <si>
    <t>anosin_Ag5r4</t>
  </si>
  <si>
    <t>ExpAA=1.25 First60=1.21 PredHel=0 Topology=o</t>
  </si>
  <si>
    <t>anoga_Ag5r5</t>
  </si>
  <si>
    <t>ExpAA=0.51 First60=0.51 PredHel=0 Topology=o</t>
  </si>
  <si>
    <t>anocol_Ag5r5</t>
  </si>
  <si>
    <t>ExpAA=4.24 First60=4.23 PredHel=0 Topology=o</t>
  </si>
  <si>
    <t>anoara_Ag5r5</t>
  </si>
  <si>
    <t>ExpAA=5.24 First60=5.24 PredHel=0 Topology=o</t>
  </si>
  <si>
    <t>anoqua_Ag5r5</t>
  </si>
  <si>
    <t>ExpAA=3.68 First60=3.67 PredHel=0 Topology=o</t>
  </si>
  <si>
    <t>anomer_Ag5r5</t>
  </si>
  <si>
    <t>ExpAA=4.52 First60=4.52 PredHel=0 Topology=o</t>
  </si>
  <si>
    <t>anomel_Ag5r5</t>
  </si>
  <si>
    <t>ExpAA=5.93 First60=5.90 PredHel=0 Topology=o</t>
  </si>
  <si>
    <t>anoste_Ag5r5</t>
  </si>
  <si>
    <t>ExpAA=3.69 First60=3.64 PredHel=0 Topology=o</t>
  </si>
  <si>
    <t>anofar_Ag5r5</t>
  </si>
  <si>
    <t>ExpAA=2.52 First60=2.18 PredHel=0 Topology=o</t>
  </si>
  <si>
    <t>anosin_Ag5r5</t>
  </si>
  <si>
    <t>ExpAA=0.21 First60=0.17 PredHel=0 Topology=o</t>
  </si>
  <si>
    <t>anodar_Ag5r5</t>
  </si>
  <si>
    <t>ExpAA=3.46 First60=3.43 PredHel=0 Topology=o</t>
  </si>
  <si>
    <t>anoga_Ag5r6</t>
  </si>
  <si>
    <t>ExpAA=0.14 First60=0.03 PredHel=0 Topology=o</t>
  </si>
  <si>
    <t>anocol_Ag5r6</t>
  </si>
  <si>
    <t>ExpAA=0.16 First60=0.05 PredHel=0 Topology=o</t>
  </si>
  <si>
    <t>anoara_Ag5r6</t>
  </si>
  <si>
    <t>ExpAA=0.15 First60=0.03 PredHel=0 Topology=o</t>
  </si>
  <si>
    <t>anoqua_Ag5r6</t>
  </si>
  <si>
    <t>ExpAA=0.14 First60=0.07 PredHel=0 Topology=o</t>
  </si>
  <si>
    <t>anomer_Ag5r6</t>
  </si>
  <si>
    <t>ExpAA=0.11 First60=0.04 PredHel=0 Topology=o</t>
  </si>
  <si>
    <t>anomel_Ag5r6</t>
  </si>
  <si>
    <t>ExpAA=0.13 First60=0.06 PredHel=0 Topology=o</t>
  </si>
  <si>
    <t>anoepi_Ag5r6</t>
  </si>
  <si>
    <t>ExpAA=0.32 First60=0.17 PredHel=0 Topology=o</t>
  </si>
  <si>
    <t>anofun_Ag5r6</t>
  </si>
  <si>
    <t>ExpAA=0.65 First60=0.54 PredHel=0 Topology=o</t>
  </si>
  <si>
    <t>anomin_Ag5r6</t>
  </si>
  <si>
    <t>ExpAA=0.67 First60=0.40 PredHel=0 Topology=o</t>
  </si>
  <si>
    <t>anofar_Ag5r6</t>
  </si>
  <si>
    <t>ExpAA=0.23 First60=0.13 PredHel=0 Topology=o</t>
  </si>
  <si>
    <t>anoga_apy</t>
  </si>
  <si>
    <t>ExpAA=0.03 First60=0.01 PredHel=0 Topology=o</t>
  </si>
  <si>
    <t xml:space="preserve">2 | 180    TIKRKGR|SI  0.735 *ProP*  | 220    AAALKKR|DV  0.507 *ProP*  | </t>
  </si>
  <si>
    <t>anocol_apy</t>
  </si>
  <si>
    <t>anoara_apy</t>
  </si>
  <si>
    <t>anoqua_apy</t>
  </si>
  <si>
    <t xml:space="preserve">2 | 179    TIKRKGR|SI  0.735 *ProP*  | 219    AAALKKR|DV  0.507 *ProP*  | </t>
  </si>
  <si>
    <t>anomer_apy</t>
  </si>
  <si>
    <t xml:space="preserve">2 | 180    TIERKGR|SI  0.702 *ProP*  | 220    AAALKKR|DV  0.507 *ProP*  | </t>
  </si>
  <si>
    <t>anomel_apy</t>
  </si>
  <si>
    <t>anochris_apy</t>
  </si>
  <si>
    <t>ExpAA=4.88 First60=4.87 PredHel=0 Topology=o</t>
  </si>
  <si>
    <t>anoepi_apy</t>
  </si>
  <si>
    <t>anofun_apy</t>
  </si>
  <si>
    <t>ExpAA=0.88 First60=0.87 PredHel=0 Topology=o</t>
  </si>
  <si>
    <t xml:space="preserve">2 | 178    ILNRDGR|SI  0.682 *ProP*  | 218    SESLKKR|GV  0.608 *ProP*  | </t>
  </si>
  <si>
    <t>anomin_apy</t>
  </si>
  <si>
    <t>ExpAA=0.35 First60=0.35 PredHel=0 Topology=o</t>
  </si>
  <si>
    <t xml:space="preserve">1 | 178    ILKRKGR|SI  0.739 *ProP*  | </t>
  </si>
  <si>
    <t>anocul_apy</t>
  </si>
  <si>
    <t>anoste_apy</t>
  </si>
  <si>
    <t>ExpAA=4.12 First60=4.10 PredHel=0 Topology=o</t>
  </si>
  <si>
    <t xml:space="preserve">1 | 182    ILERDGR|SI  0.587 *ProP*  | </t>
  </si>
  <si>
    <t>anodir_apy</t>
  </si>
  <si>
    <t>ExpAA=1.53 First60=1.52 PredHel=0 Topology=o</t>
  </si>
  <si>
    <t xml:space="preserve">1 | 178    IIERGGR|SI  0.522 *ProP*  | </t>
  </si>
  <si>
    <t>anoatro_apy</t>
  </si>
  <si>
    <t>ExpAA=3.06 First60=3.06 PredHel=0 Topology=o</t>
  </si>
  <si>
    <t>anosin_apy</t>
  </si>
  <si>
    <t xml:space="preserve"> 17-18</t>
  </si>
  <si>
    <t xml:space="preserve">1 | 175    IIRRSKR|RI  0.778 *ProP*  | </t>
  </si>
  <si>
    <t>anoalb_apy</t>
  </si>
  <si>
    <t>ExpAA=0.01 First60=0.00 PredHel=0 Topology=o</t>
  </si>
  <si>
    <t xml:space="preserve">1 | 176    IIERQKR|LI  0.692 *ProP*  | </t>
  </si>
  <si>
    <t>anodar_apy</t>
  </si>
  <si>
    <t xml:space="preserve"> 18-19</t>
  </si>
  <si>
    <t xml:space="preserve">1 | 177    IIERRKR|LI  0.667 *ProP*  | </t>
  </si>
  <si>
    <t>anoga_5nuc</t>
  </si>
  <si>
    <t>ExpAA=0.25 First60=0.25 PredHel=0 Topology=o</t>
  </si>
  <si>
    <t>anocol_5nuc</t>
  </si>
  <si>
    <t>anoara_5nuc</t>
  </si>
  <si>
    <t>anoqua_5nuc</t>
  </si>
  <si>
    <t>anomer_5nuc</t>
  </si>
  <si>
    <t>anomel_5nuc</t>
  </si>
  <si>
    <t>anochris_5nuc</t>
  </si>
  <si>
    <t>anoepi_5nuc</t>
  </si>
  <si>
    <t>anofun_5nuc</t>
  </si>
  <si>
    <t>ExpAA=2.00 First60=1.99 PredHel=0 Topology=o</t>
  </si>
  <si>
    <t>anomin_5nuc</t>
  </si>
  <si>
    <t>ExpAA=1.48 First60=1.48 PredHel=0 Topology=o</t>
  </si>
  <si>
    <t>anocul_5nuc</t>
  </si>
  <si>
    <t>ExpAA=11.17 First60=11.16 PredHel=0 Topology=o</t>
  </si>
  <si>
    <t>anoste_5nuc</t>
  </si>
  <si>
    <t>ExpAA=1.03 First60=1.03 PredHel=0 Topology=o</t>
  </si>
  <si>
    <t>anofar_5nuc</t>
  </si>
  <si>
    <t xml:space="preserve"> 28-29</t>
  </si>
  <si>
    <t>anodir_5nuc</t>
  </si>
  <si>
    <t>ExpAA=2.66 First60=2.66 PredHel=0 Topology=o</t>
  </si>
  <si>
    <t>anoatro_5nuc</t>
  </si>
  <si>
    <t xml:space="preserve"> 29-30</t>
  </si>
  <si>
    <t>ExpAA=3.95 First60=3.46 PredHel=0 Topology=o</t>
  </si>
  <si>
    <t>anosin_5nuc</t>
  </si>
  <si>
    <t>ExpAA=5.43 First60=5.37 PredHel=0 Topology=o</t>
  </si>
  <si>
    <t>anoalb_5nuc</t>
  </si>
  <si>
    <t>anodar_5nuc</t>
  </si>
  <si>
    <t>ExpAA=0.20 First60=0.20 PredHel=0 Topology=o</t>
  </si>
  <si>
    <t>anoga_cE5-anophelin</t>
  </si>
  <si>
    <t>ExpAA=16.82 First60=16.82 PredHel=1 Topology=i5-22o</t>
  </si>
  <si>
    <t>anocol_cE5-anophelin</t>
  </si>
  <si>
    <t>anoara_cE5-anophelin</t>
  </si>
  <si>
    <t>anoqua_cE5-anophelin</t>
  </si>
  <si>
    <t>anomer_cE5-anophelin</t>
  </si>
  <si>
    <t>ExpAA=17.12 First60=17.12 PredHel=1 Topology=i5-27o</t>
  </si>
  <si>
    <t>anomel_cE5-anophelin</t>
  </si>
  <si>
    <t>ExpAA=16.79 First60=16.79 PredHel=1 Topology=i5-22o</t>
  </si>
  <si>
    <t>anochris_cE5-anophelin</t>
  </si>
  <si>
    <t>ExpAA=16.66 First60=16.66 PredHel=0 Topology=o</t>
  </si>
  <si>
    <t>anoepi_cE5-anophelin</t>
  </si>
  <si>
    <t>ExpAA=8.54 First60=8.54 PredHel=0 Topology=o</t>
  </si>
  <si>
    <t>anofun_cE5-anophelin</t>
  </si>
  <si>
    <t>ExpAA=15.82 First60=15.82 PredHel=0 Topology=o</t>
  </si>
  <si>
    <t>anomin_cE5-anophelin</t>
  </si>
  <si>
    <t>ExpAA=16.51 First60=16.51 PredHel=1 Topology=i5-27o</t>
  </si>
  <si>
    <t>anocul_cE5-anophelin</t>
  </si>
  <si>
    <t>ExpAA=16.11 First60=16.11 PredHel=1 Topology=i5-27o</t>
  </si>
  <si>
    <t>anoste_cE5-anophelin</t>
  </si>
  <si>
    <t>ExpAA=17.63 First60=17.63 PredHel=1 Topology=i5-22o</t>
  </si>
  <si>
    <t>anofar_cE5-anophelin</t>
  </si>
  <si>
    <t>ExpAA=17.93 First60=17.93 PredHel=1 Topology=i5-27o</t>
  </si>
  <si>
    <t>anodir_cE5-anophelin</t>
  </si>
  <si>
    <t>ExpAA=18.17 First60=18.17 PredHel=1 Topology=i5-22o</t>
  </si>
  <si>
    <t>anoatro_cE5-anophelin</t>
  </si>
  <si>
    <t>ExpAA=16.29 First60=16.26 PredHel=1 Topology=i5-22o</t>
  </si>
  <si>
    <t>anosin_cE5-anophelin</t>
  </si>
  <si>
    <t>ExpAA=15.26 First60=15.26 PredHel=1 Topology=i5-22o</t>
  </si>
  <si>
    <t>anoalb_cE5-anophelin</t>
  </si>
  <si>
    <t>ExpAA=12.13 First60=12.13 PredHel=0 Topology=o</t>
  </si>
  <si>
    <t>anodar_cE5-anophelin</t>
  </si>
  <si>
    <t>ExpAA=11.56 First60=11.56 PredHel=0 Topology=o</t>
  </si>
  <si>
    <t>anoga_D7r1</t>
  </si>
  <si>
    <t>ExpAA=12.39 First60=12.39 PredHel=0 Topology=o</t>
  </si>
  <si>
    <t>anocol_D7r1</t>
  </si>
  <si>
    <t>ExpAA=12.10 First60=12.10 PredHel=0 Topology=o</t>
  </si>
  <si>
    <t>anoara_D7r1</t>
  </si>
  <si>
    <t>anoqua_D7r1</t>
  </si>
  <si>
    <t>anomer_D7r1</t>
  </si>
  <si>
    <t>anomel_D7r1</t>
  </si>
  <si>
    <t>ExpAA=10.21 First60=10.21 PredHel=0 Topology=o</t>
  </si>
  <si>
    <t>anochris_D7r1</t>
  </si>
  <si>
    <t>ExpAA=7.11 First60=7.11 PredHel=0 Topology=o</t>
  </si>
  <si>
    <t>anoepi_D7r1</t>
  </si>
  <si>
    <t>ExpAA=11.94 First60=11.94 PredHel=1 Topology=i5-22o</t>
  </si>
  <si>
    <t>anofun_D7r1</t>
  </si>
  <si>
    <t>ExpAA=9.29 First60=9.28 PredHel=0 Topology=o</t>
  </si>
  <si>
    <t>anomin_D7r1</t>
  </si>
  <si>
    <t>ExpAA=2.72 First60=2.72 PredHel=0 Topology=o</t>
  </si>
  <si>
    <t>anoste_D7r1</t>
  </si>
  <si>
    <t>ExpAA=9.84 First60=9.84 PredHel=0 Topology=o</t>
  </si>
  <si>
    <t>anofar_D7r1a</t>
  </si>
  <si>
    <t>ExpAA=2.59 First60=2.59 PredHel=0 Topology=o</t>
  </si>
  <si>
    <t>anofar_D7r1b</t>
  </si>
  <si>
    <t>ExpAA=2.81 First60=2.81 PredHel=0 Topology=o</t>
  </si>
  <si>
    <t>anodir_D7r1</t>
  </si>
  <si>
    <t>ExpAA=1.77 First60=1.77 PredHel=0 Topology=o</t>
  </si>
  <si>
    <t>anoatro_D7r1</t>
  </si>
  <si>
    <t>ExpAA=0.78 First60=0.78 PredHel=0 Topology=o</t>
  </si>
  <si>
    <t>anosin_D7r1a</t>
  </si>
  <si>
    <t>ExpAA=1.39 First60=1.38 PredHel=0 Topology=o</t>
  </si>
  <si>
    <t>anosin_D7r1b</t>
  </si>
  <si>
    <t>ExpAA=2.31 First60=2.31 PredHel=0 Topology=o</t>
  </si>
  <si>
    <t>anoalb_short-D7r1</t>
  </si>
  <si>
    <t>ExpAA=0.01 First60=0.01 PredHel=0 Topology=o</t>
  </si>
  <si>
    <t>anoalb_short-D7r1a</t>
  </si>
  <si>
    <t>ExpAA=0.05 First60=0.05 PredHel=0 Topology=o</t>
  </si>
  <si>
    <t>anoalb_short-D7r1b</t>
  </si>
  <si>
    <t>ExpAA=0.00 First60=0.00 PredHel=0 Topology=o</t>
  </si>
  <si>
    <t>anodar_short-D7r1</t>
  </si>
  <si>
    <t>ExpAA=5.06 First60=5.06 PredHel=0 Topology=o</t>
  </si>
  <si>
    <t>anoga_D7r2</t>
  </si>
  <si>
    <t>ExpAA=0.13 First60=0.11 PredHel=0 Topology=o</t>
  </si>
  <si>
    <t>anocol_D7r2</t>
  </si>
  <si>
    <t>anoara_D7r2</t>
  </si>
  <si>
    <t>anoqua_D7r2</t>
  </si>
  <si>
    <t>anomer_D7r2</t>
  </si>
  <si>
    <t>ExpAA=0.50 First60=0.48 PredHel=0 Topology=o</t>
  </si>
  <si>
    <t>anomel_D7r2</t>
  </si>
  <si>
    <t>ExpAA=0.15 First60=0.13 PredHel=0 Topology=o</t>
  </si>
  <si>
    <t>anochris_D7r2</t>
  </si>
  <si>
    <t>anoepi_D7r2</t>
  </si>
  <si>
    <t>ExpAA=0.16 First60=0.11 PredHel=0 Topology=o</t>
  </si>
  <si>
    <t>anofun_D7r2</t>
  </si>
  <si>
    <t>ExpAA=0.21 First60=0.20 PredHel=0 Topology=o</t>
  </si>
  <si>
    <t>anomin_D7r2</t>
  </si>
  <si>
    <t>ExpAA=0.11 First60=0.11 PredHel=0 Topology=o</t>
  </si>
  <si>
    <t>anocul_D7r2</t>
  </si>
  <si>
    <t>ExpAA=0.12 First60=0.12 PredHel=0 Topology=o</t>
  </si>
  <si>
    <t>anoste_D7r2</t>
  </si>
  <si>
    <t>ExpAA=0.03 First60=0.03 PredHel=0 Topology=o</t>
  </si>
  <si>
    <t>anodir_D7r2</t>
  </si>
  <si>
    <t>anoatro_D7r2/D7r3</t>
  </si>
  <si>
    <t>ExpAA=1.76 First60=1.76 PredHel=0 Topology=o</t>
  </si>
  <si>
    <t>anoalb_D7r2/D7r3</t>
  </si>
  <si>
    <t>ExpAA=4.62 First60=4.62 PredHel=0 Topology=o</t>
  </si>
  <si>
    <t>anodar_D7r2/D7r3</t>
  </si>
  <si>
    <t>ExpAA=1.93 First60=1.93 PredHel=0 Topology=o</t>
  </si>
  <si>
    <t>anoga_D7r3</t>
  </si>
  <si>
    <t>anocol_D7r3</t>
  </si>
  <si>
    <t>anoara_D7r3</t>
  </si>
  <si>
    <t>anoqua_D7r3</t>
  </si>
  <si>
    <t>ExpAA=0.04 First60=0.03 PredHel=0 Topology=o</t>
  </si>
  <si>
    <t>anomer_D7r3</t>
  </si>
  <si>
    <t>anomel_D7r3</t>
  </si>
  <si>
    <t>anochris_D7r3</t>
  </si>
  <si>
    <t>ExpAA=0.18 First60=0.17 PredHel=0 Topology=o</t>
  </si>
  <si>
    <t>anoepi_D7r3</t>
  </si>
  <si>
    <t>ExpAA=0.10 First60=0.07 PredHel=0 Topology=o</t>
  </si>
  <si>
    <t>anofun_D7r3</t>
  </si>
  <si>
    <t>anomin_D7r3</t>
  </si>
  <si>
    <t>anocul_D7r3</t>
  </si>
  <si>
    <t>ExpAA=1.40 First60=1.26 PredHel=0 Topology=o</t>
  </si>
  <si>
    <t>anoste_D7r3</t>
  </si>
  <si>
    <t>anodir_D7r3</t>
  </si>
  <si>
    <t>ExpAA=0.04 First60=0.04 PredHel=0 Topology=o</t>
  </si>
  <si>
    <t>anosin_D7r3</t>
  </si>
  <si>
    <t>ExpAA=0.96 First60=0.96 PredHel=0 Topology=o</t>
  </si>
  <si>
    <t>anoga_D7r4</t>
  </si>
  <si>
    <t>ExpAA=1.40 First60=1.40 PredHel=0 Topology=o</t>
  </si>
  <si>
    <t>anocol_D7r4</t>
  </si>
  <si>
    <t>ExpAA=6.27 First60=6.27 PredHel=0 Topology=o</t>
  </si>
  <si>
    <t>anoara_D7r4</t>
  </si>
  <si>
    <t>ExpAA=9.78 First60=9.78 PredHel=0 Topology=o</t>
  </si>
  <si>
    <t>anoqua_D7r4</t>
  </si>
  <si>
    <t>ExpAA=5.07 First60=5.07 PredHel=0 Topology=o</t>
  </si>
  <si>
    <t>anomer_D7r4</t>
  </si>
  <si>
    <t>ExpAA=4.33 First60=4.33 PredHel=0 Topology=o</t>
  </si>
  <si>
    <t>anomel_D7r4</t>
  </si>
  <si>
    <t>ExpAA=3.28 First60=3.28 PredHel=0 Topology=o</t>
  </si>
  <si>
    <t>anochris_D7r4</t>
  </si>
  <si>
    <t>ExpAA=1.46 First60=1.46 PredHel=0 Topology=o</t>
  </si>
  <si>
    <t>anoepi_D7r4</t>
  </si>
  <si>
    <t>ExpAA=1.14 First60=1.14 PredHel=0 Topology=o</t>
  </si>
  <si>
    <t>anofun_D7r4</t>
  </si>
  <si>
    <t>ExpAA=13.31 First60=13.31 PredHel=0 Topology=o</t>
  </si>
  <si>
    <t>anomin_D7r4</t>
  </si>
  <si>
    <t>ExpAA=10.52 First60=10.52 PredHel=0 Topology=o</t>
  </si>
  <si>
    <t>anocul_D7r4</t>
  </si>
  <si>
    <t>ExpAA=16.42 First60=16.42 PredHel=1 Topology=i5-24o</t>
  </si>
  <si>
    <t>anoste_D7r4</t>
  </si>
  <si>
    <t>ExpAA=10.07 First60=10.07 PredHel=0 Topology=o</t>
  </si>
  <si>
    <t>anofar_D7r4/D7r2-like</t>
  </si>
  <si>
    <t>ExpAA=0.17 First60=0.17 PredHel=0 Topology=o</t>
  </si>
  <si>
    <t>anoga_D7r5</t>
  </si>
  <si>
    <t>ExpAA=17.47 First60=17.47 PredHel=1 Topology=o5-27i</t>
  </si>
  <si>
    <t>anocol_D7r5</t>
  </si>
  <si>
    <t>anoara_D7r5</t>
  </si>
  <si>
    <t>anoqua_D7r5</t>
  </si>
  <si>
    <t>ExpAA=13.91 First60=13.91 PredHel=0 Topology=o</t>
  </si>
  <si>
    <t>anomer_D7r5</t>
  </si>
  <si>
    <t>ExpAA=16.49 First60=16.49 PredHel=1 Topology=i7-26o</t>
  </si>
  <si>
    <t>anomel_D7r5</t>
  </si>
  <si>
    <t>ExpAA=18.23 First60=18.23 PredHel=1 Topology=i7-26o</t>
  </si>
  <si>
    <t>anochris_D7r5</t>
  </si>
  <si>
    <t>ExpAA=17.89 First60=17.88 PredHel=1 Topology=i7-25o</t>
  </si>
  <si>
    <t xml:space="preserve">2 | 106    CLSRAKK|LS  0.514 *ProP*  | 152    ESDRFDR|SK  0.566 *ProP*  | </t>
  </si>
  <si>
    <t>anoepi_D7r5</t>
  </si>
  <si>
    <t>ExpAA=3.98 First60=3.98 PredHel=0 Topology=o</t>
  </si>
  <si>
    <t xml:space="preserve">1 | 152    ESERFDR|SK  0.581 *ProP*  | </t>
  </si>
  <si>
    <t>anofun_D7r5</t>
  </si>
  <si>
    <t>ExpAA=19.75 First60=19.74 PredHel=1 Topology=i7-29o</t>
  </si>
  <si>
    <t xml:space="preserve">1 | 56    RQYRATR|GV  0.502 *ProP*  | </t>
  </si>
  <si>
    <t>anomin_D7r5</t>
  </si>
  <si>
    <t>ExpAA=1.73 First60=1.73 PredHel=0 Topology=o</t>
  </si>
  <si>
    <t>anocul_D7r5</t>
  </si>
  <si>
    <t>ExpAA=17.59 First60=17.51 PredHel=1 Topology=i7-26o</t>
  </si>
  <si>
    <t>anoste_D7r5</t>
  </si>
  <si>
    <t>ExpAA=8.53 First60=8.52 PredHel=0 Topology=o</t>
  </si>
  <si>
    <t xml:space="preserve">1 | 157    ESDRFER|SK  0.551 *ProP*  | </t>
  </si>
  <si>
    <t>anomac_D7r5</t>
  </si>
  <si>
    <t>ExpAA=7.08 First60=7.08 PredHel=0 Topology=o</t>
  </si>
  <si>
    <t xml:space="preserve">2 | 55    RQYRVTR|GV  0.532 *ProP*  | 157    DSDRFDR|SK  0.561 *ProP*  | </t>
  </si>
  <si>
    <t>anofar_D7r5</t>
  </si>
  <si>
    <t>anodir_D7r5</t>
  </si>
  <si>
    <t>ExpAA=17.87 First60=17.85 PredHel=1 Topology=i7-29o</t>
  </si>
  <si>
    <t>anoatro_D7r5</t>
  </si>
  <si>
    <t>ExpAA=3.12 First60=3.12 PredHel=0 Topology=o</t>
  </si>
  <si>
    <t>anosin_D7r5</t>
  </si>
  <si>
    <t>ExpAA=2.67 First60=2.65 PredHel=0 Topology=o</t>
  </si>
  <si>
    <t>anoalb_D7r5</t>
  </si>
  <si>
    <t>ExpAA=0.38 First60=0.38 PredHel=0 Topology=o</t>
  </si>
  <si>
    <t>anodar_D7r5</t>
  </si>
  <si>
    <t>ExpAA=18.22 First60=18.22 PredHel=1 Topology=o4-23i</t>
  </si>
  <si>
    <t>anoga_D7L1</t>
  </si>
  <si>
    <t>ExpAA=0.15 First60=0.15 PredHel=0 Topology=o</t>
  </si>
  <si>
    <t>anocol_D7L1</t>
  </si>
  <si>
    <t>ExpAA=0.23 First60=0.23 PredHel=0 Topology=o</t>
  </si>
  <si>
    <t>anoara_D7L1</t>
  </si>
  <si>
    <t>anoqua_D7L1</t>
  </si>
  <si>
    <t>anomer_D7L1</t>
  </si>
  <si>
    <t>anomel_D7L1</t>
  </si>
  <si>
    <t>anoepi_D7L1</t>
  </si>
  <si>
    <t xml:space="preserve">1 | 193    KKWRKFR|SY  0.572 *ProP*  | </t>
  </si>
  <si>
    <t>anoste_D7L1</t>
  </si>
  <si>
    <t>anoatro_D7L1</t>
  </si>
  <si>
    <t>ExpAA=19.04 First60=19.04 PredHel=1 Topology=i7-29o</t>
  </si>
  <si>
    <t xml:space="preserve">2 | 95    KKFRSKR|IT  0.761 *ProP*  | 286    FDFRELR|SV  0.579 *ProP*  | </t>
  </si>
  <si>
    <t>anosin_D7L1</t>
  </si>
  <si>
    <t>ExpAA=9.69 First60=9.69 PredHel=0 Topology=o</t>
  </si>
  <si>
    <t xml:space="preserve">2 | 91    KKFRSKR|IT  0.775 *ProP*  | 282    FDFRELR|SV  0.566 *ProP*  | </t>
  </si>
  <si>
    <t>anoga_D7L2</t>
  </si>
  <si>
    <t>ExpAA=0.33 First60=0.33 PredHel=0 Topology=o</t>
  </si>
  <si>
    <t>anocol_D7L2</t>
  </si>
  <si>
    <t>anoara_D7L2</t>
  </si>
  <si>
    <t>ExpAA=0.47 First60=0.47 PredHel=0 Topology=o</t>
  </si>
  <si>
    <t>anoqua_D7L2</t>
  </si>
  <si>
    <t>anomer_D7L2</t>
  </si>
  <si>
    <t>anomel_D7L2</t>
  </si>
  <si>
    <t>anoepi_D7L2</t>
  </si>
  <si>
    <t>ExpAA=0.88 First60=0.88 PredHel=0 Topology=o</t>
  </si>
  <si>
    <t xml:space="preserve">1 | 194    KKWRKFR|SY  0.572 *ProP*  | </t>
  </si>
  <si>
    <t>anofun_D7L2</t>
  </si>
  <si>
    <t>anomin_D7L2</t>
  </si>
  <si>
    <t>anocul_D7L2</t>
  </si>
  <si>
    <t>ExpAA=1.18 First60=1.18 PredHel=0 Topology=o</t>
  </si>
  <si>
    <t>anofar_D7L2</t>
  </si>
  <si>
    <t>ExpAA=1.34 First60=1.34 PredHel=0 Topology=o</t>
  </si>
  <si>
    <t>anodir_D7L2</t>
  </si>
  <si>
    <t>anoatro_D7L2</t>
  </si>
  <si>
    <t>ExpAA=0.07 First60=0.07 PredHel=0 Topology=o</t>
  </si>
  <si>
    <t>anosin_D7L2</t>
  </si>
  <si>
    <t>anoalb_D7L2</t>
  </si>
  <si>
    <t>anodar_D7L2</t>
  </si>
  <si>
    <t>anoga_D7L3</t>
  </si>
  <si>
    <t xml:space="preserve"> 26-27</t>
  </si>
  <si>
    <t>ExpAA=0.69 First60=0.68 PredHel=0 Topology=o</t>
  </si>
  <si>
    <t>anocol_D7L3</t>
  </si>
  <si>
    <t>ExpAA=0.67 First60=0.67 PredHel=0 Topology=o</t>
  </si>
  <si>
    <t>anoara_D7L3</t>
  </si>
  <si>
    <t>ExpAA=0.66 First60=0.66 PredHel=0 Topology=o</t>
  </si>
  <si>
    <t>anoqua_D7L3</t>
  </si>
  <si>
    <t>ExpAA=0.73 First60=0.73 PredHel=0 Topology=o</t>
  </si>
  <si>
    <t>anomer_D7L3</t>
  </si>
  <si>
    <t xml:space="preserve">1 | 64    QQSRGDR|GA  0.514 *ProP*  | </t>
  </si>
  <si>
    <t>anomel_D7L3</t>
  </si>
  <si>
    <t>ExpAA=1.74 First60=1.74 PredHel=0 Topology=o</t>
  </si>
  <si>
    <t>anochris_D7L3</t>
  </si>
  <si>
    <t>ExpAA=7.04 First60=7.04 PredHel=0 Topology=o</t>
  </si>
  <si>
    <t>anoepi_D7L3</t>
  </si>
  <si>
    <t>ExpAA=7.58 First60=7.57 PredHel=0 Topology=o</t>
  </si>
  <si>
    <t>anofun_D7L3</t>
  </si>
  <si>
    <t xml:space="preserve"> 30-31</t>
  </si>
  <si>
    <t>ExpAA=2.69 First60=2.69 PredHel=0 Topology=o</t>
  </si>
  <si>
    <t>anomin_D7L3</t>
  </si>
  <si>
    <t>ExpAA=1.68 First60=1.68 PredHel=0 Topology=o</t>
  </si>
  <si>
    <t>anocul_D7L3</t>
  </si>
  <si>
    <t>ExpAA=0.95 First60=0.95 PredHel=0 Topology=o</t>
  </si>
  <si>
    <t>anoste_D7L3</t>
  </si>
  <si>
    <t xml:space="preserve"> 32-33</t>
  </si>
  <si>
    <t>ExpAA=11.15 First60=11.15 PredHel=0 Topology=o</t>
  </si>
  <si>
    <t>anofar_D7L3</t>
  </si>
  <si>
    <t>ExpAA=6.28 First60=6.27 PredHel=0 Topology=o</t>
  </si>
  <si>
    <t>anodir_D7L3</t>
  </si>
  <si>
    <t>ExpAA=3.41 First60=3.39 PredHel=0 Topology=o</t>
  </si>
  <si>
    <t>anoatro_D7L3</t>
  </si>
  <si>
    <t>ExpAA=0.86 First60=0.86 PredHel=0 Topology=o</t>
  </si>
  <si>
    <t>anosin_D7L3</t>
  </si>
  <si>
    <t>ExpAA=0.02 First60=0.02 PredHel=0 Topology=o</t>
  </si>
  <si>
    <t>anoalb_D7L3</t>
  </si>
  <si>
    <t>ExpAA=0.53 First60=0.53 PredHel=0 Topology=o</t>
  </si>
  <si>
    <t>anodar_D7L3</t>
  </si>
  <si>
    <t>anoga_epoxy_hydrolase</t>
  </si>
  <si>
    <t xml:space="preserve"> 38-39</t>
  </si>
  <si>
    <t>ExpAA=7.36 First60=6.49 PredHel=0 Topology=o</t>
  </si>
  <si>
    <t xml:space="preserve">2 | 167    YPDRVSR|YV  0.529 *ProP*  | 340    NVTRPKR|SL  0.788 *ProP*  | </t>
  </si>
  <si>
    <t>anocol_epoxy_hydrolase</t>
  </si>
  <si>
    <t>ExpAA=5.55 First60=4.70 PredHel=0 Topology=o</t>
  </si>
  <si>
    <t xml:space="preserve">1 | 340    NVTRPKR|PL  0.617 *ProP*  | </t>
  </si>
  <si>
    <t>anoara_epoxy_hydrolase</t>
  </si>
  <si>
    <t>anoqua_epoxy_hydrolase</t>
  </si>
  <si>
    <t>ExpAA=6.28 First60=5.68 PredHel=0 Topology=o</t>
  </si>
  <si>
    <t xml:space="preserve">1 | 340    NVTRPKR|SL  0.788 *ProP*  | </t>
  </si>
  <si>
    <t>anomer_epoxy_hydrolase</t>
  </si>
  <si>
    <t>ExpAA=5.80 First60=5.66 PredHel=0 Topology=o</t>
  </si>
  <si>
    <t>anomel_epoxy_hydrolase</t>
  </si>
  <si>
    <t>ExpAA=11.08 First60=10.82 PredHel=0 Topology=o</t>
  </si>
  <si>
    <t xml:space="preserve">1 | 340    KVTRPKR|PL  0.613 *ProP*  | </t>
  </si>
  <si>
    <t>anochris_epoxy_hydrolase</t>
  </si>
  <si>
    <t>ExpAA=1.11 First60=0.01 PredHel=0 Topology=o</t>
  </si>
  <si>
    <t>anoepi_epoxy_hydrolase</t>
  </si>
  <si>
    <t>ExpAA=0.08 First60=0.03 PredHel=0 Topology=o</t>
  </si>
  <si>
    <t>anofun_epoxy_hydrolase</t>
  </si>
  <si>
    <t>ExpAA=11.86 First60=11.49 PredHel=0 Topology=o</t>
  </si>
  <si>
    <t>anomin_epoxy_hydrolase</t>
  </si>
  <si>
    <t>ExpAA=8.37 First60=8.09 PredHel=0 Topology=o</t>
  </si>
  <si>
    <t>anocul_epoxy_hydrolase</t>
  </si>
  <si>
    <t>ExpAA=10.18 First60=10.11 PredHel=0 Topology=o</t>
  </si>
  <si>
    <t>anoste_epoxy_hydrolase</t>
  </si>
  <si>
    <t>ExpAA=9.82 First60=9.78 PredHel=0 Topology=o</t>
  </si>
  <si>
    <t>anofar_epoxy_hydrolase</t>
  </si>
  <si>
    <t>ExpAA=0.77 First60=0.76 PredHel=0 Topology=o</t>
  </si>
  <si>
    <t>anodir_epoxy_hydrolase</t>
  </si>
  <si>
    <t xml:space="preserve"> 34-35</t>
  </si>
  <si>
    <t>ExpAA=0.76 First60=0.63 PredHel=0 Topology=o</t>
  </si>
  <si>
    <t xml:space="preserve">1 | 14    CLGRARR|VC  0.505 *ProP*  | </t>
  </si>
  <si>
    <t>anoatro_epoxy_hydrolase</t>
  </si>
  <si>
    <t>ExpAA=0.23 First60=0.22 PredHel=0 Topology=o</t>
  </si>
  <si>
    <t>anosin_epoxy_hydrolase</t>
  </si>
  <si>
    <t>ExpAA=0.02 First60=0.00 PredHel=0 Topology=o</t>
  </si>
  <si>
    <t>anoalb_epoxy_hydrolase</t>
  </si>
  <si>
    <t>ExpAA=1.05 First60=1.03 PredHel=0 Topology=o</t>
  </si>
  <si>
    <t>anodar_epoxy_hydrolase</t>
  </si>
  <si>
    <t>ExpAA=0.79 First60=0.78 PredHel=0 Topology=o</t>
  </si>
  <si>
    <t>anoga_hyp4.2</t>
  </si>
  <si>
    <t>ExpAA=22.32 First60=22.32 PredHel=1 Topology=i5-27o</t>
  </si>
  <si>
    <t xml:space="preserve">1 | 36    EENPVKR|SI  0.594 *ProP*  | </t>
  </si>
  <si>
    <t>anocol_hyp4.2</t>
  </si>
  <si>
    <t>anoara_hyp4.2</t>
  </si>
  <si>
    <t>ExpAA=22.33 First60=22.33 PredHel=1 Topology=i3-25o</t>
  </si>
  <si>
    <t xml:space="preserve">1 | 38    KLNLAKR|SI  0.587 *ProP*  | </t>
  </si>
  <si>
    <t>anoqua_hyp4.2</t>
  </si>
  <si>
    <t>anomer_hyp4.2</t>
  </si>
  <si>
    <t>ExpAA=17.01 First60=17.01 PredHel=1 Topology=i3-25o</t>
  </si>
  <si>
    <t xml:space="preserve">1 | 38    KLNLAKR|SI  0.594 *ProP*  | </t>
  </si>
  <si>
    <t>anomel_hyp4.2</t>
  </si>
  <si>
    <t>anochris_hyp4.2</t>
  </si>
  <si>
    <t>ExpAA=16.43 First60=16.43 PredHel=1 Topology=i3-20o</t>
  </si>
  <si>
    <t>anoepi_hyp4.2</t>
  </si>
  <si>
    <t>ExpAA=15.40 First60=15.40 PredHel=1 Topology=i3-20o</t>
  </si>
  <si>
    <t xml:space="preserve">1 | 40    KLNIVKR|SI  0.536 *ProP*  | </t>
  </si>
  <si>
    <t>anoga_hyp13</t>
  </si>
  <si>
    <t>ExpAA=19.85 First60=19.85 PredHel=1 Topology=o4-26i</t>
  </si>
  <si>
    <t>anocol_hyp13</t>
  </si>
  <si>
    <t>ExpAA=20.20 First60=20.20 PredHel=1 Topology=o4-26i</t>
  </si>
  <si>
    <t>anoara_hyp13</t>
  </si>
  <si>
    <t>ExpAA=18.37 First60=18.37 PredHel=1 Topology=o4-26i</t>
  </si>
  <si>
    <t>anoqua_hyp13</t>
  </si>
  <si>
    <t>anomer_hyp13</t>
  </si>
  <si>
    <t>ExpAA=19.11 First60=19.11 PredHel=1 Topology=o4-26i</t>
  </si>
  <si>
    <t>anomel_hyp13</t>
  </si>
  <si>
    <t>ExpAA=19.67 First60=19.67 PredHel=1 Topology=o4-26i</t>
  </si>
  <si>
    <t>anochris_hyp13</t>
  </si>
  <si>
    <t>ExpAA=17.53 First60=17.53 PredHel=1 Topology=o4-21i</t>
  </si>
  <si>
    <t>anoepi_hyp13</t>
  </si>
  <si>
    <t>ExpAA=18.63 First60=18.63 PredHel=1 Topology=o4-23i</t>
  </si>
  <si>
    <t xml:space="preserve">1 | 32    IRNIAKR|SI  0.714 *ProP*  | </t>
  </si>
  <si>
    <t>anoga_hyp6.2</t>
  </si>
  <si>
    <t>ExpAA=2.19 First60=2.17 PredHel=0 Topology=o</t>
  </si>
  <si>
    <t>anocol_hyp6.2</t>
  </si>
  <si>
    <t>ExpAA=1.88 First60=1.88 PredHel=0 Topology=o</t>
  </si>
  <si>
    <t>anoara_hyp6.2</t>
  </si>
  <si>
    <t>ExpAA=2.13 First60=2.12 PredHel=0 Topology=o</t>
  </si>
  <si>
    <t>anoqua_hyp6.2</t>
  </si>
  <si>
    <t>ExpAA=1.23 First60=1.22 PredHel=0 Topology=o</t>
  </si>
  <si>
    <t>anomer_hyp6.2</t>
  </si>
  <si>
    <t>ExpAA=16.45 First60=16.44 PredHel=1 Topology=o4-22i</t>
  </si>
  <si>
    <t>anomel_hyp6.2</t>
  </si>
  <si>
    <t>ExpAA=2.16 First60=2.15 PredHel=0 Topology=o</t>
  </si>
  <si>
    <t>anochris_hyp6.2</t>
  </si>
  <si>
    <t>ExpAA=26.57 First60=25.77 PredHel=1 Topology=i7-29o</t>
  </si>
  <si>
    <t>anoepi_hyp6.2</t>
  </si>
  <si>
    <t>ExpAA=22.25 First60=22.05 PredHel=1 Topology=i7-29o</t>
  </si>
  <si>
    <t>anofun_hyp6.2</t>
  </si>
  <si>
    <t>ExpAA=13.85 First60=12.05 PredHel=0 Topology=o</t>
  </si>
  <si>
    <t>anomin_hyp6.2</t>
  </si>
  <si>
    <t xml:space="preserve"> 31-32</t>
  </si>
  <si>
    <t>ExpAA=20.96 First60=20.66 PredHel=1 Topology=i7-29o</t>
  </si>
  <si>
    <t>anocul_hyp6.2</t>
  </si>
  <si>
    <t>ExpAA=5.83 First60=5.75 PredHel=0 Topology=i</t>
  </si>
  <si>
    <t>anofar_hyp6.2</t>
  </si>
  <si>
    <t>ExpAA=24.76 First60=21.61 PredHel=1 Topology=o5-24i</t>
  </si>
  <si>
    <t>anodir_hyp6.2</t>
  </si>
  <si>
    <t>ExpAA=6.57 First60=6.17 PredHel=0 Topology=i</t>
  </si>
  <si>
    <t>anoatro_hyp6.2</t>
  </si>
  <si>
    <t>ExpAA=21.52 First60=21.20 PredHel=1 Topology=i12-34o</t>
  </si>
  <si>
    <t>anoalb_hyp6.2</t>
  </si>
  <si>
    <t xml:space="preserve"> 35-36</t>
  </si>
  <si>
    <t>ExpAA=23.21 First60=22.72 PredHel=1 Topology=i13-35o</t>
  </si>
  <si>
    <t>anodar_hyp6.2</t>
  </si>
  <si>
    <t>ExpAA=30.94 First60=25.51 PredHel=1 Topology=i17-39o</t>
  </si>
  <si>
    <t>anoga_hyp8.2</t>
  </si>
  <si>
    <t>ExpAA=0.13 First60=0.13 PredHel=0 Topology=o</t>
  </si>
  <si>
    <t>anocol_hyp8.2</t>
  </si>
  <si>
    <t>anoara_hyp8.2</t>
  </si>
  <si>
    <t>anoqua_hyp8.2</t>
  </si>
  <si>
    <t>anomer_hyp8.2</t>
  </si>
  <si>
    <t>ExpAA=0.09 First60=0.09 PredHel=0 Topology=o</t>
  </si>
  <si>
    <t>anomel_hyp8.2</t>
  </si>
  <si>
    <t>anochris_hyp8.2</t>
  </si>
  <si>
    <t>anoepi_hyp8.2</t>
  </si>
  <si>
    <t>anofun_hyp8.2</t>
  </si>
  <si>
    <t>anomin_hyp8.2</t>
  </si>
  <si>
    <t>ExpAA=6.21 First60=6.21 PredHel=0 Topology=o</t>
  </si>
  <si>
    <t>anocul_hyp8.2</t>
  </si>
  <si>
    <t>ExpAA=16.83 First60=16.83 PredHel=1 Topology=o4-23i</t>
  </si>
  <si>
    <t>anoste_hyp8.2</t>
  </si>
  <si>
    <t>ExpAA=6.71 First60=6.71 PredHel=0 Topology=o</t>
  </si>
  <si>
    <t>anomac_hyp8.2</t>
  </si>
  <si>
    <t>ExpAA=11.26 First60=11.25 PredHel=0 Topology=o</t>
  </si>
  <si>
    <t>anofar_hyp8.2</t>
  </si>
  <si>
    <t>ExpAA=14.04 First60=14.04 PredHel=0 Topology=o</t>
  </si>
  <si>
    <t>anodir_hyp8.2</t>
  </si>
  <si>
    <t>ExpAA=0.40 First60=0.40 PredHel=0 Topology=o</t>
  </si>
  <si>
    <t>anoatro_hyp8.2</t>
  </si>
  <si>
    <t>anosin_hyp8.2</t>
  </si>
  <si>
    <t>ExpAA=0.22 First60=0.22 PredHel=0 Topology=o</t>
  </si>
  <si>
    <t>anoalb_hyp8.2</t>
  </si>
  <si>
    <t>ExpAA=10.18 First60=10.18 PredHel=0 Topology=o</t>
  </si>
  <si>
    <t>anodar_hyp8.2</t>
  </si>
  <si>
    <t>ExpAA=17.67 First60=17.67 PredHel=1 Topology=i5-22o</t>
  </si>
  <si>
    <t>anoga_hyp10</t>
  </si>
  <si>
    <t>ExpAA=13.51 First60=13.51 PredHel=0 Topology=o</t>
  </si>
  <si>
    <t>anocol_hyp10</t>
  </si>
  <si>
    <t>ExpAA=13.43 First60=13.43 PredHel=0 Topology=o</t>
  </si>
  <si>
    <t>anoara_hyp10</t>
  </si>
  <si>
    <t>ExpAA=12.92 First60=12.92 PredHel=0 Topology=o</t>
  </si>
  <si>
    <t>anoqua_hyp10</t>
  </si>
  <si>
    <t>ExpAA=10.40 First60=10.40 PredHel=0 Topology=o</t>
  </si>
  <si>
    <t>anomer_hyp10</t>
  </si>
  <si>
    <t>ExpAA=12.95 First60=12.95 PredHel=0 Topology=o</t>
  </si>
  <si>
    <t>anomel_hyp10</t>
  </si>
  <si>
    <t>ExpAA=5.50 First60=5.50 PredHel=0 Topology=o</t>
  </si>
  <si>
    <t>anochris_hyp10</t>
  </si>
  <si>
    <t>ExpAA=1.82 First60=1.82 PredHel=0 Topology=o</t>
  </si>
  <si>
    <t>.</t>
  </si>
  <si>
    <t>anoepi_hyp10</t>
  </si>
  <si>
    <t>anofun_hyp10</t>
  </si>
  <si>
    <t>ExpAA=1.12 First60=1.12 PredHel=0 Topology=o</t>
  </si>
  <si>
    <t>anomin_hyp10</t>
  </si>
  <si>
    <t>ExpAA=1.36 First60=1.36 PredHel=0 Topology=o</t>
  </si>
  <si>
    <t>anocul-hyp10</t>
  </si>
  <si>
    <t>ExpAA=0.79 First60=0.79 PredHel=0 Topology=o</t>
  </si>
  <si>
    <t>anoste_hyp10</t>
  </si>
  <si>
    <t>ExpAA=1.31 First60=1.31 PredHel=0 Topology=o</t>
  </si>
  <si>
    <t>anofar_hyp10</t>
  </si>
  <si>
    <t>anodir-hyp10</t>
  </si>
  <si>
    <t>ExpAA=20.43 First60=20.43 PredHel=1 Topology=i7-29o</t>
  </si>
  <si>
    <t>anoga_hyp12</t>
  </si>
  <si>
    <t>ExpAA=0.49 First60=0.49 PredHel=0 Topology=o</t>
  </si>
  <si>
    <t>anocol_hyp12</t>
  </si>
  <si>
    <t>ExpAA=1.01 First60=1.01 PredHel=0 Topology=o</t>
  </si>
  <si>
    <t>anoara_hyp12</t>
  </si>
  <si>
    <t>anoqua_hyp12</t>
  </si>
  <si>
    <t>anomer_hyp12</t>
  </si>
  <si>
    <t>ExpAA=2.29 First60=2.29 PredHel=0 Topology=o</t>
  </si>
  <si>
    <t>anomel_hyp12</t>
  </si>
  <si>
    <t>ExpAA=0.16 First60=0.16 PredHel=0 Topology=o</t>
  </si>
  <si>
    <t>anochris_hyp12</t>
  </si>
  <si>
    <t>ExpAA=0.06 First60=0.06 PredHel=0 Topology=o</t>
  </si>
  <si>
    <t>anoepi_hyp12</t>
  </si>
  <si>
    <t>ExpAA=5.87 First60=5.87 PredHel=0 Topology=o</t>
  </si>
  <si>
    <t>anofun_hyp12</t>
  </si>
  <si>
    <t>anomin_hyp12</t>
  </si>
  <si>
    <t>anocul_hyp12</t>
  </si>
  <si>
    <t>anoste_hyp12</t>
  </si>
  <si>
    <t>anofar_hyp12</t>
  </si>
  <si>
    <t>anodir-hyp12</t>
  </si>
  <si>
    <t>anoga_hyp15</t>
  </si>
  <si>
    <t>ExpAA=30.74 First60=21.93 PredHel=1 Topology=i12-30o</t>
  </si>
  <si>
    <t>anocol_hyp15</t>
  </si>
  <si>
    <t>ExpAA=30.96 First60=22.12 PredHel=1 Topology=i7-29o</t>
  </si>
  <si>
    <t>anoara_hyp15</t>
  </si>
  <si>
    <t>ExpAA=30.35 First60=22.34 PredHel=1 Topology=i7-29o</t>
  </si>
  <si>
    <t>anoqua_hyp15</t>
  </si>
  <si>
    <t>ExpAA=29.87 First60=22.15 PredHel=1 Topology=i7-29o</t>
  </si>
  <si>
    <t>anomer_hyp15</t>
  </si>
  <si>
    <t>ExpAA=32.94 First60=22.28 PredHel=1 Topology=i12-30o</t>
  </si>
  <si>
    <t>anomel_hyp15</t>
  </si>
  <si>
    <t>ExpAA=30.60 First60=21.76 PredHel=1 Topology=i12-30o</t>
  </si>
  <si>
    <t>anofun_hyp15</t>
  </si>
  <si>
    <t>ExpAA=8.47 First60=4.97 PredHel=0 Topology=o</t>
  </si>
  <si>
    <t>anomin_hyp15</t>
  </si>
  <si>
    <t>ExpAA=6.34 First60=2.91 PredHel=0 Topology=o</t>
  </si>
  <si>
    <t>anocul_hyp15</t>
  </si>
  <si>
    <t>ExpAA=24.35 First60=17.40 PredHel=0 Topology=o</t>
  </si>
  <si>
    <t>anoste_hyp15</t>
  </si>
  <si>
    <t>ExpAA=20.53 First60=13.89 PredHel=0 Topology=o</t>
  </si>
  <si>
    <t>anodir_hyp15</t>
  </si>
  <si>
    <t>ExpAA=26.20 First60=23.95 PredHel=1 Topology=o10-32i</t>
  </si>
  <si>
    <t>anoatro_hyp15</t>
  </si>
  <si>
    <t>ExpAA=20.39 First60=14.90 PredHel=0 Topology=i</t>
  </si>
  <si>
    <t>anosin_hyp15</t>
  </si>
  <si>
    <t>ExpAA=29.64 First60=23.39 PredHel=1 Topology=i7-26o</t>
  </si>
  <si>
    <t>anoalb_hyp15</t>
  </si>
  <si>
    <t>ExpAA=17.76 First60=13.66 PredHel=0 Topology=o</t>
  </si>
  <si>
    <t>anodar_hyp15</t>
  </si>
  <si>
    <t>ExpAA=26.75 First60=22.14 PredHel=1 Topology=i7-29o</t>
  </si>
  <si>
    <t>anoga_hyp17</t>
  </si>
  <si>
    <t>ExpAA=33.44 First60=24.63 PredHel=1 Topology=i7-29o</t>
  </si>
  <si>
    <t>anocol_hyp17</t>
  </si>
  <si>
    <t>anoara_hyp17</t>
  </si>
  <si>
    <t>ExpAA=33.38 First60=24.48 PredHel=1 Topology=i7-29o</t>
  </si>
  <si>
    <t>anoqua_hyp17</t>
  </si>
  <si>
    <t>ExpAA=33.41 First60=24.63 PredHel=1 Topology=i7-29o</t>
  </si>
  <si>
    <t>anomer_hyp17</t>
  </si>
  <si>
    <t>ExpAA=33.56 First60=24.24 PredHel=1 Topology=i7-29o</t>
  </si>
  <si>
    <t>anomel_hyp17</t>
  </si>
  <si>
    <t>ExpAA=29.58 First60=21.39 PredHel=1 Topology=i7-29o</t>
  </si>
  <si>
    <t>anoga_hyp37.7</t>
  </si>
  <si>
    <t>ExpAA=20.68 First60=19.12 PredHel=1 Topology=i7-24o</t>
  </si>
  <si>
    <t>anocol_hyp37.7</t>
  </si>
  <si>
    <t>ExpAA=19.15 First60=18.58 PredHel=1 Topology=i7-24o</t>
  </si>
  <si>
    <t>anoara_hyp37.7</t>
  </si>
  <si>
    <t>ExpAA=20.56 First60=19.07 PredHel=1 Topology=i7-24o</t>
  </si>
  <si>
    <t>anoqua_hyp37.7</t>
  </si>
  <si>
    <t>ExpAA=17.34 First60=15.51 PredHel=0 Topology=o</t>
  </si>
  <si>
    <t>anomer_hyp37.7</t>
  </si>
  <si>
    <t>ExpAA=14.91 First60=13.29 PredHel=0 Topology=o</t>
  </si>
  <si>
    <t>anomel_hyp37.7</t>
  </si>
  <si>
    <t>ExpAA=17.89 First60=16.75 PredHel=1 Topology=i7-24o</t>
  </si>
  <si>
    <t>anochris_hyp37.7</t>
  </si>
  <si>
    <t>ExpAA=23.68 First60=23.14 PredHel=1 Topology=i7-29o</t>
  </si>
  <si>
    <t>anoepi_hyp37.7</t>
  </si>
  <si>
    <t>ExpAA=5.22 First60=5.10 PredHel=0 Topology=o</t>
  </si>
  <si>
    <t>anofun_hyp37.7</t>
  </si>
  <si>
    <t>ExpAA=3.71 First60=2.90 PredHel=0 Topology=o</t>
  </si>
  <si>
    <t>anomin_hyp37.7</t>
  </si>
  <si>
    <t>ExpAA=6.54 First60=6.16 PredHel=0 Topology=o</t>
  </si>
  <si>
    <t>anocul_hyp37.7</t>
  </si>
  <si>
    <t>ExpAA=0.09 First60=0.07 PredHel=0 Topology=o</t>
  </si>
  <si>
    <t>anoste_hyp37.7</t>
  </si>
  <si>
    <t>ExpAA=0.95 First60=0.36 PredHel=0 Topology=o</t>
  </si>
  <si>
    <t>anomac_hyp37.7</t>
  </si>
  <si>
    <t>ExpAA=18.02 First60=18.01 PredHel=1 Topology=i7-24o</t>
  </si>
  <si>
    <t>anofar_hyp37.7</t>
  </si>
  <si>
    <t>ExpAA=15.02 First60=14.63 PredHel=1 Topology=i5-22o</t>
  </si>
  <si>
    <t>anodir_hyp37.7</t>
  </si>
  <si>
    <t>ExpAA=0.99 First60=0.96 PredHel=0 Topology=o</t>
  </si>
  <si>
    <t>anoatro_hyp37.7</t>
  </si>
  <si>
    <t>ExpAA=12.83 First60=12.67 PredHel=0 Topology=o</t>
  </si>
  <si>
    <t>anosin_hyp37.7</t>
  </si>
  <si>
    <t>ExpAA=0.02 First60=0.01 PredHel=0 Topology=o</t>
  </si>
  <si>
    <t>anoalb_hyp37.7</t>
  </si>
  <si>
    <t>anodar_hyp37.7</t>
  </si>
  <si>
    <t>ExpAA=20.12 First60=19.92 PredHel=1 Topology=i7-29o</t>
  </si>
  <si>
    <t>anoga_hyp37.7-2</t>
  </si>
  <si>
    <t>ExpAA=19.20 First60=18.87 PredHel=1 Topology=i7-25o</t>
  </si>
  <si>
    <t>anocol_hyp37.7-2</t>
  </si>
  <si>
    <t>ExpAA=10.62 First60=10.25 PredHel=0 Topology=o</t>
  </si>
  <si>
    <t>anoara_hyp37.7-2</t>
  </si>
  <si>
    <t>ExpAA=19.48 First60=18.89 PredHel=1 Topology=i7-25o</t>
  </si>
  <si>
    <t>anoqua_hyp37.7-2</t>
  </si>
  <si>
    <t>ExpAA=10.77 First60=10.39 PredHel=0 Topology=o</t>
  </si>
  <si>
    <t>anomer_hyp37.7-2</t>
  </si>
  <si>
    <t>ExpAA=20.22 First60=18.74 PredHel=1 Topology=i7-25o</t>
  </si>
  <si>
    <t>anochris_hyp37.7-2</t>
  </si>
  <si>
    <t>ExpAA=7.51 First60=7.48 PredHel=0 Topology=o</t>
  </si>
  <si>
    <t xml:space="preserve">1 | 54    EYHRRVR|DT  0.513 *ProP*  | </t>
  </si>
  <si>
    <t>anoepi_hyp37.7-2</t>
  </si>
  <si>
    <t>ExpAA=16.24 First60=16.20 PredHel=1 Topology=i7-24o</t>
  </si>
  <si>
    <t>anofun_hyp37.7-2</t>
  </si>
  <si>
    <t>ExpAA=6.37 First60=6.29 PredHel=0 Topology=o</t>
  </si>
  <si>
    <t>anoste_hyp37.7-2</t>
  </si>
  <si>
    <t>ExpAA=14.53 First60=14.49 PredHel=1 Topology=i7-24o</t>
  </si>
  <si>
    <t>anomac_hyp37.7-2</t>
  </si>
  <si>
    <t>anofar_hyp37.7-2</t>
  </si>
  <si>
    <t>anodir_hyp37.7-2a</t>
  </si>
  <si>
    <t>anodir_hyp37.7-2b</t>
  </si>
  <si>
    <t>ExpAA=0.31 First60=0.00 PredHel=0 Topology=o</t>
  </si>
  <si>
    <t xml:space="preserve">1 | 165    DDGRVWR|QV  0.629 *ProP*  | </t>
  </si>
  <si>
    <t>anoalb_hyp37.7-2b</t>
  </si>
  <si>
    <t>anofun_hyp37.7-3</t>
  </si>
  <si>
    <t>ExpAA=7.67 First60=7.60 PredHel=0 Topology=o</t>
  </si>
  <si>
    <t>anomin_hyp37.7-3</t>
  </si>
  <si>
    <t>ExpAA=7.41 First60=7.33 PredHel=0 Topology=o</t>
  </si>
  <si>
    <t>anofar_hyp37.7-3</t>
  </si>
  <si>
    <t>ExpAA=0.58 First60=0.54 PredHel=0 Topology=o</t>
  </si>
  <si>
    <t>anodir_hyp37.7-3b</t>
  </si>
  <si>
    <t>anoalb_hyp37.7-3a</t>
  </si>
  <si>
    <t>anoalb_hyp37.7-3b</t>
  </si>
  <si>
    <t>anodar_hyp37.7-3</t>
  </si>
  <si>
    <t>anoga_Sal_amy</t>
  </si>
  <si>
    <t>ExpAA=0.25 First60=0.17 PredHel=0 Topology=o</t>
  </si>
  <si>
    <t>anocol_Sal_amy</t>
  </si>
  <si>
    <t>ExpAA=1.04 First60=0.51 PredHel=0 Topology=o</t>
  </si>
  <si>
    <t>anoara_Sal_amy</t>
  </si>
  <si>
    <t>ExpAA=0.67 First60=0.28 PredHel=0 Topology=o</t>
  </si>
  <si>
    <t>anoqua_Sal_amy</t>
  </si>
  <si>
    <t>ExpAA=0.20 First60=0.19 PredHel=0 Topology=o</t>
  </si>
  <si>
    <t>anomer_Sal_amy</t>
  </si>
  <si>
    <t>ExpAA=0.59 First60=0.51 PredHel=0 Topology=o</t>
  </si>
  <si>
    <t>anomel_Sal_amy</t>
  </si>
  <si>
    <t>ExpAA=0.49 First60=0.41 PredHel=0 Topology=o</t>
  </si>
  <si>
    <t>anochris_Sal_amy</t>
  </si>
  <si>
    <t>ExpAA=1.40 First60=1.28 PredHel=0 Topology=o</t>
  </si>
  <si>
    <t>anofun_Sal_amy</t>
  </si>
  <si>
    <t>ExpAA=10.49 First60=10.05 PredHel=0 Topology=o</t>
  </si>
  <si>
    <t>anomin_Sal_amy</t>
  </si>
  <si>
    <t xml:space="preserve"> 15-16</t>
  </si>
  <si>
    <t>ExpAA=3.70 First60=3.65 PredHel=0 Topology=o</t>
  </si>
  <si>
    <t>anocul_Sal_amy</t>
  </si>
  <si>
    <t>ExpAA=15.54 First60=15.52 PredHel=0 Topology=o</t>
  </si>
  <si>
    <t>anoste_Sal_amy</t>
  </si>
  <si>
    <t>ExpAA=0.81 First60=0.75 PredHel=0 Topology=o</t>
  </si>
  <si>
    <t>anofar_Sal_amy</t>
  </si>
  <si>
    <t>ExpAA=7.43 First60=7.30 PredHel=0 Topology=o</t>
  </si>
  <si>
    <t>anodir_Sal_amy</t>
  </si>
  <si>
    <t>ExpAA=21.97 First60=21.95 PredHel=1 Topology=i7-29o</t>
  </si>
  <si>
    <t>anoatro_Sal_amy</t>
  </si>
  <si>
    <t>ExpAA=2.16 First60=1.94 PredHel=0 Topology=o</t>
  </si>
  <si>
    <t>anosin_Sal_Amy</t>
  </si>
  <si>
    <t>ExpAA=0.57 First60=0.54 PredHel=0 Topology=o</t>
  </si>
  <si>
    <t>anoalb_Sal_amy</t>
  </si>
  <si>
    <t>ExpAA=11.36 First60=11.31 PredHel=0 Topology=o</t>
  </si>
  <si>
    <t>anodar_Sal_amy</t>
  </si>
  <si>
    <t>ExpAA=20.03 First60=20.00 PredHel=1 Topology=i7-29o</t>
  </si>
  <si>
    <t>anoga_Sal_Maltase</t>
  </si>
  <si>
    <t xml:space="preserve">1 | 494    TAYRKRR|LL  0.587 *ProP*  | </t>
  </si>
  <si>
    <t>anocol_Sal_Maltase</t>
  </si>
  <si>
    <t>anoara_Sal_Maltase</t>
  </si>
  <si>
    <t xml:space="preserve">1 | 494    TAYRKRR|LL  0.553 *ProP*  | </t>
  </si>
  <si>
    <t>anoqua_Sal_Maltase</t>
  </si>
  <si>
    <t>anomer_Sal_Maltase</t>
  </si>
  <si>
    <t>anochris_Sal_Maltase</t>
  </si>
  <si>
    <t xml:space="preserve">1 | 495    TGYRKRR|LL  0.550 *ProP*  | </t>
  </si>
  <si>
    <t>anoepi_Sal_Maltase</t>
  </si>
  <si>
    <t>ExpAA=0.03 First60=0.00 PredHel=0 Topology=o</t>
  </si>
  <si>
    <t xml:space="preserve">1 | 494    TSYRKRR|LL  0.672 *ProP*  | </t>
  </si>
  <si>
    <t>anofun_Sal_Maltase</t>
  </si>
  <si>
    <t>ExpAA=0.39 First60=0.39 PredHel=0 Topology=o</t>
  </si>
  <si>
    <t xml:space="preserve">1 | 494    TSYRKRR|LL  0.630 *ProP*  | </t>
  </si>
  <si>
    <t>anomin_Sal_Maltase</t>
  </si>
  <si>
    <t>ExpAA=0.11 First60=0.10 PredHel=0 Topology=o</t>
  </si>
  <si>
    <t>anocul_Sal_Maltase</t>
  </si>
  <si>
    <t>ExpAA=0.24 First60=0.23 PredHel=0 Topology=o</t>
  </si>
  <si>
    <t xml:space="preserve">1 | 495    TSYRKRR|LL  0.630 *ProP*  | </t>
  </si>
  <si>
    <t>anoste_Sal_Maltase</t>
  </si>
  <si>
    <t xml:space="preserve">1 | 499    TDYRKRR|LL  0.606 *ProP*  | </t>
  </si>
  <si>
    <t>anofar_Sal_Maltase</t>
  </si>
  <si>
    <t>ExpAA=0.06 First60=0.01 PredHel=0 Topology=o</t>
  </si>
  <si>
    <t xml:space="preserve">1 | 494    TAYRKRR|LI  0.568 *ProP*  | </t>
  </si>
  <si>
    <t>anodir_Sal_Maltase</t>
  </si>
  <si>
    <t>ExpAA=0.09 First60=0.00 PredHel=0 Topology=o</t>
  </si>
  <si>
    <t xml:space="preserve">1 | 494    TAYRKRR|LL  0.552 *ProP*  | </t>
  </si>
  <si>
    <t>anoatro_Sal_Maltase</t>
  </si>
  <si>
    <t>ExpAA=3.35 First60=3.27 PredHel=0 Topology=o</t>
  </si>
  <si>
    <t xml:space="preserve">1 | 494    TGYRKRR|LL  0.549 *ProP*  | </t>
  </si>
  <si>
    <t>anosin_Sal_Maltase</t>
  </si>
  <si>
    <t>ExpAA=1.35 First60=0.92 PredHel=0 Topology=o</t>
  </si>
  <si>
    <t xml:space="preserve">1 | 494    TNYRKRR|LL  0.600 *ProP*  | </t>
  </si>
  <si>
    <t>anoalb_Sal_Maltase</t>
  </si>
  <si>
    <t xml:space="preserve">1 | 494    THYRKRR|LL  0.553 *ProP*  | </t>
  </si>
  <si>
    <t>anodar_Sal_Maltase</t>
  </si>
  <si>
    <t>ExpAA=0.64 First60=0.64 PredHel=0 Topology=o</t>
  </si>
  <si>
    <t>anoga_Sal_Perox</t>
  </si>
  <si>
    <t>anoara_Sal_Perox</t>
  </si>
  <si>
    <t>anoqua_Sal_Perox</t>
  </si>
  <si>
    <t>ExpAA=1.50 First60=1.50 PredHel=0 Topology=o</t>
  </si>
  <si>
    <t>anomer_Sal_Perox</t>
  </si>
  <si>
    <t>anomel_Sal_Perox</t>
  </si>
  <si>
    <t>ExpAA=1.11 First60=1.06 PredHel=0 Topology=o</t>
  </si>
  <si>
    <t>anochris_Sal_Perox</t>
  </si>
  <si>
    <t>ExpAA=0.29 First60=0.29 PredHel=0 Topology=o</t>
  </si>
  <si>
    <t>anoepi_Sal_Perox</t>
  </si>
  <si>
    <t>anofun_Sal_Perox</t>
  </si>
  <si>
    <t>anomin_Sal_Perox</t>
  </si>
  <si>
    <t>anocul_Sal_Perox</t>
  </si>
  <si>
    <t>ExpAA=1.42 First60=1.41 PredHel=0 Topology=o</t>
  </si>
  <si>
    <t>anoste_Sal_perox</t>
  </si>
  <si>
    <t>ExpAA=0.12 First60=0.11 PredHel=0 Topology=o</t>
  </si>
  <si>
    <t>anofar_Sal_perox</t>
  </si>
  <si>
    <t>ExpAA=7.99 First60=7.98 PredHel=0 Topology=o</t>
  </si>
  <si>
    <t>anodir_Sal_Perox</t>
  </si>
  <si>
    <t>ExpAA=0.56 First60=0.56 PredHel=0 Topology=o</t>
  </si>
  <si>
    <t>anoatro_Sal_Perox</t>
  </si>
  <si>
    <t>anosin_Sal_Perox</t>
  </si>
  <si>
    <t>anoalb_Sal_Perox</t>
  </si>
  <si>
    <t>anoalb_Sal_Perox2</t>
  </si>
  <si>
    <t>anodar_Sal_Perox</t>
  </si>
  <si>
    <t>anodar_Sal_Perox2</t>
  </si>
  <si>
    <t>anoga_Sal_SerPro1</t>
  </si>
  <si>
    <t>ExpAA=20.88 First60=20.76 PredHel=1 Topology=i7-29o</t>
  </si>
  <si>
    <t>anocol_Sal_SerPro1</t>
  </si>
  <si>
    <t>ExpAA=20.96 First60=20.85 PredHel=1 Topology=i7-29o</t>
  </si>
  <si>
    <t>anoara_Sal_SerPro1</t>
  </si>
  <si>
    <t>anoqua_Sal_SerPro1</t>
  </si>
  <si>
    <t>anomer_Sal_SerPro1</t>
  </si>
  <si>
    <t>ExpAA=20.98 First60=20.85 PredHel=1 Topology=i7-29o</t>
  </si>
  <si>
    <t>anomel_Sal_SerPro1</t>
  </si>
  <si>
    <t>ExpAA=20.93 First60=20.85 PredHel=1 Topology=i7-29o</t>
  </si>
  <si>
    <t>anochris_Sal_SerPro1</t>
  </si>
  <si>
    <t>ExpAA=14.27 First60=12.63 PredHel=0 Topology=o</t>
  </si>
  <si>
    <t>anoepi_Sal_SerPro1</t>
  </si>
  <si>
    <t>ExpAA=18.69 First60=13.69 PredHel=0 Topology=o</t>
  </si>
  <si>
    <t>anofun_Sal_SerPro1</t>
  </si>
  <si>
    <t>ExpAA=3.52 First60=2.39 PredHel=0 Topology=o</t>
  </si>
  <si>
    <t>anomin_Sal_SerPro1</t>
  </si>
  <si>
    <t>ExpAA=15.28 First60=15.22 PredHel=1 Topology=i7-29o</t>
  </si>
  <si>
    <t>anocul_Sal_SerPro1</t>
  </si>
  <si>
    <t>ExpAA=9.72 First60=9.63 PredHel=0 Topology=o</t>
  </si>
  <si>
    <t>anoste_Sal_SerPro1</t>
  </si>
  <si>
    <t>ExpAA=16.13 First60=13.33 PredHel=0 Topology=o</t>
  </si>
  <si>
    <t>anomac_Sal_SerPro1</t>
  </si>
  <si>
    <t>ExpAA=20.33 First60=17.81 PredHel=1 Topology=i7-26o</t>
  </si>
  <si>
    <t>anofar_Sal_SerPro1</t>
  </si>
  <si>
    <t>ExpAA=26.61 First60=21.61 PredHel=1 Topology=i7-29o</t>
  </si>
  <si>
    <t>anodir_Sal_SerPro1</t>
  </si>
  <si>
    <t>ExpAA=9.14 First60=7.83 PredHel=0 Topology=o</t>
  </si>
  <si>
    <t>anoatro_Sal_SerPro1</t>
  </si>
  <si>
    <t>ExpAA=4.26 First60=2.83 PredHel=0 Topology=o</t>
  </si>
  <si>
    <t>anosin_Sal_SerPro1</t>
  </si>
  <si>
    <t>ExpAA=17.46 First60=15.99 PredHel=1 Topology=i2-24o</t>
  </si>
  <si>
    <t>anoalb_Sal_SerPro1</t>
  </si>
  <si>
    <t>ExpAA=13.15 First60=11.04 PredHel=0 Topology=o</t>
  </si>
  <si>
    <t>anodar_Sal_SerPro1</t>
  </si>
  <si>
    <t>ExpAA=11.93 First60=11.27 PredHel=0 Topology=o</t>
  </si>
  <si>
    <t>anoga_Sal_SerPro2</t>
  </si>
  <si>
    <t>ExpAA=25.94 First60=21.70 PredHel=1 Topology=i5-27o</t>
  </si>
  <si>
    <t>anocol_Sal_SerPro2</t>
  </si>
  <si>
    <t>anoara_Sal_SerPro2</t>
  </si>
  <si>
    <t>anoqua_Sal_SerPro2</t>
  </si>
  <si>
    <t>ExpAA=25.48 First60=21.63 PredHel=1 Topology=i5-27o</t>
  </si>
  <si>
    <t>anoga_Sal_SerPro3</t>
  </si>
  <si>
    <t>ExpAA=21.50 First60=14.42 PredHel=0 Topology=o</t>
  </si>
  <si>
    <t>anocol_Sal_SerPro3</t>
  </si>
  <si>
    <t>ExpAA=18.97 First60=13.92 PredHel=0 Topology=o</t>
  </si>
  <si>
    <t>anoara_Sal_SerPro3</t>
  </si>
  <si>
    <t>anoqua_Sal_SerPro3</t>
  </si>
  <si>
    <t>ExpAA=22.55 First60=16.58 PredHel=0 Topology=o</t>
  </si>
  <si>
    <t>anomer_Sal_SerPro3</t>
  </si>
  <si>
    <t>ExpAA=19.07 First60=13.79 PredHel=0 Topology=o</t>
  </si>
  <si>
    <t>anochris_Sal_SerPro3</t>
  </si>
  <si>
    <t>ExpAA=16.87 First60=16.05 PredHel=1 Topology=i5-27o</t>
  </si>
  <si>
    <t>anoepi_Sal_SerPro3</t>
  </si>
  <si>
    <t>ExpAA=12.89 First60=12.30 PredHel=0 Topology=o</t>
  </si>
  <si>
    <t>anofun_Sal_SerPro3</t>
  </si>
  <si>
    <t>ExpAA=8.07 First60=7.65 PredHel=0 Topology=o</t>
  </si>
  <si>
    <t>anomin_Sal_SerPro3</t>
  </si>
  <si>
    <t>ExpAA=6.39 First60=5.93 PredHel=0 Topology=o</t>
  </si>
  <si>
    <t>anocul_Sal_SerPro3</t>
  </si>
  <si>
    <t>ExpAA=3.52 First60=3.23 PredHel=0 Topology=o</t>
  </si>
  <si>
    <t>anoste_Sal_SerPro3</t>
  </si>
  <si>
    <t>ExpAA=17.52 First60=17.09 PredHel=1 Topology=i7-29o</t>
  </si>
  <si>
    <t>anofar_Sal_SerPro3</t>
  </si>
  <si>
    <t>ExpAA=10.68 First60=10.50 PredHel=0 Topology=o</t>
  </si>
  <si>
    <t>anodir_Sal_SerPro3</t>
  </si>
  <si>
    <t>ExpAA=24.73 First60=19.96 PredHel=1 Topology=i5-27o</t>
  </si>
  <si>
    <t>anoatro_Sal_SerPro3</t>
  </si>
  <si>
    <t>ExpAA=16.26 First60=14.93 PredHel=1 Topology=i2-21o</t>
  </si>
  <si>
    <t>anosin_Sal_SerPro3</t>
  </si>
  <si>
    <t>ExpAA=19.40 First60=19.03 PredHel=1 Topology=i2-24o</t>
  </si>
  <si>
    <t>anoalb_Sal_SerPro3</t>
  </si>
  <si>
    <t>ExpAA=27.12 First60=18.47 PredHel=1 Topology=i2-24o</t>
  </si>
  <si>
    <t>anodar_Sal_SerPro3</t>
  </si>
  <si>
    <t>ExpAA=16.16 First60=13.85 PredHel=0 Topology=o</t>
  </si>
  <si>
    <t>anoga_Sal_trypXII</t>
  </si>
  <si>
    <t>ExpAA=21.62 First60=16.15 PredHel=0 Topology=o</t>
  </si>
  <si>
    <t>anocol_Sal_trypXII</t>
  </si>
  <si>
    <t>ExpAA=21.19 First60=15.56 PredHel=0 Topology=o</t>
  </si>
  <si>
    <t>anoara_Sal_trypXII</t>
  </si>
  <si>
    <t>ExpAA=17.63 First60=13.19 PredHel=0 Topology=o</t>
  </si>
  <si>
    <t>anoqua_Sal_trypXII</t>
  </si>
  <si>
    <t>ExpAA=20.70 First60=15.41 PredHel=0 Topology=o</t>
  </si>
  <si>
    <t>anomer_Sal_trypXII</t>
  </si>
  <si>
    <t>ExpAA=23.34 First60=17.38 PredHel=0 Topology=o</t>
  </si>
  <si>
    <t>anochris_Sal_trypXII</t>
  </si>
  <si>
    <t>ExpAA=26.17 First60=22.29 PredHel=1 Topology=i5-27o</t>
  </si>
  <si>
    <t>anoepi_Sal_trypXII</t>
  </si>
  <si>
    <t>ExpAA=11.57 First60=10.28 PredHel=0 Topology=o</t>
  </si>
  <si>
    <t>anofun_Sal_trypXII</t>
  </si>
  <si>
    <t>ExpAA=30.25 First60=21.59 PredHel=1 Topology=i5-27o</t>
  </si>
  <si>
    <t>anomin_Sal_trypXII</t>
  </si>
  <si>
    <t>ExpAA=15.65 First60=13.56 PredHel=0 Topology=o</t>
  </si>
  <si>
    <t>anocul_Sal_trypXII</t>
  </si>
  <si>
    <t>ExpAA=16.19 First60=13.86 PredHel=0 Topology=o</t>
  </si>
  <si>
    <t>anoste_Sal_trypXII</t>
  </si>
  <si>
    <t>ExpAA=11.12 First60=7.15 PredHel=0 Topology=o</t>
  </si>
  <si>
    <t>anofar_Sal_trypXII</t>
  </si>
  <si>
    <t>ExpAA=29.67 First60=21.63 PredHel=1 Topology=i7-29o</t>
  </si>
  <si>
    <t>anodir_Sal_trypXII</t>
  </si>
  <si>
    <t>ExpAA=18.11 First60=17.10 PredHel=1 Topology=i5-27o</t>
  </si>
  <si>
    <t>anoatro_Sal_trypXII</t>
  </si>
  <si>
    <t>ExpAA=33.13 First60=18.43 PredHel=1 Topology=i7-29o</t>
  </si>
  <si>
    <t>anoalb_Sal_trypXII</t>
  </si>
  <si>
    <t>ExpAA=14.24 First60=2.82 PredHel=0 Topology=o</t>
  </si>
  <si>
    <t>anodar_Sal_trypXII</t>
  </si>
  <si>
    <t>ExpAA=3.97 First60=0.49 PredHel=0 Topology=o</t>
  </si>
  <si>
    <t xml:space="preserve">1 | 159    TLWRRRR|GQ  0.609 *ProP*  | </t>
  </si>
  <si>
    <t>anoga_SG1</t>
  </si>
  <si>
    <t>ExpAA=1.86 First60=1.85 PredHel=0 Topology=o</t>
  </si>
  <si>
    <t>anocol_SG1</t>
  </si>
  <si>
    <t>anoara_SG1</t>
  </si>
  <si>
    <t>ExpAA=1.18 First60=1.16 PredHel=0 Topology=o</t>
  </si>
  <si>
    <t>anoqua_SG1</t>
  </si>
  <si>
    <t>ExpAA=1.20 First60=1.19 PredHel=0 Topology=o</t>
  </si>
  <si>
    <t>anomer_SG1</t>
  </si>
  <si>
    <t>ExpAA=1.03 First60=1.02 PredHel=0 Topology=o</t>
  </si>
  <si>
    <t>anomel_SG1</t>
  </si>
  <si>
    <t>ExpAA=1.14 First60=1.13 PredHel=0 Topology=o</t>
  </si>
  <si>
    <t>anochris_SG1</t>
  </si>
  <si>
    <t>anoepi_SG1</t>
  </si>
  <si>
    <t>ExpAA=3.02 First60=3.02 PredHel=0 Topology=o</t>
  </si>
  <si>
    <t>anofun_SG1</t>
  </si>
  <si>
    <t>ExpAA=0.68 First60=0.59 PredHel=0 Topology=o</t>
  </si>
  <si>
    <t>anomin_SG1</t>
  </si>
  <si>
    <t>ExpAA=4.37 First60=4.06 PredHel=0 Topology=o</t>
  </si>
  <si>
    <t>anocul_SG1</t>
  </si>
  <si>
    <t>ExpAA=0.17 First60=0.06 PredHel=0 Topology=o</t>
  </si>
  <si>
    <t>anoste_SG1</t>
  </si>
  <si>
    <t>anomac_SG1</t>
  </si>
  <si>
    <t>ExpAA=0.19 First60=0.18 PredHel=0 Topology=o</t>
  </si>
  <si>
    <t xml:space="preserve">1 | 119    DTIRFKR|EQ  0.530 *ProP*  | </t>
  </si>
  <si>
    <t>anofar_SG1</t>
  </si>
  <si>
    <t>ExpAA=4.70 First60=4.64 PredHel=0 Topology=o</t>
  </si>
  <si>
    <t>anodir_SG1</t>
  </si>
  <si>
    <t>ExpAA=2.90 First60=2.87 PredHel=0 Topology=o</t>
  </si>
  <si>
    <t>anoatro_SG1</t>
  </si>
  <si>
    <t>ExpAA=0.08 First60=0.06 PredHel=0 Topology=o</t>
  </si>
  <si>
    <t>anosin_SG1</t>
  </si>
  <si>
    <t>ExpAA=18.58 First60=18.56 PredHel=1 Topology=i5-24o</t>
  </si>
  <si>
    <t>anoga_SG1a</t>
  </si>
  <si>
    <t>anoara_SG1a</t>
  </si>
  <si>
    <t>anoqua_SG1a</t>
  </si>
  <si>
    <t>anomer_SG1a</t>
  </si>
  <si>
    <t>anomel_SG1a</t>
  </si>
  <si>
    <t>anochris_SG1a</t>
  </si>
  <si>
    <t>ExpAA=3.29 First60=3.25 PredHel=0 Topology=o</t>
  </si>
  <si>
    <t xml:space="preserve">2 | 206    PTRREKR|SL  0.766 *ProP*  | 251    TDYRKQR|DA  0.675 *ProP*  | </t>
  </si>
  <si>
    <t>anoepi_SG1a</t>
  </si>
  <si>
    <t>ExpAA=0.93 First60=0.93 PredHel=0 Topology=o</t>
  </si>
  <si>
    <t xml:space="preserve">1 | 213    PTRREKR|TL  0.585 *ProP*  | </t>
  </si>
  <si>
    <t>anofun_SG1a</t>
  </si>
  <si>
    <t>anomin_SG1a</t>
  </si>
  <si>
    <t>anocul_SG1a</t>
  </si>
  <si>
    <t>ExpAA=1.69 First60=1.60 PredHel=0 Topology=o</t>
  </si>
  <si>
    <t>anoste_SG1a</t>
  </si>
  <si>
    <t>ExpAA=15.27 First60=15.25 PredHel=0 Topology=o</t>
  </si>
  <si>
    <t>anomac_SG1a</t>
  </si>
  <si>
    <t>ExpAA=0.12 First60=0.00 PredHel=0 Topology=o</t>
  </si>
  <si>
    <t>anofar_SG1a</t>
  </si>
  <si>
    <t>ExpAA=1.71 First60=1.62 PredHel=0 Topology=o</t>
  </si>
  <si>
    <t>anodir_SG1a</t>
  </si>
  <si>
    <t>ExpAA=6.32 First60=5.41 PredHel=0 Topology=o</t>
  </si>
  <si>
    <t xml:space="preserve">1 | 409    RRSRGRR|--  0.691 *ProP*  | </t>
  </si>
  <si>
    <t>anoga_Saglin</t>
  </si>
  <si>
    <t xml:space="preserve"> 37-38</t>
  </si>
  <si>
    <t>ExpAA=10.58 First60=10.58 PredHel=0 Topology=o</t>
  </si>
  <si>
    <t xml:space="preserve">1 | 18    ISSRKHR|SM  0.689 *ProP*  | </t>
  </si>
  <si>
    <t>anocol_Saglin</t>
  </si>
  <si>
    <t>ExpAA=12.41 First60=12.40 PredHel=0 Topology=o</t>
  </si>
  <si>
    <t>anoara_Saglin</t>
  </si>
  <si>
    <t xml:space="preserve"> 40-41</t>
  </si>
  <si>
    <t>ExpAA=7.39 First60=7.38 PredHel=0 Topology=o</t>
  </si>
  <si>
    <t>anoqua_Saglin</t>
  </si>
  <si>
    <t>ExpAA=7.90 First60=7.90 PredHel=0 Topology=o</t>
  </si>
  <si>
    <t>anomer_Saglin</t>
  </si>
  <si>
    <t>ExpAA=7.66 First60=7.65 PredHel=0 Topology=o</t>
  </si>
  <si>
    <t>anomel_Saglin</t>
  </si>
  <si>
    <t>ExpAA=2.61 First60=2.61 PredHel=0 Topology=o</t>
  </si>
  <si>
    <t>anochris_Saglin</t>
  </si>
  <si>
    <t>ExpAA=1.85 First60=1.85 PredHel=0 Topology=o</t>
  </si>
  <si>
    <t>anoepi_Saglin</t>
  </si>
  <si>
    <t xml:space="preserve"> 48-49</t>
  </si>
  <si>
    <t>ExpAA=16.40 First60=16.39 PredHel=0 Topology=o</t>
  </si>
  <si>
    <t xml:space="preserve">1 | 161    QEQREAR|DA  0.647 *ProP*  | </t>
  </si>
  <si>
    <t>anofun_Saglin</t>
  </si>
  <si>
    <t>ExpAA=10.56 First60=10.55 PredHel=0 Topology=o</t>
  </si>
  <si>
    <t>anomin_Saglin</t>
  </si>
  <si>
    <t>ExpAA=18.01 First60=17.98 PredHel=1 Topology=i5-24o</t>
  </si>
  <si>
    <t>anocul_Saglin</t>
  </si>
  <si>
    <t>ExpAA=0.29 First60=0.28 PredHel=0 Topology=o</t>
  </si>
  <si>
    <t>anoste_Saglin</t>
  </si>
  <si>
    <t xml:space="preserve"> 47-48</t>
  </si>
  <si>
    <t>ExpAA=14.91 First60=14.90 PredHel=0 Topology=o</t>
  </si>
  <si>
    <t>anomac_Saglin</t>
  </si>
  <si>
    <t>anofar_Saglin</t>
  </si>
  <si>
    <t>ExpAA=7.22 First60=7.21 PredHel=0 Topology=o</t>
  </si>
  <si>
    <t>anodir_Saglin</t>
  </si>
  <si>
    <t>ExpAA=0.17 First60=0.16 PredHel=0 Topology=o</t>
  </si>
  <si>
    <t>anoatro_Saglin</t>
  </si>
  <si>
    <t>anoalb_Saglin</t>
  </si>
  <si>
    <t>ExpAA=5.74 First60=5.73 PredHel=0 Topology=o</t>
  </si>
  <si>
    <t>anoga_SG1-like2</t>
  </si>
  <si>
    <t>ExpAA=0.30 First60=0.07 PredHel=0 Topology=o</t>
  </si>
  <si>
    <t>anocol_SG1-like2</t>
  </si>
  <si>
    <t>ExpAA=0.41 First60=0.11 PredHel=0 Topology=o</t>
  </si>
  <si>
    <t>anoara_SG1-like2</t>
  </si>
  <si>
    <t>ExpAA=0.42 First60=0.19 PredHel=0 Topology=o</t>
  </si>
  <si>
    <t>anoqua_SG1-like2</t>
  </si>
  <si>
    <t>ExpAA=0.25 First60=0.13 PredHel=0 Topology=o</t>
  </si>
  <si>
    <t>anomer_SG1-like2</t>
  </si>
  <si>
    <t>ExpAA=0.42 First60=0.07 PredHel=0 Topology=o</t>
  </si>
  <si>
    <t>anomel_SG1-like2</t>
  </si>
  <si>
    <t>ExpAA=0.32 First60=0.18 PredHel=0 Topology=o</t>
  </si>
  <si>
    <t>anochris_SG1-like2</t>
  </si>
  <si>
    <t>ExpAA=0.08 First60=0.04 PredHel=0 Topology=o</t>
  </si>
  <si>
    <t>anoepi_SG1-like2</t>
  </si>
  <si>
    <t>ExpAA=0.55 First60=0.02 PredHel=0 Topology=o</t>
  </si>
  <si>
    <t>anofun_SG1-like2</t>
  </si>
  <si>
    <t>ExpAA=0.08 First60=0.01 PredHel=0 Topology=o</t>
  </si>
  <si>
    <t>anomin_SG1-like2</t>
  </si>
  <si>
    <t>anocul_SG1-like2</t>
  </si>
  <si>
    <t>ExpAA=0.11 First60=0.02 PredHel=0 Topology=o</t>
  </si>
  <si>
    <t>anoste_SG1-like2</t>
  </si>
  <si>
    <t>ExpAA=0.96 First60=0.84 PredHel=0 Topology=o</t>
  </si>
  <si>
    <t>anomac_SG1-like2</t>
  </si>
  <si>
    <t>ExpAA=0.10 First60=0.03 PredHel=0 Topology=o</t>
  </si>
  <si>
    <t>anofar_SG1-like2</t>
  </si>
  <si>
    <t>ExpAA=2.10 First60=1.95 PredHel=0 Topology=o</t>
  </si>
  <si>
    <t>anodir_SG1-like2</t>
  </si>
  <si>
    <t>anoatro_SG1-like2</t>
  </si>
  <si>
    <t>ExpAA=3.10 First60=2.83 PredHel=0 Topology=o</t>
  </si>
  <si>
    <t>anosin_SG1-like2</t>
  </si>
  <si>
    <t>ExpAA=5.53 First60=5.39 PredHel=0 Topology=o</t>
  </si>
  <si>
    <t>anoalb_SG1-like2</t>
  </si>
  <si>
    <t>anoga_SG1-like3</t>
  </si>
  <si>
    <t>ExpAA=0.09 First60=0.08 PredHel=0 Topology=o</t>
  </si>
  <si>
    <t>anoara_SG1-like3</t>
  </si>
  <si>
    <t>anoqua_SG1-like3</t>
  </si>
  <si>
    <t>anomer_SG1-like3</t>
  </si>
  <si>
    <t>anomel_SG1-like3</t>
  </si>
  <si>
    <t>anochris_SG1-like3</t>
  </si>
  <si>
    <t>ExpAA=3.42 First60=3.42 PredHel=0 Topology=o</t>
  </si>
  <si>
    <t>anoepi_SG1-like3</t>
  </si>
  <si>
    <t>anofun_SG1-like3</t>
  </si>
  <si>
    <t>anomin_SG1-like3</t>
  </si>
  <si>
    <t>anocul_SG1-like3</t>
  </si>
  <si>
    <t>anoste_SG1-like3</t>
  </si>
  <si>
    <t>anomac_SG1-like3</t>
  </si>
  <si>
    <t>anofar_SG1-like3</t>
  </si>
  <si>
    <t>ExpAA=1.63 First60=1.63 PredHel=0 Topology=o</t>
  </si>
  <si>
    <t xml:space="preserve">1 | 80    LKERCKR|AH  0.547 *ProP*  | </t>
  </si>
  <si>
    <t>anodir_SG1-like3</t>
  </si>
  <si>
    <t>anoatro_SG1-like3</t>
  </si>
  <si>
    <t>anosin_SG1-like3</t>
  </si>
  <si>
    <t>ExpAA=0.19 First60=0.17 PredHel=0 Topology=o</t>
  </si>
  <si>
    <t>anoalb_SG1-like3</t>
  </si>
  <si>
    <t>anoga_SG1b</t>
  </si>
  <si>
    <t>ExpAA=0.94 First60=0.94 PredHel=0 Topology=o</t>
  </si>
  <si>
    <t>anocol_SG1b</t>
  </si>
  <si>
    <t>ExpAA=0.95 First60=0.94 PredHel=0 Topology=o</t>
  </si>
  <si>
    <t>anoara_SG1b</t>
  </si>
  <si>
    <t>anoqua_SG1b</t>
  </si>
  <si>
    <t>ExpAA=1.37 First60=1.36 PredHel=0 Topology=o</t>
  </si>
  <si>
    <t>anomer_SG1b</t>
  </si>
  <si>
    <t>ExpAA=0.71 First60=0.70 PredHel=0 Topology=o</t>
  </si>
  <si>
    <t>anomel_SG1b</t>
  </si>
  <si>
    <t>anochris_SG1b</t>
  </si>
  <si>
    <t xml:space="preserve">1 | 216    MFARDAR|HV  0.514 *ProP*  | </t>
  </si>
  <si>
    <t>anoepi_SG1b</t>
  </si>
  <si>
    <t>ExpAA=13.27 First60=13.26 PredHel=1 Topology=i5-27o</t>
  </si>
  <si>
    <t>anofun_SG1b</t>
  </si>
  <si>
    <t>ExpAA=1.68 First60=1.63 PredHel=0 Topology=o</t>
  </si>
  <si>
    <t xml:space="preserve">1 | 191    YRYLKKR|MV  0.585 *ProP*  | </t>
  </si>
  <si>
    <t>anomin_SG1b</t>
  </si>
  <si>
    <t>ExpAA=21.14 First60=20.85 PredHel=1 Topology=i7-26o</t>
  </si>
  <si>
    <t xml:space="preserve">1 | 191    YRYLKKR|MV  0.516 *ProP*  | </t>
  </si>
  <si>
    <t>anocul_SG1b</t>
  </si>
  <si>
    <t>ExpAA=14.19 First60=14.17 PredHel=1 Topology=i7-26o</t>
  </si>
  <si>
    <t>anoste_SG1b</t>
  </si>
  <si>
    <t>ExpAA=1.23 First60=1.23 PredHel=0 Topology=o</t>
  </si>
  <si>
    <t>anofar_SG1b</t>
  </si>
  <si>
    <t xml:space="preserve">1 | 163    NPRRKWR|HI  0.538 *ProP*  | </t>
  </si>
  <si>
    <t>anodir_SG1b</t>
  </si>
  <si>
    <t>ExpAA=7.01 First60=7.00 PredHel=0 Topology=o</t>
  </si>
  <si>
    <t xml:space="preserve">1 | 163    NPRRHWR|HI  0.527 *ProP*  | </t>
  </si>
  <si>
    <t>anoatro_SG1b</t>
  </si>
  <si>
    <t>ExpAA=1.49 First60=1.49 PredHel=0 Topology=o</t>
  </si>
  <si>
    <t xml:space="preserve">3 | 214    FAYRARR|VV  0.531 *ProP*  | 247    SAGHFKR|SL  0.514 *ProP*  | 383    SKERSAR|LA  0.516 *ProP*  | </t>
  </si>
  <si>
    <t>anosin_SG1b</t>
  </si>
  <si>
    <t>ExpAA=0.08 First60=0.07 PredHel=0 Topology=o</t>
  </si>
  <si>
    <t>anoalb_SG1b</t>
  </si>
  <si>
    <t>anodar_SG1b</t>
  </si>
  <si>
    <t>ExpAA=0.21 First60=0.19 PredHel=0 Topology=o</t>
  </si>
  <si>
    <t>anoga_TRIO</t>
  </si>
  <si>
    <t>ExpAA=3.48 First60=3.48 PredHel=0 Topology=o</t>
  </si>
  <si>
    <t>anoara_TRIO</t>
  </si>
  <si>
    <t>ExpAA=4.71 First60=4.71 PredHel=0 Topology=o</t>
  </si>
  <si>
    <t xml:space="preserve">1 | 159    TSGRIER|AV  0.544 *ProP*  | </t>
  </si>
  <si>
    <t>anoqua_TRIO</t>
  </si>
  <si>
    <t>anomer_TRIO</t>
  </si>
  <si>
    <t xml:space="preserve">1 | 159    ASGRTER|AV  0.518 *ProP*  | </t>
  </si>
  <si>
    <t>anomel_TRIO</t>
  </si>
  <si>
    <t>ExpAA=2.41 First60=2.41 PredHel=0 Topology=o</t>
  </si>
  <si>
    <t>anochris_TRIO</t>
  </si>
  <si>
    <t>ExpAA=0.91 First60=0.91 PredHel=0 Topology=o</t>
  </si>
  <si>
    <t>anoepi_TRIO</t>
  </si>
  <si>
    <t>anofun_TRIO</t>
  </si>
  <si>
    <t>ExpAA=1.41 First60=1.41 PredHel=0 Topology=o</t>
  </si>
  <si>
    <t>anomin_TRIO</t>
  </si>
  <si>
    <t>ExpAA=9.21 First60=9.21 PredHel=0 Topology=o</t>
  </si>
  <si>
    <t>anocul_TRIO</t>
  </si>
  <si>
    <t>anoste_TRIO</t>
  </si>
  <si>
    <t>ExpAA=0.82 First60=0.82 PredHel=0 Topology=o</t>
  </si>
  <si>
    <t>anomac_TRIO</t>
  </si>
  <si>
    <t>ExpAA=1.17 First60=1.17 PredHel=0 Topology=o</t>
  </si>
  <si>
    <t>anofar_TRIO</t>
  </si>
  <si>
    <t>ExpAA=17.56 First60=17.56 PredHel=1 Topology=i7-29o</t>
  </si>
  <si>
    <t>anodir_TRIO</t>
  </si>
  <si>
    <t>ExpAA=5.79 First60=5.79 PredHel=0 Topology=o</t>
  </si>
  <si>
    <t>anoatro_TRIO</t>
  </si>
  <si>
    <t>anosin_TRIO</t>
  </si>
  <si>
    <t>ExpAA=10.31 First60=10.31 PredHel=0 Topology=o</t>
  </si>
  <si>
    <t>anoalb_TRIO</t>
  </si>
  <si>
    <t>ExpAA=1.40 First60=1.39 PredHel=0 Topology=o</t>
  </si>
  <si>
    <t>anodar_TRIO</t>
  </si>
  <si>
    <t>ExpAA=13.06 First60=13.06 PredHel=0 Topology=o</t>
  </si>
  <si>
    <t>anoga_SG2</t>
  </si>
  <si>
    <t>ExpAA=25.18 First60=22.46 PredHel=1 Topology=i13-35o</t>
  </si>
  <si>
    <t>anocol_SG2</t>
  </si>
  <si>
    <t>ExpAA=23.60 First60=22.18 PredHel=1 Topology=i5-27o</t>
  </si>
  <si>
    <t>anoara_SG2</t>
  </si>
  <si>
    <t>ExpAA=23.07 First60=22.18 PredHel=1 Topology=i5-27o</t>
  </si>
  <si>
    <t>anoqua_SG2</t>
  </si>
  <si>
    <t>ExpAA=22.97 First60=22.15 PredHel=1 Topology=i5-27o</t>
  </si>
  <si>
    <t>anomer_SG2</t>
  </si>
  <si>
    <t>ExpAA=21.99 First60=21.42 PredHel=1 Topology=o10-32i</t>
  </si>
  <si>
    <t>anomel_SG2</t>
  </si>
  <si>
    <t>ExpAA=23.21 First60=22.27 PredHel=1 Topology=i5-27o</t>
  </si>
  <si>
    <t>anochris_SG2</t>
  </si>
  <si>
    <t>ExpAA=22.87 First60=21.93 PredHel=1 Topology=o4-26i</t>
  </si>
  <si>
    <t>anoepi_SG2</t>
  </si>
  <si>
    <t>ExpAA=21.07 First60=19.96 PredHel=1 Topology=i2-24o</t>
  </si>
  <si>
    <t>anofun_SG2</t>
  </si>
  <si>
    <t>ExpAA=30.09 First60=21.89 PredHel=1 Topology=i5-27o</t>
  </si>
  <si>
    <t>anomin_SG2</t>
  </si>
  <si>
    <t>ExpAA=30.73 First60=21.94 PredHel=1 Topology=i5-27o</t>
  </si>
  <si>
    <t>anocul_SG2</t>
  </si>
  <si>
    <t>ExpAA=36.84 First60=21.97 PredHel=1 Topology=i7-29o</t>
  </si>
  <si>
    <t>anoste_SG2</t>
  </si>
  <si>
    <t>ExpAA=26.28 First60=22.14 PredHel=1 Topology=i7-29o</t>
  </si>
  <si>
    <t>anomac_SG2</t>
  </si>
  <si>
    <t>ExpAA=28.62 First60=22.08 PredHel=1 Topology=i7-29o</t>
  </si>
  <si>
    <t>anofar_SG2</t>
  </si>
  <si>
    <t>ExpAA=34.88 First60=21.47 PredHel=1 Topology=i7-29o</t>
  </si>
  <si>
    <t>anodir_SG2</t>
  </si>
  <si>
    <t>ExpAA=19.47 First60=17.31 PredHel=0 Topology=o</t>
  </si>
  <si>
    <t>anoatro_SG2</t>
  </si>
  <si>
    <t>ExpAA=16.53 First60=15.91 PredHel=0 Topology=o</t>
  </si>
  <si>
    <t>anosin_SG2</t>
  </si>
  <si>
    <t>ExpAA=22.16 First60=21.30 PredHel=1 Topology=i5-27o</t>
  </si>
  <si>
    <t>anoga_SG2b</t>
  </si>
  <si>
    <t>ExpAA=6.20 First60=6.20 PredHel=0 Topology=o</t>
  </si>
  <si>
    <t>anoara_SG2b</t>
  </si>
  <si>
    <t>ExpAA=2.98 First60=2.98 PredHel=0 Topology=o</t>
  </si>
  <si>
    <t>anoqua_SG2b</t>
  </si>
  <si>
    <t>ExpAA=1.57 First60=1.57 PredHel=0 Topology=o</t>
  </si>
  <si>
    <t>anomer_SG2b</t>
  </si>
  <si>
    <t>ExpAA=2.87 First60=2.87 PredHel=0 Topology=o</t>
  </si>
  <si>
    <t>anomel_SG2b</t>
  </si>
  <si>
    <t>ExpAA=3.10 First60=3.10 PredHel=0 Topology=o</t>
  </si>
  <si>
    <t>anoepi_SG2b</t>
  </si>
  <si>
    <t>ExpAA=8.67 First60=8.51 PredHel=0 Topology=o</t>
  </si>
  <si>
    <t>anofun_SG2b</t>
  </si>
  <si>
    <t>ExpAA=12.17 First60=12.17 PredHel=0 Topology=o</t>
  </si>
  <si>
    <t>anomin_SG2b</t>
  </si>
  <si>
    <t>anocul_SG2b</t>
  </si>
  <si>
    <t>ExpAA=10.66 First60=10.65 PredHel=0 Topology=o</t>
  </si>
  <si>
    <t>anoste_SG2b</t>
  </si>
  <si>
    <t>ExpAA=1.19 First60=1.19 PredHel=0 Topology=o</t>
  </si>
  <si>
    <t>anomac_SG2b</t>
  </si>
  <si>
    <t>ExpAA=3.43 First60=3.43 PredHel=0 Topology=o</t>
  </si>
  <si>
    <t>anoga_SG5</t>
  </si>
  <si>
    <t>ExpAA=14.88 First60=14.46 PredHel=0 Topology=o</t>
  </si>
  <si>
    <t xml:space="preserve">1 | 155    LRHRTMR|AV  0.702 *ProP*  | </t>
  </si>
  <si>
    <t>anocol_SG5</t>
  </si>
  <si>
    <t>anoara_SG5</t>
  </si>
  <si>
    <t>ExpAA=15.47 First60=14.56 PredHel=0 Topology=o</t>
  </si>
  <si>
    <t>anoqua_SG5</t>
  </si>
  <si>
    <t>ExpAA=14.94 First60=14.21 PredHel=0 Topology=o</t>
  </si>
  <si>
    <t>anomer_SG5</t>
  </si>
  <si>
    <t>ExpAA=15.76 First60=14.92 PredHel=0 Topology=o</t>
  </si>
  <si>
    <t>anomel_SG5</t>
  </si>
  <si>
    <t>ExpAA=18.21 First60=17.37 PredHel=1 Topology=i3-25o</t>
  </si>
  <si>
    <t>anochris_SG5</t>
  </si>
  <si>
    <t>ExpAA=17.89 First60=17.73 PredHel=1 Topology=i3-25o</t>
  </si>
  <si>
    <t xml:space="preserve">1 | 155    LRHRTMR|AV  0.694 *ProP*  | </t>
  </si>
  <si>
    <t>anoepi_SG5</t>
  </si>
  <si>
    <t>ExpAA=18.78 First60=18.68 PredHel=1 Topology=i7-26o</t>
  </si>
  <si>
    <t xml:space="preserve">1 | 153    LRHRTMR|AV  0.698 *ProP*  | </t>
  </si>
  <si>
    <t>anofun_SG5</t>
  </si>
  <si>
    <t>ExpAA=20.43 First60=20.01 PredHel=1 Topology=i5-27o</t>
  </si>
  <si>
    <t xml:space="preserve">1 | 161    TMNAVKR|KV  0.503 *ProP*  | </t>
  </si>
  <si>
    <t>anomin_SG5</t>
  </si>
  <si>
    <t>ExpAA=18.62 First60=18.36 PredHel=1 Topology=i5-24o</t>
  </si>
  <si>
    <t xml:space="preserve">1 | 157    TMNAVKR|KV  0.503 *ProP*  | </t>
  </si>
  <si>
    <t>anocul_SG5</t>
  </si>
  <si>
    <t>ExpAA=5.99 First60=5.91 PredHel=0 Topology=o</t>
  </si>
  <si>
    <t xml:space="preserve">1 | 160    TMNAVKR|KV  0.503 *ProP*  | </t>
  </si>
  <si>
    <t>anoste_SG5</t>
  </si>
  <si>
    <t>ExpAA=21.08 First60=21.03 PredHel=1 Topology=i5-27o</t>
  </si>
  <si>
    <t xml:space="preserve">1 | 52    QKAREQR|EH  0.534 *ProP*  | </t>
  </si>
  <si>
    <t>anomac_SG5</t>
  </si>
  <si>
    <t>ExpAA=17.09 First60=17.06 PredHel=1 Topology=i7-26o</t>
  </si>
  <si>
    <t xml:space="preserve">1 | 161    TMSSVKR|KV  0.526 *ProP*  | </t>
  </si>
  <si>
    <t>anofar_SG5</t>
  </si>
  <si>
    <t>ExpAA=8.94 First60=8.80 PredHel=0 Topology=o</t>
  </si>
  <si>
    <t xml:space="preserve">1 | 164    AMSAVKR|KV  0.527 *ProP*  | </t>
  </si>
  <si>
    <t>anodir_SG5</t>
  </si>
  <si>
    <t>ExpAA=22.29 First60=22.28 PredHel=1 Topology=i13-35o</t>
  </si>
  <si>
    <t>anoatro_SG5</t>
  </si>
  <si>
    <t>ExpAA=1.07 First60=1.05 PredHel=0 Topology=o</t>
  </si>
  <si>
    <t>anosin_SG5</t>
  </si>
  <si>
    <t>ExpAA=10.03 First60=9.80 PredHel=0 Topology=o</t>
  </si>
  <si>
    <t>anoalb_SG5</t>
  </si>
  <si>
    <t>ExpAA=4.67 First60=4.62 PredHel=0 Topology=o</t>
  </si>
  <si>
    <t>anodar_SG5</t>
  </si>
  <si>
    <t>ExpAA=16.35 First60=16.32 PredHel=1 Topology=i7-24o</t>
  </si>
  <si>
    <t>anoga_SG6</t>
  </si>
  <si>
    <t>ExpAA=9.71 First60=9.71 PredHel=0 Topology=o</t>
  </si>
  <si>
    <t>anocol_SG6</t>
  </si>
  <si>
    <t>ExpAA=7.65 First60=7.65 PredHel=0 Topology=o</t>
  </si>
  <si>
    <t>anoara_SG6</t>
  </si>
  <si>
    <t>ExpAA=19.81 First60=19.81 PredHel=1 Topology=i7-29o</t>
  </si>
  <si>
    <t>anoqua_SG6</t>
  </si>
  <si>
    <t>ExpAA=17.87 First60=17.87 PredHel=0 Topology=o</t>
  </si>
  <si>
    <t>anomer_SG6</t>
  </si>
  <si>
    <t>ExpAA=16.98 First60=16.98 PredHel=0 Topology=o</t>
  </si>
  <si>
    <t>anomel_SG6</t>
  </si>
  <si>
    <t>ExpAA=15.77 First60=15.77 PredHel=0 Topology=o</t>
  </si>
  <si>
    <t>anochris_SG6</t>
  </si>
  <si>
    <t>ExpAA=6.36 First60=6.36 PredHel=0 Topology=o</t>
  </si>
  <si>
    <t>anoepi_SG6</t>
  </si>
  <si>
    <t>ExpAA=3.15 First60=3.15 PredHel=0 Topology=o</t>
  </si>
  <si>
    <t>anofun_SG6</t>
  </si>
  <si>
    <t>ExpAA=11.40 First60=11.40 PredHel=0 Topology=o</t>
  </si>
  <si>
    <t>anomin_SG6</t>
  </si>
  <si>
    <t>ExpAA=12.89 First60=12.89 PredHel=0 Topology=o</t>
  </si>
  <si>
    <t>anocul_SG6</t>
  </si>
  <si>
    <t>ExpAA=5.82 First60=5.82 PredHel=0 Topology=o</t>
  </si>
  <si>
    <t>anoste_SG6</t>
  </si>
  <si>
    <t>ExpAA=16.32 First60=16.32 PredHel=1 Topology=o4-26i</t>
  </si>
  <si>
    <t>anomac_SG6</t>
  </si>
  <si>
    <t>ExpAA=14.53 First60=14.53 PredHel=0 Topology=o</t>
  </si>
  <si>
    <t>anofar_SG6</t>
  </si>
  <si>
    <t>ExpAA=3.47 First60=3.47 PredHel=0 Topology=o</t>
  </si>
  <si>
    <t>anodir_SG6</t>
  </si>
  <si>
    <t>ExpAA=20.82 First60=20.82 PredHel=1 Topology=i5-27o</t>
  </si>
  <si>
    <t>anoatro_SG6</t>
  </si>
  <si>
    <t>ExpAA=0.76 First60=0.76 PredHel=0 Topology=i</t>
  </si>
  <si>
    <t>anosin_SG6</t>
  </si>
  <si>
    <t>anoga_SG7</t>
  </si>
  <si>
    <t>ExpAA=13.87 First60=13.87 PredHel=0 Topology=o</t>
  </si>
  <si>
    <t>anocol_SG7</t>
  </si>
  <si>
    <t>ExpAA=15.62 First60=15.62 PredHel=0 Topology=o</t>
  </si>
  <si>
    <t>anoara_SG7</t>
  </si>
  <si>
    <t>ExpAA=14.01 First60=14.01 PredHel=0 Topology=o</t>
  </si>
  <si>
    <t>anoqua_SG7</t>
  </si>
  <si>
    <t>ExpAA=19.86 First60=19.85 PredHel=1 Topology=i5-27o</t>
  </si>
  <si>
    <t>anomer_SG7</t>
  </si>
  <si>
    <t>anomel_SG7</t>
  </si>
  <si>
    <t>ExpAA=15.93 First60=15.92 PredHel=0 Topology=o</t>
  </si>
  <si>
    <t>anochris_SG7</t>
  </si>
  <si>
    <t>ExpAA=14.05 First60=14.05 PredHel=0 Topology=o</t>
  </si>
  <si>
    <t>anoepi_SG7</t>
  </si>
  <si>
    <t>ExpAA=17.31 First60=17.31 PredHel=1 Topology=i5-22o</t>
  </si>
  <si>
    <t>anofun_SG7</t>
  </si>
  <si>
    <t>ExpAA=19.47 First60=19.47 PredHel=1 Topology=i5-27o</t>
  </si>
  <si>
    <t>anomin_SG7</t>
  </si>
  <si>
    <t>ExpAA=7.75 First60=7.75 PredHel=0 Topology=o</t>
  </si>
  <si>
    <t>anocul_SG7</t>
  </si>
  <si>
    <t>ExpAA=12.97 First60=12.97 PredHel=0 Topology=o</t>
  </si>
  <si>
    <t>anoste_SG7</t>
  </si>
  <si>
    <t>ExpAA=9.09 First60=9.09 PredHel=0 Topology=o</t>
  </si>
  <si>
    <t>anomac_SG7</t>
  </si>
  <si>
    <t>ExpAA=12.84 First60=12.84 PredHel=0 Topology=o</t>
  </si>
  <si>
    <t>anofar_SG7</t>
  </si>
  <si>
    <t>ExpAA=5.22 First60=5.22 PredHel=0 Topology=o</t>
  </si>
  <si>
    <t>anoatro_SG7</t>
  </si>
  <si>
    <t>ExpAA=7.58 First60=7.58 PredHel=0 Topology=o</t>
  </si>
  <si>
    <t>anosin_SG7</t>
  </si>
  <si>
    <t>ExpAA=13.01 First60=13.01 PredHel=0 Topology=o</t>
  </si>
  <si>
    <t>anoalb_SG7</t>
  </si>
  <si>
    <t>ExpAA=5.67 First60=5.67 PredHel=0 Topology=o</t>
  </si>
  <si>
    <t>anodar_SG7</t>
  </si>
  <si>
    <t>ExpAA=4.70 First60=4.70 PredHel=0 Topology=o</t>
  </si>
  <si>
    <t>anoga_SG7-2</t>
  </si>
  <si>
    <t>ExpAA=9.25 First60=9.25 PredHel=0 Topology=o</t>
  </si>
  <si>
    <t>anocol_SG7-2</t>
  </si>
  <si>
    <t>ExpAA=8.87 First60=8.87 PredHel=0 Topology=o</t>
  </si>
  <si>
    <t>anoara_SG7-2</t>
  </si>
  <si>
    <t>ExpAA=8.86 First60=8.86 PredHel=0 Topology=o</t>
  </si>
  <si>
    <t>anoqua_SG7-2</t>
  </si>
  <si>
    <t>ExpAA=8.22 First60=8.22 PredHel=0 Topology=o</t>
  </si>
  <si>
    <t>anomer_SG7-2</t>
  </si>
  <si>
    <t>anomel_SG7-2</t>
  </si>
  <si>
    <t>ExpAA=7.92 First60=7.92 PredHel=0 Topology=o</t>
  </si>
  <si>
    <t>anochris_SG7-2</t>
  </si>
  <si>
    <t>ExpAA=10.71 First60=10.71 PredHel=0 Topology=o</t>
  </si>
  <si>
    <t>anoepi_SG7-2</t>
  </si>
  <si>
    <t>ExpAA=20.14 First60=20.14 PredHel=1 Topology=i7-29o</t>
  </si>
  <si>
    <t>anofun_SG7-2</t>
  </si>
  <si>
    <t>ExpAA=15.52 First60=15.52 PredHel=0 Topology=o</t>
  </si>
  <si>
    <t>anomin_SG7-2</t>
  </si>
  <si>
    <t>ExpAA=16.25 First60=16.25 PredHel=1 Topology=i5-27o</t>
  </si>
  <si>
    <t>anocul_SG7-2</t>
  </si>
  <si>
    <t>ExpAA=20.35 First60=20.35 PredHel=1 Topology=i5-27o</t>
  </si>
  <si>
    <t>anoste_SG7-2</t>
  </si>
  <si>
    <t>ExpAA=18.78 First60=18.78 PredHel=1 Topology=i7-29o</t>
  </si>
  <si>
    <t>anofar_SG7-2</t>
  </si>
  <si>
    <t>ExpAA=17.55 First60=17.54 PredHel=1 Topology=i5-22o</t>
  </si>
  <si>
    <t>anodir_SG7-2</t>
  </si>
  <si>
    <t>ExpAA=15.08 First60=15.08 PredHel=1 Topology=i7-29o</t>
  </si>
  <si>
    <t>anoatro_SG7-2</t>
  </si>
  <si>
    <t>ExpAA=1.65 First60=1.65 PredHel=0 Topology=o</t>
  </si>
  <si>
    <t>anosin_SG7-2</t>
  </si>
  <si>
    <t>ExpAA=9.29 First60=9.29 PredHel=0 Topology=o</t>
  </si>
  <si>
    <t>anoalb_SG7-2</t>
  </si>
  <si>
    <t>ExpAA=17.06 First60=17.06 PredHel=0 Topology=o</t>
  </si>
  <si>
    <t>anoga_SG7-3</t>
  </si>
  <si>
    <t>ExpAA=5.90 First60=5.90 PredHel=0 Topology=o</t>
  </si>
  <si>
    <t>anocol_SG7-3</t>
  </si>
  <si>
    <t>anoga_SG8</t>
  </si>
  <si>
    <t>ExpAA=8.71 First60=8.71 PredHel=0 Topology=o</t>
  </si>
  <si>
    <t>anocol_SG8</t>
  </si>
  <si>
    <t>anoara_SG8</t>
  </si>
  <si>
    <t>ExpAA=0.59 First60=0.59 PredHel=0 Topology=o</t>
  </si>
  <si>
    <t>anoqua_SG8</t>
  </si>
  <si>
    <t>ExpAA=7.46 First60=7.46 PredHel=0 Topology=o</t>
  </si>
  <si>
    <t>anomer_SG8</t>
  </si>
  <si>
    <t>ExpAA=8.78 First60=8.78 PredHel=0 Topology=o</t>
  </si>
  <si>
    <t>anomel_SG8</t>
  </si>
  <si>
    <t>ExpAA=7.88 First60=7.86 PredHel=0 Topology=o</t>
  </si>
  <si>
    <t>anochris_SG8</t>
  </si>
  <si>
    <t>ExpAA=19.34 First60=18.94 PredHel=1 Topology=i5-27o</t>
  </si>
  <si>
    <t>anoepi_SG8</t>
  </si>
  <si>
    <t>ExpAA=17.97 First60=17.93 PredHel=1 Topology=i5-27o</t>
  </si>
  <si>
    <t>anofun_SG8</t>
  </si>
  <si>
    <t>ExpAA=18.57 First60=18.53 PredHel=1 Topology=o4-26i</t>
  </si>
  <si>
    <t>anomin_SG8</t>
  </si>
  <si>
    <t>ExpAA=0.22 First60=0.17 PredHel=0 Topology=o</t>
  </si>
  <si>
    <t>anocul_SG8</t>
  </si>
  <si>
    <t>ExpAA=4.40 First60=4.26 PredHel=0 Topology=o</t>
  </si>
  <si>
    <t>anofar_SG8</t>
  </si>
  <si>
    <t>ExpAA=16.02 First60=15.93 PredHel=0 Topology=o</t>
  </si>
  <si>
    <t>anodir_SG8</t>
  </si>
  <si>
    <t>anoatro_SG8</t>
  </si>
  <si>
    <t>ExpAA=7.28 First60=7.22 PredHel=0 Topology=o</t>
  </si>
  <si>
    <t>anosin_SG8</t>
  </si>
  <si>
    <t>ExpAA=13.25 First60=12.73 PredHel=0 Topology=o</t>
  </si>
  <si>
    <t xml:space="preserve">1 | 14    QPSVSRR|IV  0.521 *ProP*  | </t>
  </si>
  <si>
    <t>anoalb_SG8</t>
  </si>
  <si>
    <t>ExpAA=18.90 First60=18.88 PredHel=1 Topology=i7-26o</t>
  </si>
  <si>
    <t>anodar_SG8</t>
  </si>
  <si>
    <t>ExpAA=22.73 First60=22.68 PredHel=1 Topology=i7-29o</t>
  </si>
  <si>
    <t>anoga_SG9</t>
  </si>
  <si>
    <t>ExpAA=2.90 First60=2.18 PredHel=0 Topology=o</t>
  </si>
  <si>
    <t xml:space="preserve">2 | 90    VDRRRKR|RD  0.636 *ProP*  | 91    DRRRKRR|DI  0.714 *ProP*  | </t>
  </si>
  <si>
    <t>anocol_SG9</t>
  </si>
  <si>
    <t>ExpAA=3.50 First60=2.16 PredHel=0 Topology=o</t>
  </si>
  <si>
    <t>anoara_SG9</t>
  </si>
  <si>
    <t xml:space="preserve">2 | 89    VDRRRKR|RD  0.636 *ProP*  | 90    DRRRKRR|DI  0.714 *ProP*  | </t>
  </si>
  <si>
    <t>anoqua_SG9</t>
  </si>
  <si>
    <t>ExpAA=1.64 First60=0.87 PredHel=0 Topology=o</t>
  </si>
  <si>
    <t>anomer_SG9</t>
  </si>
  <si>
    <t>ExpAA=1.66 First60=0.88 PredHel=0 Topology=o</t>
  </si>
  <si>
    <t>anomel_SG9</t>
  </si>
  <si>
    <t>ExpAA=2.63 First60=1.90 PredHel=0 Topology=o</t>
  </si>
  <si>
    <t>anochris_SG9</t>
  </si>
  <si>
    <t>ExpAA=1.43 First60=0.38 PredHel=0 Topology=o</t>
  </si>
  <si>
    <t xml:space="preserve">2 | 92    VDRRRKR|RD  0.574 *ProP*  | 93    DRRRKRR|DL  0.684 *ProP*  | </t>
  </si>
  <si>
    <t>anoepi_SG9</t>
  </si>
  <si>
    <t>ExpAA=4.72 First60=4.25 PredHel=0 Topology=o</t>
  </si>
  <si>
    <t xml:space="preserve">3 | 90    VDRRRKR|RD  0.601 *ProP*  | 91    DRRRKRR|DV  0.785 *ProP*  | 230    IIARFNR|ST  0.768 *ProP*  | </t>
  </si>
  <si>
    <t>anofun_SG9</t>
  </si>
  <si>
    <t>ExpAA=1.65 First60=1.49 PredHel=0 Topology=o</t>
  </si>
  <si>
    <t xml:space="preserve">1 | 90    VRRRRRR|DI  0.746 *ProP*  | </t>
  </si>
  <si>
    <t>anomin_SG9</t>
  </si>
  <si>
    <t>ExpAA=4.54 First60=4.44 PredHel=0 Topology=o</t>
  </si>
  <si>
    <t xml:space="preserve">1 | 91    VRRRRRR|DI  0.735 *ProP*  | </t>
  </si>
  <si>
    <t>anocul_SG9</t>
  </si>
  <si>
    <t>ExpAA=7.71 First60=7.24 PredHel=0 Topology=o</t>
  </si>
  <si>
    <t xml:space="preserve">1 | 90    LRRRRRR|DL  0.746 *ProP*  | </t>
  </si>
  <si>
    <t>anoste_SG9</t>
  </si>
  <si>
    <t>ExpAA=4.32 First60=4.17 PredHel=0 Topology=o</t>
  </si>
  <si>
    <t xml:space="preserve">1 | 92    VRRRRRR|DI  0.702 *ProP*  | </t>
  </si>
  <si>
    <t>anomac_SG9</t>
  </si>
  <si>
    <t>ExpAA=1.25 First60=1.07 PredHel=0 Topology=o</t>
  </si>
  <si>
    <t xml:space="preserve">1 | 93    NRRRRRR|DI  0.809 *ProP*  | </t>
  </si>
  <si>
    <t>anofar_SG9</t>
  </si>
  <si>
    <t>ExpAA=4.26 First60=4.21 PredHel=0 Topology=o</t>
  </si>
  <si>
    <t xml:space="preserve">1 | 92    ARRRRRR|DI  0.697 *ProP*  | </t>
  </si>
  <si>
    <t>anodir_SG9</t>
  </si>
  <si>
    <t>ExpAA=17.54 First60=17.19 PredHel=1 Topology=i7-29o</t>
  </si>
  <si>
    <t xml:space="preserve">1 | 91    VRRRRRR|DI  0.631 *ProP*  | </t>
  </si>
  <si>
    <t>anoatro_SG9</t>
  </si>
  <si>
    <t>ExpAA=1.82 First60=1.77 PredHel=0 Topology=o</t>
  </si>
  <si>
    <t xml:space="preserve">2 | 95    RRRRRRR|EI  0.759 *ProP*  | 251    STSRVQR|CV  0.686 *ProP*  | </t>
  </si>
  <si>
    <t>anosin_SG9</t>
  </si>
  <si>
    <t>ExpAA=0.09 First60=0.06 PredHel=0 Topology=o</t>
  </si>
  <si>
    <t xml:space="preserve">2 | 93    VRRRRRR|DI  0.788 *ProP*  | 249    SSSRVQR|CV  0.738 *ProP*  | </t>
  </si>
  <si>
    <t>anoalb_SG9</t>
  </si>
  <si>
    <t>ExpAA=19.87 First60=19.81 PredHel=1 Topology=i7-29o</t>
  </si>
  <si>
    <t xml:space="preserve">2 | 93    VNRRRRR|DI  0.784 *ProP*  | 283    CVNRKWR|QV  0.690 *ProP*  | </t>
  </si>
  <si>
    <t>anodar_SG9</t>
  </si>
  <si>
    <t>ExpAA=21.74 First60=21.59 PredHel=1 Topology=i7-29o</t>
  </si>
  <si>
    <t xml:space="preserve">3 | 95    NRRRRRR|RD  0.520 *ProP*  | 96    RRRRRRR|DI  0.849 *ProP*  | 284    CVNRKWR|QL  0.570 *ProP*  | </t>
  </si>
  <si>
    <t>Best match to DIPTERA protein database</t>
  </si>
  <si>
    <t>E value</t>
  </si>
  <si>
    <t>Match</t>
  </si>
  <si>
    <t>% identity</t>
  </si>
  <si>
    <t>% similarity</t>
  </si>
  <si>
    <t>% Coverage</t>
  </si>
  <si>
    <t xml:space="preserve">Species of best match </t>
  </si>
  <si>
    <t>Best match to CULICOMORPHA protein database</t>
  </si>
  <si>
    <t>Best match to NR-LIGHT protein database</t>
  </si>
  <si>
    <t>Best match to CDD database</t>
  </si>
  <si>
    <t xml:space="preserve">All CDD domains </t>
  </si>
  <si>
    <t>Best match to KOG database</t>
  </si>
  <si>
    <t>General class</t>
  </si>
  <si>
    <t xml:space="preserve">Best match </t>
  </si>
  <si>
    <t>Best match to PFAM database</t>
  </si>
  <si>
    <t xml:space="preserve">E value </t>
  </si>
  <si>
    <t>Best match to SMART database</t>
  </si>
  <si>
    <t>anopheline-sialome-cds-pep-larger-orf_tick-blocks.dat</t>
  </si>
  <si>
    <t xml:space="preserve">Non promiscuous motifs </t>
  </si>
  <si>
    <t>Anopheles gambiae</t>
  </si>
  <si>
    <t>retinal_rod 2e-006| PHA02664 3e-005| PHA03169 3e-005| Nop14 2e-004| MDN1 3e-004| CobT 7e-004| CobT 0.001| PRK13108 0.002| COG5593 0.027| PLN03142 0.034|</t>
  </si>
  <si>
    <t>Cell cycle control, cell division, chromosome partitioning</t>
  </si>
  <si>
    <t xml:space="preserve">Aegyptin_stringent_pattern |Aegyptin_mosquito |Aegyptin_mosquito_stringent_pattern |Aegyptin_coxy | </t>
  </si>
  <si>
    <t>retinal_rod 5e-006| PHA02664 6e-005| PHA03169 1e-004| MDN1 6e-004| CobT 6e-004| COPI_C 0.003| PRK13108 0.003| CobT 0.003| Nop14 0.006| PLN03142 0.016|</t>
  </si>
  <si>
    <t>retinal_rod 7e-007| PHA03169 1e-005| Nop14 2e-004| PHA02664 2e-004| CobT 0.001| CobT 0.002| POB3 0.009| PLN03142 0.015| PTZ00482 0.018| NOA36 0.032|</t>
  </si>
  <si>
    <t>Translation, ribosomal structure and biogenesis</t>
  </si>
  <si>
    <t>retinal_rod 7e-006| PHA02664 4e-005| PHA03169 1e-004| CobT 6e-004| MDN1 0.001| Nop14 0.002| PRK13108 0.002| CobT 0.003| PLN03142 0.022| NOA36 0.056|</t>
  </si>
  <si>
    <t>Transcription</t>
  </si>
  <si>
    <t>retinal_rod 2e-006| PHA03169 2e-005| PHA02664 1e-004| CobT 7e-004| CobT 0.001| Nop14 0.002| MDN1 0.002| NOA36 0.039| PLN03142 0.046| PRK05901 0.082|</t>
  </si>
  <si>
    <t>retinal_rod 3e-006| PHA02664 7e-005| CobT 4e-004| PHA03169 9e-004| CobT 0.003| MDN1 0.003| COPI_C 0.003| COG5406 0.009| Nop14 0.015| PLN03142 0.016|</t>
  </si>
  <si>
    <t>retinal_rod 3e-005| CobT 7e-005| PHA03169 5e-004| CobT 0.003| BUD22 0.003| Daxx 0.017| PRK12678 0.018| COG5177 0.040| Nop14 0.060| PRK07211 0.081|</t>
  </si>
  <si>
    <t>Anopheles funestus</t>
  </si>
  <si>
    <t>retinal_rod 1e-006| PHA02664 1e-004| PRK13108 4e-004| MDN1 5e-004| PHA03169 8e-004| CobT 0.001| Nop14 0.003| CobT 0.005| Daxx 0.012| Microcephalin 0.064|</t>
  </si>
  <si>
    <t>retinal_rod 9e-006| CobT 4e-005| CobT 1e-004| MDN1 1e-004| PRK13108 5e-004| PHA03169 9e-004| PHA02664 0.002| Daxx 0.002| PRK05901 0.008| COG5406 0.008|</t>
  </si>
  <si>
    <t>retinal_rod 2e-008| PHA03169 2e-005| PRK12678 7e-005| PRK13108 4e-004| Nop14 8e-004| MDN1 8e-004| CobT 0.008| CobT 0.054| COG5593 0.069| Daxx 0.073|</t>
  </si>
  <si>
    <t>retinal_rod 6e-007| PRK13108 1e-006| PHA03169 4e-004| PHA02664 0.002| Nop14 0.002| CobT 0.003| CobT 0.024| MDN1 0.070| COG5406 | TFIIF_alpha |</t>
  </si>
  <si>
    <t>Anopheles stephensi</t>
  </si>
  <si>
    <t>PHA03169 2e-006| Collagen 3e-006| retinal_rod 7e-006| CobT 5e-005| PRK13108 0.001| Nop14 0.002| MDN1 0.003| PHA02664 0.007| COG5406 0.017| PRK06958 0.031|</t>
  </si>
  <si>
    <t>retinal_rod 4e-006| PHA03169 3e-005| CobT 6e-005| Collagen 1e-004| CobT 5e-004| PRK13108 5e-004| Nop14 0.003| PHA02664 0.007| COG5406 0.014| CENP-T 0.020|</t>
  </si>
  <si>
    <t>Anopheles cracens</t>
  </si>
  <si>
    <t>retinal_rod 2e-010| PRK12678 8e-009| PHA03169 4e-006| PRK13108 9e-005| MDN1 1e-004| COG5406 2e-004| CobT 2e-004| Nop14 0.003| III 0.003| PRK05901 0.007|</t>
  </si>
  <si>
    <t>PHA03169 3e-008| retinal_rod 3e-007| Nop14 2e-005| CobT 5e-005| PRK12678 6e-005| MDN1 1e-004| CobT 2e-004| PHA02664 3e-004| Daxx 5e-004| CENP-T 8e-004|</t>
  </si>
  <si>
    <t>Anopheles sinensis</t>
  </si>
  <si>
    <t>retinal_rod 3e-005| PHA03169 3e-005| PRK13108 3e-004| MDN1 0.002| PRK12678 0.005| Herpes_LMP1 0.007| PHA02664 0.008| Nop14 0.012| CobT 0.027| PTZ00482 0.073|</t>
  </si>
  <si>
    <t xml:space="preserve">Aegyptin_stringent_pattern |Aegyptin_mosquito_stringent_pattern |Aegyptin_coxy | </t>
  </si>
  <si>
    <t>PHA03169 4e-009| retinal_rod 8e-008| MDN1 3e-006| CobT 5e-004| PRK13108 0.001| CobT 0.002| COPI_C 0.006| PHA02664 0.007| PRK12678 0.012| III 0.023|</t>
  </si>
  <si>
    <t>Anopheles albimanus</t>
  </si>
  <si>
    <t>PHA02664 2e-004| PHA03169 5e-004| MDN1 0.001| retinal_rod 0.001| Herpes_LMP1 0.017| CobT 0.054| PLN03142 0.076| CobT | CobT | Daxx |</t>
  </si>
  <si>
    <t>Anopheles darlingi</t>
  </si>
  <si>
    <t>PHA02664 0.002| retinal_rod 0.004| CobT 0.024| PHA03169 0.075| Daxx | PRK12678 | COPI_C | PRK06958 | MDN1 | CENP-T |</t>
  </si>
  <si>
    <t>Anopheles gambiae str. PEST</t>
  </si>
  <si>
    <t>Formate_acetyltransferase | DPOR_bchN | PRK00009 | PRK15315 | GldM_gliding | Ffh | PLN00149 |</t>
  </si>
  <si>
    <t>Amino acid transport and metabolism</t>
  </si>
  <si>
    <t xml:space="preserve">56_kDa_family | </t>
  </si>
  <si>
    <t>PFL1 | Formate_acetyltransferase | INPP5c_INPP5B | PRK06782 | PRK04196 | Ffh | GldM_gliding | PLN00149 |</t>
  </si>
  <si>
    <t>Replication, recombination and repair</t>
  </si>
  <si>
    <t>DPOR_bchN | Formate_acetyltransferase | Ffh | PRK15315 | conj_TIGR03747 | Myosin_tail_1 |</t>
  </si>
  <si>
    <t>Signal transduction mechanisms</t>
  </si>
  <si>
    <t>hypothetical_protein_Nmul_A0241 | Formate_acetyltransferase | PRK15315 | GldM_gliding | DPOR_bchN | Ffh | Putative_arsenical_pump-driving_ATPase...    29   6.7   | PLN00149 |</t>
  </si>
  <si>
    <t>AcrB | PRK06782 | PRK15315 | DPOR_bchN | PLN00149 |</t>
  </si>
  <si>
    <t>RTX | 46 | Signal_recognition_particle_protein | TCP1_eta | CSE1 | PFL1 | PRK15219 | PHA03325 | Ffh | PLN02522 |</t>
  </si>
  <si>
    <t>Posttranslational modification, protein turnover, chaperones</t>
  </si>
  <si>
    <t>PLN03146 | COG0319 | Signal_recognition_particle_protein | PRK15219 | KLRAQ | ERG12 | PRK00009 | COG4805 | Ppc | conserved_hypothetical_protein |</t>
  </si>
  <si>
    <t>Lipid transport and metabolism</t>
  </si>
  <si>
    <t>RTX 0.091| Elong_Iki1 | Elf-1_N | V | eu_PheOH | HECT | Mtu_fam_mce | ABCG_White | MMS22L_N | arg_catab_astC |</t>
  </si>
  <si>
    <t>Signal transduction mechanisms, Chromatin structure and dynamics, Replication, recombination and repair, Cell cycle control, cell division, chromosome partitioning</t>
  </si>
  <si>
    <t>RTX | Mtu_fam_mce | PLN02484 | Elong_Iki1 | Signal_recognition_particle_protein | AbgT | DUF342 | PolC | PRK08722 | PTZ00117 |</t>
  </si>
  <si>
    <t>RTX 0.009| M20_dipept_like_5 | Elong_Iki1 | mycoplas_twoTM | KAP95 | Mtu_fam_mce | DUF342 | PTZ00440 | PRK09699 | PRK09866 |</t>
  </si>
  <si>
    <t>RTX 0.023| PRK08566 | Elong_Iki1 | PRK10118 | MIT_CorA-like | Baculo_PEP_C | RNAP_archeal_A' | PFL1 | DUF342 | ParcG |</t>
  </si>
  <si>
    <t>Function unknown</t>
  </si>
  <si>
    <t>PRK06663 0.100| PHA03349 | Peptidase_S64 | RTX | Baculo_PEP_C | PRK11628 | 18 | ATP_synthase_subunit_beta | GH25_Cpl1-like | Ffh |</t>
  </si>
  <si>
    <t>Extracellular structures</t>
  </si>
  <si>
    <t>HisH | CESA_like_1 | DevR | Putative_formate_acetyltransferase_3 | PRK12492 | STKc_PSKH1 | PRK07376 | Ffh |</t>
  </si>
  <si>
    <t>Carbohydrate transport and metabolism</t>
  </si>
  <si>
    <t>PRK08084 | PTZ00082 | CESA_like_1 | APG17 | COG2942 | DHC_N2 | COG4279 | RTX | Mtu_fam_mce | PTZ00117 |</t>
  </si>
  <si>
    <t>General function prediction only</t>
  </si>
  <si>
    <t>COG4223 | M20_Acy1_YkuR_like | V_Alix_like | tldD | PRK03059 | AbgB | similar_to_to_phytoene_dehydrogenase | COG4190 |</t>
  </si>
  <si>
    <t>Cytoskeleton</t>
  </si>
  <si>
    <t xml:space="preserve">Aegyptin_mosquito_stringent_pattern |Aegyptin_Culicoides_40pct | </t>
  </si>
  <si>
    <t>PhoQ_Sensor | PRK08271 | similar_to_to_phytoene_dehydrogenase | Nckap1 | DUF137 | DUF3414 | flgK | PRK13761 | COG1701 | Ppc |</t>
  </si>
  <si>
    <t xml:space="preserve">Aegyptin_mosquito_stringent_pattern | </t>
  </si>
  <si>
    <t>SCP_euk 1e-038| SCP 5e-023| CAP 3e-012| SCP 4e-012| SCP_HrTT-1 5e-011| SCP_GLIPR-1_like 2e-010| SCP_CRISP 2e-009| SCP_GAPR-1_like 9e-005| SCP_PRY1_like 3e-004| SCP_PR-1_like 0.004|</t>
  </si>
  <si>
    <t>SCP_euk 9e-039| SCP 4e-023| CAP 3e-012| SCP 3e-012| SCP_HrTT-1 5e-011| SCP_GLIPR-1_like 1e-010| SCP_CRISP 1e-009| SCP_GAPR-1_like 9e-005| SCP_PRY1_like 3e-004| SCP_PR-1_like 0.004|</t>
  </si>
  <si>
    <t>SCP_euk 1e-038| SCP 6e-023| CAP 3e-012| SCP 4e-012| SCP_HrTT-1 7e-011| SCP_GLIPR-1_like 2e-010| SCP_CRISP 2e-009| SCP_GAPR-1_like 1e-004| SCP_PRY1_like 4e-004| SCP_PR-1_like 0.004|</t>
  </si>
  <si>
    <t>SCP_euk 9e-039| SCP 4e-023| CAP 2e-012| SCP 3e-012| SCP_HrTT-1 5e-011| SCP_GLIPR-1_like 1e-010| SCP_CRISP 2e-009| SCP_GAPR-1_like 8e-005| SCP_PRY1_like 3e-004| SCP_PR-1_like 0.004|</t>
  </si>
  <si>
    <t>SCP_euk 2e-038| SCP 6e-023| SCP 3e-012| CAP 5e-012| SCP_HrTT-1 6e-011| SCP_GLIPR-1_like 2e-010| SCP_CRISP 2e-009| SCP_GAPR-1_like 1e-004| SCP_PRY1_like 3e-004| SCP_PR-1_like 0.013|</t>
  </si>
  <si>
    <t>SCP_euk 9e-039| SCP 6e-023| CAP 2e-012| SCP 7e-012| SCP_HrTT-1 2e-011| SCP_GLIPR-1_like 2e-010| SCP_CRISP 2e-009| SCP_GAPR-1_like 2e-004| SCP_PRY1_like 8e-004| SCP_PR-1_like 0.002|</t>
  </si>
  <si>
    <t>SCP_euk 3e-038| SCP 4e-023| CAP 3e-012| SCP_HrTT-1 8e-012| SCP 5e-011| SCP_GLIPR-1_like 3e-010| SCP_CRISP 1e-009| SCP_GAPR-1_like 3e-004| SCP_PR-1_like 4e-004| SCP_PRY1_like 7e-004|</t>
  </si>
  <si>
    <t>SCP_euk 3e-039| SCP 2e-023| CAP 2e-012| SCP 4e-012| SCP_HrTT-1 7e-012| SCP_GLIPR-1_like 1e-010| SCP_CRISP 3e-009| SCP_GAPR-1_like 1e-004| SCP_PR-1_like 1e-004| SCP_PRY1_like 2e-004|</t>
  </si>
  <si>
    <t>SCP_euk 9e-039| SCP 2e-022| CAP 6e-012| SCP 8e-012| SCP_GLIPR-1_like 3e-011| SCP_HrTT-1 9e-011| SCP_CRISP 4e-010| SCP_PRY1_like 4e-005| SCP_GAPR-1_like 2e-004| SCP_PR-1_like 0.016|</t>
  </si>
  <si>
    <t>SCP_euk 3e-039| SCP 1e-022| CAP 9e-012| SCP 2e-011| SCP_HrTT-1 1e-010| SCP_GLIPR-1_like 3e-010| SCP_CRISP 6e-010| SCP_PRY1_like 3e-005| SCP_GAPR-1_like 0.003| probable_RNA_polymerase_sigma_subunit 0.064|</t>
  </si>
  <si>
    <t>SCP_euk 4e-038| SCP 2e-022| CAP 1e-011| SCP_GLIPR-1_like 4e-011| SCP 5e-011| SCP_CRISP 5e-011| SCP_HrTT-1 1e-010| SCP_PRY1_like 5e-005| SCP_GAPR-1_like 0.002| SCP_PR-1_like 0.028|</t>
  </si>
  <si>
    <t>SCP_euk 9e-039| SCP 5e-024| CAP 1e-012| SCP_HrTT-1 4e-012| SCP 1e-011| SCP_GLIPR-1_like 4e-010| SCP_CRISP 6e-009| SCP_PRY1_like 6e-004| SCP_GAPR-1_like 8e-004| SCP_PR-1_like 0.004|</t>
  </si>
  <si>
    <t>SCP_euk 1e-038| SCP 3e-023| CAP 1e-011| SCP 3e-011| SCP_HrTT-1 3e-011| SCP_GLIPR-1_like 1e-008| SCP_CRISP 3e-008| SCP_GAPR-1_like 9e-005| SCP_PRY1_like 4e-004| SCP_PR-1_like 0.020|</t>
  </si>
  <si>
    <t>SCP_euk 3e-040| SCP 2e-023| SCP_HrTT-1 6e-015| SCP 2e-013| SCP_GLIPR-1_like 1e-012| CAP 3e-012| SCP_CRISP 8e-012| SCP_PRY1_like 3e-007| SCP_GAPR-1_like 1e-005| SCP_PR-1_like 2e-004|</t>
  </si>
  <si>
    <t>SCP_euk 1e-040| SCP 1e-024| SCP_HrTT-1 4e-014| SCP_GLIPR-1_like 9e-014| CAP 1e-013| SCP 3e-013| SCP_CRISP 1e-012| SCP_PRY1_like 2e-008| SCP_GAPR-1_like 1e-005| SCP_PR-1_like 1e-004|</t>
  </si>
  <si>
    <t>SCP_euk 1e-038| SCP 1e-022| CAP 6e-012| SCP_HrTT-1 2e-011| SCP 2e-011| SCP_GLIPR-1_like 2e-010| SCP_CRISP 1e-009| SCP_PRY1_like 8e-005| SCP_GAPR-1_like 0.006| SCP_PR-1_like |</t>
  </si>
  <si>
    <t>SCP_euk 1e-040| SCP 3e-025| SCP_HrTT-1 2e-013| CAP 3e-013| SCP 6e-013| SCP_CRISP 3e-010| SCP_GLIPR-1_like 5e-010| SCP_PRY1_like 8e-009| SCP_GAPR-1_like 1e-008| SCP_PR-1_like 0.006|</t>
  </si>
  <si>
    <t>SCP_euk 3e-040| SCP 4e-026| CAP 9e-014| SCP_HrTT-1 6e-013| SCP 1e-012| SCP_CRISP 1e-010| SCP_GLIPR-1_like 5e-010| SCP_GAPR-1_like 2e-009| SCP_PRY1_like 3e-009| SCP_PR-1_like 0.001|</t>
  </si>
  <si>
    <t>SCP_euk 1e-039| SCP 2e-024| SCP_GLIPR-1_like 4e-015| CAP 6e-013| SCP_CRISP 1e-011| SCP 2e-011| SCP_HrTT-1 2e-007| SCP_PRY1_like 2e-006| SCP_GAPR-1_like 3e-006| SCP_PR-1_like 4e-005|</t>
  </si>
  <si>
    <t>SCP_euk 4e-039| SCP 9e-025| SCP_GLIPR-1_like 4e-014| CAP 4e-013| SCP_CRISP 2e-011| SCP 1e-010| SCP_HrTT-1 6e-007| SCP_GAPR-1_like 3e-006| SCP_PRY1_like 3e-005| SCP_PR-1_like 3e-004|</t>
  </si>
  <si>
    <t>SCP_euk 3e-039| SCP 8e-025| SCP_GLIPR-1_like 4e-014| CAP 4e-013| SCP_CRISP 2e-011| SCP 1e-010| SCP_HrTT-1 5e-007| SCP_GAPR-1_like 3e-006| SCP_PRY1_like 4e-005| SCP_PR-1_like 3e-004|</t>
  </si>
  <si>
    <t>SCP_euk 2e-037| SCP 1e-023| SCP_GLIPR-1_like 1e-012| CAP 1e-011| SCP 3e-010| SCP_CRISP 1e-009| SCP_HrTT-1 9e-007| SCP_PRY1_like 1e-005| SCP_GAPR-1_like 3e-005| SCP_PR-1_like 0.014|</t>
  </si>
  <si>
    <t>SCP_euk 1e-037| SCP 1e-021| SCP_GLIPR-1_like 2e-012| CAP 2e-011| SCP 9e-011| SCP_CRISP 9e-010| SCP_HrTT-1 2e-005| SCP_PRY1_like 5e-005| SCP_GAPR-1_like 5e-005| SCP_PR-1_like 0.003|</t>
  </si>
  <si>
    <t>SCP_euk 3e-039| SCP 3e-028| SCP_GLIPR-1_like 4e-013| SCP 6e-013| CAP 2e-012| SCP_CRISP 4e-011| SCP_HrTT-1 1e-009| SCP_PRY1_like 3e-007| SCP_PR-1_like 1e-006| SCP_GAPR-1_like 3e-006|</t>
  </si>
  <si>
    <t>SCP_euk 9e-039| SCP 4e-024| SCP_HrTT-1 5e-011| SCP 3e-010| CAP 3e-010| SCP_CRISP 9e-010| SCP_GLIPR-1_like 6e-009| SCP_PRY1_like 0.004| SCP_GAPR-1_like 0.008| Malate_synthase |</t>
  </si>
  <si>
    <t>SCP_euk 5e-035| SCP 1e-020| SCP 3e-010| CAP 4e-010| SCP_HrTT-1 2e-008| SCP_CRISP 1e-006| SCP_GLIPR-1_like 6e-006| SCP_GAPR-1_like 2e-004| SCP_PRY1_like 2e-004| COG2340 |</t>
  </si>
  <si>
    <t>SCP_euk 1e-040| SCP 5e-026| CAP 2e-013| SCP_HrTT-1 2e-011| SCP 2e-010| SCP_CRISP 8e-010| SCP_GLIPR-1_like 1e-009| SCP_PRY1_like 1e-007| SCP_GAPR-1_like 3e-004| SCP_PR-1_like 0.002|</t>
  </si>
  <si>
    <t>SCP_euk 4e-030| SCP 1e-013| CAP 2e-009| SCP 2e-005| SCP_GLIPR-1_like 6e-005| SCP_GAPR-1_like 0.001| SCP_HrTT-1 0.023| PHA00447 0.026| SCP_CRISP | PRK04270 |</t>
  </si>
  <si>
    <t>SCP_euk 8e-040| SCP 3e-022| CAP 7e-013| SCP 8e-013| SCP_CRISP 6e-011| SCP_HrTT-1 7e-010| SCP_PRY1_like 2e-008| SCP_GLIPR-1_like 2e-007| SCP_GAPR-1_like 2e-005| SCP_PR-1_like 8e-004|</t>
  </si>
  <si>
    <t>SCP_euk 2e-036| SCP 6e-021| SCP 9e-011| CAP 3e-010| SCP_HrTT-1 1e-007| SCP_CRISP 1e-007| SCP_GLIPR-1_like 4e-006| SCP_PRY1_like 0.001| SCP_GAPR-1_like 0.020| SCP_PR-1_like 0.024|</t>
  </si>
  <si>
    <t>SCP_euk 4e-036| SCP 3e-026| SCP_HrTT-1 1e-013| CAP 2e-013| SCP_CRISP 2e-012| SCP_GLIPR-1_like 1e-011| SCP 1e-010| SCP_PRY1_like 2e-006| SCP_GAPR-1_like 4e-006| SCP_PR-1_like |</t>
  </si>
  <si>
    <t>SCP_euk 6e-036| SCP 7e-026| SCP_HrTT-1 6e-014| CAP 3e-013| SCP_CRISP 2e-012| SCP_GLIPR-1_like 1e-011| SCP 1e-010| SCP_PRY1_like 3e-006| SCP_GAPR-1_like 4e-006| SCP_PR-1_like |</t>
  </si>
  <si>
    <t>SCP_euk 4e-036| SCP 6e-026| SCP_HrTT-1 1e-013| CAP 2e-013| SCP_CRISP 2e-012| SCP_GLIPR-1_like 4e-011| SCP 3e-010| SCP_PRY1_like 3e-006| SCP_GAPR-1_like 4e-006| SCP_PR-1_like |</t>
  </si>
  <si>
    <t>SCP_euk 2e-036| SCP 3e-026| SCP_HrTT-1 1e-013| CAP 1e-012| SCP_CRISP 3e-012| SCP_GLIPR-1_like 1e-011| SCP 1e-010| SCP_GAPR-1_like 3e-006| SCP_PRY1_like 7e-006| SCP_PR-1_like |</t>
  </si>
  <si>
    <t>SCP_euk 1e-035| SCP 1e-024| CAP 3e-013| SCP_HrTT-1 8e-013| SCP_GLIPR-1_like 6e-012| SCP_CRISP 6e-012| SCP 1e-010| SCP_PRY1_like 3e-006| SCP_GAPR-1_like 2e-005| Sec6 |</t>
  </si>
  <si>
    <t>SCP_euk 1e-036| SCP 3e-026| CAP 8e-013| SCP_HrTT-1 1e-012| SCP_CRISP 3e-012| SCP_GLIPR-1_like 2e-011| SCP 4e-010| SCP_GAPR-1_like 9e-007| SCP_PRY1_like 1e-005| SCP_PR-1_like |</t>
  </si>
  <si>
    <t>SCP_euk 8e-036| SCP 4e-025| SCP_HrTT-1 3e-013| CAP 8e-013| SCP_GLIPR-1_like 9e-012| SCP_CRISP 1e-011| SCP 1e-010| SCP_PRY1_like 9e-007| SCP_GAPR-1_like 7e-006| STKc_TAK1 |</t>
  </si>
  <si>
    <t>SCP_euk 2e-035| SCP 5e-025| SCP_HrTT-1 3e-013| CAP 6e-013| SCP_CRISP 7e-012| SCP_GLIPR-1_like 2e-011| SCP 2e-009| SCP_PRY1_like 2e-006| SCP_GAPR-1_like 7e-006| SCP_PR-1_like |</t>
  </si>
  <si>
    <t>SCP_euk 1e-035| SCP 3e-024| SCP_HrTT-1 2e-013| CAP 2e-012| SCP_GLIPR-1_like 5e-012| SCP_CRISP 3e-011| SCP 6e-010| SCP_PRY1_like 2e-006| SCP_GAPR-1_like 7e-006| COG2340 |</t>
  </si>
  <si>
    <t>SCP_euk 2e-034| SCP 5e-024| SCP_HrTT-1 7e-013| CAP 4e-012| SCP_CRISP 2e-011| SCP_GLIPR-1_like 3e-011| SCP 3e-009| SCP_PRY1_like 4e-006| SCP_GAPR-1_like 1e-004| PLN02353 |</t>
  </si>
  <si>
    <t>SCP_euk 2e-036| SCP 6e-026| SCP_HrTT-1 3e-013| CAP 4e-012| SCP_CRISP 5e-012| SCP_GLIPR-1_like 1e-010| SCP 3e-010| SCP_PRY1_like 4e-006| SCP_GAPR-1_like 6e-006| SCP_PR-1_like |</t>
  </si>
  <si>
    <t>SCP_euk 3e-034| SCP 8e-025| CAP 1e-013| SCP_CRISP 3e-011| SCP_GLIPR-1_like 1e-010| SCP_HrTT-1 1e-010| SCP 4e-009| SCP_PRY1_like 6e-007| SCP_GAPR-1_like 9e-006| SCP_PR-1_like 0.025|</t>
  </si>
  <si>
    <t>SCP_euk 4e-035| SCP 9e-026| CAP 1e-013| SCP_CRISP 1e-012| SCP_HrTT-1 3e-011| SCP 1e-010| SCP_GLIPR-1_like 1e-009| SCP_PRY1_like 5e-007| SCP_GAPR-1_like 3e-005| SCP_PR-1_like 0.037|</t>
  </si>
  <si>
    <t>SCP_euk 1e-035| SCP 3e-025| SCP_HrTT-1 8e-013| CAP 3e-012| SCP_CRISP 1e-010| SCP 3e-010| SCP_GLIPR-1_like 9e-010| SCP_GAPR-1_like 1e-006| SCP_PRY1_like 7e-006| SCP_PR-1_like |</t>
  </si>
  <si>
    <t>SCP_euk 5e-036| SCP 6e-026| SCP_HrTT-1 1e-013| CAP 2e-012| SCP_CRISP 4e-011| SCP 1e-010| SCP_GLIPR-1_like 1e-009| SCP_GAPR-1_like 6e-007| SCP_PRY1_like 4e-006| SCP_PR-1_like 0.012|</t>
  </si>
  <si>
    <t>SCP_euk 5e-036| SCP 9e-022| CAP 2e-010| SCP 3e-010| SCP_CRISP 4e-010| SCP_GLIPR-1_like 1e-009| SCP_HrTT-1 5e-008| SCP_PRY1_like 2e-004| SCP_GAPR-1_like 0.003| SCP_PR-1_like 0.035|</t>
  </si>
  <si>
    <t>SCP_euk 3e-037| SCP 6e-022| CAP 9e-012| SCP_CRISP 4e-011| SCP 7e-011| SCP_GLIPR-1_like 3e-010| SCP_HrTT-1 1e-008| SCP_PRY1_like 4e-005| SCP_GAPR-1_like 2e-004| SCP_PR-1_like 0.012|</t>
  </si>
  <si>
    <t>SCP_euk 9e-038| SCP 1e-022| CAP 1e-011| SCP_CRISP 2e-011| SCP 2e-011| SCP_GLIPR-1_like 9e-011| SCP_HrTT-1 3e-009| SCP_PRY1_like 1e-005| SCP_GAPR-1_like 2e-004| SCP_PR-1_like 0.003|</t>
  </si>
  <si>
    <t>SCP_euk 2e-037| SCP 1e-022| CAP 2e-011| SCP_CRISP 5e-011| SCP 6e-011| SCP_GLIPR-1_like 2e-010| SCP_HrTT-1 4e-009| SCP_PRY1_like 6e-006| SCP_GAPR-1_like 2e-004| SCP_PR-1_like 0.002|</t>
  </si>
  <si>
    <t>SCP_euk 3e-037| SCP 8e-022| SCP_CRISP 1e-011| SCP 4e-011| CAP 5e-011| SCP_GLIPR-1_like 5e-010| SCP_HrTT-1 2e-008| SCP_PRY1_like 4e-005| SCP_GAPR-1_like 3e-004| SCP_PR-1_like 0.008|</t>
  </si>
  <si>
    <t>SCP_euk 9e-038| SCP 2e-021| CAP 1e-011| SCP 2e-010| SCP_CRISP 2e-010| SCP_GLIPR-1_like 1e-009| SCP_HrTT-1 6e-008| SCP_PRY1_like 3e-004| SCP_GAPR-1_like 0.018| SCP_PR-1_like 0.022|</t>
  </si>
  <si>
    <t>SCP_euk 4e-036| SCP 9e-024| SCP_GLIPR-1_like 8e-012| SCP_CRISP 2e-011| SCP 4e-011| CAP 6e-011| SCP_HrTT-1 1e-010| SCP_PRY1_like 5e-009| SCP_GAPR-1_like 1e-005| SCP_PR-1_like 0.018|</t>
  </si>
  <si>
    <t>SCP_euk 5e-036| SCP 4e-021| SCP 3e-012| CAP 6e-011| SCP_GLIPR-1_like 1e-008| SCP_HrTT-1 2e-008| SCP_CRISP 3e-007| SCP_GAPR-1_like 2e-005| SCP_PRY1_like 0.003| SCP_PR-1_like |</t>
  </si>
  <si>
    <t>SCP_euk 9e-036| SCP 3e-020| SCP 8e-012| CAP 1e-010| SCP_GLIPR-1_like 1e-008| SCP_HrTT-1 3e-008| SCP_CRISP 3e-007| SCP_GAPR-1_like 2e-005| SCP_PRY1_like 0.004| PCC |</t>
  </si>
  <si>
    <t>SCP_euk 6e-036| SCP 3e-022| SCP 8e-011| CAP 2e-010| SCP_GLIPR-1_like 2e-008| SCP_CRISP 5e-007| SCP_HrTT-1 7e-007| SCP_GAPR-1_like 1e-004| SCP_PRY1_like 0.021| SCP_PR-1_like |</t>
  </si>
  <si>
    <t xml:space="preserve">OneOfEach_stringent_pattern | </t>
  </si>
  <si>
    <t>SCP_euk 4e-034| SCP 2e-018| CAP 2e-010| SCP 3e-010| SCP_GLIPR-1_like 5e-007| SCP_GAPR-1_like 6e-007| SCP_HrTT-1 1e-006| SCP_CRISP 2e-004| SCP_PRY1_like 0.010| PCC |</t>
  </si>
  <si>
    <t>SCP_euk 3e-036| SCP 8e-023| SCP 2e-012| CAP 3e-011| SCP_GLIPR-1_like 1e-009| SCP_GAPR-1_like 2e-008| SCP_HrTT-1 2e-008| SCP_CRISP 4e-008| SCP_PRY1_like 4e-005| SCP_PR-1_like 0.002|</t>
  </si>
  <si>
    <t>SCP_euk 2e-037| SCP 1e-026| SCP_CRISP 7e-014| CAP 2e-012| SCP 5e-012| SCP_GLIPR-1_like 5e-012| SCP_HrTT-1 6e-012| SCP_GAPR-1_like 2e-007| SCP_PRY1_like 4e-007| SCP_PR-1_like 4e-007|</t>
  </si>
  <si>
    <t>SCP_euk 1e-034| SCP 3e-022| SCP_GLIPR-1_like 5e-010| CAP 7e-010| SCP 4e-009| SCP_HrTT-1 5e-008| SCP_CRISP 8e-008| SCP_GAPR-1_like 2e-004| SCP_PR-1_like 0.035| SCP_PRY1_like |</t>
  </si>
  <si>
    <t>SCP_euk 2e-035| SCP 1e-022| CAP 2e-011| SCP 8e-011| SCP_HrTT-1 3e-010| SCP_GLIPR-1_like 5e-010| SCP_CRISP 6e-008| SCP_GAPR-1_like 2e-006| SCP_PRY1_like 6e-005| SCP_PR-1_like 2e-004|</t>
  </si>
  <si>
    <t>SCP_euk 1e-039| SCP 4e-026| CAP 1e-013| SCP_GLIPR-1_like 1e-012| SCP 9e-011| SCP_CRISP 9e-010| SCP_HrTT-1 4e-008| SCP_GAPR-1_like 7e-007| SCP_PRY1_like 1e-006| SCP_PR-1_like 2e-004|</t>
  </si>
  <si>
    <t>SCP_euk 8e-040| SCP 9e-026| CAP 1e-013| SCP_GLIPR-1_like 1e-011| SCP 2e-010| SCP_CRISP 4e-010| SCP_HrTT-1 2e-008| SCP_GAPR-1_like 3e-007| SCP_PRY1_like 1e-006| SCP_PR-1_like 1e-004|</t>
  </si>
  <si>
    <t>SCP_euk 1e-039| SCP 3e-025| CAP 1e-013| SCP_GLIPR-1_like 2e-012| SCP_CRISP 2e-010| SCP 3e-010| SCP_HrTT-1 4e-008| SCP_GAPR-1_like 6e-007| SCP_PRY1_like 4e-006| SCP_PR-1_like 3e-004|</t>
  </si>
  <si>
    <t>SCP_euk 7e-040| SCP 4e-026| CAP 1e-013| SCP_GLIPR-1_like 1e-012| SCP 1e-010| SCP_CRISP 8e-010| SCP_HrTT-1 1e-008| SCP_GAPR-1_like 6e-007| SCP_PRY1_like 1e-006| SCP_PR-1_like 2e-004|</t>
  </si>
  <si>
    <t>SCP_euk 2e-039| SCP 5e-026| CAP 3e-013| SCP_GLIPR-1_like 4e-012| SCP 2e-010| SCP_CRISP 1e-009| SCP_HrTT-1 3e-008| SCP_GAPR-1_like 1e-006| SCP_PRY1_like 2e-006| SCP_PR-1_like 5e-004|</t>
  </si>
  <si>
    <t>SCP_euk 1e-039| SCP 1e-025| CAP 2e-013| SCP_GLIPR-1_like 6e-012| SCP 1e-010| SCP_CRISP 4e-010| SCP_HrTT-1 1e-007| SCP_GAPR-1_like 2e-006| SCP_PRY1_like 5e-006| SCP_PR-1_like 3e-004|</t>
  </si>
  <si>
    <t>SCP_euk 1e-038| SCP 1e-027| SCP_GLIPR-1_like 3e-012| CAP 7e-011| SCP 4e-010| SCP_HrTT-1 1e-009| SCP_CRISP 2e-008| SCP_GAPR-1_like 4e-005| SCP_PRY1_like 1e-004| COG2340 0.076|</t>
  </si>
  <si>
    <t>SCP_euk 4e-040| SCP 6e-027| CAP 3e-012| SCP_GLIPR-1_like 2e-011| SCP_HrTT-1 2e-011| SCP_CRISP 3e-011| SCP 7e-010| SCP_PRY1_like 2e-005| SCP_GAPR-1_like 7e-004| PCC 0.025|</t>
  </si>
  <si>
    <t>SCP_euk 4e-036| SCP 2e-022| SCP 9e-011| CAP 8e-010| SCP_CRISP 1e-008| SCP_HrTT-1 1e-007| SCP_GLIPR-1_like 4e-007| SCP_GAPR-1_like 3e-004| SCP_PR-1_like 0.006| SCP_PRY1_like 0.008|</t>
  </si>
  <si>
    <t>SCP_euk 3e-037| SCP 9e-023| CAP 3e-013| SCP_HrTT-1 5e-011| SCP_CRISP 1e-010| SCP 2e-010| SCP_GLIPR-1_like 9e-009| SCP_PRY1_like 2e-007| SCP_GAPR-1_like 1e-006| SCP_PR-1_like 0.007|</t>
  </si>
  <si>
    <t>SCP_euk 2e-035| SCP 2e-025| CAP 3e-013| SCP 2e-011| SCP_CRISP 8e-011| SCP_HrTT-1 1e-010| SCP_GLIPR-1_like 4e-009| SCP_GAPR-1_like 9e-009| SCP_PRY1_like 2e-006| SCP_PR-1_like 0.024|</t>
  </si>
  <si>
    <t>SCP_euk 1e-035| SCP 2e-025| CAP 2e-013| SCP 2e-011| SCP_CRISP 7e-011| SCP_HrTT-1 9e-011| SCP_GLIPR-1_like 3e-009| SCP_GAPR-1_like 8e-009| SCP_PRY1_like 2e-006| SCP_PR-1_like 0.023|</t>
  </si>
  <si>
    <t>SCP_euk 1e-034| SCP 2e-024| CAP 2e-012| SCP 7e-011| SCP_HrTT-1 3e-010| SCP_CRISP 6e-010| SCP_GLIPR-1_like 2e-008| SCP_GAPR-1_like 1e-007| SCP_PRY1_like 6e-006| SCP_PR-1_like 0.079|</t>
  </si>
  <si>
    <t>SCP_euk 1e-035| SCP 2e-025| CAP 3e-013| SCP 1e-011| SCP_CRISP 7e-011| SCP_HrTT-1 9e-011| SCP_GLIPR-1_like 4e-009| SCP_GAPR-1_like 8e-009| SCP_PRY1_like 2e-006| SCP_PR-1_like 0.023|</t>
  </si>
  <si>
    <t>SCP_euk 1e-035| SCP 2e-025| CAP 2e-013| SCP 1e-011| SCP_CRISP 7e-011| SCP_HrTT-1 9e-011| SCP_GLIPR-1_like 3e-009| SCP_GAPR-1_like 8e-009| SCP_PRY1_like 2e-006| SCP_PR-1_like 0.021|</t>
  </si>
  <si>
    <t>SCP_euk 1e-035| SCP 2e-025| CAP 2e-013| SCP 1e-011| SCP_CRISP 7e-011| SCP_HrTT-1 1e-010| SCP_GLIPR-1_like 3e-009| SCP_GAPR-1_like 8e-009| SCP_PRY1_like 2e-006| SCP_PR-1_like 0.022|</t>
  </si>
  <si>
    <t>SCP_euk 6e-036| SCP 1e-025| CAP 1e-013| SCP 5e-012| SCP_CRISP 5e-011| SCP_HrTT-1 1e-010| SCP_GLIPR-1_like 2e-010| SCP_GAPR-1_like 8e-009| SCP_PRY1_like 5e-007| SCP_PR-1_like 0.011|</t>
  </si>
  <si>
    <t>SCP_euk 7e-036| SCP 8e-026| CAP 2e-013| SCP_HrTT-1 1e-011| SCP 3e-011| SCP_CRISP 6e-011| SCP_GLIPR-1_like 5e-009| SCP_GAPR-1_like 2e-008| SCP_PRY1_like 1e-006| SCP_PR-1_like |</t>
  </si>
  <si>
    <t>SCP_euk 1e-035| SCP 3e-025| CAP 3e-013| SCP_HrTT-1 3e-011| SCP_CRISP 4e-011| SCP 4e-011| SCP_GLIPR-1_like 1e-009| SCP_GAPR-1_like 3e-008| SCP_PRY1_like 1e-006| SCP_PR-1_like 0.092|</t>
  </si>
  <si>
    <t>SCP_euk 2e-034| SCP 8e-024| CAP 6e-012| SCP_HrTT-1 9e-011| SCP_CRISP 9e-011| SCP 3e-010| SCP_GLIPR-1_like 4e-008| SCP_GAPR-1_like 1e-007| SCP_PRY1_like 1e-006| SCP_PR-1_like 0.062|</t>
  </si>
  <si>
    <t>MPP_CD73_N e-112| UshA 2e-062| PRK09419 5e-049| MPP_UshA_N_like 7e-047| Probable_5'-nucleotidase 8e-047| ushA 1e-036| 5_nucleotid_C 8e-034| MPP_CpdB_N 7e-021| MPP_UshA_N 1e-020| MPP_SoxB_N 2e-019|</t>
  </si>
  <si>
    <t>Nucleotide transport and metabolism</t>
  </si>
  <si>
    <t>MPP_CD73_N e-112| UshA 4e-062| PRK09419 5e-049| MPP_UshA_N_like 7e-047| Probable_5'-nucleotidase 7e-047| ushA 2e-036| 5_nucleotid_C 1e-033| MPP_CpdB_N 7e-021| MPP_UshA_N 1e-020| MPP_SoxB_N 2e-019|</t>
  </si>
  <si>
    <t>MPP_CD73_N e-112| UshA 9e-063| PRK09419 2e-049| MPP_UshA_N_like 3e-047| Probable_5'-nucleotidase 1e-046| ushA 3e-037| 5_nucleotid_C 9e-034| MPP_CpdB_N 1e-020| MPP_UshA_N 3e-020| MPP_SoxB_N 4e-020|</t>
  </si>
  <si>
    <t>MPP_CD73_N e-112| UshA 8e-063| PRK09419 1e-049| MPP_UshA_N_like 2e-047| Probable_5'-nucleotidase 2e-047| ushA 3e-037| 5_nucleotid_C 7e-034| MPP_CpdB_N 1e-021| MPP_UshA_N 2e-020| MPP_SoxB_N 4e-020|</t>
  </si>
  <si>
    <t>MPP_CD73_N e-111| UshA 4e-062| PRK09419 4e-049| MPP_UshA_N_like 9e-047| Probable_5'-nucleotidase 1e-045| ushA 1e-035| 5_nucleotid_C 1e-033| MPP_CpdB_N 3e-020| MPP_SoxB_N 5e-020| MPP_UshA_N 7e-020|</t>
  </si>
  <si>
    <t>MPP_CD73_N e-108| UshA 1e-063| Probable_5'-nucleotidase 3e-047| PRK09419 3e-046| MPP_UshA_N_like 6e-044| ushA 2e-036| 5_nucleotid_C 2e-034| MPP_CpdB_N 5e-022| MPP_UshA_N 3e-020| MPP_SoxB_N 7e-019|</t>
  </si>
  <si>
    <t>MPP_CD73_N e-110| UshA 2e-065| PRK09419 6e-050| Probable_5'-nucleotidase 2e-048| MPP_UshA_N_like 1e-045| ushA 2e-039| 5_nucleotid_C 7e-033| MPP_CpdB_N 1e-024| MPP_SoxB_N 7e-022| MPP_UshA_N 2e-020|</t>
  </si>
  <si>
    <t>Anopheles culicifacies</t>
  </si>
  <si>
    <t>MPP_CD73_N e-109| UshA 3e-062| Probable_5'-nucleotidase 4e-049| PRK09419 5e-049| MPP_UshA_N_like 4e-048| ushA 1e-042| 5_nucleotid_C 2e-032| MPP_CpdB_N 4e-024| MPP_UshA_N 2e-021| MPP_YhcR_N 1e-020|</t>
  </si>
  <si>
    <t>MPP_CD73_N e-110| UshA 2e-066| PRK09419 1e-052| Probable_5'-nucleotidase 9e-050| MPP_UshA_N_like 9e-049| ushA 3e-043| 5_nucleotid_C 4e-032| MPP_CpdB_N 2e-024| MPP_SoxB_N 2e-022| MPP_UshA_N 3e-022|</t>
  </si>
  <si>
    <t>MPP_CD73_N e-109| UshA 9e-063| Probable_5'-nucleotidase 3e-051| MPP_UshA_N_like 7e-049| PRK09419 2e-048| ushA 6e-043| 5_nucleotid_C 3e-032| MPP_CpdB_N 5e-025| MPP_UshA_N 3e-022| MPP_SoxB_N 1e-020|</t>
  </si>
  <si>
    <t>MPP_CD73_N e-111| UshA 1e-065| Probable_5'-nucleotidase 2e-053| PRK09419 4e-052| MPP_UshA_N_like 1e-049| ushA 5e-041| 5_nucleotid_C 5e-032| MPP_CpdB_N 3e-024| MPP_SoxB_N 3e-021| MPP_CG11883_N 4e-021|</t>
  </si>
  <si>
    <t>MPP_CD73_N e-111| UshA 3e-067| PRK09419 5e-054| Probable_5'-nucleotidase 6e-053| MPP_UshA_N_like 7e-048| ushA 3e-040| 5_nucleotid_C 3e-033| MPP_SoxB_N 1e-025| MPP_CpdB_N 1e-024| MPP_UshA_N 4e-023|</t>
  </si>
  <si>
    <t>MPP_CD73_N e-113| UshA 3e-065| Probable_5'-nucleotidase 4e-053| PRK09419 6e-050| MPP_UshA_N_like 2e-049| ushA 1e-043| 5_nucleotid_C 2e-032| MPP_CpdB_N 2e-027| MPP_UshA_N 9e-023| MPP_CG11883_N 4e-021|</t>
  </si>
  <si>
    <t>MPP_CD73_N e-107| UshA 1e-064| PRK09419 3e-051| Probable_5'-nucleotidase 1e-049| MPP_UshA_N_like 3e-048| ushA 4e-042| 5_nucleotid_C 1e-032| MPP_CpdB_N 2e-026| MPP_SoxB_N 1e-022| MPP_UshA_N 3e-021|</t>
  </si>
  <si>
    <t>MPP_CD73_N e-106| UshA 3e-061| PRK09419 8e-051| Probable_5'-nucleotidase 2e-048| MPP_UshA_N_like 2e-047| ushA 2e-043| 5_nucleotid_C 2e-033| MPP_CpdB_N 1e-025| MPP_UshA_N 1e-025| MPP_SoxB_N 3e-023|</t>
  </si>
  <si>
    <t>MPP_CD73_N e-107| UshA 1e-060| Probable_5'-nucleotidase 7e-051| PRK09419 5e-049| MPP_UshA_N_like 8e-047| ushA 1e-038| 5_nucleotid_C 4e-031| MPP_CpdB_N 1e-025| MPP_UshA_N 3e-023| MPP_SoxB_N 6e-023|</t>
  </si>
  <si>
    <t>MPP_CD73_N e-105| UshA 2e-068| PRK09419 6e-050| MPP_UshA_N_like 3e-042| ushA 1e-040| Probable_5'-nucleotidase 1e-039| 5_nucleotid_C 1e-030| MPP_UshA_N 6e-020| Sulfur_oxidation_protein_SoxB 1e-019| MPP_SoxB_N 1e-019|</t>
  </si>
  <si>
    <t>MPP_CD73_N e-104| UshA 6e-068| PRK09419 9e-050| MPP_UshA_N_like 4e-042| ushA 9e-041| Probable_5'-nucleotidase 2e-039| 5_nucleotid_C 2e-031| Sulfur_oxidation_protein_SoxB 5e-020| MPP_UshA_N 1e-019| MPP_SoxB_N 2e-019|</t>
  </si>
  <si>
    <t>MPP_CD73_N e-104| UshA 1e-067| PRK09419 5e-049| MPP_UshA_N_like 1e-041| ushA 2e-039| Probable_5'-nucleotidase 6e-039| 5_nucleotid_C 1e-030| MPP_UshA_N 3e-019| Sulfur_oxidation_protein_SoxB 3e-019| MPP_SoxB_N 7e-019|</t>
  </si>
  <si>
    <t>MPP_CD73_N e-103| UshA 4e-066| PRK09419 2e-048| MPP_UshA_N_like 1e-041| ushA 5e-039| Probable_5'-nucleotidase 1e-038| 5_nucleotid_C 9e-031| MPP_CG11883_N 3e-019| MPP_CpdB_N 1e-018| MPP_SoxB_N 1e-018|</t>
  </si>
  <si>
    <t>MPP_CD73_N e-104| UshA 2e-067| PRK09419 3e-049| MPP_UshA_N_like 1e-041| ushA 8e-040| Probable_5'-nucleotidase 7e-039| 5_nucleotid_C 9e-031| MPP_UshA_N 3e-019| Sulfur_oxidation_protein_SoxB 3e-019| MPP_CG11883_N 7e-019|</t>
  </si>
  <si>
    <t>MPP_CD73_N e-103| UshA 3e-067| PRK09419 6e-050| MPP_UshA_N_like 9e-042| ushA 1e-040| Probable_5'-nucleotidase 1e-037| 5_nucleotid_C 4e-031| Sulfur_oxidation_protein_SoxB 7e-020| MPP_UshA_N 2e-019| MPP_CpdB_N 6e-019|</t>
  </si>
  <si>
    <t>MPP_CD73_N e-104| UshA 2e-068| PRK09419 3e-050| ushA 1e-044| MPP_UshA_N_like 5e-042| Probable_5'-nucleotidase 8e-039| 5_nucleotid_C 5e-032| MPP_UshA_N 2e-021| Sulfur_oxidation_protein_SoxB 2e-021| MPP_CpdB_N 5e-020|</t>
  </si>
  <si>
    <t>MPP_CD73_N e-104| UshA 3e-062| PRK09419 1e-049| MPP_UshA_N_like 7e-041| ushA 8e-041| Probable_5'-nucleotidase 5e-038| 5_nucleotid_C 9e-030| MPP_UshA_N 6e-019| MPP_CpdB_N 2e-018| Sulfur_oxidation_protein_SoxB 6e-018|</t>
  </si>
  <si>
    <t xml:space="preserve">SG1_full | </t>
  </si>
  <si>
    <t>MPP_CD73_N e-104| UshA 3e-066| PRK09419 2e-052| MPP_UshA_N_like 2e-043| Probable_5'-nucleotidase 3e-042| ushA 9e-040| 5_nucleotid_C 7e-030| Sulfur_oxidation_protein_SoxB 1e-019| MPP_UshA_N 7e-019| MPP_SoxB_N 7e-019|</t>
  </si>
  <si>
    <t>MPP_CD73_N e-106| UshA 1e-067| PRK09419 2e-051| MPP_UshA_N_like 6e-044| ushA 5e-039| Probable_5'-nucleotidase 2e-036| 5_nucleotid_C 2e-027| MPP_CpdB_N 6e-020| MPP_UshA_N 1e-019| MPP_SoxB_N 1e-018|</t>
  </si>
  <si>
    <t>MPP_CD73_N e-103| UshA 9e-066| PRK09419 2e-051| MPP_UshA_N_like 1e-042| ushA 3e-036| Probable_5'-nucleotidase 2e-035| 5_nucleotid_C 2e-029| MPP_CpdB_N 9e-020| MPP_CG11883_N 2e-019| MPP_SoxB_N 1e-018|</t>
  </si>
  <si>
    <t>MPP_CD73_N e-103| UshA 3e-064| PRK09419 1e-048| MPP_UshA_N_like 4e-043| ushA 4e-037| Probable_5'-nucleotidase 5e-036| 5_nucleotid_C 1e-028| Sulfur_oxidation_protein_SoxB 2e-021| MPP_CG11883_N 5e-020| MPP_CpdB_N 2e-019|</t>
  </si>
  <si>
    <t>MPP_CD73_N e-103| UshA 9e-067| PRK09419 6e-052| MPP_UshA_N_like 9e-045| ushA 4e-042| Probable_5'-nucleotidase 1e-037| 5_nucleotid_C 1e-030| MPP_UshA_N 2e-022| MPP_CpdB_N 1e-021| MPP_SoxB_N 1e-020|</t>
  </si>
  <si>
    <t>MPP_CD73_N e-103| UshA 6e-065| PRK09419 3e-051| MPP_UshA_N_like 5e-042| ushA 3e-041| Probable_5'-nucleotidase 6e-039| 5_nucleotid_C 2e-029| Sulfur_oxidation_protein_SoxB 5e-023| MPP_SoxB_N 1e-020| MPP_UshA_N 9e-020|</t>
  </si>
  <si>
    <t>MPP_CD73_N e-107| UshA 1e-068| PRK09419 1e-056| ushA 1e-046| Probable_5'-nucleotidase 5e-045| MPP_UshA_N_like 2e-043| 5_nucleotid_C 1e-030| Sulfur_oxidation_protein_SoxB 1e-021| MPP_UshA_N 2e-020| MPP_YhcR_N 3e-020|</t>
  </si>
  <si>
    <t>MPP_CD73_N e-108| UshA 4e-067| PRK09419 2e-056| Probable_5'-nucleotidase 4e-046| ushA 8e-045| MPP_UshA_N_like 2e-043| 5_nucleotid_C 2e-031| Sulfur_oxidation_protein_SoxB 2e-022| MPP_YhcR_N 3e-020| MPP_SoxB_N 8e-020|</t>
  </si>
  <si>
    <t>MPP_CD73_N e-108| UshA 4e-069| PRK09419 5e-054| Probable_5'-nucleotidase 6e-050| ushA 1e-042| MPP_UshA_N_like 3e-042| 5_nucleotid_C 2e-029| Sulfur_oxidation_protein_SoxB 2e-026| MPP_SoxB_N 9e-022| MPP_CpdB_N 1e-019|</t>
  </si>
  <si>
    <t>MPP_CD73_N e-107| UshA 9e-068| PRK09419 2e-053| Probable_5'-nucleotidase 4e-049| MPP_UshA_N_like 2e-042| ushA 1e-040| 5_nucleotid_C 1e-029| Sulfur_oxidation_protein_SoxB 3e-025| MPP_SoxB_N 8e-021| MPP_CpdB_N 1e-018|</t>
  </si>
  <si>
    <t>Anophelin 2e-020| GRP 0.077| secY | PTZ00232 | NESP55 | Ebola_NP | PHA03207 | CobT |</t>
  </si>
  <si>
    <t>Anophelin 1e-019| GRP | PTZ00232 | PHA03269 | PRK14489 | SMN | PRK13108 | FGGY_D-XK_3 | BSP_II | mdoD |</t>
  </si>
  <si>
    <t>Anophelin 2e-020| secY | GRP | PTZ00232 | NESP55 | Ebola_NP | PHA03207 | ATG27 | CobT |</t>
  </si>
  <si>
    <t>Anophelin 1e-012| GRP 0.082| PHA02670 | MAST_ArtA_sort | Apt1 | HSNSD | Spb1_C | CydC | PRK03814 | AmyAc_SLC3A1 |</t>
  </si>
  <si>
    <t>Anophelin 9e-013| cytochrome_C_partial | GRP | ampD | PAP2_like_5 | ADA | PRK03814 | PRK05387 | Cytomega_UL20A | SLC5sbd_NIS-SMVT |</t>
  </si>
  <si>
    <t>Anophelin 9e-020| PLN02374 | fliL | DNA_helicase_II | Rhabdo_glycop | MOR2-PAG1_N | putative_dehydrogenase_protein | PRK05850 | COG5604 | Phage_portal_2 |</t>
  </si>
  <si>
    <t>Anophelin 2e-016| PHA02624 | PRK01061 | ABC_transporter_related | FimD | TMX2 | PKc_TOPK | PilP |</t>
  </si>
  <si>
    <t>Anophelin 2e-016| PRK03757 | recF | PRK11072 | GltA | cPLA2_Grp-IVA | FimD | Nop14 |</t>
  </si>
  <si>
    <t>Anophelin 3e-022| PRK13355 | cPLA2_Grp-IVA | Fimbrial_PilY2 | dTDP_HR_like_SDR_e | PHA02670 | Njmu-R1 | PHA03346 | eps_aminotran_1 | DUF1068 |</t>
  </si>
  <si>
    <t>Anophelin 6e-014| COG0595 | secY | PLN02919 | DUF3367 | McrB | Bac_export_3 | ribonucleotide_reductase |</t>
  </si>
  <si>
    <t>Chromatin structure and dynamics</t>
  </si>
  <si>
    <t>Anophelin 4e-010| PRK12469 0.042| DUF599 | Uncharacterized_lipoprotein_lpp | PTZ00438 | PHA03207 | PRK00281 | GRP | PRK09583 | PRK12382 |</t>
  </si>
  <si>
    <t>Anophelin 5e-011| SLC5sbd_NIS-SMVT | PRK10722 | Cytomega_UL20A | D123 | arnT | Sulfate_transport_system_permease_prot...    26   5.0   | LOX_like_FMN | MAK16 | Sugar_transport |</t>
  </si>
  <si>
    <t>Inorganic ion transport and metabolism</t>
  </si>
  <si>
    <t>Anophelin 0.002| PLN02910 | PRK10133 | Stage_II_sporulation_protein_E | PRK11086 | PRK03761 | PBP2_LTTR_like_4 |</t>
  </si>
  <si>
    <t>Anophelin 2e-018| PRK14554 | PHA02664 | fliQ | Multidrug_resistance-associated_protei...    25   6.5   | RE_Bsp6I | PRK10904 | DUF4353 | ThrS |</t>
  </si>
  <si>
    <t>Anophelin 2e-016| Peptidase_C19I | nadR_NMN_Atrans | RE_Bsp6I | Beta-lactamase | cpdB | Multidrug_resistance-associated_protei...    26   3.0   | SpoVR | COG1669 | bacteroidetes-specific_membrane_protei...    26   4.2   |</t>
  </si>
  <si>
    <t>Nuclear structure, Intracellular trafficking, secretion, and vesicular transport</t>
  </si>
  <si>
    <t>PBP_GOBP 6e-008| PhBP 2e-006| DZF | PRK02107 | PHA02239 | PRK06988 | Tsf | PLN02968 | PsaA | PRK05134 |</t>
  </si>
  <si>
    <t>Anopheles arabiensis</t>
  </si>
  <si>
    <t>PBP_GOBP 1e-007| PhBP 2e-006| PRK02107 | DZF | PHA02239 | PRK06988 | Fe-ADH_2 | Tsf | PLN02968 | LSm10 |</t>
  </si>
  <si>
    <t>PBP_GOBP 6e-008| PhBP 2e-006| PRK02107 | DZF | PHA02239 | PRK06988 | PLN02968 | Tsf | PRK05134 | Fe-ADH_2 |</t>
  </si>
  <si>
    <t>PBP_GOBP 1e-007| PhBP 2e-006| Tsf | STKc_Cdc7 | PRK02107 | PHA02239 | DUF677 | PsaA | PRK06988 | COG5474 |</t>
  </si>
  <si>
    <t>PBP_GOBP 9e-008| PhBP 2e-006| Tsf | PRK02107 | DZF | DUF677 | PHA02239 | PRK06988 | COG5474 | STKc_Cdc7 |</t>
  </si>
  <si>
    <t>PBP_GOBP 1e-007| PhBP 2e-006| PsaA | STKc_Cdc7 | Tsf | PHA02239 | DUF677 | COG4191 | pol | COG5474 |</t>
  </si>
  <si>
    <t>PBP_GOBP 2e-007| PhBP 5e-006| PRK02107 | PBP2_TAXI_TRAP_like_3 | Anophelin | Orexin | PRK14334 | STKc_SNT7_plant |</t>
  </si>
  <si>
    <t>Carbohydrate transport and metabolism, Cell wall/membrane/envelope biogenesis, Extracellular structures</t>
  </si>
  <si>
    <t>PBP_GOBP 2e-007| PhBP 2e-007| Daxx | PRK14773 | Complex1_49kDa | Tsf | Anophelin | GabT | PRK12779 | PRK08722 |</t>
  </si>
  <si>
    <t>PBP_GOBP 9e-008| PhBP 3e-004| Probable_glucarate_transporter | PRK02107 | Cytokin-bind | PTZ00216 | PTPA | Uncharacterized_protein_slr0964 | Matrix | PTPA |</t>
  </si>
  <si>
    <t>PBP_GOBP 1e-008| PhBP 2e-005| PRK15304 | PTZ00275 | PRK02107 | Hypothetical_protein_Rv3400/MT3508/Mb3...    27   3.7   | PTPA | Pterin_binding | Cytokin-bind | Matrix |</t>
  </si>
  <si>
    <t>RNA processing and modification</t>
  </si>
  <si>
    <t>PBP_GOBP 1e-006| PhBP 9e-005| PLN02468 | SLC6sbd_B0AT3 | Mb | Nitrogenase_VnfE_like | Sema_3F | PLN02990 | PLN03181 | UhpB |</t>
  </si>
  <si>
    <t>PhBP 2e-007| PBP_GOBP 3e-007| phenylalanine_aminomutase | PLDc_PMFPLD_like_2 | PTKc_Fes | RNase_T2_euk |</t>
  </si>
  <si>
    <t>Chromatin structure and dynamics, Transcription</t>
  </si>
  <si>
    <t>PBP_GOBP 7e-008| PhBP 5e-005| LSm10 | PLDc_PMFPLD_like_2 | PRK03761 |</t>
  </si>
  <si>
    <t>PBP_GOBP 5e-009| PhBP 5e-006| PRK09669 | DUF551 | PTPA | RIO | PLN03195 | LSm10 | PTKc_Fes | Chaperone_protein_DnaK |</t>
  </si>
  <si>
    <t>Cell cycle control, cell division, chromosome partitioning, Signal transduction mechanisms</t>
  </si>
  <si>
    <t>Anopheles anthropophagus</t>
  </si>
  <si>
    <t>PBP_GOBP 2e-007| PhBP 4e-006| PRK12779 | MurB | PRK02107 | putative_ATP-dependent_exonuclease_sub...    27   3.0   |</t>
  </si>
  <si>
    <t>PBP_GOBP 3e-009| PhBP 2e-007| HemV-2 | PRK06973 | PRK11067 | PRK12472 |</t>
  </si>
  <si>
    <t>PBP_GOBP 1e-005| PhBP 1e-004| COG1659 | PBP2_phosphate_like_2 | PRK06145 | Sugar-bind | PnbA | Se_dep_XDH | Uup | COG4856 |</t>
  </si>
  <si>
    <t>PLN02819 | PRK13846 | PBP_GOBP | PRK11059 | PTZ00287 | Peptidase_S10 | COG1461 | MAK32 | PRK13253 | PRK10942 |</t>
  </si>
  <si>
    <t>Chromatin structure and dynamics, Cell cycle control, cell division, chromosome partitioning</t>
  </si>
  <si>
    <t>Anopheles aquasalis</t>
  </si>
  <si>
    <t>COG2733 | WGR_PARP2_like | Csn1 | PBP_GOBP | PTZ00108 |</t>
  </si>
  <si>
    <t>PhBP 0.008| PBP_GOBP 0.022| START_STARD13-like | Herpes_MCP | PHA03307 | SpsE | PBP2_TAXI_TRAP_like_1 | PRK09102 | CFTR_protein | BRCT_assoc |</t>
  </si>
  <si>
    <t>PhBP 3e-004| PBP_GOBP 0.002| PLN02819 | AXO | PRK09102 | COG3665 | UTP--glucose-1-phosphate_uridylyltrans...    27   3.3   | HATPase_c_4 | Poly-beta-16-N-acetyl-D-glucosamine_sy...    26   5.3   | YXKO-related |</t>
  </si>
  <si>
    <t>Cell cycle control, cell division, chromosome partitioning, Posttranslational modification, protein turnover, chaperones</t>
  </si>
  <si>
    <t>PBP_GOBP 4e-010| PhBP 9e-010| COG1084 | MAF1 | COG5124 | cyt_b5_reduct_like | FlgM_jcvi | tRNA_m1G_MT | PLA2_B | MYSc_Myo22 |</t>
  </si>
  <si>
    <t>PBP_GOBP 8e-010| PhBP 2e-009| COG1084 | tRNA_m1G_MT | MAF1 | COG5124 | MYSc_Myo22 | cyt_b5_reduct_like | PRK01269 | FlgM_jcvi |</t>
  </si>
  <si>
    <t>PBP_GOBP 1e-009| PhBP 3e-009| COG1084 | MAF1 | tRNA_m1G_MT | MYSc_Myo22 | COG5124 | cyt_b5_reduct_like | PRK01269 | FlgM_jcvi |</t>
  </si>
  <si>
    <t>PBP_GOBP 7e-010| PhBP 2e-009| COG1084 | tRNA_m1G_MT | COG5124 | MAF1 | MYSc_Myo22 | cyt_b5_reduct_like | PRK01269 | FlgM_jcvi |</t>
  </si>
  <si>
    <t>PhBP 2e-008| PBP_GOBP 1e-007| MM_CoA_mutase_ICM_like | Hex_IIIa | COG5124 | PLA2_B | LPS_export_lptB | cyt_b5_reduct_like | PRK06753 | MAF1 |</t>
  </si>
  <si>
    <t>Intracellular trafficking, secretion, and vesicular transport</t>
  </si>
  <si>
    <t>PBP_GOBP 4e-010| PhBP 1e-009| PLA2_B | PRK06242 | PRK15127 | PRK10770 | hypothetical_protein_BACCELL_00210 | COG1084 | Tenui_N | RhbC |</t>
  </si>
  <si>
    <t>PhBP 4e-009| PBP_GOBP 4e-009| PLA2_B | Pox_RNA_Pol_19 | PRK14709 | cyt_b5_reduct_like | PLN02252 | MM_CoA_mutase_ICM_like | COG2108 | Hex_IIIa |</t>
  </si>
  <si>
    <t>PBP_GOBP 2e-009| PhBP 4e-008| PRK15127 | VI_ClpV1 | COG1084 | DUF3620 | MAF1 | PLN02252 |</t>
  </si>
  <si>
    <t>Coenzyme transport and metabolism</t>
  </si>
  <si>
    <t>PBP_GOBP 2e-009| PhBP 6e-008| COG1084 | PRK15127 | STKc_MST4 | COG5124 | PMM_PGM | MAF1 | PRK14948 |</t>
  </si>
  <si>
    <t>PBP_GOBP 3e-009| PhBP 6e-008| hypothetical_protein_BACCELL_00210 | RHO_alpha_C_NDO-like | PLA2_B | Hex_IIIa | ADPGK_ADPPFK | COG2108 | C2A_Munc13-like | PRK15127 |</t>
  </si>
  <si>
    <t>PBP_GOBP 1e-008| PhBP 1e-007| LSm10 | eIF3_p135 | PLN02249 | PRK10153 | STKc_MST4 |</t>
  </si>
  <si>
    <t xml:space="preserve">RGD_cys_disintegrin | </t>
  </si>
  <si>
    <t>PBP_GOBP 5e-011| PhBP 3e-008| vATP-synt_AC39 | TCTP | PRK15367 | PHA03375 | PLN02481 | RpoN | Ammonium_transporter | Rep_2 |</t>
  </si>
  <si>
    <t>PBP_GOBP 4e-011| PhBP 7e-009| JHBP | NPL4 | p-hydroxybenzoate_hydroxylase_transcri...    30   0.68  | COG5381 | nitrous-oxide_reductase_precurser | Aminopeptidase_N | PRK12739 | PRK06242 |</t>
  </si>
  <si>
    <t>PBP_GOBP 2e-011| PhBP 6e-008| TMEM151 | Spore_YhcN_YlaJ | Aminopeptidase_N | NPL4 | OtsA | p-hydroxybenzoate_hydroxylase_transcri...    28   2.2   | DUF3458 | Clp_protease_NfeD_1 |</t>
  </si>
  <si>
    <t>PhBP 1e-009| PBP_GOBP 1e-008| TorD | chaperone_ClpB | PRK14507 | MYSc_Myo5 | PGM3 | DRE_TIM_HCS | seadorna_VP2 | PBP2_ProX_like |</t>
  </si>
  <si>
    <t>PhBP 2e-009| PBP_GOBP 2e-008| chaperone_ClpB | TorD | PRK14507 | DRE_TIM_HCS | MYSc_Myo5 | PGM3 | seadorna_VP2 | PBP2_ProX_like |</t>
  </si>
  <si>
    <t>PhBP 3e-008| PBP_GOBP 1e-007| TorD | chaperone_ClpB | PRK14507 | Orn_deC_like | seadorna_VP2 | PBP2_ProX_like | VID27 | STKc_CDK12 |</t>
  </si>
  <si>
    <t>PBP_GOBP 2e-008| PhBP 5e-008| Orn_deC_like | chaperone_ClpB | PRK14507 | TorD | dapB_plant | PBP2_ProX_like | PBP2_Nac |</t>
  </si>
  <si>
    <t>PhBP 5e-008| PBP_GOBP 8e-008| chaperone_ClpB | PBP2_NikA_DppA_OppA_like_17 | PGM3 | HisM | PRK14507 |</t>
  </si>
  <si>
    <t>PBP_GOBP 6e-009| PhBP 7e-009| STKc_CDK12 | MYSc_Myo5 | PRK14507 | DRE_TIM_HCS | Peptidases_S8_13 | seadorna_VP2 | TorD | PGM3 |</t>
  </si>
  <si>
    <t>PhBP 3e-006| PBP_GOBP 3e-005| PBP2_NikA_DppA_OppA_like_6 | SLC6sbd-B0AT-like | PRK09274 | Orn_deC_like | Se_dep_XDH | DUF4627 | PRK10178 | COG2902 |</t>
  </si>
  <si>
    <t>Signal transduction mechanisms, General function prediction only</t>
  </si>
  <si>
    <t>PBP_GOBP 8e-008| PhBP 2e-007| COG5647 | chaperone_ClpB | M3B_PepF_1 | DRE_TIM_HCS | LSm10 | SLC6sbd-B0AT-like | PGM1 | PRK12492 |</t>
  </si>
  <si>
    <t>PhBP 3e-007| PBP_GOBP 5e-006| MYSc_Myo5 | COG5022 | PLN02647 | Probable_membrane_antigen_3 | MYSc | Kcc4p_like_C | Adeno_terminal | PLDc_PGS1_euk_2 |</t>
  </si>
  <si>
    <t>PhBP 3e-007| PBP_GOBP 9e-006| MYSc_Myo5 | COG1084 | PLN02234 | Myosin_head | STKc_CDK12 | MYSc | LIM1_Enigma_like | PRK13844 |</t>
  </si>
  <si>
    <t>PhBP 5e-007| PBP_GOBP 6e-007| PRK14703 | PRK12475 | PRK14773 | STKc_SnRK3 | PRK07036 | FtcD | STKc_CDK4 | PRK13860 |</t>
  </si>
  <si>
    <t>PBP_GOBP 2e-006| PhBP 8e-005| COG5124 | COG1634 | pflD | PRK14494 | PHA01755 | COG5096 | PrkB | Acetolactate_synthase_catabolic |</t>
  </si>
  <si>
    <t>PBP_GOBP 1e-006| PhBP 2e-006| DRE_TIM_HCS | PRK14155 | PRK15376 | Ig6_Contactin-2 | MYSc_Myo5 | PRK13805 | PurB |</t>
  </si>
  <si>
    <t>PBP_GOBP 3e-010| PhBP 8e-008| DUF940 | PRK06837 | COG5381 | Pox_Rap94 | PTZ00266 | DRE_TIM_CMS | nitrous-oxide_reductase_precurser | vATP-synt_AC39 |</t>
  </si>
  <si>
    <t>Defense mechanisms</t>
  </si>
  <si>
    <t>PBP_GOBP 3e-008| PhBP 4e-006| Tht1 | PRK14462 | PRK12779 | PLN02529 | PRK05850 | PRK09293 |</t>
  </si>
  <si>
    <t>Energy production and conversion</t>
  </si>
  <si>
    <t>PBP_GOBP 1e-007| PhBP 8e-006| Tht1 | COG4085 | DNA-directed_RNA_polymerase_subunit_A'...    27   4.8   | PRK12779 | PRK05850 |</t>
  </si>
  <si>
    <t>PBP_GOBP 9e-008| PhBP 5e-006| Tht1 | Osmoregulated_proline_transporter | DNA-directed_RNA_polymerase_subunit_A'...    27   5.6   | PRK12779 | COX3 | PRK05850 |</t>
  </si>
  <si>
    <t>PBP_GOBP 6e-008| PhBP 4e-006| Tht1 | PRK14462 | DNA-directed_RNA_polymerase_subunit_A'...    27   5.5   | PRK12779 | PRK11031 | PRK15442 | PRK05850 |</t>
  </si>
  <si>
    <t>PBP_GOBP 9e-008| PhBP 5e-006| Tht1 | PRK14462 | DNA-directed_RNA_polymerase_subunit_A'...    27   4.6   | PRK12779 | PRK05850 |</t>
  </si>
  <si>
    <t>PBP_GOBP 6e-008| PhBP 3e-006| Tht1 | L-AlaDH | DNA-directed_RNA_polymerase_subunit_A'...    27   5.1   | PRK11031 | PRK12779 | PRK05850 |</t>
  </si>
  <si>
    <t>PBP_GOBP 5e-007| PhBP 1e-004| PRK14462 | FGAM-synthase | HIS2 | PRK12835 | COG1205 | PRK09401 | PRK10662 | DUF977 |</t>
  </si>
  <si>
    <t>PBP_GOBP 3e-008| PhBP 4e-007| PLN02938 | FGAM-synthase | NTR_TIMP | PRK00207 | Glyco_hydro_101 | PHA03171 | sulf_tusD_dsrE | PRK03298 |</t>
  </si>
  <si>
    <t>PBP_GOBP 1e-007| PhBP 2e-005| PRK00941 | YtzH | AvrE | PLN02938 | FGAM-synthase | PRK14462 | SLC6sbd_NTT4 | PBP1_mGluR_groupIII |</t>
  </si>
  <si>
    <t>PBP_GOBP 1e-005| PhBP 2e-005| PBP1_mGluR_groupIII | PRK00941 | Stage_III_sporulation_protein_AE | PRK12835 | PRK03846 | PRK14715 | PLN02938 | AvrE |</t>
  </si>
  <si>
    <t>PBP_GOBP 2e-006| PhBP 2e-005| PLN02938 0.091| prpD | 2-methylcitrate_dehydratase | HSPA4_NBD | PLN02735 | PSD4 | HSPH1_NBD | DNA-directed_RNA_polymerase_subunit_A'...    27   5.0   |</t>
  </si>
  <si>
    <t>PBP_GOBP 2e-007| PhBP 0.001| RPA 0.076| DPOR_bchN | WHTH_GntR | PLN02668 | PLN02309 | PTZ00429 | PhnF |</t>
  </si>
  <si>
    <t>PhBP 5e-009| PBP_GOBP 8e-009| MET3 | PRK06260 | PRK07409 | COG1084 | Complex1_49kDa | OM_YaeT | LSm10 | COG3538 |</t>
  </si>
  <si>
    <t>PBP_GOBP 0.004| Lipid_A_export_ATP-binding/permease_pr...    32   0.10  | DUF3537 | PBP1_FruR | PRK00635 | PRK11905 | system_ATPase_and_permease_component | DUF188 | PhBP |</t>
  </si>
  <si>
    <t>PBP_GOBP 0.002| Lipid_A_export_ATP-binding/permease_pr...    32   0.11  | PBP1_FruR | DUF3537 | PE_alpha | PRK11905 | OM_YaeT | PRK00635 | PhBP | system_ATPase_and_permease_component |</t>
  </si>
  <si>
    <t>PBP_GOBP 0.027| Lipid_A_export_ATP-binding/permease_pr...    33   0.086 0.086| PBP1_FruR | DUF3537 | PRK00635 | PRK11905 | PHA00147 | OM_YaeT | Probable_tRNA_sulfurtransferase | system_ATPase_and_permease_component |</t>
  </si>
  <si>
    <t>PBP_GOBP 0.002| Lipid_A_export_ATP-binding/permease_pr...    31   0.34  | PBP1_FruR | PRK11905 | OM_YaeT | COG1161 | DUF3537 |</t>
  </si>
  <si>
    <t>Transcription, Replication, recombination and repair</t>
  </si>
  <si>
    <t>PBP_GOBP 0.004| PBP1_FruR | PRK11905 | OM_YaeT | COG1161 | PhBP |</t>
  </si>
  <si>
    <t>PBP_GOBP 0.001| Lipid_A_export_ATP-binding/permease_pr...    30   0.34  | PBP1_FruR | system_ATPase_and_permease_component | PRK11905 | PE_alpha | OM_YaeT | PhBP | COG1161 |</t>
  </si>
  <si>
    <t>PBP_GOBP 0.042| PhBP | PRK09169 | Putative_zinc_metalloprotease_slr1821 | COG3950 | PRK10117 | PBP1_ycjW_transcription_regulator_like | Herpes_UL32 |</t>
  </si>
  <si>
    <t>PBP_GOBP 0.001| PhBP | PRK08246 | COG3950 | COG4449 | GlyDH | glmU | G1PDH | cpeA | PE_alpha |</t>
  </si>
  <si>
    <t>PBP_GOBP 0.060| RasGAP_IQGAP_related | Flagellar_biosynthetic_protein_FlhB | mgtE | MgtE | NAD_bind_Leu_Phe_Val_DH | DUF3767 | PhBP | EFP_modif_epmB | PRK12772 |</t>
  </si>
  <si>
    <t>PBP_GOBP 0.002| ABC_sbcCD | PhBP | glmU | COG3976 | RasGAP_IQGAP_related | Flagellar_biosynthetic_protein_FlhB | FGGY_XK_like_2 | COG3763 | zntA |</t>
  </si>
  <si>
    <t>PBP_GOBP 0.090| COG3698 | ABC_sbcCD | PRK13499 | glmU | PRK12775 | HOOK | cysS |</t>
  </si>
  <si>
    <t>PBP_GOBP 0.002| PRK13012 | COG3698 | COG3950 | PRK06180 | PRK08246 | FliG_N | secA | hypothetical_protein_L8106_25395 | PRK10334 |</t>
  </si>
  <si>
    <t>PBP_GOBP 0.007| PRK13012 | aceE | PRK06590 | PblB | COG3698 | MYSc_Myo7 | Herpes_UL32 | Patched | COG3950 |</t>
  </si>
  <si>
    <t>RNA processing and modification, Nuclear structure, Signal transduction mechanisms</t>
  </si>
  <si>
    <t>PBP_GOBP 5e-004| PRK08026 | PRK14707 | padR_acidobact | PKR_SDR_c | hypothetical_protein_PF0600 | Phospho-2-dehydro-3-deoxyheptonate_ald...    27   5.2   | HemY | PHA00657 | GAGA |</t>
  </si>
  <si>
    <t>PBP_GOBP 0.004| FUI1 | PRK01189 | PRK10045 |</t>
  </si>
  <si>
    <t>PBP_GOBP 0.002| 53EXOc | Flavodoxin_4 | PRK08132 | DNA_polymerase_I | PRK08252 | HyuA | PRK02654 | TPP_PYR_MenD | vWA_ATR |</t>
  </si>
  <si>
    <t>ERG12 | Herpes_U30 | PRK05279 | cpeA | PBP1_FruR | PLN03218 | PE_alpha | PRK08132 | Mevalonate_kinase | PRK10955 |</t>
  </si>
  <si>
    <t>PLN02877 0.100| LamB_YcsF_like_2 | PRK14875 | PBP_GOBP | E_set_MTHase_like_N | SPRY_PRY_TRIM39 | PRK10467 | PRK09819 | HR1_CIP4_FNBP1L | JCAD |</t>
  </si>
  <si>
    <t>JCAD | phosphomevalonate_kinase | Peptidase_C1B | MRP-S31 | PRK10467 |</t>
  </si>
  <si>
    <t>PBP_GOBP 5e-009| PhBP 0.011| PRKCSH | PTZ00407 | YceG | AmyAc_Amylosucrase | HAUS-augmin3 | PTKc_RET | Asparaginase_2_like_2 |</t>
  </si>
  <si>
    <t xml:space="preserve">Lipid_binding_mosquito_D7_pattern |Lipid_binding_D7_WC_framework | </t>
  </si>
  <si>
    <t>PBP_GOBP 6e-009| PhBP 0.014| PRKCSH | PTZ00407 | COG1059 | YceG | AmyAc_Amylosucrase | RPO41 | HAUS-augmin3 | Asparaginase_2_like_2 |</t>
  </si>
  <si>
    <t>PBP_GOBP 3e-008| PhBP 0.038| PRKCSH | PTZ00407 | HAUS-augmin3 | YceG | PHA02620 | AmyAc_Amylosucrase |</t>
  </si>
  <si>
    <t>PBP_GOBP 5e-009| PhBP 0.007| PRKCSH | PTZ00407 | YceG | AmyAc_Amylosucrase | HAUS-augmin3 | PHA02620 |</t>
  </si>
  <si>
    <t>PBP_GOBP 3e-009| PhBP 0.020| PRKCSH | AmyAc_Amylosucrase | recB | Glucose-6-phosphate_1-dehydrogenase |</t>
  </si>
  <si>
    <t>PBP_GOBP 1e-008| PhBP 0.016| PRKCSH | PTZ00407 | HAUS-augmin3 | FGAM-synthase | AmyAc_Amylosucrase | PLN02485 | YceG |</t>
  </si>
  <si>
    <t>PBP_GOBP 1e-008| PhBP 0.003| ALDH_F12_P5CDH 0.009| DHR2_DOCK7 | DHR2_DOCK6 | DHR2_DOCK11 | Imm6 | GlpC | AmyAc_Glg_debranch_2 | DUF4650 |</t>
  </si>
  <si>
    <t>PBP_GOBP 6e-007| PhBP 0.014| DHR2_DOCK11 | Phage_lambda_P | INPP5c_INPP5J-like | COG4425 | PRK14954 | PTKc_Wee1a | IMPase | RPO41 |</t>
  </si>
  <si>
    <t>PBP_GOBP 5e-007| PhBP 0.012| hisH | SidE | Tn7_TnsC_Int | PHA03150 | SNARE_syntaxin17 | MDR2 |</t>
  </si>
  <si>
    <t>PBP_GOBP 6e-007| PhBP 0.051| PRK08170 | 30 | PRK14720 | WTX | PAZ_CAF_like | SidE | COG1517 | MAP2_projctn |</t>
  </si>
  <si>
    <t>Amino acid transport and metabolism, Lipid transport and metabolism</t>
  </si>
  <si>
    <t xml:space="preserve">Lipid_binding_D7_WC_framework | </t>
  </si>
  <si>
    <t>PBP_GOBP 8e-010| PhBP | Mannonate_dehydratase | Primosomal_protein_N' | FANCI | COG1059 | RPO41 | SERPIN | FGGY_ScGut1p_like | Tet_C |</t>
  </si>
  <si>
    <t>PBP_GOBP 9e-010| PhBP | Mannonate_dehydratase | Primosomal_protein_N' | FANCI | COG1059 | RPO41 | SERPIN | FGGY_ScGut1p_like | Tet_C |</t>
  </si>
  <si>
    <t>PBP_GOBP 8e-010| PhBP | Mannonate_dehydratase | FANCI | COG1059 | Primosomal_protein_N' | methylthiol:coenzyme_M_methyltransfera...    28   5.6   | FGGY_ScGut1p_like |</t>
  </si>
  <si>
    <t>PBP_GOBP 6e-010| PhBP | FANCI | Mannonate_dehydratase | RPO41 | COG1059 | PRK13310 | FGGY_ScGut1p_like |</t>
  </si>
  <si>
    <t>PBP_GOBP 8e-010| PhBP | FANCI | SERPIN | COG1059 | Mannonate_dehydratase | RPO41 | HutU | Primosomal_protein_N' | PRK13310 |</t>
  </si>
  <si>
    <t>PBP_GOBP 6e-009| PhBP 0.004| SERPIN | PBP2_BenM_CatM_CatR | ALDH_F12_P5CDH | PRK08452 | COG1059 | Outer_membrane_protein_OprM | Tet_C | HutU |</t>
  </si>
  <si>
    <t>PBP_GOBP 4e-009| PhBP 4e-004| Borrelia_P83 | PRK15059 | DHR2_DOCK11 | PRK13807 |</t>
  </si>
  <si>
    <t>PBP_GOBP 2e-009| PhBP 0.001| PTKc_Ack_like | RPO41 | DUF3160 | PTKc_RET | DNA_polymerase_III_subunit_alpha | PRK09970 | PLN00175 | PRK08452 |</t>
  </si>
  <si>
    <t>PBP_GOBP 9e-007| PhBP 0.004| EVH1-like_Dcp1 | DCP1 | Dcp1 | PRK09970 | PRK09419 | COBRA1 | DUF3160 | PRK12649 |</t>
  </si>
  <si>
    <t>Transcription, RNA processing and modification</t>
  </si>
  <si>
    <t>Psorophora albipes</t>
  </si>
  <si>
    <t>PBP_GOBP 2e-004| PhBP 0.070| hypothetical_protein_HOLDEFILI_04020 | PRK14233 | GlpC | RPO41 |</t>
  </si>
  <si>
    <t>PBP_GOBP 1e-006| PhBP 0.019| PBP1_CcpB_like | GlpC | PLN00164 | PRK14867 | DHR2_DOCK7 | STKc_MAP3K8 | PLN03145 | HutU |</t>
  </si>
  <si>
    <t>PBP_GOBP 8e-009| PhBP 0.006| STKc_p38gamma | PLN03173 | PLN02650 | Putative_type_II_secretion_system_prot...    27   8.5   | PseudoU_synth_TruA_Archea | PRI2 | COG2366 |</t>
  </si>
  <si>
    <t>PBP_GOBP 5e-008| PhBP | LPOR_like_SDR_c_like | Zn-dependent_alcohol_dehydrogenase_cla...    28   5.6   | STKc_MELK | PRK05994 | Glypican | NR_LBD_Sex_1_like |</t>
  </si>
  <si>
    <t>PBP_GOBP 7e-004| PhBP 0.002| MYSc_Myo14 | PRK15235 | PRK13980 | Glypican | Herpes_VP19C | MYSc_Myo44 | AmpS | PLN02435 |</t>
  </si>
  <si>
    <t>PBP_GOBP 0.004| PhBP 0.078| MYSc_Myo14 | XylF | MYSc | RRM2_PUB1 | Glypican | PLN03167 | DUF433 | FHIT |</t>
  </si>
  <si>
    <t>cbiO | PTZ00484 | DUF4015 | Glyco_hydro_81 |</t>
  </si>
  <si>
    <t>cbiO | PTZ00484 | PepN | GldM_N | PBP_GOBP | COG5444 | PEX10 | PHA00144 |</t>
  </si>
  <si>
    <t>cbiO | PRK07742 | PTZ00484 | PRK05874 | DUF4015 | Radical_SAM_domain_protein | PHA00144 | PRK14571 |</t>
  </si>
  <si>
    <t>cbiO | PP2Cc | PTZ00484 | PepN | Glyco_hydro_81 | COG5444 | PRK07742 | GldM_N | DUF4015 |</t>
  </si>
  <si>
    <t>cbiO | COG5444 | PP2Cc | PRK07742 | PTZ00484 | DsrA | Glyco_hydro_81 | eIF-4B | ACF2 | DUF4015 |</t>
  </si>
  <si>
    <t>cbiO | PP2Cc | PTZ00484 | PRK02318 | Glyco_hydro_81 | DUF4015 |</t>
  </si>
  <si>
    <t>PRK11829 | DUF4015 | flagellar_hook_subunit_protein | cbiO | Peptidase_C25_N_2 | Ptr | LysU | AAA_15 | Lysine--tRNA_ligase | PHA01745 |</t>
  </si>
  <si>
    <t>Pox_E6 | ER | MET2 | PHA03000 | Nitrogenase_MoFe_alpha | COPIIcoated_ERV | PBP_GOBP | Aegerolysin | TIGR03943 |</t>
  </si>
  <si>
    <t>PBP_GOBP | PRK06155 | flhF | COG5444 | COG5647 | SidE | PHP_PolIIIA_POLC | PRK12559 | DUF4175 | Band_7 |</t>
  </si>
  <si>
    <t>PBP_GOBP | Peroxisomal_long-chain_fatty_acid_impo...    32   0.25  | F_bP_aldolase | polynucleotide_kinase-3'-phosphatase | PRK14059 | flhF | PRK12358 | DUF4435 | PRK03003 | gatY |</t>
  </si>
  <si>
    <t>gatY | rgy | F_bP_aldolase | PBP_GOBP | PGA_TPR_OMP | flhF | PRK14059 | COG5444 | AAK_AK-HSDH |</t>
  </si>
  <si>
    <t>STKc_SnRK2 | DdlA | LysC | Kinetochor_Ybp2 | secA | DUF1910 | SbcC | PTZ00395 | UbiB | PBP_GOBP |</t>
  </si>
  <si>
    <t>PBP_GOBP 0.025| PRP8 | flhF | PRK11160 | PHA02798 | SBP56 | BAR_SNX7_30 | PRK07453 | Csm6_III-A | Cas_Csm6 |</t>
  </si>
  <si>
    <t>PBP_GOBP | PRK12772 | flhF | DUF4565 | HOT | PRK03761 | Phage_hub_GP28 | COG4733 | PLN02794 | FHY3 |</t>
  </si>
  <si>
    <t>cysteine_synthase | STKc_MASTL | Lipoprotein_11 | decarboxylase_divided_with_OB2865 | Ribose-phosphate_pyrophosphokinase | DUF4015 | RNA_polymerase_sigma-35_factor | secA | M28_SGAP_like | PRK05054 |</t>
  </si>
  <si>
    <t>PBP_GOBP 0.042| PhBP | FpaA | PtsA | Ribulose-phosphate_3-epimerase | cysG | rps8 | Caleosin | DUF4015 |</t>
  </si>
  <si>
    <t>PLN02546 | PepN | Pan_kinase | IFT57 | PRK06937 | Sec6 |</t>
  </si>
  <si>
    <t>ORC2 | ALMT | PRK11126 | FancD2 | DUF4101 | PBP1_GC_G_like | hemoglobin-haptoglobin-binding_protein...    27   6.7   |</t>
  </si>
  <si>
    <t>MhpC 3e-021| Abhydrolase_6 3e-020| PRK03592 8e-014| PRK00870 2e-011| PLN02578 3e-011| PLN03084 1e-010| bchO_mg_che_rel 7e-009| Abhydrolase_1 2e-008| PRK03204 4e-008| menH_SHCHC 4e-008|</t>
  </si>
  <si>
    <t>MhpC 3e-020| Abhydrolase_6 3e-018| PLN02578 9e-012| PRK03592 2e-011| PLN03084 3e-010| bchO_mg_che_rel 6e-009| PRK00870 1e-008| menH_SHCHC 3e-008| Abhydrolase_1 5e-008| PLN02679 3e-006|</t>
  </si>
  <si>
    <t>MhpC 4e-022| Abhydrolase_6 4e-020| PRK03592 5e-014| PLN02578 8e-012| PRK00870 3e-011| PLN03084 4e-011| bchO_mg_che_rel 1e-008| menH_SHCHC 2e-008| Abhydrolase_1 2e-008| b-ketoadipate_enol-lactone_hydrolase 1e-007|</t>
  </si>
  <si>
    <t>MhpC 3e-020| Abhydrolase_6 1e-019| PRK03592 6e-015| PLN02578 7e-011| PLN03084 4e-010| PRK00870 6e-010| bchO_mg_che_rel 1e-008| menH_SHCHC 2e-008| Abhydrolase_1 3e-008| b-ketoadipate_enol-lactone_hydrolase 1e-007|</t>
  </si>
  <si>
    <t>MhpC 7e-021| Abhydrolase_6 8e-019| PRK03592 5e-014| PLN02578 6e-011| PRK00870 2e-010| PLN03084 7e-010| Abhydrolase_1 7e-009| bchO_mg_che_rel 4e-008| PRK05855 1e-007| menH_SHCHC 2e-007|</t>
  </si>
  <si>
    <t>MhpC 5e-022| Abhydrolase_6 2e-020| PRK03592 9e-011| PLN03084 3e-009| menH_SHCHC 4e-009| bchO_mg_che_rel 2e-008| PLN02578 5e-008| PRK00870 2e-007| PRK14875 2e-007| Abhydrolase_1 6e-007|</t>
  </si>
  <si>
    <t>MhpC 2e-022| Abhydrolase_6 3e-019| PLN03084 1e-012| PRK03592 1e-010| PLN02578 1e-010| bchO_mg_che_rel 5e-010| menH_SHCHC 7e-009| PRK03204 3e-008| Abhydrolase_1 1e-007| PLN02679 2e-007|</t>
  </si>
  <si>
    <t>MhpC 2e-017| Abhydrolase_6 9e-017| PRK03592 2e-011| PLN03084 7e-011| PLN02578 9e-009| Abhydrolase_1 3e-007| PRK03204 6e-007| PRK00870 1e-006| menH_SHCHC 5e-006| b-ketoadipate_enol-lactone_hydrolase 1e-005|</t>
  </si>
  <si>
    <t>MhpC 6e-024| Abhydrolase_6 2e-021| PLN03084 1e-013| PRK03592 4e-012| PLN02578 2e-009| PRK00870 5e-009| Abhydrolase_1 2e-008| PRK03204 4e-008| bchO_mg_che_rel 8e-008| PRK14875 9e-008|</t>
  </si>
  <si>
    <t>MhpC 1e-023| Abhydrolase_6 2e-021| PRK03592 4e-014| PLN03084 5e-014| Abhydrolase_1 5e-013| PRK00870 2e-010| PRK03204 3e-010| menH_SHCHC 9e-008| PRK14875 1e-007| PLN02578 3e-007|</t>
  </si>
  <si>
    <t>MhpC 1e-022| Abhydrolase_6 5e-018| PRK03592 4e-013| PLN03084 3e-010| Abhydrolase_1 2e-009| PLN02578 2e-008| bchO_mg_che_rel 7e-008| menH_SHCHC 1e-007| PRK00870 1e-006| PRK03204 1e-006|</t>
  </si>
  <si>
    <t>MhpC 1e-021| Abhydrolase_6 1e-017| PLN03084 1e-010| PLN02578 7e-010| PRK03592 1e-008| PRK00870 1e-008| PLN02679 6e-008| PRK03204 6e-008| Abhydrolase_1 2e-006| bchO_mg_che_rel 5e-006|</t>
  </si>
  <si>
    <t>MhpC 3e-020| Abhydrolase_6 4e-015| PRK03592 3e-012| PLN02578 1e-010| PLN03084 1e-010| PRK00870 2e-010| PRK03204 5e-008| PRK14875 7e-008| bchO_mg_che_rel 4e-007| menH_SHCHC 9e-007|</t>
  </si>
  <si>
    <t>Abhydrolase_6 2e-023| MhpC 6e-022| PLN03084 4e-014| PRK03592 2e-013| PRK03204 8e-013| PRK00870 1e-011| PLN02578 2e-010| Abhydrolase_1 2e-009| menH_SHCHC 2e-008| b-ketoadipate_enol-lactone_hydrolase 3e-006|</t>
  </si>
  <si>
    <t>Abhydrolase_6 5e-022| MhpC 2e-019| PRK03592 1e-012| PRK00870 3e-010| PLN03084 5e-009| PLN02578 6e-009| Abhydrolase_1 2e-008| PRK03204 1e-007| menH_SHCHC 5e-007| PRK05855 1e-006|</t>
  </si>
  <si>
    <t>Abhydrolase_6 4e-024| MhpC 3e-023| PRK03592 6e-016| PLN03084 8e-013| Abhydrolase_1 4e-011| PRK14875 6e-009| PRK00870 4e-008| menH_SHCHC 6e-008| bchO_mg_che_rel 9e-008| 2-hydroxy-6-oxo-6-phenylhexa-24-dienoa...    53   2e-007 2e-007|</t>
  </si>
  <si>
    <t>Abhydrolase_6 5e-026| MhpC 1e-024| PRK03592 3e-017| PLN03084 4e-015| Abhydrolase_1 7e-012| menH_SHCHC 8e-011| PRK14875 3e-010| PRK05855 2e-009| PRK00870 4e-009| bchO_mg_che_rel 1e-008|</t>
  </si>
  <si>
    <t>PHA03290 |</t>
  </si>
  <si>
    <t>Posttranslational modification, protein turnover, chaperones, General function prediction only</t>
  </si>
  <si>
    <t xml:space="preserve">Hyp13_ | </t>
  </si>
  <si>
    <t>GSG-1 | PRK02251 | SLC5sbd_vSGLT | PHA01365 |</t>
  </si>
  <si>
    <t>ureB | PTZ00297 | PRK02251 | UPF0233 |</t>
  </si>
  <si>
    <t>FlaB | pilus_cpaB |</t>
  </si>
  <si>
    <t>PBP1_ABC_ligand_binding_like_13 | MPP_YHR202W_N |</t>
  </si>
  <si>
    <t>CD36 |</t>
  </si>
  <si>
    <t>Glyco_hydro_100 | CD36 | STKc_STK33 |</t>
  </si>
  <si>
    <t>Glyco_hydro_100 | STKc_STK33 | Probable_phospholipid-transporting_ATP...    25   6.0   |</t>
  </si>
  <si>
    <t>CD36 | Glyco_hydro_100 | PulJ |</t>
  </si>
  <si>
    <t>Glucos_trans_II | FUSC | Chorismate_bind | put_Glu_GABA_T | DUF3733 | PRK06638 |</t>
  </si>
  <si>
    <t>COG2248 | UPF0014 | PYST-B | PRK01904 | Salp15 | SpecificRecomb |</t>
  </si>
  <si>
    <t>Gpi16 | Chorion_S16 | AFOR_N | PRK14877 | COG2414 |</t>
  </si>
  <si>
    <t>LraI 0.004| PIR | AFOR_N |</t>
  </si>
  <si>
    <t>AFOR_N |</t>
  </si>
  <si>
    <t>LraI 0.042| CCDC84 | PHA02358 | hypothetical_protein_HMPREF1015_01194 | stn_TNFRSF12A | IncA | PRK12467 | Melibiase | Trp_Tyr_perm |</t>
  </si>
  <si>
    <t>trmE | ThdF | DUF1326 | TrmE_N |</t>
  </si>
  <si>
    <t>trmE | PRK10441 | ThdF | COG3968 | napB | TrmE_N | NRDE-2 | PRK10137 |</t>
  </si>
  <si>
    <t>NPR3 | NRDE-2 | PRK11465 | trmE | TrmE_N | STE3 | ThdF | CCDC84 | OprP | DUF3372 |</t>
  </si>
  <si>
    <t>trmE | ThdF | PRK11465 | TrmE_N | Ribophorin_I | PRK09034 | PHA02947 | Glutamyl-tRNAGln_amidotransferase_subu...    25   7.6   | HflB |</t>
  </si>
  <si>
    <t>PRK13211 | Enamelin | stp1 | hypothetical_protein_Pcar_2791 |</t>
  </si>
  <si>
    <t>LasB | 5-methylthioribose_kinase | PRK05297 | PLN02928 |</t>
  </si>
  <si>
    <t>DNA_pol_A_pol_I_B | para-aminobenzoate_synthase_predicted | Multidrug_resistance-associated_protei...    26   5.3   | PRK10935 | flgH |</t>
  </si>
  <si>
    <t>PKc_MKK4 | M28_like_6 | flhB | PRK04974 | STKc_CCRK | CESA_like |</t>
  </si>
  <si>
    <t>PRK06215 0.026| PRK13922 | sdhA | Strabismus | DUF2328 |</t>
  </si>
  <si>
    <t>F-BAR_FNBP1L | COG0795 | MPN_NPL4 | tolB | Pneumo_att_G | PRK13108 | DUF4602 | Treslin_N | DUF1510 | DUF3393 |</t>
  </si>
  <si>
    <t>PRK13108 | DUF4602 | tolB | MPN_NPL4 | PHA02664 | flhA | COG0795 | Neisseria_TspB | DUF1510 | RR_TM4-6 |</t>
  </si>
  <si>
    <t>PRK13108 | DUF4602 | MPN_NPL4 | flhA | DUF1510 | Neisseria_TspB | COG0795 | RR_TM4-6 | PTZ00186 | COG4499 |</t>
  </si>
  <si>
    <t>Neisseria_TspB | DUF4602 | PRK03669 | MPN_NPL4 | PRK13108 | Methyltrans_SAM | FAM176 | DUF4576 | flhA | Uncharacterized_lipoprotein_lpp |</t>
  </si>
  <si>
    <t>PRK13108 | DUF4602 | tolB | MPN_NPL4 | PHA02664 | DUF1510 | Uncharacterized_lipoprotein_lpp | PRK12372 | Neisseria_TspB | RR_TM4-6 |</t>
  </si>
  <si>
    <t>Nuclear structure</t>
  </si>
  <si>
    <t>CeuA | PRP | Fb_sc_TIGR02171 | DUF773 | AKAP95 | PTZ00233 | PRK06217 | HHV6-IE | Probable_cobalamin_biosynthesis_protei...    25   8.2   | AnsP |</t>
  </si>
  <si>
    <t>Sig-70_plancto1 | DUF4015 | COG5125 | PHA03273 | PRK10361 | ND6 | PRK06937 |</t>
  </si>
  <si>
    <t>Inorganic ion transport and metabolism, Signal transduction mechanisms</t>
  </si>
  <si>
    <t>PRK06302 | CXCL17 | RNase_PH_archRRP41 | PRK12648 | PRK10547 | PRK09840 | DUF4015 | PLN02995 | motB | PTZ00243 |</t>
  </si>
  <si>
    <t>PRK09194 | Magnesium-chelatase_67_kDa_subunit | RGS_LARG | PRK09752 | halo_surf_glyco | Spc7_N | PLN02744 | GH20_chitobiase-like | PhnI | CobT |</t>
  </si>
  <si>
    <t>RINT1_TIP1 | ModA | PRK11380 | TRAP_alpha | GalT | M20_yscS_like | DIM | Sugar_transferase. | Phyto_Pns9_10 |</t>
  </si>
  <si>
    <t>Tetraspannin | MerC | DIM | DHR2_DOCK9 | PRK09194 | DUF773 | Ribosomal_L12p | ProRS-INS |</t>
  </si>
  <si>
    <t>PRK13524 | Rbn | Ribosomal_L12p | COG5412 | PRK13108 | PSK | CYTB | PRK09194 | PRK11637 |</t>
  </si>
  <si>
    <t>ureA | DUF1434 | AhpD_protein. | Glyco_transf_41 | PRK10680 | ISN1 | CorA |</t>
  </si>
  <si>
    <t>PRK10547 | COG1992 | IsdB | Sigma70_ner | G/T_mismatch-specific_thymine_DNA_glyc...    27   1.5   | PLN00089 | COG1769 | Transaldolase_TalAB | PTZ00208 | bchC |</t>
  </si>
  <si>
    <t>rps5 | rpsE | PRK07946 | PHA03378 | RpsE | CTH1 | TBP_aldolase_IIB | PRK14714 | Fba | THDPS_N |</t>
  </si>
  <si>
    <t>DUF3633 | PRK12495 | PRK15278 | PRK13843 | COG5479 |</t>
  </si>
  <si>
    <t>INO1 | Peptidase_C4 | COG3889 | Nitrogenase_molybdenum-iron_protein_be...    26   3.4   | PI3Kc_III | Ubiq_cyt_C_chap | RB_A | DUF2523 | PRK08868 | PHA00350 |</t>
  </si>
  <si>
    <t>DUF1832 | TRAP_alpha | Nop14 | putative_phosphoribosylaminoimidazole | Flu_PB1 | Respiratory_nitrate_reductase_1_alpha_...    26   4.5   | obgE | BLVR | psbV | PRK14646 |</t>
  </si>
  <si>
    <t>GTSE1_N | DUF4202 | PLPDE_III_AR2 | PRK14844 | PRK13410 | AMMECR1 |</t>
  </si>
  <si>
    <t xml:space="preserve">hyp10_hyp12_anopheline_family | </t>
  </si>
  <si>
    <t>GTSE1_N | PLPDE_III_AR2 | PRK14844 | Uncharacterized_protein_slr0964 | PRK13410 |</t>
  </si>
  <si>
    <t>GTSE1_N | VID24 | PRK14844 | DUF4202 | PLPDE_III_AR2 | Uncharacterized_protein_slr0964 | PRK13410 | PRK04374 | AMMECR1 |</t>
  </si>
  <si>
    <t>PRK14844 | DUF4202 | GTSE1_N | PLPDE_III_AR2 | PRK09603 |</t>
  </si>
  <si>
    <t>GTSE1_N | DUF4202 | PLPDE_III_AR2 | PRK14844 | Uncharacterized_protein_slr0964 | Utp | AMMECR1 |</t>
  </si>
  <si>
    <t>Osmoregulated_proline_transporter | PRK15416 | DUF2920 | AMMECR1 | PLPDE_III_AR2 | PRK14844 | PHA03207 | UxaA | PLN02782 | PHA01756 |</t>
  </si>
  <si>
    <t>hypothetical_protein_PPSIR1_38941 | PRK03967 | PLN03006 | Stage_III_sporulation_protein_AB | Osmoregulated_proline_transporter |</t>
  </si>
  <si>
    <t>cobU | COG5362 | MYSc_Myo30 | DUF2776 | PRK13254 |</t>
  </si>
  <si>
    <t>PRK15361 | FERM_B-lobe | Transposase_24 | III_secr_ATP | GBP_C | GAT_GGA_meta | CRD_SFRP4 |</t>
  </si>
  <si>
    <t>PRK15361 | COG3398 | EcCorA_ZntB-like | metH | pheA | LysP | DUF4175 |</t>
  </si>
  <si>
    <t>FUI1 | Sema | COG1641 | DUF4175 | COG3398 |</t>
  </si>
  <si>
    <t>Intracellular trafficking, secretion, and vesicular transport, Posttranslational modification, protein turnover, chaperones</t>
  </si>
  <si>
    <t>JHBP | pheA | COG3106 | PRK12355 | type_VI_ompA | PRK08124 | PTZ00219 | PRK07824 | nfrB |</t>
  </si>
  <si>
    <t>NnrU | PRK09259 | PRK15295 | PRK15072 | SLC5sbd_DUR3 | Phage_HK97_TLTM | DUF812 | Uricase | PRK12413 | DHC_N1 |</t>
  </si>
  <si>
    <t>PRK09082 | CG11594_isoform_A | bZIP_CEBPD |</t>
  </si>
  <si>
    <t>RNA processing and modification, Transcription</t>
  </si>
  <si>
    <t>PLN02990 | PHA02955 | Poly3-hydroxyalkanoate_polymerase_1 | ClC_3_like | PRK10841 | SLC-NCS1sbd | VI_IcmF | PRK07945 | PTZ00009 | nusA |</t>
  </si>
  <si>
    <t>PLN02990 | PHA02955 | Poly3-hydroxyalkanoate_polymerase_1 | ClC_3_like | PRK10841 | VI_IcmF | PRK07945 | JHBP | PTZ00009 | nusA |</t>
  </si>
  <si>
    <t>PLN02990 | COG1563 | Poly3-hydroxyalkanoate_polymerase_1 | PHA02955 | ClC_3_like | Carbamate_kinase | VI_IcmF | PTZ00009 | JHBP | BAR_SNX30 |</t>
  </si>
  <si>
    <t>PLN02990 | tynA | ClC_3_like | N-acetylneuraminate_lyase | Flagellar_rod | PMEI-like_2 | PTZ00009 | NAL |</t>
  </si>
  <si>
    <t>PLN02990 | BAR_SNX30 | Flagellar_rod | tynA | CreD | N-acetylneuraminate_lyase | cyt_nit_nrfD | PTX |</t>
  </si>
  <si>
    <t>HDAC_classII_1 | EriC | EriC | COG1765 | Voltage_CLC | ClC_3_like | PRK12536 | Transp_cyt_pur | HDAC_classII | Herpes_alk_exo |</t>
  </si>
  <si>
    <t>JHBP | PHA02955 | PRK10803 | Macoilin |</t>
  </si>
  <si>
    <t>HemH | Cas5_I | hypothetical_protein_LinasL1_02240 | hemH | ArsB | ArsB_permease | VI_chp_6 | COG3519 |</t>
  </si>
  <si>
    <t>ModA | PRK09259 | URO-D_CIMS_like | COG5411 |</t>
  </si>
  <si>
    <t>Tenui_PVC2 | Hr_FBXL5 | Inositol_P | DUF914 | Ins134_P3_kin | COG4694 |</t>
  </si>
  <si>
    <t>PRK13247 | PRK09028 |</t>
  </si>
  <si>
    <t>pbp2_mrdA | PRK08045 | PRK07671 | TRAPP | FliI_clade2 | Cystathionine_gamma-synthase | Zeta-carotene_desaturase | Cellulose_synthase_UDP-forming |</t>
  </si>
  <si>
    <t>JHBP | PRK06182 | Ecm29 | ADH_SDR_c_like | PRK09259 | PRK10787 |</t>
  </si>
  <si>
    <t>mrcA 0.084| PRK12648 | DUF4662 | DNA_pol_B_2 | EpsL |</t>
  </si>
  <si>
    <t>mrcA 0.085| PRK12648 | DUF4662 | EpsL | DNA_pol_B_2 |</t>
  </si>
  <si>
    <t>mrcA | PRK12648 | OVP1 |</t>
  </si>
  <si>
    <t>mrcA | PRK12648 | potE | OVP1 |</t>
  </si>
  <si>
    <t>mrcA | hypothetical_protein | ISG65-75 | ETR_like_1 | OVP1 |</t>
  </si>
  <si>
    <t>mrcA 0.077| PRK12648 | DNA_pol_B_2 | CYTB |</t>
  </si>
  <si>
    <t>PLN00034 | LEF-4 | PotB | EIIBC-GUT_N |</t>
  </si>
  <si>
    <t>PLN00034 | PRK10137 | FRG2 | RNA_pol_Rpc4 | PHA02616 | DUF3633 | DUF601 |</t>
  </si>
  <si>
    <t>PLN00034 | NrdA | PRK09412 | PHA03369 | SLC5sbd_SGLT5 | PLN03190 | DcuB | PRK09577 | 2-Hacid_dh_9 | DcuA_DcuB |</t>
  </si>
  <si>
    <t>SLC5sbd_SGLT5 | DUF3866 | SLC5sbd_SGLT1 | PRK05370 | CRISPR-associated_protein_CT1133_famil...    25   5.7   | SLC5sbd_SGLT4 | PRK15120 | PKc_CLK |</t>
  </si>
  <si>
    <t>Fig1 | Cytochrome_c-550 | PRK10132 |</t>
  </si>
  <si>
    <t>PRK10386 | C2C_KIAA1228 | proX |</t>
  </si>
  <si>
    <t>mrcA 0.056| DUF4179 | PTZ00334 | FUSC |</t>
  </si>
  <si>
    <t>EIIBC-GUT_N | Fructose-bisphosphate_aldolase | FBP_aldolase_IIA | Protein_patched_homolog_1 |</t>
  </si>
  <si>
    <t>gliding_motility_protein_GldJ 0.048| COG3009 | PH_Scd1 | EIIBC-GUT_N | FBP_aldolase_IIA | PLN03089 |</t>
  </si>
  <si>
    <t>PRK10983 | PHA02724 | pyridoxal_pyridoxamine_kinase |</t>
  </si>
  <si>
    <t>Tenui_PVC2 | PLN02206 | SecE |</t>
  </si>
  <si>
    <t>PHA02724 | PRK10299 | PLN02188 |</t>
  </si>
  <si>
    <t>CuRO_1_MCO_like_1 |</t>
  </si>
  <si>
    <t>PRK10983 | NtrY |</t>
  </si>
  <si>
    <t>NrdF 0.056| FhuF | Hypothetical_protein_FN1182 | Cas8a1_I-A | Cas_Csx8 | Cas8a1_I-A | FtsW | chlB | COG2342 | PRK09649 |</t>
  </si>
  <si>
    <t xml:space="preserve">Hyp37 | </t>
  </si>
  <si>
    <t>NrdF | FhuF | Hypothetical_protein_FN1182 | Cas8a1_I-A | Cas_Csx8 | Cas8a1_I-A | Hypothetical_UPF0283_protein_ycjF. | FtsW | PRK11903 | COG2342 |</t>
  </si>
  <si>
    <t>NrdF | Hypothetical_protein_FN1182 | Cas8a1_I-A | Cas_Csx8 | Cas8a1_I-A | COG2342 | PRK09649 | PRK00106 | flgC | PRK11903 |</t>
  </si>
  <si>
    <t>NrdF | FhuF | Cas_Csx8 | Hypothetical_protein_FN1182 | Cas8a1_I-A | Cas8a1_I-A | chlB | PRK11903 | COG2342 | flgC |</t>
  </si>
  <si>
    <t>NrdF | FhuF | PRK09649 | Hypothetical_protein_FN1182 | Cas8a1_I-A | Cas_Csx8 | Cas8a1_I-A | chlB | COG2342 | flgC |</t>
  </si>
  <si>
    <t>NrdF | COG2342 | Cas_Csx8 | Hypothetical_protein_FN1182 | Cas8a1_I-A | Cas8a1_I-A | PRK11903 | PRK09649 |</t>
  </si>
  <si>
    <t>SPG48 | DUF452 | DUF4455 | DUF2924 | S_layer_CsaB | PLN02303 | short-chain_dehydrogenase/reductase_SD...    27   9.1   | PLN02349 |</t>
  </si>
  <si>
    <t>PRK14277 | PTKc_Met_Ron | PTZ00363 | RRM_like_XS | PLN02691 | Strumpellin | GDI | PRK04101 | GatZ |</t>
  </si>
  <si>
    <t>Gph | fabG | DUF2240 | NarG | PGDH_2 | FancD2 |</t>
  </si>
  <si>
    <t>PLN02727 | AAK_UMPK-PyrH-Ec | Uridylate_kinase | SPX | COG4998 | PRK06633 | DctP |</t>
  </si>
  <si>
    <t>FosB 0.051| PRK04101 0.061| Glyco_hydro_9 | PBP2_TAXI_TRAP_like_2 | DUF2240 | FAD_binding_7 | PRK04330 | FGGY_EcGK_like | PRK13538 | CMP-NeuAc_Synthase |</t>
  </si>
  <si>
    <t>Arena_RNA_pol | putative_ATP-dependent_Lon_protease | COG3962 | Phosphoribosylformylglycinamidine_synt...    30   0.95  | N-glycanase_N | MobA_MobL | COG4313 | NuoE | 3D-35/4-trihydroxycyclohexane-12-dione...    28   3.3   | MethyltransfD12 |</t>
  </si>
  <si>
    <t>PHA00657 | cbiO | malQ | PRK04101 | COG4 | GH64-like | hypothetical_protein_Pcar_2791 | GH99 | PBP1_NPR_like | PRK14331 |</t>
  </si>
  <si>
    <t>FGGY_D-XK_EcXK-like 0.072| XylB 0.073| FGGY_XK_like_1 | FGGY | COG4799 | Xylulose_kinase | FGGY_N | ilvH | FGGY_XK_like_2 | PRK03967 |</t>
  </si>
  <si>
    <t>ND3 | Putative_tagatose_6-phosphate_kinase_g...    31   0.54  | GatZ | FGGY | valS | Tagatose_6_P_K | PRK12372 | uvrC | eIF3_subunit | PRK15052 |</t>
  </si>
  <si>
    <t>RDV-p3 | FosB | PRK13917 | TAF6 | flgK | 34 | W_rSAM_matur | PRK08294 | 2-polyprenyl-6-methoxyphenol_hydroxyla...    27   7.8   | PRK05732 |</t>
  </si>
  <si>
    <t>PRK08294 | PRK13917 | 34 | PLN03210 | PTZ00081 | PI3_PI4_kinase | FosB | 2-polyprenyl-6-methoxyphenol_hydroxyla...    27   5.9   | PRK05732 | W_rSAM_matur |</t>
  </si>
  <si>
    <t>Sin3_corepress | HDAC_interact | PRK14338 | SPFH_HflK | PLN02169 | COG3670 | flgL | DUF2421 | RNAP_II_RPB1_N |</t>
  </si>
  <si>
    <t>Sin3_corepress 0.033| HDAC_interact | COG3670 | SGL | Zpr1 | MUS81 | DUF2421 | PRK14338 | Ribosomal_protein_S12_methylthiotransf...    27   7.8   | Trehalase |</t>
  </si>
  <si>
    <t>CE4_PgaB_5s | hypothetical_protein_Pcar_2791 | FancD2 | PcfK | GH64-like | COG4241 | FGGY | PRK09533 | PLN02775 | pgaB |</t>
  </si>
  <si>
    <t>CE4_PgaB_5s | FancD2 | hypothetical_protein_Pcar_2791 | GH64-like | PcfK | Sodium/glucose_cotransporter_1 | COG4241 | PLN02775 | pgaB | PLDc_FAM83G_N |</t>
  </si>
  <si>
    <t>FancD2 | CE4_PgaB_5s | hypothetical_protein_Pcar_2791 | GH64-like | PcfK | COG4241 | PLN02775 | DnaJ-X | PLDc_FAM83G_N | Putative_tagatose_6-phosphate_kinase_g...    27   7.7   |</t>
  </si>
  <si>
    <t>FancD2 | CE4_PgaB_5s | hypothetical_protein_Pcar_2791 | PcfK | GH64-like | PLN02775 | COG4241 | DnaJ-X | Sodium/glucose_cotransporter_1 | pgaB |</t>
  </si>
  <si>
    <t>FancD2 | CE4_PgaB_5s | hypothetical_protein_Pcar_2791 | Putative_tagatose_6-phosphate_kinase_g...    31   0.65  | PLDc_FAM83G_N | bchC | GatZ | MMS19_N | PRK12747 | COG2345 |</t>
  </si>
  <si>
    <t>hypothetical_protein_Pcar_2791 0.007| CE4_PgaB_5s 0.021| pgaB | MukB | DUF561 | PRK02504 | Nanovirus_C8 | AcnA | repA | Leo1 |</t>
  </si>
  <si>
    <t>CE4_PgaB_5s 0.018| hypothetical_protein_Pcar_2791 0.022| pgaB | extracellular_solute-binding_protein_f...    30   0.92  | PRK04101 | FosB | PRK08242 | COG2345 | DUF3312 | DUF4057 |</t>
  </si>
  <si>
    <t>RHH_3 | Phosducin | COG2345 | FosB | rlmL | PRK04101 | CheA | RAP1 | vWA_integrins_alpha_subunit | MYSc_Myo32 |</t>
  </si>
  <si>
    <t>hypothetical_protein_Pcar_2791 | CE4_PgaB_5s | COG4 | GH64-like | PRK11058 | rpoB | TIGR03034 | GH99 |</t>
  </si>
  <si>
    <t>Uridylate_kinase | PRK13785 | RNAP_II_RPB1_N | AAK_UMPK-PyrH-Ec | COG1411 | PRK09694 | zf-ZPR1 | IclR |</t>
  </si>
  <si>
    <t>ThuA 0.089| COG2345 | LamB | GATase1_ThuA | PRK07103 | SH3_Sorbs2_2 | PRK09632 | ApoLp-III_like | DUF2331 | FGGY_AI-2K |</t>
  </si>
  <si>
    <t>PRK14159 | COG4581 | MYSc_Myo28 | ALIX_LYPXL_bnd | VI_IcmF | GerPC | IcmF-related | PTZ00363 | Cupin_6 | INPP5c |</t>
  </si>
  <si>
    <t>PRKCSH_1 | dnaK | PRK14159 | Gluconate_permease | Acs | PRK03379 |</t>
  </si>
  <si>
    <t>RNA processing and modification, General function prediction only</t>
  </si>
  <si>
    <t>Pectate_lyase_3 | PBP1_mGluR | Herpes_UL21 | GT1_gtfA_like | M3B_PepF_4 | Phosphate_regulon_sensor_protein_PhoR | PLN00016 | PRK10919 | GxGYxYP | CitF |</t>
  </si>
  <si>
    <t>hypothetical_protein_Pcar_2791 | CE4_PgaB_5s | PRK04101 | PAZ_dicer_like | FosB | PRK11058 | PRK08010 | APP_E2 | hypothetical_protein | PRK13588 |</t>
  </si>
  <si>
    <t>hypothetical_protein_Pcar_2791 | CE4_PgaB_5s | PHA00657 | rep | PRK04101 | PRK07411 | TraH | glu_cys_lig_rel | FosB | FancD2 |</t>
  </si>
  <si>
    <t>COG2345 | conserved_hypothetical_protein | pdxK | HSP105-110_like_NBD | PRK12331 | PTZ00309 |</t>
  </si>
  <si>
    <t>Cell wall/membrane/envelope biogenesis, Extracellular structures</t>
  </si>
  <si>
    <t>PRK06846 0.044| AmyAc_maltase | hisG | PTZ00357 | dnaK | PRK06241 | DUF3686 | Herpes_gE | Phosphoribosylformylglycinamidine_synt...    27   7.5   | M20_ArgE_DapE_like5 |</t>
  </si>
  <si>
    <t>6_hydroxyhexanoate_dh_like | PRK09265 | GDPD_GDE_2_3_6 | Catechol_12-dioxygenase_1 | DDE_Tnp_ISAZ013 | ATP-grasp_3 | HolB | cobN | Zeta-carotene_desaturase | 1 |</t>
  </si>
  <si>
    <t>RuvC | PRK08487 | PTH2 | His_biosynth | Peptidyl-tRNA_hydrolase | Putative_dimethyl_sulfoxide_reductase_...    28   3.1   | HisF | COG2842 | pth2 | Cas3_Cas2_I-F |</t>
  </si>
  <si>
    <t>PTZ00432 | Sodium/calcium_exchanger_1 | Protease_4 | ALDH_F9_TMBADH | STKc_STK36 | terB_like | 34 |</t>
  </si>
  <si>
    <t>AmyAc_bac_euk_AmyA e-152| AmyAc_bac1_AmyA 6e-048| Aamy 3e-023| AmyAc_euk_AmyA 3e-020| Alpha-amylase 2e-017| AmyA 2e-015| AmyAc_bac2_AmyA 6e-011| Aamy_C 8e-011| AmyAc_AmyMalt_CGTase_like 1e-010| AmyAc_bac_CMD_like 3e-009|</t>
  </si>
  <si>
    <t>AmyAc_bac_euk_AmyA e-151| AmyAc_bac1_AmyA 7e-048| Aamy 2e-023| AmyAc_euk_AmyA 5e-019| Alpha-amylase 9e-019| AmyA 2e-016| AmyAc_bac2_AmyA 4e-012| AmyAc_AmyMalt_CGTase_like 2e-011| Aamy_C 2e-010| AmyAc_bac_CMD_like 1e-009|</t>
  </si>
  <si>
    <t>AmyAc_bac_euk_AmyA e-150| AmyAc_bac1_AmyA 1e-047| Aamy 2e-023| AmyAc_euk_AmyA 2e-019| Alpha-amylase 3e-019| AmyA 8e-016| AmyAc_bac2_AmyA 7e-013| Aamy_C 8e-011| AmyAc_AmyMalt_CGTase_like 1e-010| AmyAc_bac_CMD_like 3e-009|</t>
  </si>
  <si>
    <t>AmyAc_bac_euk_AmyA e-151| AmyAc_bac1_AmyA 5e-047| Aamy 3e-023| AmyAc_euk_AmyA 1e-017| Alpha-amylase 2e-017| AmyA 1e-014| Aamy_C 8e-012| AmyAc_bac2_AmyA 2e-010| AmyAc_AmyMalt_CGTase_like 2e-009| AmyAc_bac_CMD_like 4e-009|</t>
  </si>
  <si>
    <t>AmyAc_bac_euk_AmyA e-150| AmyAc_bac1_AmyA 2e-045| Aamy 2e-023| AmyAc_euk_AmyA 2e-019| Alpha-amylase 4e-016| AmyA 7e-015| AmyAc_AmyMalt_CGTase_like 4e-011| Aamy_C 4e-011| AmyAc_bac_CMD_like 2e-008| AmyAc_bac2_AmyA 7e-008|</t>
  </si>
  <si>
    <t>AmyAc_bac_euk_AmyA e-150| AmyAc_bac1_AmyA 8e-048| Aamy 4e-023| AmyAc_euk_AmyA 6e-019| Alpha-amylase 8e-018| AmyA 9e-015| AmyAc_AmyMalt_CGTase_like 7e-011| AmyAc_bac2_AmyA 8e-011| AmyAc_bac_CMD_like 6e-010| Aamy_C 7e-010|</t>
  </si>
  <si>
    <t>AmyAc_bac_euk_AmyA e-146| AmyAc_bac1_AmyA 2e-050| Aamy 7e-025| AmyAc_euk_AmyA 3e-020| Alpha-amylase 9e-019| AmyA 2e-016| Aamy_C 9e-013| AmyAc_AmyMalt_CGTase_like 2e-012| AmyAc_bac_CMD_like 2e-009| Alpha-amylase_C 2e-008|</t>
  </si>
  <si>
    <t>AmyAc_bac_euk_AmyA e-147| AmyAc_bac1_AmyA 1e-045| Aamy 1e-023| AmyAc_euk_AmyA 8e-021| Alpha-amylase 7e-019| AmyAc_AmyMalt_CGTase_like 3e-015| AmyA 6e-015| Aamy_C 3e-014| AmyAc_bac_CMD_like 4e-010| AmyAc_arch_bac_plant_AmyA 4e-010|</t>
  </si>
  <si>
    <t>AmyAc_bac_euk_AmyA e-146| AmyAc_bac1_AmyA 2e-047| Aamy 3e-024| AmyAc_euk_AmyA 2e-019| Alpha-amylase 3e-019| AmyAc_AmyMalt_CGTase_like 7e-017| AmyA 3e-015| Aamy_C 4e-013| Alpha-amylase_C 3e-010| AmyAc_bac_CMD_like 8e-009|</t>
  </si>
  <si>
    <t>AmyAc_bac_euk_AmyA e-145| AmyAc_bac1_AmyA 5e-047| Aamy 3e-023| AmyAc_euk_AmyA 1e-018| Alpha-amylase 2e-017| AmyA 1e-015| AmyAc_AmyMalt_CGTase_like 5e-014| Aamy_C 4e-012| AmyAc_bac_CMD_like 3e-010| Alpha-amylase_C 2e-009|</t>
  </si>
  <si>
    <t>AmyAc_bac_euk_AmyA e-146| AmyAc_bac1_AmyA 1e-046| Aamy 2e-024| AmyAc_euk_AmyA 1e-018| Alpha-amylase 2e-017| AmyAc_AmyMalt_CGTase_like 9e-015| AmyA 2e-014| AmyAc_bac_CMD_like 2e-012| Aamy_C 1e-011| Alpha-amylase_C 2e-010|</t>
  </si>
  <si>
    <t>AmyAc_bac_euk_AmyA e-152| AmyAc_bac1_AmyA 6e-044| Aamy 5e-023| Alpha-amylase 2e-019| AmyAc_euk_AmyA 2e-018| AmyAc_AmyMalt_CGTase_like 1e-016| AmyA 2e-014| AmyAc_bac_CMD_like 2e-010| Aamy_C 4e-009| AmyAc_bac2_AmyA 1e-008|</t>
  </si>
  <si>
    <t>AmyAc_bac_euk_AmyA e-147| AmyAc_bac1_AmyA 2e-043| Aamy 2e-021| AmyAc_euk_AmyA 2e-020| Alpha-amylase 3e-019| AmyA 4e-015| AmyAc_AmyMalt_CGTase_like 7e-015| Aamy_C 2e-010| AmyAc_bac_CMD_like 2e-009| Alpha-amylase_C 2e-009|</t>
  </si>
  <si>
    <t>AmyAc_bac_euk_AmyA e-151| AmyAc_bac1_AmyA 3e-047| Aamy 6e-023| AmyAc_euk_AmyA 4e-018| Alpha-amylase 4e-016| AmyAc_AmyMalt_CGTase_like 2e-012| AmyA 3e-012| Aamy_C 4e-012| Alpha-amylase_C 2e-008| AmyAc_bac_CMD_like 6e-008|</t>
  </si>
  <si>
    <t>AmyAc_bac_euk_AmyA e-151| AmyAc_bac1_AmyA 3e-049| Aamy 3e-023| AmyAc_euk_AmyA 1e-019| Alpha-amylase 8e-017| AmyA 2e-014| AmyAc_AmyMalt_CGTase_like 2e-014| Aamy_C 1e-013| Alpha-amylase_C 1e-008| AmyAc_bac_CMD_like 5e-008|</t>
  </si>
  <si>
    <t>AmyAc_bac_euk_AmyA e-125| AmyAc_bac1_AmyA 5e-042| Aamy 4e-022| AmyAc_euk_AmyA 3e-017| Alpha-amylase 1e-014| AmyA 1e-013| Aamy_C 2e-013| AmyAc_AmyMalt_CGTase_like 2e-008| Alpha-amylase_C 8e-008| AmyAc_bac_CMD_like 8e-007|</t>
  </si>
  <si>
    <t>AmyAc_bac_euk_AmyA e-117| AmyAc_bac1_AmyA 2e-031| Aamy 3e-018| Aamy_C 2e-013| AmyAc_euk_AmyA 3e-011| Alpha-amylase_C 6e-007| Alpha-amylase 1e-006| AmyA 3e-005| AmyAc_bac_CMD_like 3e-004| AmyAc_family 0.008|</t>
  </si>
  <si>
    <t>AmyAc_maltase | AmyAc_SLC3A1 e-160| AmyAc_OligoGlu_like e-139| AmyAc_SI_OligoGlu_DGase e-124| AmyAc_OligoGlu e-103| Trehalose-6-phosphate_hydrolase 6e-094| AmyAc_TreS 5e-092| AmyAc_bac2_AmyA 6e-085| AmyAc_OligoGlu_TS 8e-085| Alpha-amylase 2e-084|</t>
  </si>
  <si>
    <t>AmyAc_maltase | AmyAc_SLC3A1 e-161| AmyAc_OligoGlu_like e-139| AmyAc_SI_OligoGlu_DGase e-124| AmyAc_OligoGlu e-103| Trehalose-6-phosphate_hydrolase 5e-094| AmyAc_TreS 7e-092| AmyAc_bac2_AmyA 6e-085| AmyAc_OligoGlu_TS 8e-085| Alpha-amylase 1e-084|</t>
  </si>
  <si>
    <t>AmyAc_maltase | AmyAc_SLC3A1 e-160| AmyAc_OligoGlu_like e-138| AmyAc_SI_OligoGlu_DGase e-123| AmyAc_OligoGlu e-102| Trehalose-6-phosphate_hydrolase 5e-093| AmyAc_TreS 4e-091| AmyAc_OligoGlu_TS 3e-084| AmyAc_bac2_AmyA 5e-084| Alpha-amylase 1e-083|</t>
  </si>
  <si>
    <t>AmyAc_maltase | AmyAc_SLC3A1 e-161| AmyAc_OligoGlu_like e-138| AmyAc_SI_OligoGlu_DGase e-123| AmyAc_OligoGlu e-103| Trehalose-6-phosphate_hydrolase 6e-094| AmyAc_TreS 9e-092| Alpha-amylase 5e-085| AmyAc_OligoGlu_TS 6e-085| AmyAc_bac2_AmyA 3e-084|</t>
  </si>
  <si>
    <t>AmyAc_maltase | AmyAc_SLC3A1 e-161| AmyAc_OligoGlu_like e-138| AmyAc_SI_OligoGlu_DGase e-123| AmyAc_OligoGlu e-103| Trehalose-6-phosphate_hydrolase 1e-092| AmyAc_TreS 1e-091| AmyAc_OligoGlu_TS 4e-085| Alpha-amylase 2e-084| AmyAc_bac2_AmyA 2e-084|</t>
  </si>
  <si>
    <t>AmyAc_maltase | AmyAc_SLC3A1 e-158| AmyAc_OligoGlu_like e-141| AmyAc_SI_OligoGlu_DGase e-122| AmyAc_OligoGlu e-105| Trehalose-6-phosphate_hydrolase 2e-093| AmyAc_TreS 1e-092| AmyAc_bac2_AmyA 7e-085| AmyAc_OligoGlu_TS 2e-084| Trehalose_synthase 3e-082|</t>
  </si>
  <si>
    <t>AmyAc_maltase | AmyAc_SLC3A1 e-160| AmyAc_OligoGlu_like e-141| AmyAc_SI_OligoGlu_DGase e-123| AmyAc_OligoGlu e-103| AmyAc_TreS 5e-094| Trehalose-6-phosphate_hydrolase 8e-092| AmyAc_OligoGlu_TS 4e-086| AmyAc_bac2_AmyA 4e-085| Alpha-amylase 1e-083|</t>
  </si>
  <si>
    <t>AmyAc_maltase | AmyAc_SLC3A1 e-156| AmyAc_OligoGlu_like e-138| AmyAc_SI_OligoGlu_DGase e-123| AmyAc_OligoGlu e-104| Trehalose-6-phosphate_hydrolase 4e-093| AmyAc_TreS 6e-091| AmyAc_OligoGlu_TS 2e-087| Alpha-amylase 1e-082| AmyAc_bac2_AmyA 1e-081|</t>
  </si>
  <si>
    <t>AmyAc_maltase | AmyAc_SLC3A1 e-157| AmyAc_OligoGlu_like e-139| AmyAc_SI_OligoGlu_DGase e-122| AmyAc_OligoGlu e-103| Trehalose-6-phosphate_hydrolase 3e-093| AmyAc_TreS 2e-092| AmyAc_OligoGlu_TS 4e-085| Alpha-amylase 5e-084| AmyAc_bac2_AmyA 1e-083|</t>
  </si>
  <si>
    <t>AmyAc_maltase | AmyAc_SLC3A1 e-159| AmyAc_OligoGlu_like e-139| AmyAc_SI_OligoGlu_DGase e-124| AmyAc_OligoGlu e-101| Trehalose-6-phosphate_hydrolase 5e-093| AmyAc_TreS 3e-092| AmyAc_OligoGlu_TS 1e-086| Alpha-amylase 6e-086| AmyAc_bac2_AmyA 1e-085|</t>
  </si>
  <si>
    <t>AmyAc_maltase | AmyAc_SLC3A1 e-160| AmyAc_OligoGlu_like e-138| AmyAc_SI_OligoGlu_DGase e-123| AmyAc_OligoGlu e-103| Trehalose-6-phosphate_hydrolase 2e-093| AmyAc_TreS 2e-092| AmyAc_bac2_AmyA 2e-087| AmyAc_OligoGlu_TS 2e-085| Alpha-amylase 2e-083|</t>
  </si>
  <si>
    <t>AmyAc_maltase | AmyAc_SLC3A1 e-161| AmyAc_OligoGlu_like e-143| AmyAc_SI_OligoGlu_DGase e-125| AmyAc_OligoGlu e-106| AmyAc_TreS 9e-094| Trehalose-6-phosphate_hydrolase 3e-093| AmyAc_OligoGlu_TS 1e-087| AmyAc_bac2_AmyA 2e-086| Trehalose_synthase 8e-084|</t>
  </si>
  <si>
    <t>AmyAc_maltase | AmyAc_SLC3A1 e-158| AmyAc_OligoGlu_like e-142| AmyAc_SI_OligoGlu_DGase e-128| AmyAc_OligoGlu e-107| Trehalose-6-phosphate_hydrolase 2e-097| AmyAc_TreS 3e-095| AmyAc_OligoGlu_TS 3e-089| AmyAc_bac2_AmyA 4e-088| PRK10933 2e-087|</t>
  </si>
  <si>
    <t>AmyAc_maltase | AmyAc_SLC3A1 e-157| AmyAc_OligoGlu_like e-140| AmyAc_SI_OligoGlu_DGase e-121| AmyAc_OligoGlu e-108| Trehalose-6-phosphate_hydrolase 2e-093| AmyAc_TreS 4e-092| AmyAc_OligoGlu_TS 2e-087| AmyAc_bac2_AmyA 3e-083| Alpha-amylase 1e-082|</t>
  </si>
  <si>
    <t>AmyAc_maltase | AmyAc_SLC3A1 e-161| AmyAc_OligoGlu_like e-140| AmyAc_SI_OligoGlu_DGase e-121| AmyAc_OligoGlu e-104| Trehalose-6-phosphate_hydrolase 1e-092| AmyAc_TreS 8e-091| AmyAc_OligoGlu_TS 2e-088| AmyAc_bac2_AmyA 4e-085| Alpha-amylase 7e-083|</t>
  </si>
  <si>
    <t>AmyAc_maltase | AmyAc_SLC3A1 e-164| AmyAc_OligoGlu_like e-141| AmyAc_SI_OligoGlu_DGase e-126| AmyAc_OligoGlu e-108| Trehalose-6-phosphate_hydrolase 3e-097| AmyAc_TreS 5e-097| AmyAc_OligoGlu_TS 2e-088| Alpha-amylase 8e-087| AmyAc_bac2_AmyA 1e-085|</t>
  </si>
  <si>
    <t>AmyAc_maltase | AmyAc_SLC3A1 e-162| AmyAc_OligoGlu_like e-141| AmyAc_SI_OligoGlu_DGase e-127| AmyAc_OligoGlu e-107| Trehalose-6-phosphate_hydrolase 2e-097| AmyAc_TreS 4e-097| AmyAc_OligoGlu_TS 1e-088| AmyAc_bac2_AmyA 2e-086| Trehalose_synthase 1e-085|</t>
  </si>
  <si>
    <t>An_peroxidase e-173| peroxinectin_like e-158| peroxidasin_like 3e-082| thyroid_peroxidase 7e-080| peroxinectin_like_bacterial 8e-077| An_peroxidase_like 2e-072| dual_peroxidase_like 2e-066| myeloperoxidase_like 8e-056| prostaglandin_endoperoxide_synthase 5e-030| An_peroxidase_bacterial_2 1e-022|</t>
  </si>
  <si>
    <t>An_peroxidase e-174| peroxinectin_like e-159| peroxidasin_like 5e-083| thyroid_peroxidase 2e-080| peroxinectin_like_bacterial 4e-077| An_peroxidase_like 2e-072| dual_peroxidase_like 9e-067| myeloperoxidase_like 3e-056| prostaglandin_endoperoxide_synthase 9e-030| An_peroxidase_bacterial_2 2e-022|</t>
  </si>
  <si>
    <t>An_peroxidase e-174| peroxinectin_like e-159| peroxidasin_like 2e-082| thyroid_peroxidase 2e-082| peroxinectin_like_bacterial 1e-076| An_peroxidase_like 7e-073| dual_peroxidase_like 2e-065| myeloperoxidase_like 6e-057| prostaglandin_endoperoxide_synthase 5e-030| An_peroxidase_bacterial_2 3e-022|</t>
  </si>
  <si>
    <t>An_peroxidase e-174| peroxinectin_like e-159| thyroid_peroxidase 4e-083| peroxidasin_like 2e-082| peroxinectin_like_bacterial 1e-076| An_peroxidase_like 2e-072| dual_peroxidase_like 5e-065| myeloperoxidase_like 1e-056| prostaglandin_endoperoxide_synthase 3e-030| An_peroxidase_bacterial_2 4e-022|</t>
  </si>
  <si>
    <t>An_peroxidase e-172| peroxinectin_like e-156| thyroid_peroxidase 1e-081| peroxidasin_like 9e-080| peroxinectin_like_bacterial 2e-075| An_peroxidase_like 1e-069| dual_peroxidase_like 2e-061| myeloperoxidase_like 1e-055| prostaglandin_endoperoxide_synthase 2e-028| An_peroxidase_bacterial_2 2e-021|</t>
  </si>
  <si>
    <t>An_peroxidase e-171| peroxinectin_like e-157| thyroid_peroxidase 1e-083| peroxidasin_like 3e-081| peroxinectin_like_bacterial 3e-076| An_peroxidase_like 7e-070| dual_peroxidase_like 2e-063| myeloperoxidase_like 8e-057| prostaglandin_endoperoxide_synthase 2e-030| An_peroxidase_bacterial_2 4e-022|</t>
  </si>
  <si>
    <t>An_peroxidase e-171| peroxinectin_like e-158| peroxidasin_like 3e-082| thyroid_peroxidase 2e-081| peroxinectin_like_bacterial 6e-074| An_peroxidase_like 5e-073| dual_peroxidase_like 7e-063| myeloperoxidase_like 6e-058| prostaglandin_endoperoxide_synthase 1e-030| An_peroxidase_bacterial_2 1e-020|</t>
  </si>
  <si>
    <t>An_peroxidase e-173| peroxinectin_like e-157| peroxidasin_like 4e-085| thyroid_peroxidase 2e-078| peroxinectin_like_bacterial 5e-077| An_peroxidase_like 9e-070| dual_peroxidase_like 1e-066| myeloperoxidase_like 2e-057| prostaglandin_endoperoxide_synthase 4e-030| An_peroxidase_bacterial_2 1e-023|</t>
  </si>
  <si>
    <t>An_peroxidase e-170| peroxinectin_like e-152| thyroid_peroxidase 1e-080| peroxidasin_like 7e-079| peroxinectin_like_bacterial 2e-076| An_peroxidase_like 2e-071| dual_peroxidase_like 1e-068| myeloperoxidase_like 3e-057| prostaglandin_endoperoxide_synthase 8e-028| An_peroxidase_bacterial_2 2e-020|</t>
  </si>
  <si>
    <t>An_peroxidase e-172| peroxinectin_like e-156| peroxidasin_like 1e-083| thyroid_peroxidase 8e-080| peroxinectin_like_bacterial 4e-078| An_peroxidase_like 4e-072| dual_peroxidase_like 3e-066| myeloperoxidase_like 1e-059| prostaglandin_endoperoxide_synthase 9e-029| An_peroxidase_bacterial_2 9e-023|</t>
  </si>
  <si>
    <t>An_peroxidase e-171| peroxinectin_like e-158| peroxidasin_like 5e-088| thyroid_peroxidase 9e-081| peroxinectin_like_bacterial 2e-078| An_peroxidase_like 8e-071| dual_peroxidase_like 2e-069| myeloperoxidase_like 7e-059| prostaglandin_endoperoxide_synthase 2e-027| An_peroxidase_bacterial_2 3e-027|</t>
  </si>
  <si>
    <t>An_peroxidase e-167| peroxinectin_like e-155| peroxidasin_like 1e-082| thyroid_peroxidase 5e-078| peroxinectin_like_bacterial 6e-078| An_peroxidase_like 5e-074| dual_peroxidase_like 4e-066| myeloperoxidase_like 7e-057| prostaglandin_endoperoxide_synthase 3e-028| An_peroxidase_bacterial_2 2e-023|</t>
  </si>
  <si>
    <t>An_peroxidase e-171| peroxinectin_like e-158| peroxidasin_like 1e-085| thyroid_peroxidase 1e-081| peroxinectin_like_bacterial 1e-077| An_peroxidase_like 1e-071| dual_peroxidase_like 2e-064| myeloperoxidase_like 2e-060| prostaglandin_endoperoxide_synthase 1e-025| An_peroxidase_bacterial_2 4e-025|</t>
  </si>
  <si>
    <t>An_peroxidase e-170| peroxinectin_like e-155| peroxidasin_like 1e-082| thyroid_peroxidase 5e-080| peroxinectin_like_bacterial 3e-075| An_peroxidase_like 9e-072| dual_peroxidase_like 2e-062| myeloperoxidase_like 5e-058| prostaglandin_endoperoxide_synthase 5e-029| An_peroxidase_bacterial_2 1e-020|</t>
  </si>
  <si>
    <t>An_peroxidase e-173| peroxinectin_like e-155| thyroid_peroxidase 2e-086| peroxidasin_like 2e-084| peroxinectin_like_bacterial 2e-076| An_peroxidase_like 4e-068| dual_peroxidase_like 1e-061| myeloperoxidase_like 2e-060| prostaglandin_endoperoxide_synthase 9e-028| An_peroxidase_bacterial_2 3e-024|</t>
  </si>
  <si>
    <t>An_peroxidase e-172| peroxinectin_like e-151| peroxinectin_like_bacterial 2e-085| thyroid_peroxidase 1e-079| peroxidasin_like 1e-078| dual_peroxidase_like 1e-072| An_peroxidase_like 5e-070| myeloperoxidase_like 8e-058| An_peroxidase_bacterial_2 6e-035| PIOX_like 8e-032|</t>
  </si>
  <si>
    <t>An_peroxidase e-170| peroxinectin_like e-153| thyroid_peroxidase 2e-081| peroxidasin_like 1e-080| peroxinectin_like_bacterial 1e-078| An_peroxidase_like 4e-075| dual_peroxidase_like 3e-069| myeloperoxidase_like 6e-060| prostaglandin_endoperoxide_synthase 2e-028| An_peroxidase_bacterial_2 3e-026|</t>
  </si>
  <si>
    <t>An_peroxidase e-169| peroxinectin_like e-151| peroxinectin_like_bacterial 3e-082| thyroid_peroxidase 4e-082| peroxidasin_like 9e-079| dual_peroxidase_like 4e-072| An_peroxidase_like 2e-069| myeloperoxidase_like 4e-060| An_peroxidase_bacterial_2 9e-032| PIOX_like 2e-029|</t>
  </si>
  <si>
    <t>An_peroxidase e-169| peroxinectin_like e-147| thyroid_peroxidase 1e-087| peroxidasin_like 2e-081| peroxinectin_like_bacterial 5e-081| dual_peroxidase_like 5e-071| An_peroxidase_like 1e-069| myeloperoxidase_like 5e-058| An_peroxidase_bacterial_2 8e-027| prostaglandin_endoperoxide_synthase 3e-018|</t>
  </si>
  <si>
    <t>Tryp_SPc 2e-055| Tryp_SPc 3e-052| Trypsin 2e-035| COG5640 5e-016| CUB 6e-012| CUB 1e-009| CUB 2e-006| DUF316 0.049| PRTase_3 | PLN02591 |</t>
  </si>
  <si>
    <t>Tryp_SPc 2e-055| Tryp_SPc 2e-052| Trypsin 1e-035| COG5640 5e-016| CUB 4e-012| CUB 1e-009| CUB 3e-006| DUF316 0.056| PRTase_3 | PLN02591 |</t>
  </si>
  <si>
    <t>Tryp_SPc 5e-055| Tryp_SPc 2e-052| Trypsin 3e-036| COG5640 2e-016| CUB 4e-011| CUB 2e-008| CUB 1e-005| DUF316 0.074| PRK00024 | PLN02591 |</t>
  </si>
  <si>
    <t>Tryp_SPc 1e-054| Tryp_SPc 6e-052| Trypsin 2e-036| COG5640 3e-015| CUB 6e-012| CUB 1e-009| CUB 1e-005| DUF316 0.069| PLN02591 | PRTase_3 |</t>
  </si>
  <si>
    <t>Tryp_SPc 3e-052| Tryp_SPc 8e-049| Trypsin 5e-035| COG5640 2e-014| CUB 1e-012| CUB 4e-010| CUB 7e-007| PLN02591 0.038| DUF316 | Rab33B_Rab33A |</t>
  </si>
  <si>
    <t>Tryp_SPc 6e-052| Tryp_SPc 5e-050| Trypsin 9e-036| COG5640 1e-013| CUB 3e-011| CUB 2e-008| CUB 2e-004| PLN02591 | DUF316 | PRK00024 |</t>
  </si>
  <si>
    <t>Tryp_SPc 5e-052| Tryp_SPc 2e-050| Trypsin 9e-035| COG5640 4e-014| CUB 9e-012| CUB 2e-008| CUB 6e-005| PRK00024 | MPN_DUF2466 | UPF0758_protein_aq_1610 |</t>
  </si>
  <si>
    <t>Tryp_SPc 9e-054| Tryp_SPc 2e-050| Trypsin 6e-034| COG5640 2e-016| CUB 6e-012| CUB 9e-009| CUB 3e-005| PRK00024 | MPN_DUF2466 | DUF316 |</t>
  </si>
  <si>
    <t>Tryp_SPc 2e-054| Tryp_SPc 4e-051| Trypsin 1e-035| COG5640 1e-016| CUB 9e-013| CUB 2e-009| CUB 2e-006| DUF316 | PRK00024 | Nitrite_reductase_NADH_large_subunit |</t>
  </si>
  <si>
    <t>Tryp_SPc 3e-053| Tryp_SPc 8e-051| Trypsin 2e-035| COG5640 2e-017| CUB 3e-011| CUB 1e-008| CUB 4e-005| PRK00024 0.044| MPN_DUF2466 | DUF316 |</t>
  </si>
  <si>
    <t>Tryp_SPc 5e-054| Tryp_SPc 6e-051| Trypsin 7e-037| COG5640 7e-016| CUB 2e-012| CUB 5e-009| CUB 7e-006| DUF316 0.063| Rab8_Rab10_Rab13_like | PRK00024 |</t>
  </si>
  <si>
    <t>Tryp_SPc 3e-050| Tryp_SPc 7e-048| Trypsin 1e-035| COG5640 6e-015| CUB 1e-011| CUB 2e-008| CUB 0.004| PRK00024 | Trypsin_2 | methylthioribose-1-phosphate_isomerase...    31   0.72  |</t>
  </si>
  <si>
    <t>Tryp_SPc 4e-050| Tryp_SPc 1e-047| Trypsin 3e-033| COG5640 3e-013| CUB 5e-012| CUB 2e-008| CUB 1e-004| PLN02591 | PRK00024 | methylthioribose-1-phosphate_isomerase...    31   0.96  |</t>
  </si>
  <si>
    <t>Tryp_SPc 3e-049| Tryp_SPc 3e-047| Trypsin 4e-033| CUB 9e-013| COG5640 2e-012| CUB 2e-009| CUB 1e-006| K1377 | DUF316 | MPN_DUF2466 |</t>
  </si>
  <si>
    <t>Tryp_SPc 3e-051| Tryp_SPc 1e-048| Trypsin 5e-035| COG5640 5e-014| CUB 5e-013| CUB 2e-009| CUB 1e-006| PRK00024 | MPN_DUF2466 | Rab2 |</t>
  </si>
  <si>
    <t>Tryp_SPc 3e-049| Tryp_SPc 1e-047| Trypsin 1e-034| COG5640 6e-018| CUB 7e-012| CUB 2e-009| CUB 2e-008| PLN02591 | MPN_DUF2466 | GldD_lipo |</t>
  </si>
  <si>
    <t>Tryp_SPc 4e-052| Tryp_SPc 2e-050| Trypsin 8e-035| COG5640 2e-016| CUB 9e-012| CUB 5e-009| CUB 1e-008| PLN02591 | PTZ00087 | MPN_DUF2466 |</t>
  </si>
  <si>
    <t>Tryp_SPc 7e-047| Tryp_SPc 7e-045| Trypsin 1e-034| COG5640 1e-018| CUB 3e-009| CUB 1e-006| CUB 1e-005| CTV_P23 | Rab8_Rab10_Rab13_like | CYTB |</t>
  </si>
  <si>
    <t>Tryp_SPc 9e-047| Tryp_SPc 9e-045| Trypsin 9e-035| COG5640 1e-018| CUB 3e-009| CUB 1e-006| CUB 1e-005| CTV_P23 | Rab8_Rab10_Rab13_like | CYTB |</t>
  </si>
  <si>
    <t>Tryp_SPc 3e-047| Tryp_SPc 8e-045| Trypsin 9e-035| COG5640 4e-019| CUB 4e-009| CUB 2e-006| CUB 1e-005| CTV_P23 | Rab8_Rab10_Rab13_like | CYTB |</t>
  </si>
  <si>
    <t>Tryp_SPc 2e-045| Tryp_SPc 1e-044| Trypsin 1e-033| COG5640 1e-015| CUB 1e-008| CUB 1e-005| CUB 1e-005| CTV_P23 | DUF1498 | PRK11915 |</t>
  </si>
  <si>
    <t>Tryp_SPc 4e-046| Tryp_SPc 2e-045| Trypsin 2e-034| COG5640 2e-016| CUB 1e-008| CUB 9e-006| CUB 1e-005| CTV_P23 | PRK11915 | PRK14819 |</t>
  </si>
  <si>
    <t>Tryp_SPc 2e-046| Tryp_SPc 9e-046| Trypsin 1e-034| COG5640 2e-016| CUB 1e-008| CUB 8e-006| CUB 1e-005| CTV_P23 | DUF1498 | PRK11915 |</t>
  </si>
  <si>
    <t>Tryp_SPc 3e-047| Tryp_SPc 3e-046| Trypsin 5e-035| COG5640 3e-016| CUB 2e-008| CUB 2e-006| CUB 2e-005| CTV_P23 | Rab8_Rab10_Rab13_like | PRK11915 |</t>
  </si>
  <si>
    <t>Tryp_SPc 5e-047| Tryp_SPc 1e-046| Trypsin 4e-035| COG5640 6e-017| CUB 2e-009| CUB 1e-006| CUB 2e-006| Rab8_Rab10_Rab13_like | CTV_P23 | ALDH_EutE |</t>
  </si>
  <si>
    <t>Tryp_SPc 2e-049| Tryp_SPc 7e-049| Trypsin 1e-039| COG5640 2e-018| CUB 1e-008| CUB 3e-006| CUB 1e-005| CTV_P23 0.049| Trypsin_2 | PRK10869 |</t>
  </si>
  <si>
    <t>Tryp_SPc 6e-049| Tryp_SPc 1e-048| Trypsin 3e-037| COG5640 6e-016| CUB 8e-007| CUB 0.001| CUB 0.006| CTV_P23 | Rab8_Rab10_Rab13_like | Trypsin_2 |</t>
  </si>
  <si>
    <t>Tryp_SPc 5e-048| Tryp_SPc 6e-048| Trypsin 4e-035| COG5640 3e-016| CUB 2e-008| CUB 3e-005| CUB 2e-004| CTV_P23 | Rab8_Rab10_Rab13_like | ALDH_EutE |</t>
  </si>
  <si>
    <t>Tryp_SPc 4e-048| Tryp_SPc 2e-047| Trypsin 3e-036| COG5640 5e-015| CUB 6e-009| CUB 1e-005| CUB 3e-005| Rab3-GTPase_cat | ALDH_F20_ACDH_EutE-like | CTV_P23 |</t>
  </si>
  <si>
    <t>Tryp_SPc 2e-044| Tryp_SPc 2e-044| Trypsin 4e-034| COG5640 5e-017| CUB 3e-008| CUB 4e-005| CUB 3e-004| CTV_P23 | PLN02678 | Rab8_Rab10_Rab13_like |</t>
  </si>
  <si>
    <t>Tryp_SPc 1e-047| Tryp_SPc 6e-047| Trypsin 2e-037| COG5640 3e-015| CUB 6e-011| CUB 6e-008| CUB 6e-007| PRK06112 | Rab8_Rab10_Rab13_like | secA |</t>
  </si>
  <si>
    <t>Tryp_SPc 7e-045| Tryp_SPc 3e-044| Trypsin 1e-035| COG5640 4e-015| CUB 6e-010| CUB 4e-007| CUB 4e-006| AraC_binding_2 | Trypsin_2 | DUF3684 |</t>
  </si>
  <si>
    <t>Tryp_SPc 1e-049| Tryp_SPc 2e-049| Trypsin 5e-037| COG5640 1e-018| CUB 7e-008| CUB 1e-004| CUB 7e-004| secA | Rab8_Rab10_Rab13_like | PTZ00087 |</t>
  </si>
  <si>
    <t>Tryp_SPc 2e-052| Tryp_SPc 2e-051| Trypsin 6e-040| COG5640 3e-017| CUB 3e-010| CUB 1e-006| CUB 1e-004| COG3591 | Rab8_Rab10_Rab13_like | PRK15021 |</t>
  </si>
  <si>
    <t>Tryp_SPc 1e-044| Tryp_SPc 9e-044| Trypsin 8e-032| COG5640 4e-015| CUB 6e-011| CUB 7e-007| CUB 8e-005| CTV_P23 0.084| PTZ00087 0.094| PRK11915 |</t>
  </si>
  <si>
    <t>Tryp_SPc 1e-044| Tryp_SPc 2e-044| Trypsin 1e-032| COG5640 2e-013| CUB 2e-010| CUB 1e-006| CUB 2e-006| PTZ00087 | CTV_P23 | Rab35 |</t>
  </si>
  <si>
    <t>Tryp_SPc 1e-039| Tryp_SPc 3e-039| Trypsin 1e-032| COG5640 1e-015| COG3591 | Birna_RdRp | Sema_plexin_A4 | Sema_plexin_A2 | Low_calcium_response_locus_protein_R. | Gnd |</t>
  </si>
  <si>
    <t>Tryp_SPc 4e-040| Tryp_SPc 6e-040| Trypsin 3e-032| COG5640 2e-017| Sema_plexin_A4 | COG3591 | Sema_plexin_A2 | Low_calcium_response_locus_protein_R. | Sema_plexin_A | Gnd |</t>
  </si>
  <si>
    <t>Tryp_SPc 2e-040| Tryp_SPc 3e-040| Trypsin 1e-033| COG5640 2e-016| COG3591 | Birna_RdRp | Sema_plexin_A4 | Low_calcium_response_locus_protein_R. | Sema_plexin_A2 | Gnd |</t>
  </si>
  <si>
    <t>Tryp_SPc 1e-039| Tryp_SPc 2e-039| Trypsin 3e-032| COG5640 4e-017| Sema_plexin_A4 | COG3591 | Sema_plexin_A2 | Sema_plexin_A | FANCD2 | Gnd |</t>
  </si>
  <si>
    <t>Tryp_SPc 9e-040| Tryp_SPc 2e-039| Trypsin 3e-032| COG5640 6e-018| COG3591 | Sema_plexin_A2 | Sema_plexin_A4 | Low_calcium_response_locus_protein_R. | Sema_plexin_A | PLN02984 |</t>
  </si>
  <si>
    <t>Tryp_SPc 8e-040| Tryp_SPc 1e-039| Trypsin 8e-031| COG5640 4e-016| COG3591 0.008| SLC6sbd_u2 | rubisco_III | SLC6sbd-B0AT-like | PTZ00124 | CuRO_2_Diphenol_Ox |</t>
  </si>
  <si>
    <t>Tryp_SPc 9e-040| Tryp_SPc 8e-039| Trypsin 3e-031| COG5640 2e-016| PRK15317 | AhpF | AhpF | COG3591 | Ntn_PVA | CuRO_2_Diphenol_Ox |</t>
  </si>
  <si>
    <t>Tryp_SPc 4e-041| Tryp_SPc 2e-040| Trypsin 6e-033| COG5640 5e-016| COG3591 | DUF3383 | Nic96 | BtuF | PBP2_Fbp_like_5 | NagA |</t>
  </si>
  <si>
    <t>Tryp_SPc 2e-039| Tryp_SPc 6e-039| Trypsin 1e-031| COG5640 5e-016| ipk | COG3591 | DUF3383 | CuRO_2_Diphenol_Ox | DUF3882 |</t>
  </si>
  <si>
    <t>Tryp_SPc 4e-041| Tryp_SPc 3e-040| Trypsin 4e-031| COG5640 6e-017| COG3591 0.099| ipk | polyprenyl_synt | CuRO_2_Diphenol_Ox | PRK11553 | DUF3383 |</t>
  </si>
  <si>
    <t>Tryp_SPc 2e-040| Tryp_SPc 8e-040| Trypsin 1e-034| COG5640 9e-018| PH_PLEKHJ1 | COG3591 | CuRO_2_Diphenol_Ox | Low_calcium_response_locus_protein_R. | PBP2_PotF | Trypsin_2 |</t>
  </si>
  <si>
    <t>Tryp_SPc 4e-041| Tryp_SPc 2e-039| Trypsin 6e-033| COG5640 1e-012| COG4865 | COG3479 | Glutamate_mutase_epsilon_subunit | CcmF | COG3670 | RpoC |</t>
  </si>
  <si>
    <t>Tryp_SPc 4e-042| Tryp_SPc 1e-041| Trypsin 7e-032| COG5640 9e-016| PHA01075 | PTZ00124 | COG3591 | Ntn_PVA | PLN02900 | DUF3882 |</t>
  </si>
  <si>
    <t>Tryp_SPc 8e-040| Tryp_SPc 1e-039| Trypsin 8e-032| COG5640 1e-013| Anaerobic_Ribonucleoside-triphosphate_...    30   1.5   | Ntn_PVA | PLDc_Ymt_1 | DUF2428 | ADA | BtuF |</t>
  </si>
  <si>
    <t>Tryp_SPc 5e-044| Tryp_SPc 2e-042| Trypsin 2e-035| COG5640 1e-013| PRK05166 | Ntn_PVA | DUF3394 | Nitric_oxide_synthase | PRK05260 | PLN02440 |</t>
  </si>
  <si>
    <t>Tryp_SPc 9e-041| Tryp_SPc 2e-038| Trypsin 4e-033| COG5640 2e-013| Ntn_PVA | PLN02440 | GH43_ABN_1 | PRK14707 |</t>
  </si>
  <si>
    <t>DAP_dppA | SLC5sbd_u2 | PRK13424 | COG3473 | CcmF | AAA_27 |</t>
  </si>
  <si>
    <t>DAP_dppA | SLC5sbd_u2 | PTZ00420 | PHA00368 | PRK13424 | Cast | CcmF |</t>
  </si>
  <si>
    <t>PRK07994 | DAP_dppA | SLC5sbd_u2 | PRK06328 | COG5001 | DUF3584 | Adenylation_DNA_ligase_Bac1 | MAK16 | PRK09174 | DNA_ligase |</t>
  </si>
  <si>
    <t>PRK13424 | DAP_dppA | SLC5sbd_u2 | Alr1p-like | PRK07994 | PRK06328 | COG5001 | Adenylation_DNA_ligase_Bac1 | MYSc_Myo35 | PRK09174 |</t>
  </si>
  <si>
    <t>DAP_dppA 0.091| COG5001 | SLC5sbd_u2 | WEMBL | MYSc_Myo35 | PRK05756 | scpB | PRK09174 | PRK13424 | MAK16 |</t>
  </si>
  <si>
    <t>scpB | COG5001 | Adenylation_DNA_ligase_Bac1 | DUF3584 | DNA_ligase | PRK09174 | xseA | PRK07994 |</t>
  </si>
  <si>
    <t>MPP_PP2B | Glutaminase | Glutaminase_1 | Hemolysin_secretion_protein_D_plasmid | COG3581 | FYVE1_BSN_PCLO | FYVE1_BSN | MPP_PP5_C | chromosome_segregation_protein_related...    30   2.4   | PRK00971 |</t>
  </si>
  <si>
    <t>SLC5sbd_NIS-SMVT 0.036| COG3025 | AsxRS_core | PTKc_DDR_like | PRK12357 | Flavokinase | PRK05627 | radical_SAM_domain_protein_protein |</t>
  </si>
  <si>
    <t>Glutaminase_1 0.084| COG2133 | PRK12356 | PRK07588 | Cytidylate_kin2 | COG3894 | vlf-1 | Sol_i_2 | GT1_UGDG_like |</t>
  </si>
  <si>
    <t>AXE1 | Tmemb_cc2 | COG3458 | Glutaminase_1 | Fbp | VirB4 | dpiA | CuRO_2_McoP_like | SEC65 | Peptidase_C19J |</t>
  </si>
  <si>
    <t>RecB | Glutaminase_1 | Flavokinase | HemX | PRK06975 | Prominin | GBP_C | PX_PI3K_C2_beta | CysS | hypothetical_protein_LinasL1_02240 |</t>
  </si>
  <si>
    <t>hypothetical_protein | PRK08322 | hypothetical_protein_PPSIR1_38941 | Anthrax-tox_M | PRK | SpoVK | Putative_mannosyl-3-phosphoglycerate_p...    28   6.3   | HIRAN |</t>
  </si>
  <si>
    <t>Translation, ribosomal structure and biogenesis, Transcription</t>
  </si>
  <si>
    <t>DUF3131 0.078| rseB 0.080| RseB | End3 | Pes-10 | COG3458 | CYTB | Sigma54_DBD | MucB_RseB | MDN1 |</t>
  </si>
  <si>
    <t>XseA 0.067| Phage_sheath_1 | Glutaminase_1 | PRK00971 | PHA02730 | rseB | Peptidase_S8 | CdsA | COG4950 | GlsA |</t>
  </si>
  <si>
    <t>PRK11281 | PRK06224 | radical_SAM_family_protein | KpsE | O | DUF4631 | PRK08878 |</t>
  </si>
  <si>
    <t>Lipoprotein_X | ATPase-IIA1_Ca | DUF762 | MoaB | PRK11890 | Putative_riboflavin_biosynthesis_prote...    28   7.2   | MT | PKc_Dusty | POLBc | COG1107 |</t>
  </si>
  <si>
    <t>PGA_TPR_OMP | ATPase-IIA1_Ca | Nuclease_SbcCD_subunit_C | COG2322 | COG2604 | ycf1 | DUF677 | DUF2681 | Glutamate--tRNA_ligase | AAA_13 |</t>
  </si>
  <si>
    <t>xseA 0.024| PDEase_I | uvrC | Chromosome_partition_protein_Smc | COG1203 | COG4717 | PRK13909 | conserved_hypothetical_protein |</t>
  </si>
  <si>
    <t>xseA 0.012| COG3329 0.071| Chromosome_partition_protein_Smc | PRK13909 | XseA | PRK08470 | exodeoxyribonuclease_VII_large_subunit...    30   2.6   |</t>
  </si>
  <si>
    <t>xseA 0.004| COG3329 0.009| Chromosome_partition_protein_Smc | PDEase_I | exodeoxyribonuclease_VII_large_subunit...    32   0.57  | PRK13909 | PRK08470 | XseA | DivIVA | HlyD |</t>
  </si>
  <si>
    <t>PolC | DUF2352 | PRK13861 | Aminopeptidase_N | PDEase_I | ZntB_u1 | AAA_32 | Chromosome_partition_protein_Smc | PRK04778 | DUF1631 |</t>
  </si>
  <si>
    <t>XseA 0.083| DUF2352 | PolC | PRK13909 | PRK08470 | Chromosome_partition_protein_Smc | exodeoxyribonuclease_VII_large_subunit...    29   4.2   | DUF3458 | conserved_hypothetical_protein |</t>
  </si>
  <si>
    <t>ArpD | PRK10920 | DUF3529 | PRK15048 | Chromosome_partition_protein_Smc | OmpH | APG6 | F-BAR_FCHSD1 | DUF4407 | OmpH |</t>
  </si>
  <si>
    <t>COG3329 0.041| mukB 0.081| Smc | Hemolysin_secretion_protein_D_plasmid | PRK13011 | PRK13909 | chromosome_segregation_protein_related...    28   6.6   | ATP-dependent_DNA_helicase_RecG | SbcC |</t>
  </si>
  <si>
    <t>PRK01156 0.017| DUF1664 | AAA_13 | rpoB | RNAP_III_RPC1_N | T7_EssCb_Firm | CheZ | PTZ00432 | CPSase_L_D3 | COG3937 |</t>
  </si>
  <si>
    <t>Smc | fliD | PRK03918 | hypothetical_protein | Chromosome_partition_protein_Smc | COG4942 | PRK01156 | Rootletin | Zw10 | GBP_C |</t>
  </si>
  <si>
    <t>HCR 0.042| 46 0.080| DinG | HAUS-augmin3 | BicD | mukB | Smc | Nuclease_SbcCD_subunit_C | MukB | ELMO_CED12 |</t>
  </si>
  <si>
    <t>WzzB | DUF832 | COG3975 | CheZ | WEMBL | Mitofilin | PHA00540 | CLH | Chromosome_partition_protein_Smc | Spore_coat_protein_S |</t>
  </si>
  <si>
    <t>WEMBL 0.038| DUF832 | Smc | CheZ | AtpF | PRK00409 | AAA_23 | chromosome_segregation_protein_related...    31   1.1   | PRK14162 | 46 |</t>
  </si>
  <si>
    <t>Potassium-transporting_ATPase_subunit_...    33   0.33  | PRK09174 | Na_K-ATPase | ADIP | TetM_like | PRK11058 | PflD | DXP_synthase_N | Phosphoenolpyruvate_synthase | Macoilin |</t>
  </si>
  <si>
    <t>Chromatin structure and dynamics, Cell cycle control, cell division, chromosome partitioning, Replication, recombination and repair</t>
  </si>
  <si>
    <t>RhoGAP_nadrin | RhoGAP_myosin_IX | MPP_CpdB_N | SGNH_hydrolase_yrhL_like | RhoGAP_ARHGAP21 | RhoGAP_myosin_IXB | Rep_3 |</t>
  </si>
  <si>
    <t>PRK10920 | HOOK | Chromosome_partition_protein_Smc | Myosin_tail_1 | DUF4175 | mukB | PRK10246 |</t>
  </si>
  <si>
    <t>PRK10920 | HOOK | Myosin_tail_1 | GumC | DUF4175 | Chromosome_partition_protein_Smc | PRK10246 |</t>
  </si>
  <si>
    <t>PRK10920 | Clathrin_H_link | Chromosome_partition_protein_Smc | HOOK | Myosin_tail_1 | chromosome_segregation_protein_related...    29   3.5   | Smc | mukB |</t>
  </si>
  <si>
    <t>COG3264 | Myosin_tail_1 | Clathrin_H_link | chromosome_segregation_protein_related...    30   1.8   | PRK09169 | Chromosome_partition_protein_Smc | ADIP | mukB | KfrA_N | DUF2968 |</t>
  </si>
  <si>
    <t>PRK00409 | DUF3584 | Myosin_tail_1 | Chromosome_partition_protein_Smc | HOOK | COG4942 | OmpH |</t>
  </si>
  <si>
    <t>PRK00409 0.041| PRK10920 | DUF3584 | RhoGEF | Chromosome_partition_protein_Smc | PRK10929 | Atg14 | COG4783 |</t>
  </si>
  <si>
    <t>COG3735 | Chromosome_partition_protein_Smc | COG2433 | COG3264 | PRK09866 | 22 | PRK07353 | KfrA_N | DUF3585 |</t>
  </si>
  <si>
    <t xml:space="preserve">Aegyptin_Culicoides_40pct | </t>
  </si>
  <si>
    <t>Piwi_piwi-like_Euk | MATE_epsE_like | PEPcase | PRK10668 | thiQ | PRK15471 | COG1579 | Adenylation_kDNA_ligase_like |</t>
  </si>
  <si>
    <t>PRK10246 | End3 | PRK10929 | APG6 | AAA_27 | DUF3584 | I-BAR_IMD_BAIAP2L2 | chromosome_segregation_protein_related...    31   1.0   | SbcC | PRK01156 |</t>
  </si>
  <si>
    <t>Smc 0.039| APG6 | GcvR | PRK14041 | Activator_LAG-3 | RPN7 | PRK10929 | bZIP_NFE2-like | DUF2317 | MukB |</t>
  </si>
  <si>
    <t>chromosome_segregation_protein_related...    32   0.51  | COG4942 | conserved_hypothetical_protein | DUF3449 | APG6 | bZIP_Maf | DUF4254 | DUF1853 | Med21 | Chromosome_partition_protein_Smc |</t>
  </si>
  <si>
    <t>SbcC | IncA | chromosome_segregation_protein_related...    29   3.1   | DUF4172 | PRK01156 | EVC2_like | DUF1090 | DUF4407 | I-BAR_IMD_BAIAP2L2 | AAA_27 |</t>
  </si>
  <si>
    <t>PHA00452 0.022| Uup | COG3735 | SbcC | hypothetical_protein | Uncharacterized_protein_in_oprL_3'regi...    29   3.1   | Smc | RAD50_homologue_ceRAD50 | TPR_domain_protein | BAR |</t>
  </si>
  <si>
    <t>DUF3584 | DNA_replication_and_repair_protein_Rec...    30   1.4   | BAR_FAM92 | PLDc_PPK1_C1_unchar | kbaY | RecF | PRK01156 | GAS | Hemolysin_secretion_protein_D_plasmid | PRK10246 |</t>
  </si>
  <si>
    <t>xseA 0.003| XseA 0.057| Chromosome_partition_protein_Smc 0.067| COG5479 0.098| CCL_ACL-C | Bse634I | fecD | exodeoxyribonuclease_VII_large_subunit...    30   2.1   | CENP-K | COG4942 |</t>
  </si>
  <si>
    <t>xseA 0.031| GumC | DUF4407 | Serine--tRNA_ligase | Chromosome_partition_protein_Smc | DUF2052 | chromosome_segregation_protein_related...    30   1.4   | hscB | COG1579 | FANCI_S4 |</t>
  </si>
  <si>
    <t>Signal transduction mechanisms, Intracellular trafficking, secretion, and vesicular transport</t>
  </si>
  <si>
    <t>ModA | SRPBCC_11 | dTDP-4-keto-L-rhamnose_reductase | PLN02815 | gltB | DUF2771 | PRK03918 | PRK05834 |</t>
  </si>
  <si>
    <t>ModA | DUF2225 | SRPBCC_11 | dTDP-4-keto-L-rhamnose_reductase | PLN02815 | gltB | PRK03918 | DUF2771 | PRK05834 |</t>
  </si>
  <si>
    <t>RmuC | COG4803 | PRK14554 | Luminal_IRE1 | Haloacid_dehalogenase-like_hydrolase_p...    28   6.3   | PLN02816 | PLN02795 | PRK14712 | PRK12371 |</t>
  </si>
  <si>
    <t>PRK14712 | PRK14554 | Luminal_IRE1 | PLN02795 | PRK12371 |</t>
  </si>
  <si>
    <t>Anopheles merus</t>
  </si>
  <si>
    <t>PRK14712 | PRK14554 | DUF3137 | sdhA | RmuC | SRPBCC_11 | gltB |</t>
  </si>
  <si>
    <t>PRK14554 | COG4803 | PRK13884 | PRK05834 | PRK12371 | ThrS | PLN03173 |</t>
  </si>
  <si>
    <t>mnmA | PBP2_TRAP_alpha-ketoacid | Trypano_RHS | Vitellogenin_N | FAA1 | PRK11642 | CDK-activating_kinase_assembly_factor_...    28   9.2   |</t>
  </si>
  <si>
    <t>PTZ00200 | SPG48 | PRK13922 | PRK12269 | PRK11377 | Wbp11 | NTR2 | Cast |</t>
  </si>
  <si>
    <t>PRK07787 | Putative_arsenate_reductase. | PRK10376 |</t>
  </si>
  <si>
    <t>Cytoskeleton, Intracellular trafficking, secretion, and vesicular transport, Cell cycle control, cell division, chromosome partitioning</t>
  </si>
  <si>
    <t>HyuA 0.009| Arginine--tRNA_ligase 0.064| PP2Cc | Sema_2A | PTC1 | Tricho_coat | PRK05582 |</t>
  </si>
  <si>
    <t>SGNH_plant_lipase_like | sensor_protein_TorS | PRK04841 | CHC_CoA_lg | DNA_topoisomerase_1 | ArsB_permease | TOP1Ac | gelsolin_S1_like | COG2194 | PHA03097 |</t>
  </si>
  <si>
    <t>tRNA-splicing_endonuclease | MSP1_C | PRK07488 | PRK14501 | PRK02769 | PRK02999 | COG2351 | COG4885 | PRK12331 | PTZ00076 |</t>
  </si>
  <si>
    <t>MAM33 | PRK05452 | PRK05834 | COG0595 | APC10-ZZEF1 | PRK14701 | PRK13421 | PIPKc | PRK06606 |</t>
  </si>
  <si>
    <t>PRK02195 | PRK10092 | DNA-directed_RNA_polymerase_subunit_al...    30   2.6   | Peptidase_C50 | poly_P_kin | TPP_PFOR_PNO | PRK14348 | nrdA | PRK08175 | PRK03918 |</t>
  </si>
  <si>
    <t>O-ag_pol_Wzy | cpsB | Ivy | PhrB | PRK13885 | Putative_tyrosine-protein_kinase_EpsB | Nrf1_DNA-bind | PRK13506 | Nic96 | GUCT |</t>
  </si>
  <si>
    <t>Cell_shape-determining_protein_MreC 0.012| AmyAc_Sucrose_phosphorylase-like_1 | COG1242 | flgK | COG5638 | DNA_polymerase_III_subunit_beta | V_ScBro1_like | ndhF3_CO2 | PRK15467 | Diphthamide_biosynthesis_protein_2 |</t>
  </si>
  <si>
    <t>COG5283:_Phage-related_tail_protein | STKc_Nek2 | PurM-like3 | 43 | PTZ00358 | PTZ00014 | PHA03081 | COG1604 | PRK13885 | DNA_S_dndC |</t>
  </si>
  <si>
    <t>MYSc_Myo42 | COG4688 | PRK05563 | MYSc_Myo8 | MYSc_Myo4 | ROS_MUCR | MYSc | mandelate_racemase | dGTP_triPase | Chromosome_partition_protein_Smc |</t>
  </si>
  <si>
    <t>NqrB | PRK08451 | HAUS-augmin3 | Lys-AminoMut_A | Haloacetate_dehalogenase | Icd | HAD_2 | glmM | COG0637 |</t>
  </si>
  <si>
    <t>NqrB | conserved_hypothetical_protein | PRK08451 | Na+-translocating_NADH-quinone_reducta...    31   1.3   | HAUS-augmin3 | PRK05349 | Haloacetate_dehalogenase |</t>
  </si>
  <si>
    <t>NqrB | conserved_hypothetical_protein | PRK08451 | Icd | IDH | Na+-translocating_NADH-quinone_reducta...    31   1.3   | HAUS-augmin3 | COG0212 | Haloacetate_dehalogenase | COG0637 |</t>
  </si>
  <si>
    <t>NqrB | PRK08451 | conserved_hypothetical_protein | PRK09751 | RasGAP_RAP6 | HAUS-augmin3 | Haloacetate_dehalogenase | Icd | PRK12421 | COG0637 |</t>
  </si>
  <si>
    <t>NqrB | HAUS-augmin3 | conserved_hypothetical_protein | PRK08451 | Na+-translocating_NADH-quinone_reducta...    31   1.3   | Icd | IDH | Haloacetate_dehalogenase | COG0637 |</t>
  </si>
  <si>
    <t>PRK09751 | FHIPEP | Putative_aliphatic_sulfonates-binding_...    30   1.4   | M3A_TOP | FlhA | TktA | HAD_2 | COG0637 | COG3321 | COG4487 |</t>
  </si>
  <si>
    <t>PRK09751 | COG3321 | LTV | Adenosylcobalamin/alpha-ribazole_phosp...    29   3.3   | glyS | tRNA-synt_His | IncFII_repA | ispD | CobN-Mg_chel | PK_MviN-like |</t>
  </si>
  <si>
    <t>PLN03093 | M14_PaAOTO_like | APG6 | DUF4034 | Amidohydro_3 | PRK14467 | KptA | TAF6 | PRK15347 |</t>
  </si>
  <si>
    <t>PutA | Bac_DnaA | TAF6 | KR_2_SDR_x | PRK09751 | PRK13347 | PRK15185 | PLN00047 |</t>
  </si>
  <si>
    <t>KR_2_SDR_x | Glyco_hydro_38 | tatA | Includes:_Penicillin-insensitive_trans...    29   2.8   | dnaG | hypothetical_protein_WH5701_11654 | Glutamyl-tRNAGln_amidotransferase_subu...    29   4.5   | PRK14960 | VSG_B | HpnN |</t>
  </si>
  <si>
    <t>KptA | NAPRTase_PncB | Isocitrate_lyase | Myosin_tail_1 | MYSc_class_II | PRK13531 | NarQ | PRK15370 | NorD | Nup88 |</t>
  </si>
  <si>
    <t>Peptidase_S46 | Nup88 | PTKc_Aatyk2 | APG6 | KdpD | PRK11637 | DUF3131 | PLN00047 |</t>
  </si>
  <si>
    <t>PARP_regulatory | DXP_reductoisom | APG6 | dnaG | F-BAR_PSTPIP1 | PRK00009 | DnaB_bind | hisZ | Sec2p | RapA_C |</t>
  </si>
  <si>
    <t>Posttranslational modification, protein turnover, chaperones, Intracellular trafficking, secretion, and vesicular transport</t>
  </si>
  <si>
    <t>dnaG | Mrs2_Mfm1p-like | PRK14703 | KR_2_SDR_x | IncFII_repA | PTZ00089 | PRK12911 | Asparaginase_II | COG1639 |</t>
  </si>
  <si>
    <t>DUF4239 | PLN03093 | PhnK | PI-PLCc_delta1 | phosphonates_transport_ATP-binding_pro...    31   0.94  | PRK14815 | PRK02615 | PRK11637 | COG0637 | mtnW |</t>
  </si>
  <si>
    <t>Baculo_PEP_C | PRK06381 | PRK14281 | ATP-synt_G | DUF4407 | PRK07769 | conserved_hypothetical_protein |</t>
  </si>
  <si>
    <t>MACS_like_2 0.051| DUF3584 0.071| MACS_like_3 | PBP1_AraR | PRK10246 | flhA | COG4279 | Replication_protein_15 | dnaG | COG3002 |</t>
  </si>
  <si>
    <t>Apc4 | MauG | COG1315 | PRK14017 | DUF2317 | Aspartate--tRNA_ligase | LYTB | 4-hydroxy-3-methylbut-2-enyl_diphospha...    28   7.1   | PRK10331 | fuculo_kin_coli |</t>
  </si>
  <si>
    <t>PRK14017 | MauG | COG1315 | DUF2317 | LYTB | PRK10331 | 4-hydroxy-3-methylbut-2-enyl_diphospha...    28   7.5   | fuculo_kin_coli | Apc4 |</t>
  </si>
  <si>
    <t>Aspartate--tRNA_ligase | MauG | PLN02903 | PRK08596 | LYTB | 4-hydroxy-3-methylbut-2-enyl_diphospha...    29   4.4   | Topoisom_I | PRK10331 | PRK14017 | RPP1A |</t>
  </si>
  <si>
    <t>Aspartate--tRNA_ligase | PRK14017 | COG1315 | PLN02903 | Topoisom_I | PRK08596 | COG4307 | LYTB | POLBc_B3 | AspRS_core |</t>
  </si>
  <si>
    <t>I-BAR_IMD_MIM | PRK08596 | BTAD | PTZ00280 | Asp-B-Hydro_N | LYTB | Aspartate--tRNA_ligase | COG4307 | IQG1 | conserved_hypothetical_protein |</t>
  </si>
  <si>
    <t>Aspartate--tRNA_ligase | AKAP_110 | dnaE | MauG | PLN02903 | Topoisom_I | PRK14017 | PRK10331 | AspRS_core | PRK08596 |</t>
  </si>
  <si>
    <t>PBP2_NikA_DppA_OppA_like_15 | DUF1870 | HcaE | clpA | PRK10757 | flgL | SipA | CAP10 | PTZ00324 |</t>
  </si>
  <si>
    <t>PRK14139 | DUF4487 | PRK10865 | clpA | BTAD | 39 | Radical_SAM_domain_protein | clpA | SEC1 |</t>
  </si>
  <si>
    <t>DUF3491 0.027| dnaE | COG2138 | BTAD | Cysteine--tRNA_ligase | BTAD | 39 | PRK15015 | PTZ00092 | COG2118 |</t>
  </si>
  <si>
    <t>csdA | BexC_CtrB_KpsE | MutY | Alpha-L-AF_C | putative_cytochrome_P450 | COG3472 | 39 | PRK14538 | PRK08328 | PLN02819 |</t>
  </si>
  <si>
    <t>Nitrogenase_MoFe_beta | 39 | Nitrogenase_MoFe_beta_like | DNA-directed_RNA_polymerase_subunit_be...    29   3.2   | Nitrogenase_molybdenum-iron_protein_be...    29   3.2   | Opi1 | Alpha-L-AF_C | MutY | lysine_23-aminomutase_YodO_family_prot...    29   4.4   | PRK09133 |</t>
  </si>
  <si>
    <t>DUF677 | FGGY_ScGut1p_like | CDC39 | rrmA | BTAD | Putative_tyrosine-protein_kinase_EpsB | OmpR | PRK11146 | GT_2_like_e | PRK08493 |</t>
  </si>
  <si>
    <t>recF | Yop_proteins_translocation_protein_D | flgG | PHA02951 | RecF | COG2321 | DUF745 | VPS10 | TarH | PMM |</t>
  </si>
  <si>
    <t>DUF3829 0.059| recF | PRK14110 | recC | Gmad1 | GumC | PRK09229 | Catechol_12-dioxygenase_1 | Exonuc_V_gamma | Met_dep_hydrolase_E |</t>
  </si>
  <si>
    <t>DUF4512 | PRK11573 | PTZ00324 | COG4700 | PLN02708 | PRK14293 | PHA03372 | SPAM | 3-hydroxyadipyl-CoA_dehydrogenase | PHA03362 |</t>
  </si>
  <si>
    <t>PRK02858 | PRK09121 | PRK13789 | Germination_protease | Vitellogenin_N | COG4258 | Nitrite_reductase_NADH_large_subunit |</t>
  </si>
  <si>
    <t>PQQ_DH_like 0.061| PRK06958 | Cyt_c_Oxidase_Vb | Peptidase_M13_N | assembly_YfgL | flgK | chromosome_segregation_protein_related...    29   3.3   | putative_radical_SAM_protein_YgiQ |</t>
  </si>
  <si>
    <t>PQQ_DH_like | trkA | Filo_VP35 | PhnE | TOMM_kin_cyc | Peptidase_M13_N | PRK13940 | PRK07634 | PRK11749 | PRK07233 |</t>
  </si>
  <si>
    <t>P | PLPDE_III_YBL036c_euk | COG1511 | PLN03188 | Anp1 | MYSc_Myh14_mammals | PRK01297 | MetK | 4-hydroxyphenylacetate_3-monooxygenase...    29   3.1   | PBP2_DppA_like |</t>
  </si>
  <si>
    <t>P | PLPDE_III_YBL036c_euk | COG1511 | PLN03188 | Anp1 | MYSc_Myh14_mammals | PRK01297 | IleS | PRK04132 | PRK13299 |</t>
  </si>
  <si>
    <t>P | COG1511 | RdgC | PRK04132 | PRK01297 | Anp1 | MetK | NR_LBD_REV_ERB | 4-hydroxyphenylacetate_3-monooxygenase...    29   3.4   | PLN03188 |</t>
  </si>
  <si>
    <t>P 0.068| PLN03088 | PLPDE_III_YBL036c_euk | COG1511 | PRK14876 | PLN03188 | PRK07773 | AlaRS_core | PRK13299 | PRK04132 |</t>
  </si>
  <si>
    <t>PLPDE_III_YBL036c_euk | PRK14876 | RdgC | COG1511 | PLN03188 | PRK01297 | PLN02653 | MetK | rdgC | P |</t>
  </si>
  <si>
    <t>SQD1_like_SDR_e | NR_LBD_REV_ERB | COX1 | zeta_crystallin | COX1 | COX1 | metH | Longin | PRK15383 | Arfaptin |</t>
  </si>
  <si>
    <t>COG1293 | Prominin | Sema_plexin_B1 | PKc_DYRK4 | PKc_YAK1 | glgC | COG1164 | PKc_DYRK_like | FolK | Fumarate_hydratase_class_II |</t>
  </si>
  <si>
    <t>rpsA | TelA | SEC21 | Fbp | COG4077 | Fmp27 | TrpS | ThdF |</t>
  </si>
  <si>
    <t>RNA processing and modification, Signal transduction mechanisms</t>
  </si>
  <si>
    <t>KAP95 | SLC6sbd-B0AT-like | SLC6sbd_NTT4-like | DUF4240 | SLC6sbd_SIT1 | Glutaminase | COG2837 | Peptidase_S10 | UBN_AB | PRK07143 |</t>
  </si>
  <si>
    <t>Cobalt-precorrin-5B_C1-methyltransfera...    31   0.94  | TMV_coat | Rgp1 | DUF3375 | FGGY_GK_1 | probable_transmembrane_protein | QOR2 | COG5640 | FGGY_GK | TraU |</t>
  </si>
  <si>
    <t>quino_hemo_SAM | DUF4527 | Peptidase_C98 | DUF3452 | pyrB | NR_LBD_F2 | PRK06066 | STKc_Nek10 | MopB_ydeP | Photosystem-II_D2 |</t>
  </si>
  <si>
    <t>DUF3452 | recD | FGGY_GK | TelA | FGGY_GK_1 | PRK09784 | retinal_rod | AraB |</t>
  </si>
  <si>
    <t>PRK10807 | PRK09819 | PDCD9 | STKc_HIPK3 | PHA01753 | TrwB_AAD_bind | Flavodoxin_3 | xseA | TIGR03545 | PBP1_LacI_like_1 |</t>
  </si>
  <si>
    <t>PRK12278 | SAC3_GANP | DivIC | BAR_SNX18 | Spore_III_AE | NtpI | Precorrin_3B_C17_MT | PRK12608 | TIGR03545 | PRK06252 |</t>
  </si>
  <si>
    <t>COG3519 | DUF3584 | DUF342 | GATase_4 | PRK09260 | RdRP_5 | Nuclease_SbcCD_subunit_C | PLA2G12 | MSP7_C | pflD |</t>
  </si>
  <si>
    <t>FlaC | Probable_translation_initiation_factor...    31   0.94  | Snf7 | Membrane-bound_lytic_murein_transglyco...    30   2.2   | COG4097 | PFL2_DhaB_BssA | Chlor_Arch_YYY | Ehrlichia_rpt | glnD | COG3621 |</t>
  </si>
  <si>
    <t>TIGR03545 | COG4711 | Chromosome_partition_protein_Smc | recA | Peptidase_S46 | PX_SNX15 | TPP_E1_EcPDC_like | L-aspartate_oxidase | PRK14712 | CUS1 |</t>
  </si>
  <si>
    <t>COG2433 | PRK05261 | COG5459 | Glyco_hydro_48 | PRK04250 | DUF885 | V_ATPase_I | Rsm22 | hsdR | {ManC} |</t>
  </si>
  <si>
    <t>CAT 0.091| Phn_aa_oxid | PRK10788 | PTZ00419 | NUP170 | PBP2_IciA_ArgP | COG1691 | PRK10767 | Chaperone_protein_DnaJ | flgK |</t>
  </si>
  <si>
    <t xml:space="preserve">SG2_superfamily | </t>
  </si>
  <si>
    <t>CAT 0.067| Phn_aa_oxid | NUP170 | PBP2_IciA_ArgP | DDE_Tnp_Tn3 | PRK10788 | DUF3568 | PLN03150 | Chaperone_protein_DnaJ | Adhesin_P1 |</t>
  </si>
  <si>
    <t>CAT 0.064| NUP170 | PTZ00419 | Phn_aa_oxid | PRK10788 | PBP2_IciA_ArgP | DUF3568 | 17 | PLN03150 | Adhesin_P1 |</t>
  </si>
  <si>
    <t>PLN03150 0.096| CAT | Phn_aa_oxid | PBP2_IciA_ArgP | PRK10767 | Adhesin_P1 | DUF3568 | PHA02616 | PRK14286 | transport_ATP-binding_protein |</t>
  </si>
  <si>
    <t>PLN03150 | CAT | CodY | DUF3568 | PBP2_IciA_ArgP | PRK10767 | PHA02616 | flgK |</t>
  </si>
  <si>
    <t>CAT 0.027| PTZ00419 | NUP170 | DUF3568 | PRK10788 | PBP2_IciA_ArgP | Phn_aa_oxid | PLN03150 | Chaperone_protein_DnaJ | Adhesin_P1 |</t>
  </si>
  <si>
    <t>Replication, recombination and repair, Signal transduction mechanisms</t>
  </si>
  <si>
    <t>PRK15492 | Deadenylase_CCR4 | CodY | Phn_aa_oxid | CAT | RBDV_coat | PLN03150 | CodY | FIP1 | PRK07275 |</t>
  </si>
  <si>
    <t>COG3637 | TRI5 | CAT | Terpene_cyclase_cis_trans_C1 | PRK01839 | CodY | Phn_aa_oxid | Col_cuticle_N | nhaB | PRK01122 |</t>
  </si>
  <si>
    <t>argD | LytB | Chaperone_protein_DnaJ | PRK14347 | COG5412 | KdpB | Alpha_E1_glycop | OM_YaeT | Phn_aa_oxid |</t>
  </si>
  <si>
    <t>PRK05613 | Phn_aa_oxid | PRK10050 | KdpB | PRK14347 | plant_SERPIN | flgH | COG5412 | DUF1517 |</t>
  </si>
  <si>
    <t>PRK11360 | PRK15346 | DUF2436 | Gryzun | IDO | Chaperone_protein_DnaJ | argD |</t>
  </si>
  <si>
    <t>COG4907 0.030| PLN03138 | PRK14289 | PRK10767 | Chaperone_protein_DnaJ | PRK14276 | DUF1517 | Phn_aa_oxid | PRK14280 | PTZ00146 |</t>
  </si>
  <si>
    <t>DUF3251 | PRK10767 | PRK14289 | PBP2_NikA_DppA_OppA_like_14 | PLN03138 | PRK14047 | Chaperone_protein_DnaJ | PRK14280 |</t>
  </si>
  <si>
    <t>ActA | WASH_WAHD | PRP8 | met_CoM_red_C | PRK15083 | PTZ00429 | deoxyribodipyrimidine_photolyase | Racemase_4 | TEL1 | PLN03091 |</t>
  </si>
  <si>
    <t>PRK06828 | LamB | PTZ00115 | CTC1 | TEL1 | PHA03296 | TCP2 |</t>
  </si>
  <si>
    <t>Ggt 0.034| SIN3 | Chaperone_protein_DnaJ | Contains:_Gamma-glutamyltranspeptidase...    29   0.49  | Peptidases_S53 | G_glu_transpept | PRK14279 | Polyoma_coat | An_peroxidase_bacterial_1 | PLN03138 |</t>
  </si>
  <si>
    <t>PLN03192 | Agmatinase-like_2 | COG1289 | rocF_arginase | PRK15093 | PAP2_3 | Sfp | gliding_motility-associated_lipoprotei...    25   6.9   | ACAD_fadE6_17_26 | PBP1 |</t>
  </si>
  <si>
    <t>DUF4175 1e-004| PRK10590 0.055| conserved_hypothetical_protein 0.066| TFIIA | PRK07772 | PAT1 | Med15 | DUF1183 |</t>
  </si>
  <si>
    <t>DUF4175 1e-004| Med15 | PAT1 | TFIIA | PRK07772 |</t>
  </si>
  <si>
    <t>DUF4175 1e-004| conserved_hypothetical_protein 0.016| PRK10590 | PTZ00110 | DUF1183 | PRK07772 | Med15 | PAT1 | Gag_spuma |</t>
  </si>
  <si>
    <t>DUF4175 3e-004| conserved_hypothetical_protein | PRK10590 | Med15 | PAT1 | DUF1183 | PRK07772 |</t>
  </si>
  <si>
    <t>Replication, recombination and repair, RNA processing and modification</t>
  </si>
  <si>
    <t>DUF4175 1e-004| Polyadenylate-binding_protein_3 | PRK07772 | conserved_hypothetical_protein | PRK10590 | PAT1 | SecG | Med15 |</t>
  </si>
  <si>
    <t>DUF4175 0.021| PRK12355 | YqfQ | ARS2 | Med15 |</t>
  </si>
  <si>
    <t>DUF4175 0.027| PTZ00395 | DUF1302 | PBP1 | DUF1183 |</t>
  </si>
  <si>
    <t>DUF1517 0.054| Herpes_LMP2 | DUF1183 | PRK07772 | PTZ00146 | Cytadhesin_P30 |</t>
  </si>
  <si>
    <t>PRK14712 | mtd | Contains:_Gamma-glutamyltranspeptidase...    29   0.46  | PRK15285 | PBP1 | PTZ00395 | ARS2 |</t>
  </si>
  <si>
    <t>DUF4175 0.007| PRK07772 | PBP1 | PTZ00146 | Bindin | PRK06751 |</t>
  </si>
  <si>
    <t>DUF4175 0.057| DUF2076 | Gag_spuma | DUF1183 | PRK06751 | COG4371 |</t>
  </si>
  <si>
    <t>CbtA | Nnf1 | PTZ00341 | DUF2317 | DUF2580 | CHMI | 5_nucleotid | Apolipoprotein | PRK09173 | secA |</t>
  </si>
  <si>
    <t xml:space="preserve">gSG5_protein_family | </t>
  </si>
  <si>
    <t>CbtA | Nnf1 | PTZ00341 | DUF2317 | DUF2580 | CHMI | DUF1577 | Apolipoprotein | PRK09173 | secA |</t>
  </si>
  <si>
    <t>CbtA 0.028| PTZ00341 | Nnf1 | DUF2317 | cobS | DUF2580 | Apolipoprotein | CHMI | DUF1577 | PRK09173 |</t>
  </si>
  <si>
    <t>CbtA | Nnf1 | PTZ00341 | DUF2317 | PRK09173 | secA | DUF2580 | CHMI | DUF1577 | Apolipoprotein |</t>
  </si>
  <si>
    <t>Nnf1 | CbtA | PTZ00341 | DUF2317 | DUF2580 | CHMI | Apolipoprotein | DUF1577 | PRK09173 | secA |</t>
  </si>
  <si>
    <t>murB | PTZ00341 | Phage_GP20 | ACAD_FadE2 | Na_trans_assoc | EcCorA_ZntB-like | DUF2317 | DUF4455 | PRK03947 |</t>
  </si>
  <si>
    <t>PTZ00341 | DUF2317 | Flagellar_biosynthesis_protein_FlhA | FlhA | FUSC | clpA | CobT | NRDE-2 | DUF4455 | Mrr |</t>
  </si>
  <si>
    <t>PHA02976 | PRK05671 | DUF4455 | Flagellar_biosynthesis_protein_FlhA | AmyAc_Pullulanase_LD-like | PRK08655 | Mrr | SEO_N | PTZ00055 | RmuC |</t>
  </si>
  <si>
    <t>Cell wall/membrane/envelope biogenesis</t>
  </si>
  <si>
    <t>CbtA | Adenosylcobinamide-GDP_ribazoletransfe...    31   0.85  | ArgD | Mrr | flhA | PTZ00055 | V_ATPase_I | clpA | hypothetical_protein_MM_0564 | AAA_22 |</t>
  </si>
  <si>
    <t>Flagellar_biosynthesis_protein_FlhA | FlhA | EcCorA_ZntB-like | hypothetical_protein_MM_0564 | accD | clpA | VID27 |</t>
  </si>
  <si>
    <t>FhaC | ArgD | DUF603 | SEO_N | FlhA | lolA | CDC27 | Rota_VP2 | Mrs2_Mfm1p-like | GLTSCR1 |</t>
  </si>
  <si>
    <t>lolA | Bromo_coat | COG1026 | DUF603 | Dor1 | sialate_O-acetylesterase_like2 | Mrr | hypothetical_protein_MM_0564 | COG1193 | Mrs2_Mfm1p-like |</t>
  </si>
  <si>
    <t>xseA | PRK07122 | HCR | EF_0837 | dapB_plant | COG1340 |</t>
  </si>
  <si>
    <t>DUF4455 | flhA | Macoilin | Mrr | xseA | Flagellar_biosynthesis_protein_FlhA | FHIPEP | to_the_polyhydroxyalkanoate_inclusion | PRK06143 | PHA03378 |</t>
  </si>
  <si>
    <t>Mrr | PLPDE_III_DSD_D-TA_like | chromosome_segregation_protein_related...    31   0.91  | COG1223 | PRK14985 | exodeoxyribonuclease_VII_large_subunit...    30   2.0   | Chromosome_partition_protein_Smc | xseA | COG1561 | DNA_S_dndD |</t>
  </si>
  <si>
    <t>chromosome_segregation_protein_related...    33   0.19  | Chromosome_partition_protein_Smc | Apolipoprotein | RNase_Y | HCR | Sfi1 | DUF4456 | COG2433 | Mrr | RecF |</t>
  </si>
  <si>
    <t>conserved_hypothetical_protein | PRK12704 | RNase_Y | xseA | DUF3375 | DUF3584 | chromosome_segregation_protein_related...    28   4.2   |</t>
  </si>
  <si>
    <t>chromosome_segregation_protein_related...    34   0.14  | Mitofilin | conserved_hypothetical_protein | PRK00106 | Oxidored_q1_C | PRK12704 | RNase_Y | PolC | DUF4455 | PRK00409 |</t>
  </si>
  <si>
    <t>PHA01753 | DAGK_IM | TauE | COG2912 | COG3174 | DAGK_prokar | Ribosomal_RNA_small_subunit_methyltran...    25   7.6   |</t>
  </si>
  <si>
    <t>PHA01753 | DAGK_IM | TauE | pspG | PRK12476 | CcmB | COG2912 | Ribosomal_RNA_small_subunit_methyltran...    25   7.6   | SanA |</t>
  </si>
  <si>
    <t>DUF4010 | PHA01753 | COG2912 | PRK12476 | RPF2 | COG1800 |</t>
  </si>
  <si>
    <t>Anopheles bwambae</t>
  </si>
  <si>
    <t>COG2912 | DUF4010 | PHA01753 | DAGK_IM | DAGK_prokar | RPF2 | PRK12476 |</t>
  </si>
  <si>
    <t>COG2912 | DUF4010 | DAGK_IM | GlcN6P_deaminase | DAGK_prokar | PLN00162 | PHA01753 |</t>
  </si>
  <si>
    <t>Anopheles melas</t>
  </si>
  <si>
    <t>DUF4010 | PHA01753 | DAGK_IM | COG2912 | DAGK_prokar | TrmB | ATP6 |</t>
  </si>
  <si>
    <t>PRK13825 | ND1 | COG2912 | Nop14 | PRK14637 | PHA03360 | HPHLAWLY | COG4579 | HoxA13_N | TRAPPC-Trs85 |</t>
  </si>
  <si>
    <t>DAGK_IM | DAGK_prokar | DgkA | modB_ABC | PRK12493 | TAF6 |</t>
  </si>
  <si>
    <t>Photosystem_II_reaction_center_protein...    30   0.22  | Nop14 | Ycf9 | SLC5sbd_PutP | SLC5sbd_SGLT1-like | COG1800 | DctQ | Glyco_32 | PRK14637 | HPHLAWLY |</t>
  </si>
  <si>
    <t>PLN02217 | TctB | TDT_TehA_like | PRK15487 | COG2912 | PHA03240 |</t>
  </si>
  <si>
    <t>GCHY-1 | XynB | PRK03003 | rSAM_PTO1314 | PRK02249 | PRK11027 | Sec39 |</t>
  </si>
  <si>
    <t xml:space="preserve">RTS_cys_disintegrin | </t>
  </si>
  <si>
    <t>PTZ00486 | ALAD | PRK09283 | FadJ | ALAD_PBGS_aspartate_rich | ALAD | ALAD_PBGS | Protein_patched_homolog_1 | HpnN | PRK13893 |</t>
  </si>
  <si>
    <t>SLC5sbd_SGLT1-like | EH | HPHLAWLY | POLBc_delta | EH | Protein_patched_homolog_1 | PRK10711 | selenide_water_dikinase_putative | SLC6sbd_Tyt1-Like | COG1289 |</t>
  </si>
  <si>
    <t>TM_PBP1_LivH_like 0.032| PLN03221 | ND1 | COG2912 | PLN03222 | PRK10841 | Meckelin |</t>
  </si>
  <si>
    <t>MnhF | rnfD | NQR2_RnfD_RnfE | PRK12665 | PRK10699 | PRK11059 | Electron_transport_complex_subunit_D | conserved_hypothetical_protein | Isoleucine--tRNA_ligase | SPRY_PRY_TRIM25 |</t>
  </si>
  <si>
    <t>Anopheles freeborni</t>
  </si>
  <si>
    <t>ycf2 | PLN02197 | PHA03360 | GlcN6P_deaminase | vWA_Matrilin |</t>
  </si>
  <si>
    <t>PHA03360 | PEP_O_lig_1 | PRK13362 | FabD | conserved_hypothetical_protein | Peptidase_S49_N | Nop14 | Glyco_hydro_7 |</t>
  </si>
  <si>
    <t>PLN02889 | DUF4179 | KIX | mglC | PRK15389 | TS_Pyrimidine_HMase | ThyA | oxalate_oxc | PRK15390 | PTZ00226 |</t>
  </si>
  <si>
    <t xml:space="preserve">Anopheles_gSG7 | </t>
  </si>
  <si>
    <t>PLN02889 | KIX | DUF4179 | mglC | TS_Pyrimidine_HMase | oxalate_oxc | ThyA |</t>
  </si>
  <si>
    <t>PLN02889 | DUF4179 | KIX | mglC | ThyA | TS_Pyrimidine_HMase | oxalate_oxc |</t>
  </si>
  <si>
    <t>PLN02889 | ThyA | TS_Pyrimidine_HMase | ispG | oxalate_oxc | DUF4179 | GST_C_AIMP2 | KIX | PRK08207 |</t>
  </si>
  <si>
    <t>mglC | PLN02889 | DUF4179 | TS_Pyrimidine_HMase | ThyA | oxalate_oxc | PHA03398 | KIX | FACL_like_1 | Ngb |</t>
  </si>
  <si>
    <t>PLN02889 | mglC | PRK07108 | DUF4179 | PRK14242 | oxalate_oxc | ThyA | TS_Pyrimidine_HMase | NUC | PRK15012 |</t>
  </si>
  <si>
    <t>DUF4090 0.058| PLN02889 | oxalate_oxc | RHD3 | LraI | hypothetical_protein_HMPREF9690_04798 | PRK09259 | decarboxylase_subunit_of_malonate_deca...    26   4.6   | STKc_CDK12 | MAP2_projctn |</t>
  </si>
  <si>
    <t>C2A_Munc13-like | vWA_CTRP | tatA | PHA03230 | Herpes_UL55 | DUF4090 | PRK03657 | oxalate_oxc | hypothetical_protein_HMPREF9690_04798 | NUP |</t>
  </si>
  <si>
    <t>conserved_hypothetical_protein | FcbT3 | PRK12861 | PRK15370 | oxalate_oxc | DUF4179 | COG0733 | PRK09259 | PRK13024 | PLN03128 |</t>
  </si>
  <si>
    <t>FcbT3 | oxalate_oxc | PRK09259 |</t>
  </si>
  <si>
    <t>PLN02727 | oxalate_oxc | PRK11425 | FHY3 |</t>
  </si>
  <si>
    <t>PLN02236 | PRK09840 | Ribophorin_II | Propeptide_C1 | MCH | PLN02727 | COG3252 | hypothetical_protein | ATP-dependent_RNA_helicase_HrpB |</t>
  </si>
  <si>
    <t>PRK10790 | PLN02236 | NotI | oxalate_oxc | ruvC | ATP-dependent_RNA_helicase_HrpB | hypothetical_protein | PLN02727 | COG1666 | DUF520 |</t>
  </si>
  <si>
    <t>Orbi_NS3 0.007| oxalate_oxc | PLN02727 | PRK09259 | thrS | DHC_N2 | thrS | COG3252 | PARG_cat | PHA03415 |</t>
  </si>
  <si>
    <t>PIR | BAR_SFC_plant | MotA | PLN02889 | integral_membrane_protein | PLN02945 | unnamed_protein_product | ribonucleotide_reductase | DHR2_DOCK1 | thrA |</t>
  </si>
  <si>
    <t>Orbi_NS3 | PLN00130 | oxalate_oxc | Probable_5'-nucleotidase | panF | PRK03007 | AMPKA_C |</t>
  </si>
  <si>
    <t>PRK07066 | PRK10359 | PRK14844 | PRK10788 | PI3Ka | RNase_T2_prok | kgd | PI3Ka | PI3Ka_I | PI3Ka |</t>
  </si>
  <si>
    <t>putative_protein | fkp | kgd | COG1164 | PLN02873 | FkbH | PRK12467 | GCS |</t>
  </si>
  <si>
    <t>Herpes_PAP 0.061| Sema | 43B | AspS | PRK13414 | Squalene_synthase | 18S_RNA_Rcl1p | Jiraiya | RNA_Cyclase_Class_I | Phosphomethylpyrimidine_synthase |</t>
  </si>
  <si>
    <t>Herpes_PAP 0.065| Sema | AspS | 43B | PRK13414 | Jiraiya | Squalene_synthase | 18S_RNA_Rcl1p | RNA_Cyclase_Class_I | STKc_CDK9_like |</t>
  </si>
  <si>
    <t>Herpes_PAP 0.066| STKc_CDK9_like | Sema | AspS | 43B | PTZ00402 | Jiraiya | Squalene_synthase | PRK13414 | 18S_RNA_Rcl1p |</t>
  </si>
  <si>
    <t>Herpes_PAP 0.067| AspS | 43B | PTZ00402 | Squalene_synthase | Phosphomethylpyrimidine_synthase | PRK13414 | Jiraiya | 18S_RNA_Rcl1p | RNA_Cyclase_Class_I |</t>
  </si>
  <si>
    <t>Herpes_PAP 0.056| PTZ00402 | 43B | AspS | PRK13414 | Phosphomethylpyrimidine_synthase | Squalene_synthase | 18S_RNA_Rcl1p | Jiraiya | Sema |</t>
  </si>
  <si>
    <t>Herpes_PAP 0.057| Sema | PTZ00402 | 43B | AspS | PRK13414 | Squalene_synthase | 18S_RNA_Rcl1p | Jiraiya | RNA_Cyclase_Class_I |</t>
  </si>
  <si>
    <t>Herpes_PAP | PycA | Uncharacterized_15.7_kDa_protein_in_dr...    28   1.5   | Squalene_synthase | Rod_shape-determining_protein_RodA | 18S_RNA_Rcl1p | 2-succinylbenzoate--CoA_ligase | RNA_Cyclase_Class_I | ArsC_15kD | ADOP |</t>
  </si>
  <si>
    <t>Herpes_PAP 0.089| PLN03138 | PycA | Pyruvate_carboxylase_1 | 18S_RNA_Rcl1p | Squalene_synthase | AspS | RNA_Cyclase_Class_I | DUF3535 | PRK02106 |</t>
  </si>
  <si>
    <t>nfrB | 7 | Squalene_synthase | PRK14716 | Sema_4G | 18S_RNA_Rcl1p | PRK15134 | PLN03138 | RNA_Cyclase_Class_I | PRK15107 |</t>
  </si>
  <si>
    <t>LepB | AspS | nfrB | Squalene_synthase | 18S_RNA_Rcl1p | 7 | RNA_Cyclase_Class_I | Arena_nucleocap | Cellulose_synt | PRK14716 |</t>
  </si>
  <si>
    <t>LigD_Pol_like_2 | Squalene_synthase | Uncharacterized_protein_YifB | LigD_Pol_like | 18S_RNA_Rcl1p | PRK14716 | RNA_Cyclase_Class_I | nfrB | M14_AGBL5_like | SLC5sbd_NIS-like_u3 |</t>
  </si>
  <si>
    <t>CeuC | GlgC | PRK03580 | Pat17_PNPLA8_PNPLA9_like1 | COG1288 | Arena_nucleocap | TraC_F_IV | COG4996 | folA | PRK09198 |</t>
  </si>
  <si>
    <t>STKc_MSK1_N | AHBA_syn | 18S_RNA_Rcl1p | RNA_Cyclase_Class_I | Squalene_synthase | Carn_acyltransf | PRK09630 | alcohol_DH_class_III | conserved_hypothetical_protein | RTC |</t>
  </si>
  <si>
    <t>Herpes_PAP | PA_M28_1_1 | ArcA | Carn_acyltransf | PLN03188 | GT_2_like_c | PRP40 | LNS2 | RNA_Cyclase_Class_I | PRK10423 |</t>
  </si>
  <si>
    <t>PHA02828 | PLN03138 | PRK06521 | PyrB | PRK06380 | Dapper | ndhG | pyrB | fliD |</t>
  </si>
  <si>
    <t>PRK06380 0.065| TDT_Mae1_like | PLN02414 | Histidinol-phosphate_aminotransferase | COG2964 | Oxidored_q1_C | plasmid-like_conjugative_transfer_prot...    26   5.3   | LNS2 | COG4759 | Herpes_IE1 |</t>
  </si>
  <si>
    <t>PRK14716 0.046| LNS2 | CitA | SQS_PSY | nfrB | Ppc | PLN03052 | ERG9 | PRK13355 | LNS2 |</t>
  </si>
  <si>
    <t>PTZ00402 | 43B | PycA | PRK12999 | Npa1 | Beach | Jiraiya | PHA03334 | PRK09765 | SPFH_like_u1 |</t>
  </si>
  <si>
    <t>PLN03138 | PycA | PRK12999 | DUF4403 | Npa1 | 43B | Beach | DltE | AGAT_like | Jiraiya |</t>
  </si>
  <si>
    <t>Gal-3-0_sulfotr | DHOD_1A_like | PTGR2 | PRK10070 |</t>
  </si>
  <si>
    <t xml:space="preserve">G8_salivary_protein | </t>
  </si>
  <si>
    <t>Gal-3-0_sulfotr | PRK10070 | PTGR2 | Radical_SAM_domain_protein |</t>
  </si>
  <si>
    <t>Gal-3-0_sulfotr | DHOD_1A_like | PTGR2 | Sds3 | PRK10070 | cPLA2_Grp-IVC | SLC5sbd_DUR3 |</t>
  </si>
  <si>
    <t>Gal-3-0_sulfotr | PRP11 | PRK10070 | PTGR2 | Sds3 | Proteasome-activating_nucleotidase |</t>
  </si>
  <si>
    <t>PRK02654 | Proteasome-activating_nucleotidase | Sds3 | PRK10070 | NUP | benz_CoA_bzdO | ABC_choXWV_ATP | Gal-3-0_sulfotr |</t>
  </si>
  <si>
    <t>PRK10070 | Proteasome-activating_nucleotidase | PRK03660 |</t>
  </si>
  <si>
    <t>hflB | Gal-3-0_sulfotr | hisG | SFT1 | Putative_6-phosphogluconate_dehydrogen...    28   3.8   | TRP_N | nadE | DUF4594 | Stress_response_UPF0229_protein_YhbH | GCD14 |</t>
  </si>
  <si>
    <t>Gal-3-0_sulfotr | GT_2_like_e | Spc7 | CutA1 | Peptidases_S8_Tripeptidyl_Aminopeptidase...    27   7.6   | DAP_dppA_3 | CutA |</t>
  </si>
  <si>
    <t>GT_2_like_e | PLN00033 | PepN | Fucose_iso_C | PLN00122 | Leukotriene_A-4_hydrolase_homolog | PLN02763 | PRK15112 | NUP | MalQ |</t>
  </si>
  <si>
    <t>Neur | nadE | GOLD_2 | PepN | Influenza_NA | PRK14701 | PRK07045 | Probable_sucrose-phosphate_synthase | NUP | COG3236 |</t>
  </si>
  <si>
    <t>PepN 0.070| NDUF_B8 | GT_2_like_e | PRK11619 | PLN02669 | NUP | PLN00122 |</t>
  </si>
  <si>
    <t>PRK10695 | FbpA | SynN | GT1_Glycogen_Phosphorylase_like | CobT | DUF3552 | PBP2_NikA_DppA_OppA_like_1 |</t>
  </si>
  <si>
    <t>Taspase1_like | MalE | SPX_SYG1_like | DUF4618 | PRK09821 | CRISPR_system_Cascade_subunit_CasA | Mth938_2P1-like |</t>
  </si>
  <si>
    <t>PRK13767 | AAA_16 | MalT | Mrr_cat_2 | PRK10787 | Lhr | OpuBA | FYVE_Slp5 | M14_ASTE_ASPA_like_5 |</t>
  </si>
  <si>
    <t>AAA_16 | Phosphoserine_phosphatase | APG6 | IncFII_repA | CobS | M28_like_PA_2 |</t>
  </si>
  <si>
    <t>ttLC_FACS_like | XseA | Exonuc_VII_L | PRK10829 | COG3219 | PRK09604 | PRK14852 |</t>
  </si>
  <si>
    <t>WecG | lysS | COG3819 | ResB | COG3219 | PRK13393 | PRK12316 | PRK11151 | PRK12843 | Uncharacterized_glycosyl_hydrolase_MJ1...    27   6.4   |</t>
  </si>
  <si>
    <t>SEC21 | PLN02410 | hypothetical_protein | di-heme_cytochrome_cp | PLN03093 | hutF | Peptidase_M26_C | PRK14515 | SdaA |</t>
  </si>
  <si>
    <t>SEC21 | PLN02410 | PRK14412 | Peptidase_M26_C | Enolase_C | CCDC32 | RE_CfrBI | hutF | PLN03093 | PRK09441 |</t>
  </si>
  <si>
    <t>Adenylate_cycl | SEC21 | hypothetical_protein | PRK15485 | flgE | Enolase_C | PLN02410 | PHA02519 | Peptidase_M26_C | hutF |</t>
  </si>
  <si>
    <t>SEC21 | PLN02410 | Peptidase_M26_C | hypothetical_protein | Enolase_C | CCDC32 | hutF | RE_CfrBI | PLN03093 | SdaA |</t>
  </si>
  <si>
    <t>SEC21 | COG3380 | Peptidase_M26_C | hypothetical_protein | PRK15485 | RE_CfrBI | COG4564 | CCDC32 | hutF | SdaA |</t>
  </si>
  <si>
    <t>PEHE | hypothetical_protein | hutF | PRK15485 | hypothetical_protein_NEICINOT_00681 | PRK15374 | COG3380 | CCDC32 | F-BAR_Syp1p_like | WcaK |</t>
  </si>
  <si>
    <t>PRK09441 | PBP1_mGluR_groupIII | PRK04778 | Lys-AminoMut_A | PurB | PRK00635 | DUF3196 | PRK11131 | EzrA | PRK07105 |</t>
  </si>
  <si>
    <t>CytochromB561_N | AAR2 | AMPD | PRK05865 | PRK06688 | marine_sort_HK | Transferase | PRK15374 | PX_Vps17p | PRK15370 |</t>
  </si>
  <si>
    <t>Porin_OmpL1 0.054| DUF3464 0.057| DUF4527 | Anthrax-tox_M | COG1939 | M60-like | ABC_peri_selen | Uncharacterized_protein_Alvin_0064 | PLN02272 | sensor_protein_TorS |</t>
  </si>
  <si>
    <t>PRK08186 | PLN02231 | DUF3595 | PRK10477 | Reo_sigmaC | Anthrax-tox_M | fliD | Sporozoite_P67 | HrpA |</t>
  </si>
  <si>
    <t>Porin_OmpL1 | Chlam_OMP | Peptidase_M29 | KAR9 | NTP_transferase_WcbM_like | cPLA2_Fungal_PLB | PLN03210 | conserved_hypothetical_protein |</t>
  </si>
  <si>
    <t>PHA02752 | PLN03237 | PRK14898 | PLN03128 | Porin_OmpL1 | PLN02980 | Modification_methylase | Mating_C | HrpA |</t>
  </si>
  <si>
    <t>KAR9 | PRK04778 | DUF2045 | fliD | Late_protein_L2 | ICE2 | DUF3464 | F-BAR_Syp1p_like | Porin_OmpL1 | CRS2 |</t>
  </si>
  <si>
    <t>hypothetical_protein_NEICINOT_00681 | umuC | HIV-1-like_HR1-HR2 | AAR2 | PLN02705 | gpUL132 | SDH_SDR_c | DUF702 | CsgG |</t>
  </si>
  <si>
    <t>secA | secA | Protein_translocase_subunit_SecA | PLN02534 | PRK12904 | PRK09722 | PRK12458 | PRK06048 | PRK05952 | L-threonine_dehydratase_biosynthetic_I...    29   4.0   |</t>
  </si>
  <si>
    <t>Replication, recombination and repair, Transcription</t>
  </si>
  <si>
    <t>DUF2217 | KAR9 | TAF7 | PRK11131 | FAS1 | PHA02682 | Salt_tol_Pase | PglZ | PRK05755 | Glucosylglycerol-phosphate_phosphatase...    28   7.7   |</t>
  </si>
  <si>
    <t>Energy production and conversion, General function prediction only</t>
  </si>
  <si>
    <t>pdxA | PRK10467 | DUF3130 | pdxA | PLN00171 | Porin_OmpL1 | DUF508 | COG1821 |</t>
  </si>
  <si>
    <t>rSAM_NirJ1 | rSAM_NirJ | Sec8_exocyst | pseudo_SAM_Halo | Methyltransf_PK | ACSF | fliH | rps3p | Uncharacterized_protein_HI_1028 | WzzB |</t>
  </si>
  <si>
    <t xml:space="preserve">    30 kDa/Aegyptin family</t>
  </si>
  <si>
    <t xml:space="preserve">    D7-odorant binding domain</t>
  </si>
  <si>
    <t xml:space="preserve">    Antigen 5 family</t>
  </si>
  <si>
    <t xml:space="preserve">    Apyrase </t>
  </si>
  <si>
    <t xml:space="preserve">    5' nucleotidase</t>
  </si>
  <si>
    <t xml:space="preserve">    cE5/anophelin</t>
  </si>
  <si>
    <t xml:space="preserve">    Long D7 family</t>
  </si>
  <si>
    <t xml:space="preserve">    Epoxy hydrolase</t>
  </si>
  <si>
    <t xml:space="preserve">    Hyp 4.2/13 family</t>
  </si>
  <si>
    <t xml:space="preserve">    Hyp 4.2</t>
  </si>
  <si>
    <t xml:space="preserve">    Hyp 13</t>
  </si>
  <si>
    <t xml:space="preserve">    Hyp 6.2</t>
  </si>
  <si>
    <t xml:space="preserve">   Hyp 8.2 family</t>
  </si>
  <si>
    <t xml:space="preserve">    Hyp 10-12 family</t>
  </si>
  <si>
    <t xml:space="preserve">    Hyp15-17 family</t>
  </si>
  <si>
    <t xml:space="preserve">    SG2 family</t>
  </si>
  <si>
    <t xml:space="preserve">    Hyp 37.7</t>
  </si>
  <si>
    <t xml:space="preserve">    Salivary amylase</t>
  </si>
  <si>
    <t xml:space="preserve">    Salivary maltase</t>
  </si>
  <si>
    <t xml:space="preserve">    Salivary peroxidase</t>
  </si>
  <si>
    <t xml:space="preserve">    Serine protease</t>
  </si>
  <si>
    <t xml:space="preserve">    Salivary trypsin with RGD motif</t>
  </si>
  <si>
    <t xml:space="preserve">    SG1 family</t>
  </si>
  <si>
    <t xml:space="preserve">    SG5 family</t>
  </si>
  <si>
    <t xml:space="preserve">    SG6 family</t>
  </si>
  <si>
    <t xml:space="preserve">    SG8 family</t>
  </si>
  <si>
    <t xml:space="preserve">    SG9/41kDa family</t>
  </si>
  <si>
    <t>Seq</t>
  </si>
  <si>
    <t>Clustered at 25%Sim on 50% of larger length - - Cluster#</t>
  </si>
  <si>
    <t xml:space="preserve"># seqs </t>
  </si>
  <si>
    <t>Clustered at 30%Sim on 50% of larger length - - Cluster#</t>
  </si>
  <si>
    <t>Clustered at 35%Sim on 50% of larger length - - Cluster#</t>
  </si>
  <si>
    <t>Clustered at 40%Sim on 50% of larger length - - Cluster#</t>
  </si>
  <si>
    <t>Clustered at 45%Sim on 50% of larger length - - Cluster#</t>
  </si>
  <si>
    <t>Clustered at 50%Sim on 50% of larger length - - Cluster#</t>
  </si>
  <si>
    <t>Clustered at 55%Sim on 50% of larger length - - Cluster#</t>
  </si>
  <si>
    <t>Clustered at 60%Sim on 50% of larger length - - Cluster#</t>
  </si>
  <si>
    <t>Clustered at 65%Sim on 50% of larger length - - Cluster#</t>
  </si>
  <si>
    <t>Clustered at 70%Sim on 50% of larger length - - Cluster#</t>
  </si>
  <si>
    <t>Clustered at 75%Sim on 50% of larger length - - Cluster#</t>
  </si>
  <si>
    <t>Clustered at 80%Sim on 50% of larger length - - Cluster#</t>
  </si>
  <si>
    <t>Clustered at 85%Sim on 50% of larger length - - Cluster#</t>
  </si>
  <si>
    <t>Clustered at 90%Sim on 50% of larger length - - Cluster#</t>
  </si>
  <si>
    <t>Clustered at 95%Sim on 50% of larger length - - Cluster#</t>
  </si>
  <si>
    <t xml:space="preserve">   Short D7 family</t>
  </si>
  <si>
    <t>novel</t>
  </si>
  <si>
    <t>ENZYMES</t>
  </si>
  <si>
    <t>CONSERVED MOSQUITO FAMILIES</t>
  </si>
  <si>
    <t>WIDELY SPREAD AMONG BLOOD FEEDING ARTHROPODS</t>
  </si>
  <si>
    <t xml:space="preserve">    SG2</t>
  </si>
  <si>
    <t xml:space="preserve">    SG2b</t>
  </si>
  <si>
    <t xml:space="preserve">    55.3 kDa family</t>
  </si>
  <si>
    <t xml:space="preserve">    SG7 family</t>
  </si>
  <si>
    <t xml:space="preserve">    SG7</t>
  </si>
  <si>
    <t xml:space="preserve">    SG7-2</t>
  </si>
  <si>
    <t xml:space="preserve">    SerPro1</t>
  </si>
  <si>
    <t xml:space="preserve">      SerPro2</t>
  </si>
  <si>
    <t xml:space="preserve">    SerPro3</t>
  </si>
  <si>
    <t xml:space="preserve">    gVAG</t>
  </si>
  <si>
    <t xml:space="preserve">    Ag5r2</t>
  </si>
  <si>
    <t xml:space="preserve">    Ag5r3</t>
  </si>
  <si>
    <t xml:space="preserve">    Ag5r4</t>
  </si>
  <si>
    <t xml:space="preserve">    Ag5r5</t>
  </si>
  <si>
    <t xml:space="preserve">    Ag5r6</t>
  </si>
  <si>
    <t xml:space="preserve">    D7L1</t>
  </si>
  <si>
    <t xml:space="preserve">    D7L2</t>
  </si>
  <si>
    <t xml:space="preserve">    D7L3</t>
  </si>
  <si>
    <t xml:space="preserve">   D7r1</t>
  </si>
  <si>
    <t xml:space="preserve">   D7r2</t>
  </si>
  <si>
    <t xml:space="preserve">   D7r2/D7r3</t>
  </si>
  <si>
    <t xml:space="preserve">   D7r3</t>
  </si>
  <si>
    <t xml:space="preserve">   D7r4</t>
  </si>
  <si>
    <t xml:space="preserve">   D7r5</t>
  </si>
  <si>
    <t xml:space="preserve">  Hyp 37.7</t>
  </si>
  <si>
    <t xml:space="preserve">  TRIO</t>
  </si>
  <si>
    <t xml:space="preserve">  SG1b</t>
  </si>
  <si>
    <t xml:space="preserve">  SG1-like2</t>
  </si>
  <si>
    <t xml:space="preserve">  SG1-like3</t>
  </si>
  <si>
    <t xml:space="preserve">  Hyp 37.7-2</t>
  </si>
  <si>
    <t xml:space="preserve">  Hyp 37.7-3</t>
  </si>
  <si>
    <t xml:space="preserve">  SG1</t>
  </si>
  <si>
    <t xml:space="preserve">  SG1a</t>
  </si>
  <si>
    <t xml:space="preserve">  Saglin</t>
  </si>
  <si>
    <t xml:space="preserve">    Hyp 10</t>
  </si>
  <si>
    <t xml:space="preserve">    Hyp 12</t>
  </si>
  <si>
    <t xml:space="preserve">    Hyp 17</t>
  </si>
  <si>
    <t xml:space="preserve">    Hyp 15</t>
  </si>
  <si>
    <t>ANOPHELINE-SPECIFIC FAMILIES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</si>
</sst>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176C9"/>
      <name val="Calibri"/>
      <family val="2"/>
      <scheme val="minor"/>
    </font>
    <font>
      <b/>
      <sz val="8"/>
      <color rgb="FF3176C9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EDBFE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6">
    <xf numFmtId="0" fontId="0" fillId="0" borderId="0" xfId="0"/>
    <xf numFmtId="0" fontId="18" fillId="33" borderId="12" xfId="0" applyFont="1" applyFill="1" applyBorder="1" applyAlignment="1">
      <alignment horizontal="center" wrapText="1"/>
    </xf>
    <xf numFmtId="0" fontId="0" fillId="33" borderId="13" xfId="0" applyFill="1" applyBorder="1"/>
    <xf numFmtId="0" fontId="0" fillId="33" borderId="13" xfId="0" applyFill="1" applyBorder="1" applyAlignment="1">
      <alignment horizontal="center"/>
    </xf>
    <xf numFmtId="0" fontId="19" fillId="34" borderId="11" xfId="0" applyFont="1" applyFill="1" applyBorder="1" applyAlignment="1">
      <alignment horizontal="center" wrapText="1"/>
    </xf>
    <xf numFmtId="0" fontId="20" fillId="34" borderId="10" xfId="0" applyFont="1" applyFill="1" applyBorder="1" applyAlignment="1">
      <alignment horizontal="left"/>
    </xf>
    <xf numFmtId="0" fontId="20" fillId="34" borderId="10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2" fillId="0" borderId="0" xfId="0" applyFont="1"/>
    <xf numFmtId="0" fontId="20" fillId="35" borderId="12" xfId="0" applyFont="1" applyFill="1" applyBorder="1" applyAlignment="1">
      <alignment horizontal="left"/>
    </xf>
    <xf numFmtId="0" fontId="19" fillId="35" borderId="11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left"/>
    </xf>
    <xf numFmtId="0" fontId="20" fillId="36" borderId="12" xfId="0" applyFont="1" applyFill="1" applyBorder="1" applyAlignment="1">
      <alignment horizontal="left"/>
    </xf>
    <xf numFmtId="0" fontId="19" fillId="36" borderId="11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horizontal="left"/>
    </xf>
    <xf numFmtId="0" fontId="20" fillId="36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O892"/>
  <sheetViews>
    <sheetView tabSelected="1" zoomScale="86" zoomScaleNormal="86" zoomScalePageLayoutView="125" workbookViewId="0">
      <pane xSplit="1" ySplit="1" topLeftCell="B2" activePane="bottomRight" state="frozenSplit"/>
      <selection pane="topRight" activeCell="I1" sqref="I1"/>
      <selection pane="bottomLeft" activeCell="A14" sqref="A14"/>
      <selection pane="bottomRight" activeCell="H1" sqref="H1"/>
    </sheetView>
  </sheetViews>
  <sheetFormatPr defaultColWidth="8.85546875" defaultRowHeight="15"/>
  <cols>
    <col min="1" max="1" width="30.140625" bestFit="1" customWidth="1"/>
    <col min="2" max="2" width="8" customWidth="1"/>
    <col min="3" max="3" width="11.85546875" customWidth="1"/>
    <col min="4" max="4" width="14.42578125" customWidth="1"/>
    <col min="7" max="7" width="13.85546875" customWidth="1"/>
  </cols>
  <sheetData>
    <row r="1" spans="1:93" ht="120">
      <c r="A1" s="1" t="s">
        <v>632</v>
      </c>
      <c r="B1" s="1" t="s">
        <v>0</v>
      </c>
      <c r="C1" s="1" t="s">
        <v>627</v>
      </c>
      <c r="D1" s="1" t="s">
        <v>628</v>
      </c>
      <c r="E1" s="1" t="s">
        <v>630</v>
      </c>
      <c r="F1" s="1" t="s">
        <v>631</v>
      </c>
      <c r="G1" s="1" t="s">
        <v>629</v>
      </c>
      <c r="H1" s="1" t="s">
        <v>0</v>
      </c>
      <c r="I1" s="1" t="s">
        <v>2</v>
      </c>
      <c r="J1" s="1" t="s">
        <v>633</v>
      </c>
      <c r="K1" s="1" t="s">
        <v>634</v>
      </c>
      <c r="L1" s="1" t="s">
        <v>635</v>
      </c>
      <c r="M1" s="1" t="s">
        <v>636</v>
      </c>
      <c r="N1" s="1" t="s">
        <v>637</v>
      </c>
      <c r="O1" s="1" t="s">
        <v>638</v>
      </c>
      <c r="P1" s="1" t="s">
        <v>639</v>
      </c>
      <c r="Q1" s="1" t="s">
        <v>640</v>
      </c>
      <c r="R1" s="1" t="s">
        <v>641</v>
      </c>
      <c r="S1" s="1" t="s">
        <v>642</v>
      </c>
      <c r="T1" s="1" t="s">
        <v>643</v>
      </c>
      <c r="U1" s="1" t="s">
        <v>644</v>
      </c>
      <c r="V1" s="1" t="s">
        <v>645</v>
      </c>
      <c r="W1" s="1" t="str">
        <f>HYPERLINK("http://www.cbs.dtu.dk/services/NetOGlyc/","No. potential glyc sites")</f>
        <v>No. potential glyc sites</v>
      </c>
      <c r="X1" s="1" t="s">
        <v>646</v>
      </c>
      <c r="Y1" s="1" t="s">
        <v>647</v>
      </c>
      <c r="Z1" s="1" t="s">
        <v>648</v>
      </c>
      <c r="AA1" s="1" t="s">
        <v>649</v>
      </c>
      <c r="AB1" s="1" t="s">
        <v>650</v>
      </c>
      <c r="AC1" s="1" t="s">
        <v>2235</v>
      </c>
      <c r="AD1" s="1" t="s">
        <v>2236</v>
      </c>
      <c r="AE1" s="1" t="s">
        <v>2237</v>
      </c>
      <c r="AF1" s="1" t="s">
        <v>2238</v>
      </c>
      <c r="AG1" s="1" t="s">
        <v>2239</v>
      </c>
      <c r="AH1" s="1" t="s">
        <v>2240</v>
      </c>
      <c r="AI1" s="1" t="s">
        <v>2241</v>
      </c>
      <c r="AJ1" s="1" t="s">
        <v>2242</v>
      </c>
      <c r="AK1" s="1" t="s">
        <v>2236</v>
      </c>
      <c r="AL1" s="1" t="s">
        <v>2237</v>
      </c>
      <c r="AM1" s="1" t="s">
        <v>2238</v>
      </c>
      <c r="AN1" s="1" t="s">
        <v>2239</v>
      </c>
      <c r="AO1" s="1" t="s">
        <v>2240</v>
      </c>
      <c r="AP1" s="1" t="s">
        <v>2241</v>
      </c>
      <c r="AQ1" s="1" t="s">
        <v>2243</v>
      </c>
      <c r="AR1" s="1" t="s">
        <v>2236</v>
      </c>
      <c r="AS1" s="1" t="s">
        <v>2237</v>
      </c>
      <c r="AT1" s="1" t="s">
        <v>2238</v>
      </c>
      <c r="AU1" s="1" t="s">
        <v>2239</v>
      </c>
      <c r="AV1" s="1" t="s">
        <v>2240</v>
      </c>
      <c r="AW1" s="1" t="s">
        <v>2241</v>
      </c>
      <c r="AX1" s="1" t="s">
        <v>2244</v>
      </c>
      <c r="AY1" s="1" t="s">
        <v>2236</v>
      </c>
      <c r="AZ1" s="1" t="s">
        <v>2245</v>
      </c>
      <c r="BA1" s="1" t="s">
        <v>2246</v>
      </c>
      <c r="BB1" s="1" t="s">
        <v>2236</v>
      </c>
      <c r="BC1" s="1" t="s">
        <v>2247</v>
      </c>
      <c r="BD1" s="1" t="s">
        <v>2248</v>
      </c>
      <c r="BE1" s="1" t="s">
        <v>2249</v>
      </c>
      <c r="BF1" s="1" t="s">
        <v>2250</v>
      </c>
      <c r="BG1" s="1" t="s">
        <v>2251</v>
      </c>
      <c r="BH1" s="1" t="s">
        <v>2250</v>
      </c>
      <c r="BI1" s="1" t="s">
        <v>2252</v>
      </c>
      <c r="BJ1" s="1" t="s">
        <v>2253</v>
      </c>
      <c r="BK1" s="1" t="s">
        <v>3160</v>
      </c>
      <c r="BL1" s="1" t="s">
        <v>3161</v>
      </c>
      <c r="BM1" s="1" t="s">
        <v>3162</v>
      </c>
      <c r="BN1" s="1" t="s">
        <v>3163</v>
      </c>
      <c r="BO1" s="1" t="s">
        <v>3162</v>
      </c>
      <c r="BP1" s="1" t="s">
        <v>3164</v>
      </c>
      <c r="BQ1" s="1" t="s">
        <v>3162</v>
      </c>
      <c r="BR1" s="1" t="s">
        <v>3165</v>
      </c>
      <c r="BS1" s="1" t="s">
        <v>3162</v>
      </c>
      <c r="BT1" s="1" t="s">
        <v>3166</v>
      </c>
      <c r="BU1" s="1" t="s">
        <v>3162</v>
      </c>
      <c r="BV1" s="1" t="s">
        <v>3167</v>
      </c>
      <c r="BW1" s="1" t="s">
        <v>3162</v>
      </c>
      <c r="BX1" s="1" t="s">
        <v>3168</v>
      </c>
      <c r="BY1" s="1" t="s">
        <v>3162</v>
      </c>
      <c r="BZ1" s="1" t="s">
        <v>3169</v>
      </c>
      <c r="CA1" s="1" t="s">
        <v>3162</v>
      </c>
      <c r="CB1" s="1" t="s">
        <v>3170</v>
      </c>
      <c r="CC1" s="1" t="s">
        <v>3162</v>
      </c>
      <c r="CD1" s="1" t="s">
        <v>3171</v>
      </c>
      <c r="CE1" s="1" t="s">
        <v>3162</v>
      </c>
      <c r="CF1" s="1" t="s">
        <v>3172</v>
      </c>
      <c r="CG1" s="1" t="s">
        <v>3162</v>
      </c>
      <c r="CH1" s="1" t="s">
        <v>3173</v>
      </c>
      <c r="CI1" s="1" t="s">
        <v>3162</v>
      </c>
      <c r="CJ1" s="1" t="s">
        <v>3174</v>
      </c>
      <c r="CK1" s="1" t="s">
        <v>3162</v>
      </c>
      <c r="CL1" s="1" t="s">
        <v>3175</v>
      </c>
      <c r="CM1" s="1" t="s">
        <v>3162</v>
      </c>
      <c r="CN1" s="1" t="s">
        <v>3176</v>
      </c>
      <c r="CO1" s="1" t="s">
        <v>3162</v>
      </c>
    </row>
    <row r="2" spans="1:93">
      <c r="A2" s="9" t="s">
        <v>3179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</row>
    <row r="3" spans="1:93">
      <c r="A3" s="14" t="s">
        <v>3136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</row>
    <row r="4" spans="1:93">
      <c r="A4" s="2" t="str">
        <f>HYPERLINK("http://exon.niaid.nih.gov/transcriptome/Anopheles_sialome/links/cds/anoga_apy-cds.txt","anoga_apy")</f>
        <v>anoga_apy</v>
      </c>
      <c r="B4">
        <v>1677</v>
      </c>
      <c r="C4" t="s">
        <v>99</v>
      </c>
      <c r="D4" t="s">
        <v>4</v>
      </c>
      <c r="E4" t="s">
        <v>5</v>
      </c>
      <c r="F4" t="s">
        <v>1</v>
      </c>
      <c r="G4" t="str">
        <f>HYPERLINK("http://exon.niaid.nih.gov/transcriptome/Anopheles_sialome/links/pep/anoga_apy-pep.txt","anoga_apy")</f>
        <v>anoga_apy</v>
      </c>
      <c r="H4">
        <v>558</v>
      </c>
      <c r="I4">
        <v>1</v>
      </c>
      <c r="J4" s="3" t="str">
        <f>HYPERLINK("http://exon.niaid.nih.gov/transcriptome/Anopheles_sialome/links/Sigp/anoga_apy-SigP.txt","SIG")</f>
        <v>SIG</v>
      </c>
      <c r="K4" t="s">
        <v>695</v>
      </c>
      <c r="L4">
        <v>61.823999999999998</v>
      </c>
      <c r="M4">
        <v>8.66</v>
      </c>
      <c r="N4">
        <v>59.515000000000001</v>
      </c>
      <c r="O4">
        <v>8.3699999999999992</v>
      </c>
      <c r="P4" t="s">
        <v>891</v>
      </c>
      <c r="Q4" s="3">
        <v>0</v>
      </c>
      <c r="R4" t="s">
        <v>128</v>
      </c>
      <c r="S4" t="s">
        <v>128</v>
      </c>
      <c r="T4" t="s">
        <v>128</v>
      </c>
      <c r="U4" t="s">
        <v>128</v>
      </c>
      <c r="V4" t="s">
        <v>128</v>
      </c>
      <c r="W4" s="3" t="str">
        <f>HYPERLINK("http://exon.niaid.nih.gov/transcriptome/Anopheles_sialome/links/netoglyc/anoga_apy-netoglyc.txt","0")</f>
        <v>0</v>
      </c>
      <c r="X4">
        <v>11.8</v>
      </c>
      <c r="Y4">
        <v>6.6</v>
      </c>
      <c r="Z4">
        <v>3.9</v>
      </c>
      <c r="AA4" t="s">
        <v>654</v>
      </c>
      <c r="AB4" t="s">
        <v>892</v>
      </c>
      <c r="AC4" s="2" t="str">
        <f>HYPERLINK("http://exon.niaid.nih.gov/transcriptome/Anopheles_sialome/links/DIPTERA/anoga_apy-DIPTERA.txt","AGAP011971-PA")</f>
        <v>AGAP011971-PA</v>
      </c>
      <c r="AD4" t="str">
        <f>HYPERLINK("http://www.ncbi.nlm.nih.gov/sutils/blink.cgi?pid=55234710","0.0")</f>
        <v>0.0</v>
      </c>
      <c r="AE4" t="str">
        <f>HYPERLINK("http://www.ncbi.nlm.nih.gov/protein/55234710","gi|55234710")</f>
        <v>gi|55234710</v>
      </c>
      <c r="AF4">
        <v>100</v>
      </c>
      <c r="AG4">
        <v>100</v>
      </c>
      <c r="AH4">
        <v>100</v>
      </c>
      <c r="AI4" t="s">
        <v>2285</v>
      </c>
      <c r="AJ4" s="2" t="str">
        <f>HYPERLINK("http://exon.niaid.nih.gov/transcriptome/Anopheles_sialome/links/CULICOMORPHA/anoga_apy-CULICOMORPHA.txt","AGAP011971-PA")</f>
        <v>AGAP011971-PA</v>
      </c>
      <c r="AK4" t="str">
        <f>HYPERLINK("http://www.ncbi.nlm.nih.gov/sutils/blink.cgi?pid=55234710","0.0")</f>
        <v>0.0</v>
      </c>
      <c r="AL4" t="str">
        <f>HYPERLINK("http://www.ncbi.nlm.nih.gov/protein/55234710","gi|55234710")</f>
        <v>gi|55234710</v>
      </c>
      <c r="AM4">
        <v>100</v>
      </c>
      <c r="AN4">
        <v>100</v>
      </c>
      <c r="AO4">
        <v>100</v>
      </c>
      <c r="AP4" t="s">
        <v>2285</v>
      </c>
      <c r="AQ4" s="2" t="str">
        <f>HYPERLINK("http://exon.niaid.nih.gov/transcriptome/Anopheles_sialome/links/NR-LIGHT/anoga_apy-NR-LIGHT.txt","AGAP011971-PA")</f>
        <v>AGAP011971-PA</v>
      </c>
      <c r="AR4" t="str">
        <f>HYPERLINK("http://www.ncbi.nlm.nih.gov/sutils/blink.cgi?pid=58394160","0.0")</f>
        <v>0.0</v>
      </c>
      <c r="AS4" t="str">
        <f>HYPERLINK("http://www.ncbi.nlm.nih.gov/protein/58394160","gi|58394160")</f>
        <v>gi|58394160</v>
      </c>
      <c r="AT4">
        <v>100</v>
      </c>
      <c r="AU4">
        <v>100</v>
      </c>
      <c r="AV4">
        <v>100</v>
      </c>
      <c r="AW4" t="s">
        <v>2285</v>
      </c>
      <c r="AX4" s="2" t="str">
        <f>HYPERLINK("http://exon.niaid.nih.gov/transcriptome/Anopheles_sialome/links/CDD/anoga_apy-CDD.txt","MPP_CD73_N")</f>
        <v>MPP_CD73_N</v>
      </c>
      <c r="AY4" t="str">
        <f>HYPERLINK("http://www.ncbi.nlm.nih.gov/Structure/cdd/cddsrv.cgi?uid=cd07409&amp;version=v4.0","1E-112")</f>
        <v>1E-112</v>
      </c>
      <c r="AZ4" t="s">
        <v>2397</v>
      </c>
      <c r="BA4" s="2" t="str">
        <f>HYPERLINK("http://exon.niaid.nih.gov/transcriptome/Anopheles_sialome/links/KOG/anoga_apy-KOG.txt","5' nucleotidase")</f>
        <v>5' nucleotidase</v>
      </c>
      <c r="BB4" t="str">
        <f>HYPERLINK("http://www.ncbi.nlm.nih.gov/Structure/cdd/cddsrv.cgi?uid=KOG4419","6E-054")</f>
        <v>6E-054</v>
      </c>
      <c r="BC4" t="s">
        <v>2398</v>
      </c>
      <c r="BD4" t="str">
        <f>HYPERLINK("http://exon.niaid.nih.gov/transcriptome/Anopheles_sialome/links/KOG/anoga_apy-KOG.txt","KOG4419")</f>
        <v>KOG4419</v>
      </c>
      <c r="BE4" t="str">
        <f>HYPERLINK("http://exon.niaid.nih.gov/transcriptome/Anopheles_sialome/links/PFAM/anoga_apy-PFAM.txt","5_nucleotid_C")</f>
        <v>5_nucleotid_C</v>
      </c>
      <c r="BF4" t="str">
        <f>HYPERLINK("http://pfam.sanger.ac.uk/family?acc=PF02872","2E-034")</f>
        <v>2E-034</v>
      </c>
      <c r="BG4" s="2" t="str">
        <f>HYPERLINK("http://exon.niaid.nih.gov/transcriptome/Anopheles_sialome/links/SMART/anoga_apy-SMART.txt","PGA_cap")</f>
        <v>PGA_cap</v>
      </c>
      <c r="BH4" t="str">
        <f>HYPERLINK("http://smart.embl-heidelberg.de/smart/do_annotation.pl?DOMAIN=PGA_cap&amp;BLAST=DUMMY","3E-010")</f>
        <v>3E-010</v>
      </c>
      <c r="BI4" t="s">
        <v>128</v>
      </c>
      <c r="BJ4" s="2" t="s">
        <v>128</v>
      </c>
      <c r="BK4" t="s">
        <v>890</v>
      </c>
      <c r="BL4">
        <f>HYPERLINK("http://exon.niaid.nih.gov/transcriptome/Anopheles_sialome/links/cluster-b/anopheline-sialome-cds-pep-larger-orf25-50SimCLU9.txt", 9)</f>
        <v>9</v>
      </c>
      <c r="BM4">
        <f>HYPERLINK("http://exon.niaid.nih.gov/transcriptome/Anopheles_sialome/links/cluster-b/anopheline-sialome-cds-pep-larger-orf25-50SimCLTL9.txt", 35)</f>
        <v>35</v>
      </c>
      <c r="BN4">
        <f>HYPERLINK("http://exon.niaid.nih.gov/transcriptome/Anopheles_sialome/links/cluster-b/anopheline-sialome-cds-pep-larger-orf30-50SimCLU8.txt", 8)</f>
        <v>8</v>
      </c>
      <c r="BO4">
        <f>HYPERLINK("http://exon.niaid.nih.gov/transcriptome/Anopheles_sialome/links/cluster-b/anopheline-sialome-cds-pep-larger-orf30-50SimCLTL8.txt", 35)</f>
        <v>35</v>
      </c>
      <c r="BP4">
        <f>HYPERLINK("http://exon.niaid.nih.gov/transcriptome/Anopheles_sialome/links/cluster-b/anopheline-sialome-cds-pep-larger-orf35-50SimCLU9.txt", 9)</f>
        <v>9</v>
      </c>
      <c r="BQ4">
        <f>HYPERLINK("http://exon.niaid.nih.gov/transcriptome/Anopheles_sialome/links/cluster-b/anopheline-sialome-cds-pep-larger-orf35-50SimCLTL9.txt", 35)</f>
        <v>35</v>
      </c>
      <c r="BR4">
        <f>HYPERLINK("http://exon.niaid.nih.gov/transcriptome/Anopheles_sialome/links/cluster-b/anopheline-sialome-cds-pep-larger-orf40-50SimCLU8.txt", 8)</f>
        <v>8</v>
      </c>
      <c r="BS4">
        <f>HYPERLINK("http://exon.niaid.nih.gov/transcriptome/Anopheles_sialome/links/cluster-b/anopheline-sialome-cds-pep-larger-orf40-50SimCLTL8.txt", 35)</f>
        <v>35</v>
      </c>
      <c r="BT4">
        <f>HYPERLINK("http://exon.niaid.nih.gov/transcriptome/Anopheles_sialome/links/cluster-b/anopheline-sialome-cds-pep-larger-orf45-50SimCLU7.txt", 7)</f>
        <v>7</v>
      </c>
      <c r="BU4">
        <f>HYPERLINK("http://exon.niaid.nih.gov/transcriptome/Anopheles_sialome/links/cluster-b/anopheline-sialome-cds-pep-larger-orf45-50SimCLTL7.txt", 35)</f>
        <v>35</v>
      </c>
      <c r="BV4">
        <f>HYPERLINK("http://exon.niaid.nih.gov/transcriptome/Anopheles_sialome/links/cluster-b/anopheline-sialome-cds-pep-larger-orf50-50SimCLU7.txt", 7)</f>
        <v>7</v>
      </c>
      <c r="BW4">
        <f>HYPERLINK("http://exon.niaid.nih.gov/transcriptome/Anopheles_sialome/links/cluster-b/anopheline-sialome-cds-pep-larger-orf50-50SimCLTL7.txt", 35)</f>
        <v>35</v>
      </c>
      <c r="BX4">
        <f>HYPERLINK("http://exon.niaid.nih.gov/transcriptome/Anopheles_sialome/links/cluster-b/anopheline-sialome-cds-pep-larger-orf55-50SimCLU7.txt", 7)</f>
        <v>7</v>
      </c>
      <c r="BY4">
        <f>HYPERLINK("http://exon.niaid.nih.gov/transcriptome/Anopheles_sialome/links/cluster-b/anopheline-sialome-cds-pep-larger-orf55-50SimCLTL7.txt", 35)</f>
        <v>35</v>
      </c>
      <c r="BZ4">
        <f>HYPERLINK("http://exon.niaid.nih.gov/transcriptome/Anopheles_sialome/links/cluster-b/anopheline-sialome-cds-pep-larger-orf60-50SimCLU5.txt", 5)</f>
        <v>5</v>
      </c>
      <c r="CA4">
        <f>HYPERLINK("http://exon.niaid.nih.gov/transcriptome/Anopheles_sialome/links/cluster-b/anopheline-sialome-cds-pep-larger-orf60-50SimCLTL5.txt", 35)</f>
        <v>35</v>
      </c>
      <c r="CB4">
        <f>HYPERLINK("http://exon.niaid.nih.gov/transcriptome/Anopheles_sialome/links/cluster-b/anopheline-sialome-cds-pep-larger-orf65-50SimCLU3.txt", 3)</f>
        <v>3</v>
      </c>
      <c r="CC4">
        <f>HYPERLINK("http://exon.niaid.nih.gov/transcriptome/Anopheles_sialome/links/cluster-b/anopheline-sialome-cds-pep-larger-orf65-50SimCLTL3.txt", 35)</f>
        <v>35</v>
      </c>
      <c r="CD4">
        <f>HYPERLINK("http://exon.niaid.nih.gov/transcriptome/Anopheles_sialome/links/cluster-b/anopheline-sialome-cds-pep-larger-orf70-50SimCLU17.txt", 17)</f>
        <v>17</v>
      </c>
      <c r="CE4">
        <f>HYPERLINK("http://exon.niaid.nih.gov/transcriptome/Anopheles_sialome/links/cluster-b/anopheline-sialome-cds-pep-larger-orf70-50SimCLTL17.txt", 17)</f>
        <v>17</v>
      </c>
      <c r="CF4">
        <f>HYPERLINK("http://exon.niaid.nih.gov/transcriptome/Anopheles_sialome/links/cluster-b/anopheline-sialome-cds-pep-larger-orf75-50SimCLU12.txt", 12)</f>
        <v>12</v>
      </c>
      <c r="CG4">
        <f>HYPERLINK("http://exon.niaid.nih.gov/transcriptome/Anopheles_sialome/links/cluster-b/anopheline-sialome-cds-pep-larger-orf75-50SimCLTL12.txt", 17)</f>
        <v>17</v>
      </c>
      <c r="CH4">
        <f>HYPERLINK("http://exon.niaid.nih.gov/transcriptome/Anopheles_sialome/links/cluster-b/anopheline-sialome-cds-pep-larger-orf80-50SimCLU9.txt", 9)</f>
        <v>9</v>
      </c>
      <c r="CI4">
        <f>HYPERLINK("http://exon.niaid.nih.gov/transcriptome/Anopheles_sialome/links/cluster-b/anopheline-sialome-cds-pep-larger-orf80-50SimCLTL9.txt", 17)</f>
        <v>17</v>
      </c>
      <c r="CJ4">
        <f>HYPERLINK("http://exon.niaid.nih.gov/transcriptome/Anopheles_sialome/links/cluster-b/anopheline-sialome-cds-pep-larger-orf85-50SimCLU11.txt", 11)</f>
        <v>11</v>
      </c>
      <c r="CK4">
        <f>HYPERLINK("http://exon.niaid.nih.gov/transcriptome/Anopheles_sialome/links/cluster-b/anopheline-sialome-cds-pep-larger-orf85-50SimCLTL11.txt", 13)</f>
        <v>13</v>
      </c>
      <c r="CL4">
        <f>HYPERLINK("http://exon.niaid.nih.gov/transcriptome/Anopheles_sialome/links/cluster-b/anopheline-sialome-cds-pep-larger-orf90-50SimCLU8.txt", 8)</f>
        <v>8</v>
      </c>
      <c r="CM4">
        <f>HYPERLINK("http://exon.niaid.nih.gov/transcriptome/Anopheles_sialome/links/cluster-b/anopheline-sialome-cds-pep-larger-orf90-50SimCLTL8.txt", 12)</f>
        <v>12</v>
      </c>
      <c r="CN4">
        <f>HYPERLINK("http://exon.niaid.nih.gov/transcriptome/Anopheles_sialome/links/cluster-b/anopheline-sialome-cds-pep-larger-orf95-50SimCLU5.txt", 5)</f>
        <v>5</v>
      </c>
      <c r="CO4">
        <f>HYPERLINK("http://exon.niaid.nih.gov/transcriptome/Anopheles_sialome/links/cluster-b/anopheline-sialome-cds-pep-larger-orf95-50SimCLTL5.txt", 6)</f>
        <v>6</v>
      </c>
    </row>
    <row r="5" spans="1:93">
      <c r="A5" s="2" t="str">
        <f>HYPERLINK("http://exon.niaid.nih.gov/transcriptome/Anopheles_sialome/links/cds/anocol_apy-cds.txt","anocol_apy")</f>
        <v>anocol_apy</v>
      </c>
      <c r="B5">
        <v>1677</v>
      </c>
      <c r="C5" t="s">
        <v>100</v>
      </c>
      <c r="D5" t="s">
        <v>4</v>
      </c>
      <c r="E5" t="s">
        <v>5</v>
      </c>
      <c r="F5" t="s">
        <v>1</v>
      </c>
      <c r="G5" t="str">
        <f>HYPERLINK("http://exon.niaid.nih.gov/transcriptome/Anopheles_sialome/links/pep/anocol_apy-pep.txt","anocol_apy")</f>
        <v>anocol_apy</v>
      </c>
      <c r="H5">
        <v>558</v>
      </c>
      <c r="I5">
        <v>1</v>
      </c>
      <c r="J5" s="3" t="str">
        <f>HYPERLINK("http://exon.niaid.nih.gov/transcriptome/Anopheles_sialome/links/Sigp/anocol_apy-SigP.txt","SIG")</f>
        <v>SIG</v>
      </c>
      <c r="K5" t="s">
        <v>695</v>
      </c>
      <c r="L5">
        <v>61.83</v>
      </c>
      <c r="M5">
        <v>8.66</v>
      </c>
      <c r="N5">
        <v>59.487000000000002</v>
      </c>
      <c r="O5">
        <v>8.3699999999999992</v>
      </c>
      <c r="P5" t="s">
        <v>891</v>
      </c>
      <c r="Q5" s="3">
        <v>0</v>
      </c>
      <c r="R5" t="s">
        <v>128</v>
      </c>
      <c r="S5" t="s">
        <v>128</v>
      </c>
      <c r="T5" t="s">
        <v>128</v>
      </c>
      <c r="U5" t="s">
        <v>128</v>
      </c>
      <c r="V5" t="s">
        <v>128</v>
      </c>
      <c r="W5" s="3" t="str">
        <f>HYPERLINK("http://exon.niaid.nih.gov/transcriptome/Anopheles_sialome/links/netoglyc/anocol_apy-netoglyc.txt","0")</f>
        <v>0</v>
      </c>
      <c r="X5">
        <v>11.8</v>
      </c>
      <c r="Y5">
        <v>6.8</v>
      </c>
      <c r="Z5">
        <v>3.9</v>
      </c>
      <c r="AA5" t="s">
        <v>654</v>
      </c>
      <c r="AB5" t="s">
        <v>892</v>
      </c>
      <c r="AC5" s="2" t="str">
        <f>HYPERLINK("http://exon.niaid.nih.gov/transcriptome/Anopheles_sialome/links/DIPTERA/anocol_apy-DIPTERA.txt","AGAP011971-PA")</f>
        <v>AGAP011971-PA</v>
      </c>
      <c r="AD5" t="str">
        <f>HYPERLINK("http://www.ncbi.nlm.nih.gov/sutils/blink.cgi?pid=55234710","0.0")</f>
        <v>0.0</v>
      </c>
      <c r="AE5" t="str">
        <f>HYPERLINK("http://www.ncbi.nlm.nih.gov/protein/55234710","gi|55234710")</f>
        <v>gi|55234710</v>
      </c>
      <c r="AF5">
        <v>99</v>
      </c>
      <c r="AG5">
        <v>99</v>
      </c>
      <c r="AH5">
        <v>100</v>
      </c>
      <c r="AI5" t="s">
        <v>2285</v>
      </c>
      <c r="AJ5" s="2" t="str">
        <f>HYPERLINK("http://exon.niaid.nih.gov/transcriptome/Anopheles_sialome/links/CULICOMORPHA/anocol_apy-CULICOMORPHA.txt","AGAP011971-PA")</f>
        <v>AGAP011971-PA</v>
      </c>
      <c r="AK5" t="str">
        <f>HYPERLINK("http://www.ncbi.nlm.nih.gov/sutils/blink.cgi?pid=55234710","0.0")</f>
        <v>0.0</v>
      </c>
      <c r="AL5" t="str">
        <f>HYPERLINK("http://www.ncbi.nlm.nih.gov/protein/55234710","gi|55234710")</f>
        <v>gi|55234710</v>
      </c>
      <c r="AM5">
        <v>99</v>
      </c>
      <c r="AN5">
        <v>99</v>
      </c>
      <c r="AO5">
        <v>100</v>
      </c>
      <c r="AP5" t="s">
        <v>2285</v>
      </c>
      <c r="AQ5" s="2" t="str">
        <f>HYPERLINK("http://exon.niaid.nih.gov/transcriptome/Anopheles_sialome/links/NR-LIGHT/anocol_apy-NR-LIGHT.txt","AGAP011971-PA")</f>
        <v>AGAP011971-PA</v>
      </c>
      <c r="AR5" t="str">
        <f>HYPERLINK("http://www.ncbi.nlm.nih.gov/sutils/blink.cgi?pid=58394160","0.0")</f>
        <v>0.0</v>
      </c>
      <c r="AS5" t="str">
        <f>HYPERLINK("http://www.ncbi.nlm.nih.gov/protein/58394160","gi|58394160")</f>
        <v>gi|58394160</v>
      </c>
      <c r="AT5">
        <v>99</v>
      </c>
      <c r="AU5">
        <v>99</v>
      </c>
      <c r="AV5">
        <v>100</v>
      </c>
      <c r="AW5" t="s">
        <v>2285</v>
      </c>
      <c r="AX5" s="2" t="str">
        <f>HYPERLINK("http://exon.niaid.nih.gov/transcriptome/Anopheles_sialome/links/CDD/anocol_apy-CDD.txt","MPP_CD73_N")</f>
        <v>MPP_CD73_N</v>
      </c>
      <c r="AY5" t="str">
        <f>HYPERLINK("http://www.ncbi.nlm.nih.gov/Structure/cdd/cddsrv.cgi?uid=cd07409&amp;version=v4.0","1E-112")</f>
        <v>1E-112</v>
      </c>
      <c r="AZ5" t="s">
        <v>2399</v>
      </c>
      <c r="BA5" s="2" t="str">
        <f>HYPERLINK("http://exon.niaid.nih.gov/transcriptome/Anopheles_sialome/links/KOG/anocol_apy-KOG.txt","5' nucleotidase")</f>
        <v>5' nucleotidase</v>
      </c>
      <c r="BB5" t="str">
        <f>HYPERLINK("http://www.ncbi.nlm.nih.gov/Structure/cdd/cddsrv.cgi?uid=KOG4419","2E-053")</f>
        <v>2E-053</v>
      </c>
      <c r="BC5" t="s">
        <v>2398</v>
      </c>
      <c r="BD5" t="str">
        <f>HYPERLINK("http://exon.niaid.nih.gov/transcriptome/Anopheles_sialome/links/KOG/anocol_apy-KOG.txt","KOG4419")</f>
        <v>KOG4419</v>
      </c>
      <c r="BE5" t="str">
        <f>HYPERLINK("http://exon.niaid.nih.gov/transcriptome/Anopheles_sialome/links/PFAM/anocol_apy-PFAM.txt","5_nucleotid_C")</f>
        <v>5_nucleotid_C</v>
      </c>
      <c r="BF5" t="str">
        <f>HYPERLINK("http://pfam.sanger.ac.uk/family?acc=PF02872","2E-034")</f>
        <v>2E-034</v>
      </c>
      <c r="BG5" s="2" t="str">
        <f>HYPERLINK("http://exon.niaid.nih.gov/transcriptome/Anopheles_sialome/links/SMART/anocol_apy-SMART.txt","PGA_cap")</f>
        <v>PGA_cap</v>
      </c>
      <c r="BH5" t="str">
        <f>HYPERLINK("http://smart.embl-heidelberg.de/smart/do_annotation.pl?DOMAIN=PGA_cap&amp;BLAST=DUMMY","3E-010")</f>
        <v>3E-010</v>
      </c>
      <c r="BI5" t="s">
        <v>128</v>
      </c>
      <c r="BJ5" s="2" t="s">
        <v>128</v>
      </c>
      <c r="BK5" t="s">
        <v>893</v>
      </c>
      <c r="BL5">
        <f>HYPERLINK("http://exon.niaid.nih.gov/transcriptome/Anopheles_sialome/links/cluster-b/anopheline-sialome-cds-pep-larger-orf25-50SimCLU9.txt", 9)</f>
        <v>9</v>
      </c>
      <c r="BM5">
        <f>HYPERLINK("http://exon.niaid.nih.gov/transcriptome/Anopheles_sialome/links/cluster-b/anopheline-sialome-cds-pep-larger-orf25-50SimCLTL9.txt", 35)</f>
        <v>35</v>
      </c>
      <c r="BN5">
        <f>HYPERLINK("http://exon.niaid.nih.gov/transcriptome/Anopheles_sialome/links/cluster-b/anopheline-sialome-cds-pep-larger-orf30-50SimCLU8.txt", 8)</f>
        <v>8</v>
      </c>
      <c r="BO5">
        <f>HYPERLINK("http://exon.niaid.nih.gov/transcriptome/Anopheles_sialome/links/cluster-b/anopheline-sialome-cds-pep-larger-orf30-50SimCLTL8.txt", 35)</f>
        <v>35</v>
      </c>
      <c r="BP5">
        <f>HYPERLINK("http://exon.niaid.nih.gov/transcriptome/Anopheles_sialome/links/cluster-b/anopheline-sialome-cds-pep-larger-orf35-50SimCLU9.txt", 9)</f>
        <v>9</v>
      </c>
      <c r="BQ5">
        <f>HYPERLINK("http://exon.niaid.nih.gov/transcriptome/Anopheles_sialome/links/cluster-b/anopheline-sialome-cds-pep-larger-orf35-50SimCLTL9.txt", 35)</f>
        <v>35</v>
      </c>
      <c r="BR5">
        <f>HYPERLINK("http://exon.niaid.nih.gov/transcriptome/Anopheles_sialome/links/cluster-b/anopheline-sialome-cds-pep-larger-orf40-50SimCLU8.txt", 8)</f>
        <v>8</v>
      </c>
      <c r="BS5">
        <f>HYPERLINK("http://exon.niaid.nih.gov/transcriptome/Anopheles_sialome/links/cluster-b/anopheline-sialome-cds-pep-larger-orf40-50SimCLTL8.txt", 35)</f>
        <v>35</v>
      </c>
      <c r="BT5">
        <f>HYPERLINK("http://exon.niaid.nih.gov/transcriptome/Anopheles_sialome/links/cluster-b/anopheline-sialome-cds-pep-larger-orf45-50SimCLU7.txt", 7)</f>
        <v>7</v>
      </c>
      <c r="BU5">
        <f>HYPERLINK("http://exon.niaid.nih.gov/transcriptome/Anopheles_sialome/links/cluster-b/anopheline-sialome-cds-pep-larger-orf45-50SimCLTL7.txt", 35)</f>
        <v>35</v>
      </c>
      <c r="BV5">
        <f>HYPERLINK("http://exon.niaid.nih.gov/transcriptome/Anopheles_sialome/links/cluster-b/anopheline-sialome-cds-pep-larger-orf50-50SimCLU7.txt", 7)</f>
        <v>7</v>
      </c>
      <c r="BW5">
        <f>HYPERLINK("http://exon.niaid.nih.gov/transcriptome/Anopheles_sialome/links/cluster-b/anopheline-sialome-cds-pep-larger-orf50-50SimCLTL7.txt", 35)</f>
        <v>35</v>
      </c>
      <c r="BX5">
        <f>HYPERLINK("http://exon.niaid.nih.gov/transcriptome/Anopheles_sialome/links/cluster-b/anopheline-sialome-cds-pep-larger-orf55-50SimCLU7.txt", 7)</f>
        <v>7</v>
      </c>
      <c r="BY5">
        <f>HYPERLINK("http://exon.niaid.nih.gov/transcriptome/Anopheles_sialome/links/cluster-b/anopheline-sialome-cds-pep-larger-orf55-50SimCLTL7.txt", 35)</f>
        <v>35</v>
      </c>
      <c r="BZ5">
        <f>HYPERLINK("http://exon.niaid.nih.gov/transcriptome/Anopheles_sialome/links/cluster-b/anopheline-sialome-cds-pep-larger-orf60-50SimCLU5.txt", 5)</f>
        <v>5</v>
      </c>
      <c r="CA5">
        <f>HYPERLINK("http://exon.niaid.nih.gov/transcriptome/Anopheles_sialome/links/cluster-b/anopheline-sialome-cds-pep-larger-orf60-50SimCLTL5.txt", 35)</f>
        <v>35</v>
      </c>
      <c r="CB5">
        <f>HYPERLINK("http://exon.niaid.nih.gov/transcriptome/Anopheles_sialome/links/cluster-b/anopheline-sialome-cds-pep-larger-orf65-50SimCLU3.txt", 3)</f>
        <v>3</v>
      </c>
      <c r="CC5">
        <f>HYPERLINK("http://exon.niaid.nih.gov/transcriptome/Anopheles_sialome/links/cluster-b/anopheline-sialome-cds-pep-larger-orf65-50SimCLTL3.txt", 35)</f>
        <v>35</v>
      </c>
      <c r="CD5">
        <f>HYPERLINK("http://exon.niaid.nih.gov/transcriptome/Anopheles_sialome/links/cluster-b/anopheline-sialome-cds-pep-larger-orf70-50SimCLU17.txt", 17)</f>
        <v>17</v>
      </c>
      <c r="CE5">
        <f>HYPERLINK("http://exon.niaid.nih.gov/transcriptome/Anopheles_sialome/links/cluster-b/anopheline-sialome-cds-pep-larger-orf70-50SimCLTL17.txt", 17)</f>
        <v>17</v>
      </c>
      <c r="CF5">
        <f>HYPERLINK("http://exon.niaid.nih.gov/transcriptome/Anopheles_sialome/links/cluster-b/anopheline-sialome-cds-pep-larger-orf75-50SimCLU12.txt", 12)</f>
        <v>12</v>
      </c>
      <c r="CG5">
        <f>HYPERLINK("http://exon.niaid.nih.gov/transcriptome/Anopheles_sialome/links/cluster-b/anopheline-sialome-cds-pep-larger-orf75-50SimCLTL12.txt", 17)</f>
        <v>17</v>
      </c>
      <c r="CH5">
        <f>HYPERLINK("http://exon.niaid.nih.gov/transcriptome/Anopheles_sialome/links/cluster-b/anopheline-sialome-cds-pep-larger-orf80-50SimCLU9.txt", 9)</f>
        <v>9</v>
      </c>
      <c r="CI5">
        <f>HYPERLINK("http://exon.niaid.nih.gov/transcriptome/Anopheles_sialome/links/cluster-b/anopheline-sialome-cds-pep-larger-orf80-50SimCLTL9.txt", 17)</f>
        <v>17</v>
      </c>
      <c r="CJ5">
        <f>HYPERLINK("http://exon.niaid.nih.gov/transcriptome/Anopheles_sialome/links/cluster-b/anopheline-sialome-cds-pep-larger-orf85-50SimCLU11.txt", 11)</f>
        <v>11</v>
      </c>
      <c r="CK5">
        <f>HYPERLINK("http://exon.niaid.nih.gov/transcriptome/Anopheles_sialome/links/cluster-b/anopheline-sialome-cds-pep-larger-orf85-50SimCLTL11.txt", 13)</f>
        <v>13</v>
      </c>
      <c r="CL5">
        <f>HYPERLINK("http://exon.niaid.nih.gov/transcriptome/Anopheles_sialome/links/cluster-b/anopheline-sialome-cds-pep-larger-orf90-50SimCLU8.txt", 8)</f>
        <v>8</v>
      </c>
      <c r="CM5">
        <f>HYPERLINK("http://exon.niaid.nih.gov/transcriptome/Anopheles_sialome/links/cluster-b/anopheline-sialome-cds-pep-larger-orf90-50SimCLTL8.txt", 12)</f>
        <v>12</v>
      </c>
      <c r="CN5">
        <f>HYPERLINK("http://exon.niaid.nih.gov/transcriptome/Anopheles_sialome/links/cluster-b/anopheline-sialome-cds-pep-larger-orf95-50SimCLU5.txt", 5)</f>
        <v>5</v>
      </c>
      <c r="CO5">
        <f>HYPERLINK("http://exon.niaid.nih.gov/transcriptome/Anopheles_sialome/links/cluster-b/anopheline-sialome-cds-pep-larger-orf95-50SimCLTL5.txt", 6)</f>
        <v>6</v>
      </c>
    </row>
    <row r="6" spans="1:93">
      <c r="A6" s="2" t="str">
        <f>HYPERLINK("http://exon.niaid.nih.gov/transcriptome/Anopheles_sialome/links/cds/anoara_apy-cds.txt","anoara_apy")</f>
        <v>anoara_apy</v>
      </c>
      <c r="B6">
        <v>1677</v>
      </c>
      <c r="C6" t="s">
        <v>101</v>
      </c>
      <c r="D6" t="s">
        <v>7</v>
      </c>
      <c r="E6" t="s">
        <v>5</v>
      </c>
      <c r="F6" t="s">
        <v>1</v>
      </c>
      <c r="G6" t="str">
        <f>HYPERLINK("http://exon.niaid.nih.gov/transcriptome/Anopheles_sialome/links/pep/anoara_apy-pep.txt","anoara_apy")</f>
        <v>anoara_apy</v>
      </c>
      <c r="H6">
        <v>558</v>
      </c>
      <c r="I6">
        <v>1</v>
      </c>
      <c r="J6" s="3" t="str">
        <f>HYPERLINK("http://exon.niaid.nih.gov/transcriptome/Anopheles_sialome/links/Sigp/anoara_apy-SigP.txt","SIG")</f>
        <v>SIG</v>
      </c>
      <c r="K6" t="s">
        <v>695</v>
      </c>
      <c r="L6">
        <v>61.857999999999997</v>
      </c>
      <c r="M6">
        <v>8.66</v>
      </c>
      <c r="N6">
        <v>59.515000000000001</v>
      </c>
      <c r="O6">
        <v>8.3699999999999992</v>
      </c>
      <c r="P6" t="s">
        <v>891</v>
      </c>
      <c r="Q6" s="3">
        <v>0</v>
      </c>
      <c r="R6" t="s">
        <v>128</v>
      </c>
      <c r="S6" t="s">
        <v>128</v>
      </c>
      <c r="T6" t="s">
        <v>128</v>
      </c>
      <c r="U6" t="s">
        <v>128</v>
      </c>
      <c r="V6" t="s">
        <v>128</v>
      </c>
      <c r="W6" s="3" t="str">
        <f>HYPERLINK("http://exon.niaid.nih.gov/transcriptome/Anopheles_sialome/links/netoglyc/anoara_apy-netoglyc.txt","0")</f>
        <v>0</v>
      </c>
      <c r="X6">
        <v>11.8</v>
      </c>
      <c r="Y6">
        <v>6.6</v>
      </c>
      <c r="Z6">
        <v>3.9</v>
      </c>
      <c r="AA6" t="s">
        <v>654</v>
      </c>
      <c r="AB6" t="s">
        <v>892</v>
      </c>
      <c r="AC6" s="2" t="str">
        <f>HYPERLINK("http://exon.niaid.nih.gov/transcriptome/Anopheles_sialome/links/DIPTERA/anoara_apy-DIPTERA.txt","AGAP011971-PA")</f>
        <v>AGAP011971-PA</v>
      </c>
      <c r="AD6" t="str">
        <f>HYPERLINK("http://www.ncbi.nlm.nih.gov/sutils/blink.cgi?pid=55234710","0.0")</f>
        <v>0.0</v>
      </c>
      <c r="AE6" t="str">
        <f>HYPERLINK("http://www.ncbi.nlm.nih.gov/protein/55234710","gi|55234710")</f>
        <v>gi|55234710</v>
      </c>
      <c r="AF6">
        <v>100</v>
      </c>
      <c r="AG6">
        <v>100</v>
      </c>
      <c r="AH6">
        <v>100</v>
      </c>
      <c r="AI6" t="s">
        <v>2285</v>
      </c>
      <c r="AJ6" s="2" t="str">
        <f>HYPERLINK("http://exon.niaid.nih.gov/transcriptome/Anopheles_sialome/links/CULICOMORPHA/anoara_apy-CULICOMORPHA.txt","AGAP011971-PA")</f>
        <v>AGAP011971-PA</v>
      </c>
      <c r="AK6" t="str">
        <f>HYPERLINK("http://www.ncbi.nlm.nih.gov/sutils/blink.cgi?pid=55234710","0.0")</f>
        <v>0.0</v>
      </c>
      <c r="AL6" t="str">
        <f>HYPERLINK("http://www.ncbi.nlm.nih.gov/protein/55234710","gi|55234710")</f>
        <v>gi|55234710</v>
      </c>
      <c r="AM6">
        <v>100</v>
      </c>
      <c r="AN6">
        <v>100</v>
      </c>
      <c r="AO6">
        <v>100</v>
      </c>
      <c r="AP6" t="s">
        <v>2285</v>
      </c>
      <c r="AQ6" s="2" t="str">
        <f>HYPERLINK("http://exon.niaid.nih.gov/transcriptome/Anopheles_sialome/links/NR-LIGHT/anoara_apy-NR-LIGHT.txt","AGAP011971-PA")</f>
        <v>AGAP011971-PA</v>
      </c>
      <c r="AR6" t="str">
        <f>HYPERLINK("http://www.ncbi.nlm.nih.gov/sutils/blink.cgi?pid=58394160","0.0")</f>
        <v>0.0</v>
      </c>
      <c r="AS6" t="str">
        <f>HYPERLINK("http://www.ncbi.nlm.nih.gov/protein/58394160","gi|58394160")</f>
        <v>gi|58394160</v>
      </c>
      <c r="AT6">
        <v>100</v>
      </c>
      <c r="AU6">
        <v>100</v>
      </c>
      <c r="AV6">
        <v>100</v>
      </c>
      <c r="AW6" t="s">
        <v>2285</v>
      </c>
      <c r="AX6" s="2" t="str">
        <f>HYPERLINK("http://exon.niaid.nih.gov/transcriptome/Anopheles_sialome/links/CDD/anoara_apy-CDD.txt","MPP_CD73_N")</f>
        <v>MPP_CD73_N</v>
      </c>
      <c r="AY6" t="str">
        <f>HYPERLINK("http://www.ncbi.nlm.nih.gov/Structure/cdd/cddsrv.cgi?uid=cd07409&amp;version=v4.0","1E-112")</f>
        <v>1E-112</v>
      </c>
      <c r="AZ6" t="s">
        <v>2397</v>
      </c>
      <c r="BA6" s="2" t="str">
        <f>HYPERLINK("http://exon.niaid.nih.gov/transcriptome/Anopheles_sialome/links/KOG/anoara_apy-KOG.txt","5' nucleotidase")</f>
        <v>5' nucleotidase</v>
      </c>
      <c r="BB6" t="str">
        <f>HYPERLINK("http://www.ncbi.nlm.nih.gov/Structure/cdd/cddsrv.cgi?uid=KOG4419","6E-054")</f>
        <v>6E-054</v>
      </c>
      <c r="BC6" t="s">
        <v>2398</v>
      </c>
      <c r="BD6" t="str">
        <f>HYPERLINK("http://exon.niaid.nih.gov/transcriptome/Anopheles_sialome/links/KOG/anoara_apy-KOG.txt","KOG4419")</f>
        <v>KOG4419</v>
      </c>
      <c r="BE6" t="str">
        <f>HYPERLINK("http://exon.niaid.nih.gov/transcriptome/Anopheles_sialome/links/PFAM/anoara_apy-PFAM.txt","5_nucleotid_C")</f>
        <v>5_nucleotid_C</v>
      </c>
      <c r="BF6" t="str">
        <f>HYPERLINK("http://pfam.sanger.ac.uk/family?acc=PF02872","2E-034")</f>
        <v>2E-034</v>
      </c>
      <c r="BG6" s="2" t="str">
        <f>HYPERLINK("http://exon.niaid.nih.gov/transcriptome/Anopheles_sialome/links/SMART/anoara_apy-SMART.txt","PGA_cap")</f>
        <v>PGA_cap</v>
      </c>
      <c r="BH6" t="str">
        <f>HYPERLINK("http://smart.embl-heidelberg.de/smart/do_annotation.pl?DOMAIN=PGA_cap&amp;BLAST=DUMMY","3E-010")</f>
        <v>3E-010</v>
      </c>
      <c r="BI6" t="s">
        <v>128</v>
      </c>
      <c r="BJ6" s="2" t="s">
        <v>128</v>
      </c>
      <c r="BK6" t="s">
        <v>894</v>
      </c>
      <c r="BL6">
        <f>HYPERLINK("http://exon.niaid.nih.gov/transcriptome/Anopheles_sialome/links/cluster-b/anopheline-sialome-cds-pep-larger-orf25-50SimCLU9.txt", 9)</f>
        <v>9</v>
      </c>
      <c r="BM6">
        <f>HYPERLINK("http://exon.niaid.nih.gov/transcriptome/Anopheles_sialome/links/cluster-b/anopheline-sialome-cds-pep-larger-orf25-50SimCLTL9.txt", 35)</f>
        <v>35</v>
      </c>
      <c r="BN6">
        <f>HYPERLINK("http://exon.niaid.nih.gov/transcriptome/Anopheles_sialome/links/cluster-b/anopheline-sialome-cds-pep-larger-orf30-50SimCLU8.txt", 8)</f>
        <v>8</v>
      </c>
      <c r="BO6">
        <f>HYPERLINK("http://exon.niaid.nih.gov/transcriptome/Anopheles_sialome/links/cluster-b/anopheline-sialome-cds-pep-larger-orf30-50SimCLTL8.txt", 35)</f>
        <v>35</v>
      </c>
      <c r="BP6">
        <f>HYPERLINK("http://exon.niaid.nih.gov/transcriptome/Anopheles_sialome/links/cluster-b/anopheline-sialome-cds-pep-larger-orf35-50SimCLU9.txt", 9)</f>
        <v>9</v>
      </c>
      <c r="BQ6">
        <f>HYPERLINK("http://exon.niaid.nih.gov/transcriptome/Anopheles_sialome/links/cluster-b/anopheline-sialome-cds-pep-larger-orf35-50SimCLTL9.txt", 35)</f>
        <v>35</v>
      </c>
      <c r="BR6">
        <f>HYPERLINK("http://exon.niaid.nih.gov/transcriptome/Anopheles_sialome/links/cluster-b/anopheline-sialome-cds-pep-larger-orf40-50SimCLU8.txt", 8)</f>
        <v>8</v>
      </c>
      <c r="BS6">
        <f>HYPERLINK("http://exon.niaid.nih.gov/transcriptome/Anopheles_sialome/links/cluster-b/anopheline-sialome-cds-pep-larger-orf40-50SimCLTL8.txt", 35)</f>
        <v>35</v>
      </c>
      <c r="BT6">
        <f>HYPERLINK("http://exon.niaid.nih.gov/transcriptome/Anopheles_sialome/links/cluster-b/anopheline-sialome-cds-pep-larger-orf45-50SimCLU7.txt", 7)</f>
        <v>7</v>
      </c>
      <c r="BU6">
        <f>HYPERLINK("http://exon.niaid.nih.gov/transcriptome/Anopheles_sialome/links/cluster-b/anopheline-sialome-cds-pep-larger-orf45-50SimCLTL7.txt", 35)</f>
        <v>35</v>
      </c>
      <c r="BV6">
        <f>HYPERLINK("http://exon.niaid.nih.gov/transcriptome/Anopheles_sialome/links/cluster-b/anopheline-sialome-cds-pep-larger-orf50-50SimCLU7.txt", 7)</f>
        <v>7</v>
      </c>
      <c r="BW6">
        <f>HYPERLINK("http://exon.niaid.nih.gov/transcriptome/Anopheles_sialome/links/cluster-b/anopheline-sialome-cds-pep-larger-orf50-50SimCLTL7.txt", 35)</f>
        <v>35</v>
      </c>
      <c r="BX6">
        <f>HYPERLINK("http://exon.niaid.nih.gov/transcriptome/Anopheles_sialome/links/cluster-b/anopheline-sialome-cds-pep-larger-orf55-50SimCLU7.txt", 7)</f>
        <v>7</v>
      </c>
      <c r="BY6">
        <f>HYPERLINK("http://exon.niaid.nih.gov/transcriptome/Anopheles_sialome/links/cluster-b/anopheline-sialome-cds-pep-larger-orf55-50SimCLTL7.txt", 35)</f>
        <v>35</v>
      </c>
      <c r="BZ6">
        <f>HYPERLINK("http://exon.niaid.nih.gov/transcriptome/Anopheles_sialome/links/cluster-b/anopheline-sialome-cds-pep-larger-orf60-50SimCLU5.txt", 5)</f>
        <v>5</v>
      </c>
      <c r="CA6">
        <f>HYPERLINK("http://exon.niaid.nih.gov/transcriptome/Anopheles_sialome/links/cluster-b/anopheline-sialome-cds-pep-larger-orf60-50SimCLTL5.txt", 35)</f>
        <v>35</v>
      </c>
      <c r="CB6">
        <f>HYPERLINK("http://exon.niaid.nih.gov/transcriptome/Anopheles_sialome/links/cluster-b/anopheline-sialome-cds-pep-larger-orf65-50SimCLU3.txt", 3)</f>
        <v>3</v>
      </c>
      <c r="CC6">
        <f>HYPERLINK("http://exon.niaid.nih.gov/transcriptome/Anopheles_sialome/links/cluster-b/anopheline-sialome-cds-pep-larger-orf65-50SimCLTL3.txt", 35)</f>
        <v>35</v>
      </c>
      <c r="CD6">
        <f>HYPERLINK("http://exon.niaid.nih.gov/transcriptome/Anopheles_sialome/links/cluster-b/anopheline-sialome-cds-pep-larger-orf70-50SimCLU17.txt", 17)</f>
        <v>17</v>
      </c>
      <c r="CE6">
        <f>HYPERLINK("http://exon.niaid.nih.gov/transcriptome/Anopheles_sialome/links/cluster-b/anopheline-sialome-cds-pep-larger-orf70-50SimCLTL17.txt", 17)</f>
        <v>17</v>
      </c>
      <c r="CF6">
        <f>HYPERLINK("http://exon.niaid.nih.gov/transcriptome/Anopheles_sialome/links/cluster-b/anopheline-sialome-cds-pep-larger-orf75-50SimCLU12.txt", 12)</f>
        <v>12</v>
      </c>
      <c r="CG6">
        <f>HYPERLINK("http://exon.niaid.nih.gov/transcriptome/Anopheles_sialome/links/cluster-b/anopheline-sialome-cds-pep-larger-orf75-50SimCLTL12.txt", 17)</f>
        <v>17</v>
      </c>
      <c r="CH6">
        <f>HYPERLINK("http://exon.niaid.nih.gov/transcriptome/Anopheles_sialome/links/cluster-b/anopheline-sialome-cds-pep-larger-orf80-50SimCLU9.txt", 9)</f>
        <v>9</v>
      </c>
      <c r="CI6">
        <f>HYPERLINK("http://exon.niaid.nih.gov/transcriptome/Anopheles_sialome/links/cluster-b/anopheline-sialome-cds-pep-larger-orf80-50SimCLTL9.txt", 17)</f>
        <v>17</v>
      </c>
      <c r="CJ6">
        <f>HYPERLINK("http://exon.niaid.nih.gov/transcriptome/Anopheles_sialome/links/cluster-b/anopheline-sialome-cds-pep-larger-orf85-50SimCLU11.txt", 11)</f>
        <v>11</v>
      </c>
      <c r="CK6">
        <f>HYPERLINK("http://exon.niaid.nih.gov/transcriptome/Anopheles_sialome/links/cluster-b/anopheline-sialome-cds-pep-larger-orf85-50SimCLTL11.txt", 13)</f>
        <v>13</v>
      </c>
      <c r="CL6">
        <f>HYPERLINK("http://exon.niaid.nih.gov/transcriptome/Anopheles_sialome/links/cluster-b/anopheline-sialome-cds-pep-larger-orf90-50SimCLU8.txt", 8)</f>
        <v>8</v>
      </c>
      <c r="CM6">
        <f>HYPERLINK("http://exon.niaid.nih.gov/transcriptome/Anopheles_sialome/links/cluster-b/anopheline-sialome-cds-pep-larger-orf90-50SimCLTL8.txt", 12)</f>
        <v>12</v>
      </c>
      <c r="CN6">
        <f>HYPERLINK("http://exon.niaid.nih.gov/transcriptome/Anopheles_sialome/links/cluster-b/anopheline-sialome-cds-pep-larger-orf95-50SimCLU5.txt", 5)</f>
        <v>5</v>
      </c>
      <c r="CO6">
        <f>HYPERLINK("http://exon.niaid.nih.gov/transcriptome/Anopheles_sialome/links/cluster-b/anopheline-sialome-cds-pep-larger-orf95-50SimCLTL5.txt", 6)</f>
        <v>6</v>
      </c>
    </row>
    <row r="7" spans="1:93">
      <c r="A7" s="2" t="str">
        <f>HYPERLINK("http://exon.niaid.nih.gov/transcriptome/Anopheles_sialome/links/cds/anoqua_apy-cds.txt","anoqua_apy")</f>
        <v>anoqua_apy</v>
      </c>
      <c r="B7">
        <v>1674</v>
      </c>
      <c r="C7" t="s">
        <v>102</v>
      </c>
      <c r="D7" t="s">
        <v>7</v>
      </c>
      <c r="E7" t="s">
        <v>5</v>
      </c>
      <c r="F7" t="s">
        <v>1</v>
      </c>
      <c r="G7" t="str">
        <f>HYPERLINK("http://exon.niaid.nih.gov/transcriptome/Anopheles_sialome/links/pep/anoqua_apy-pep.txt","anoqua_apy")</f>
        <v>anoqua_apy</v>
      </c>
      <c r="H7">
        <v>557</v>
      </c>
      <c r="I7">
        <v>1</v>
      </c>
      <c r="J7" s="3" t="str">
        <f>HYPERLINK("http://exon.niaid.nih.gov/transcriptome/Anopheles_sialome/links/Sigp/anoqua_apy-SigP.txt","SIG")</f>
        <v>SIG</v>
      </c>
      <c r="K7" t="s">
        <v>718</v>
      </c>
      <c r="L7">
        <v>61.62</v>
      </c>
      <c r="M7">
        <v>8.74</v>
      </c>
      <c r="N7">
        <v>60.036999999999999</v>
      </c>
      <c r="O7">
        <v>8.67</v>
      </c>
      <c r="P7" t="s">
        <v>702</v>
      </c>
      <c r="Q7" s="3">
        <v>0</v>
      </c>
      <c r="R7" t="s">
        <v>128</v>
      </c>
      <c r="S7" t="s">
        <v>128</v>
      </c>
      <c r="T7" t="s">
        <v>128</v>
      </c>
      <c r="U7" t="s">
        <v>128</v>
      </c>
      <c r="V7" t="s">
        <v>128</v>
      </c>
      <c r="W7" s="3" t="str">
        <f>HYPERLINK("http://exon.niaid.nih.gov/transcriptome/Anopheles_sialome/links/netoglyc/anoqua_apy-netoglyc.txt","0")</f>
        <v>0</v>
      </c>
      <c r="X7">
        <v>12.2</v>
      </c>
      <c r="Y7">
        <v>6.8</v>
      </c>
      <c r="Z7">
        <v>3.9</v>
      </c>
      <c r="AA7" t="s">
        <v>654</v>
      </c>
      <c r="AB7" t="s">
        <v>896</v>
      </c>
      <c r="AC7" s="2" t="str">
        <f>HYPERLINK("http://exon.niaid.nih.gov/transcriptome/Anopheles_sialome/links/DIPTERA/anoqua_apy-DIPTERA.txt","apyrase")</f>
        <v>apyrase</v>
      </c>
      <c r="AD7" t="str">
        <f>HYPERLINK("http://www.ncbi.nlm.nih.gov/sutils/blink.cgi?pid=4582524","0.0")</f>
        <v>0.0</v>
      </c>
      <c r="AE7" t="str">
        <f>HYPERLINK("http://www.ncbi.nlm.nih.gov/protein/4582524","gi|4582524")</f>
        <v>gi|4582524</v>
      </c>
      <c r="AF7">
        <v>99</v>
      </c>
      <c r="AG7">
        <v>99</v>
      </c>
      <c r="AH7">
        <v>100</v>
      </c>
      <c r="AI7" t="s">
        <v>2254</v>
      </c>
      <c r="AJ7" s="2" t="s">
        <v>128</v>
      </c>
      <c r="AK7" t="s">
        <v>128</v>
      </c>
      <c r="AL7" t="s">
        <v>128</v>
      </c>
      <c r="AM7" t="s">
        <v>128</v>
      </c>
      <c r="AN7" t="s">
        <v>128</v>
      </c>
      <c r="AO7" t="s">
        <v>128</v>
      </c>
      <c r="AP7" t="s">
        <v>128</v>
      </c>
      <c r="AQ7" s="2" t="str">
        <f>HYPERLINK("http://exon.niaid.nih.gov/transcriptome/Anopheles_sialome/links/NR-LIGHT/anoqua_apy-NR-LIGHT.txt","apyrase")</f>
        <v>apyrase</v>
      </c>
      <c r="AR7" t="str">
        <f>HYPERLINK("http://www.ncbi.nlm.nih.gov/sutils/blink.cgi?pid=4582524","0.0")</f>
        <v>0.0</v>
      </c>
      <c r="AS7" t="str">
        <f>HYPERLINK("http://www.ncbi.nlm.nih.gov/protein/4582524","gi|4582524")</f>
        <v>gi|4582524</v>
      </c>
      <c r="AT7">
        <v>99</v>
      </c>
      <c r="AU7">
        <v>99</v>
      </c>
      <c r="AV7">
        <v>100</v>
      </c>
      <c r="AW7" t="s">
        <v>2254</v>
      </c>
      <c r="AX7" s="2" t="str">
        <f>HYPERLINK("http://exon.niaid.nih.gov/transcriptome/Anopheles_sialome/links/CDD/anoqua_apy-CDD.txt","MPP_CD73_N")</f>
        <v>MPP_CD73_N</v>
      </c>
      <c r="AY7" t="str">
        <f>HYPERLINK("http://www.ncbi.nlm.nih.gov/Structure/cdd/cddsrv.cgi?uid=cd07409&amp;version=v4.0","1E-112")</f>
        <v>1E-112</v>
      </c>
      <c r="AZ7" t="s">
        <v>2400</v>
      </c>
      <c r="BA7" s="2" t="str">
        <f>HYPERLINK("http://exon.niaid.nih.gov/transcriptome/Anopheles_sialome/links/KOG/anoqua_apy-KOG.txt","5' nucleotidase")</f>
        <v>5' nucleotidase</v>
      </c>
      <c r="BB7" t="str">
        <f>HYPERLINK("http://www.ncbi.nlm.nih.gov/Structure/cdd/cddsrv.cgi?uid=KOG4419","4E-054")</f>
        <v>4E-054</v>
      </c>
      <c r="BC7" t="s">
        <v>2398</v>
      </c>
      <c r="BD7" t="str">
        <f>HYPERLINK("http://exon.niaid.nih.gov/transcriptome/Anopheles_sialome/links/KOG/anoqua_apy-KOG.txt","KOG4419")</f>
        <v>KOG4419</v>
      </c>
      <c r="BE7" t="str">
        <f>HYPERLINK("http://exon.niaid.nih.gov/transcriptome/Anopheles_sialome/links/PFAM/anoqua_apy-PFAM.txt","5_nucleotid_C")</f>
        <v>5_nucleotid_C</v>
      </c>
      <c r="BF7" t="str">
        <f>HYPERLINK("http://pfam.sanger.ac.uk/family?acc=PF02872","2E-034")</f>
        <v>2E-034</v>
      </c>
      <c r="BG7" s="2" t="str">
        <f>HYPERLINK("http://exon.niaid.nih.gov/transcriptome/Anopheles_sialome/links/SMART/anoqua_apy-SMART.txt","PGA_cap")</f>
        <v>PGA_cap</v>
      </c>
      <c r="BH7" t="str">
        <f>HYPERLINK("http://smart.embl-heidelberg.de/smart/do_annotation.pl?DOMAIN=PGA_cap&amp;BLAST=DUMMY","2E-010")</f>
        <v>2E-010</v>
      </c>
      <c r="BI7" t="s">
        <v>128</v>
      </c>
      <c r="BJ7" s="2" t="s">
        <v>128</v>
      </c>
      <c r="BK7" t="s">
        <v>895</v>
      </c>
      <c r="BL7">
        <f>HYPERLINK("http://exon.niaid.nih.gov/transcriptome/Anopheles_sialome/links/cluster-b/anopheline-sialome-cds-pep-larger-orf25-50SimCLU9.txt", 9)</f>
        <v>9</v>
      </c>
      <c r="BM7">
        <f>HYPERLINK("http://exon.niaid.nih.gov/transcriptome/Anopheles_sialome/links/cluster-b/anopheline-sialome-cds-pep-larger-orf25-50SimCLTL9.txt", 35)</f>
        <v>35</v>
      </c>
      <c r="BN7">
        <f>HYPERLINK("http://exon.niaid.nih.gov/transcriptome/Anopheles_sialome/links/cluster-b/anopheline-sialome-cds-pep-larger-orf30-50SimCLU8.txt", 8)</f>
        <v>8</v>
      </c>
      <c r="BO7">
        <f>HYPERLINK("http://exon.niaid.nih.gov/transcriptome/Anopheles_sialome/links/cluster-b/anopheline-sialome-cds-pep-larger-orf30-50SimCLTL8.txt", 35)</f>
        <v>35</v>
      </c>
      <c r="BP7">
        <f>HYPERLINK("http://exon.niaid.nih.gov/transcriptome/Anopheles_sialome/links/cluster-b/anopheline-sialome-cds-pep-larger-orf35-50SimCLU9.txt", 9)</f>
        <v>9</v>
      </c>
      <c r="BQ7">
        <f>HYPERLINK("http://exon.niaid.nih.gov/transcriptome/Anopheles_sialome/links/cluster-b/anopheline-sialome-cds-pep-larger-orf35-50SimCLTL9.txt", 35)</f>
        <v>35</v>
      </c>
      <c r="BR7">
        <f>HYPERLINK("http://exon.niaid.nih.gov/transcriptome/Anopheles_sialome/links/cluster-b/anopheline-sialome-cds-pep-larger-orf40-50SimCLU8.txt", 8)</f>
        <v>8</v>
      </c>
      <c r="BS7">
        <f>HYPERLINK("http://exon.niaid.nih.gov/transcriptome/Anopheles_sialome/links/cluster-b/anopheline-sialome-cds-pep-larger-orf40-50SimCLTL8.txt", 35)</f>
        <v>35</v>
      </c>
      <c r="BT7">
        <f>HYPERLINK("http://exon.niaid.nih.gov/transcriptome/Anopheles_sialome/links/cluster-b/anopheline-sialome-cds-pep-larger-orf45-50SimCLU7.txt", 7)</f>
        <v>7</v>
      </c>
      <c r="BU7">
        <f>HYPERLINK("http://exon.niaid.nih.gov/transcriptome/Anopheles_sialome/links/cluster-b/anopheline-sialome-cds-pep-larger-orf45-50SimCLTL7.txt", 35)</f>
        <v>35</v>
      </c>
      <c r="BV7">
        <f>HYPERLINK("http://exon.niaid.nih.gov/transcriptome/Anopheles_sialome/links/cluster-b/anopheline-sialome-cds-pep-larger-orf50-50SimCLU7.txt", 7)</f>
        <v>7</v>
      </c>
      <c r="BW7">
        <f>HYPERLINK("http://exon.niaid.nih.gov/transcriptome/Anopheles_sialome/links/cluster-b/anopheline-sialome-cds-pep-larger-orf50-50SimCLTL7.txt", 35)</f>
        <v>35</v>
      </c>
      <c r="BX7">
        <f>HYPERLINK("http://exon.niaid.nih.gov/transcriptome/Anopheles_sialome/links/cluster-b/anopheline-sialome-cds-pep-larger-orf55-50SimCLU7.txt", 7)</f>
        <v>7</v>
      </c>
      <c r="BY7">
        <f>HYPERLINK("http://exon.niaid.nih.gov/transcriptome/Anopheles_sialome/links/cluster-b/anopheline-sialome-cds-pep-larger-orf55-50SimCLTL7.txt", 35)</f>
        <v>35</v>
      </c>
      <c r="BZ7">
        <f>HYPERLINK("http://exon.niaid.nih.gov/transcriptome/Anopheles_sialome/links/cluster-b/anopheline-sialome-cds-pep-larger-orf60-50SimCLU5.txt", 5)</f>
        <v>5</v>
      </c>
      <c r="CA7">
        <f>HYPERLINK("http://exon.niaid.nih.gov/transcriptome/Anopheles_sialome/links/cluster-b/anopheline-sialome-cds-pep-larger-orf60-50SimCLTL5.txt", 35)</f>
        <v>35</v>
      </c>
      <c r="CB7">
        <f>HYPERLINK("http://exon.niaid.nih.gov/transcriptome/Anopheles_sialome/links/cluster-b/anopheline-sialome-cds-pep-larger-orf65-50SimCLU3.txt", 3)</f>
        <v>3</v>
      </c>
      <c r="CC7">
        <f>HYPERLINK("http://exon.niaid.nih.gov/transcriptome/Anopheles_sialome/links/cluster-b/anopheline-sialome-cds-pep-larger-orf65-50SimCLTL3.txt", 35)</f>
        <v>35</v>
      </c>
      <c r="CD7">
        <f>HYPERLINK("http://exon.niaid.nih.gov/transcriptome/Anopheles_sialome/links/cluster-b/anopheline-sialome-cds-pep-larger-orf70-50SimCLU17.txt", 17)</f>
        <v>17</v>
      </c>
      <c r="CE7">
        <f>HYPERLINK("http://exon.niaid.nih.gov/transcriptome/Anopheles_sialome/links/cluster-b/anopheline-sialome-cds-pep-larger-orf70-50SimCLTL17.txt", 17)</f>
        <v>17</v>
      </c>
      <c r="CF7">
        <f>HYPERLINK("http://exon.niaid.nih.gov/transcriptome/Anopheles_sialome/links/cluster-b/anopheline-sialome-cds-pep-larger-orf75-50SimCLU12.txt", 12)</f>
        <v>12</v>
      </c>
      <c r="CG7">
        <f>HYPERLINK("http://exon.niaid.nih.gov/transcriptome/Anopheles_sialome/links/cluster-b/anopheline-sialome-cds-pep-larger-orf75-50SimCLTL12.txt", 17)</f>
        <v>17</v>
      </c>
      <c r="CH7">
        <f>HYPERLINK("http://exon.niaid.nih.gov/transcriptome/Anopheles_sialome/links/cluster-b/anopheline-sialome-cds-pep-larger-orf80-50SimCLU9.txt", 9)</f>
        <v>9</v>
      </c>
      <c r="CI7">
        <f>HYPERLINK("http://exon.niaid.nih.gov/transcriptome/Anopheles_sialome/links/cluster-b/anopheline-sialome-cds-pep-larger-orf80-50SimCLTL9.txt", 17)</f>
        <v>17</v>
      </c>
      <c r="CJ7">
        <f>HYPERLINK("http://exon.niaid.nih.gov/transcriptome/Anopheles_sialome/links/cluster-b/anopheline-sialome-cds-pep-larger-orf85-50SimCLU11.txt", 11)</f>
        <v>11</v>
      </c>
      <c r="CK7">
        <f>HYPERLINK("http://exon.niaid.nih.gov/transcriptome/Anopheles_sialome/links/cluster-b/anopheline-sialome-cds-pep-larger-orf85-50SimCLTL11.txt", 13)</f>
        <v>13</v>
      </c>
      <c r="CL7">
        <f>HYPERLINK("http://exon.niaid.nih.gov/transcriptome/Anopheles_sialome/links/cluster-b/anopheline-sialome-cds-pep-larger-orf90-50SimCLU8.txt", 8)</f>
        <v>8</v>
      </c>
      <c r="CM7">
        <f>HYPERLINK("http://exon.niaid.nih.gov/transcriptome/Anopheles_sialome/links/cluster-b/anopheline-sialome-cds-pep-larger-orf90-50SimCLTL8.txt", 12)</f>
        <v>12</v>
      </c>
      <c r="CN7">
        <f>HYPERLINK("http://exon.niaid.nih.gov/transcriptome/Anopheles_sialome/links/cluster-b/anopheline-sialome-cds-pep-larger-orf95-50SimCLU5.txt", 5)</f>
        <v>5</v>
      </c>
      <c r="CO7">
        <f>HYPERLINK("http://exon.niaid.nih.gov/transcriptome/Anopheles_sialome/links/cluster-b/anopheline-sialome-cds-pep-larger-orf95-50SimCLTL5.txt", 6)</f>
        <v>6</v>
      </c>
    </row>
    <row r="8" spans="1:93">
      <c r="A8" s="2" t="str">
        <f>HYPERLINK("http://exon.niaid.nih.gov/transcriptome/Anopheles_sialome/links/cds/anomer_apy-cds.txt","anomer_apy")</f>
        <v>anomer_apy</v>
      </c>
      <c r="B8">
        <v>1677</v>
      </c>
      <c r="C8" t="s">
        <v>103</v>
      </c>
      <c r="D8" t="s">
        <v>4</v>
      </c>
      <c r="E8" t="s">
        <v>5</v>
      </c>
      <c r="F8" t="s">
        <v>1</v>
      </c>
      <c r="G8" t="str">
        <f>HYPERLINK("http://exon.niaid.nih.gov/transcriptome/Anopheles_sialome/links/pep/anomer_apy-pep.txt","anomer_apy")</f>
        <v>anomer_apy</v>
      </c>
      <c r="H8">
        <v>558</v>
      </c>
      <c r="I8">
        <v>1</v>
      </c>
      <c r="J8" s="3" t="str">
        <f>HYPERLINK("http://exon.niaid.nih.gov/transcriptome/Anopheles_sialome/links/Sigp/anomer_apy-SigP.txt","SIG")</f>
        <v>SIG</v>
      </c>
      <c r="K8" t="s">
        <v>718</v>
      </c>
      <c r="L8">
        <v>61.854999999999997</v>
      </c>
      <c r="M8">
        <v>8.0399999999999991</v>
      </c>
      <c r="N8">
        <v>60.271999999999998</v>
      </c>
      <c r="O8">
        <v>7.69</v>
      </c>
      <c r="P8" t="s">
        <v>891</v>
      </c>
      <c r="Q8" s="3">
        <v>0</v>
      </c>
      <c r="R8" t="s">
        <v>128</v>
      </c>
      <c r="S8" t="s">
        <v>128</v>
      </c>
      <c r="T8" t="s">
        <v>128</v>
      </c>
      <c r="U8" t="s">
        <v>128</v>
      </c>
      <c r="V8" t="s">
        <v>128</v>
      </c>
      <c r="W8" s="3" t="str">
        <f>HYPERLINK("http://exon.niaid.nih.gov/transcriptome/Anopheles_sialome/links/netoglyc/anomer_apy-netoglyc.txt","0")</f>
        <v>0</v>
      </c>
      <c r="X8">
        <v>12.2</v>
      </c>
      <c r="Y8">
        <v>6.6</v>
      </c>
      <c r="Z8">
        <v>3.9</v>
      </c>
      <c r="AA8" t="s">
        <v>654</v>
      </c>
      <c r="AB8" t="s">
        <v>898</v>
      </c>
      <c r="AC8" s="2" t="str">
        <f>HYPERLINK("http://exon.niaid.nih.gov/transcriptome/Anopheles_sialome/links/DIPTERA/anomer_apy-DIPTERA.txt","AGAP011971-PA")</f>
        <v>AGAP011971-PA</v>
      </c>
      <c r="AD8" t="str">
        <f>HYPERLINK("http://www.ncbi.nlm.nih.gov/sutils/blink.cgi?pid=55234710","0.0")</f>
        <v>0.0</v>
      </c>
      <c r="AE8" t="str">
        <f>HYPERLINK("http://www.ncbi.nlm.nih.gov/protein/55234710","gi|55234710")</f>
        <v>gi|55234710</v>
      </c>
      <c r="AF8">
        <v>98</v>
      </c>
      <c r="AG8">
        <v>99</v>
      </c>
      <c r="AH8">
        <v>100</v>
      </c>
      <c r="AI8" t="s">
        <v>2285</v>
      </c>
      <c r="AJ8" s="2" t="s">
        <v>128</v>
      </c>
      <c r="AK8" t="s">
        <v>128</v>
      </c>
      <c r="AL8" t="s">
        <v>128</v>
      </c>
      <c r="AM8" t="s">
        <v>128</v>
      </c>
      <c r="AN8" t="s">
        <v>128</v>
      </c>
      <c r="AO8" t="s">
        <v>128</v>
      </c>
      <c r="AP8" t="s">
        <v>128</v>
      </c>
      <c r="AQ8" s="2" t="str">
        <f>HYPERLINK("http://exon.niaid.nih.gov/transcriptome/Anopheles_sialome/links/NR-LIGHT/anomer_apy-NR-LIGHT.txt","AGAP011971-PA")</f>
        <v>AGAP011971-PA</v>
      </c>
      <c r="AR8" t="str">
        <f>HYPERLINK("http://www.ncbi.nlm.nih.gov/sutils/blink.cgi?pid=58394160","0.0")</f>
        <v>0.0</v>
      </c>
      <c r="AS8" t="str">
        <f>HYPERLINK("http://www.ncbi.nlm.nih.gov/protein/58394160","gi|58394160")</f>
        <v>gi|58394160</v>
      </c>
      <c r="AT8">
        <v>98</v>
      </c>
      <c r="AU8">
        <v>99</v>
      </c>
      <c r="AV8">
        <v>100</v>
      </c>
      <c r="AW8" t="s">
        <v>2285</v>
      </c>
      <c r="AX8" s="2" t="str">
        <f>HYPERLINK("http://exon.niaid.nih.gov/transcriptome/Anopheles_sialome/links/CDD/anomer_apy-CDD.txt","MPP_CD73_N")</f>
        <v>MPP_CD73_N</v>
      </c>
      <c r="AY8" t="str">
        <f>HYPERLINK("http://www.ncbi.nlm.nih.gov/Structure/cdd/cddsrv.cgi?uid=cd07409&amp;version=v4.0","1E-112")</f>
        <v>1E-112</v>
      </c>
      <c r="AZ8" t="s">
        <v>2401</v>
      </c>
      <c r="BA8" s="2" t="str">
        <f>HYPERLINK("http://exon.niaid.nih.gov/transcriptome/Anopheles_sialome/links/KOG/anomer_apy-KOG.txt","5' nucleotidase")</f>
        <v>5' nucleotidase</v>
      </c>
      <c r="BB8" t="str">
        <f>HYPERLINK("http://www.ncbi.nlm.nih.gov/Structure/cdd/cddsrv.cgi?uid=KOG4419","3E-054")</f>
        <v>3E-054</v>
      </c>
      <c r="BC8" t="s">
        <v>2398</v>
      </c>
      <c r="BD8" t="str">
        <f>HYPERLINK("http://exon.niaid.nih.gov/transcriptome/Anopheles_sialome/links/KOG/anomer_apy-KOG.txt","KOG4419")</f>
        <v>KOG4419</v>
      </c>
      <c r="BE8" t="str">
        <f>HYPERLINK("http://exon.niaid.nih.gov/transcriptome/Anopheles_sialome/links/PFAM/anomer_apy-PFAM.txt","5_nucleotid_C")</f>
        <v>5_nucleotid_C</v>
      </c>
      <c r="BF8" t="str">
        <f>HYPERLINK("http://pfam.sanger.ac.uk/family?acc=PF02872","1E-034")</f>
        <v>1E-034</v>
      </c>
      <c r="BG8" s="2" t="str">
        <f>HYPERLINK("http://exon.niaid.nih.gov/transcriptome/Anopheles_sialome/links/SMART/anomer_apy-SMART.txt","PGA_cap")</f>
        <v>PGA_cap</v>
      </c>
      <c r="BH8" t="str">
        <f>HYPERLINK("http://smart.embl-heidelberg.de/smart/do_annotation.pl?DOMAIN=PGA_cap&amp;BLAST=DUMMY","7E-011")</f>
        <v>7E-011</v>
      </c>
      <c r="BI8" t="s">
        <v>128</v>
      </c>
      <c r="BJ8" s="2" t="s">
        <v>128</v>
      </c>
      <c r="BK8" t="s">
        <v>897</v>
      </c>
      <c r="BL8">
        <f>HYPERLINK("http://exon.niaid.nih.gov/transcriptome/Anopheles_sialome/links/cluster-b/anopheline-sialome-cds-pep-larger-orf25-50SimCLU9.txt", 9)</f>
        <v>9</v>
      </c>
      <c r="BM8">
        <f>HYPERLINK("http://exon.niaid.nih.gov/transcriptome/Anopheles_sialome/links/cluster-b/anopheline-sialome-cds-pep-larger-orf25-50SimCLTL9.txt", 35)</f>
        <v>35</v>
      </c>
      <c r="BN8">
        <f>HYPERLINK("http://exon.niaid.nih.gov/transcriptome/Anopheles_sialome/links/cluster-b/anopheline-sialome-cds-pep-larger-orf30-50SimCLU8.txt", 8)</f>
        <v>8</v>
      </c>
      <c r="BO8">
        <f>HYPERLINK("http://exon.niaid.nih.gov/transcriptome/Anopheles_sialome/links/cluster-b/anopheline-sialome-cds-pep-larger-orf30-50SimCLTL8.txt", 35)</f>
        <v>35</v>
      </c>
      <c r="BP8">
        <f>HYPERLINK("http://exon.niaid.nih.gov/transcriptome/Anopheles_sialome/links/cluster-b/anopheline-sialome-cds-pep-larger-orf35-50SimCLU9.txt", 9)</f>
        <v>9</v>
      </c>
      <c r="BQ8">
        <f>HYPERLINK("http://exon.niaid.nih.gov/transcriptome/Anopheles_sialome/links/cluster-b/anopheline-sialome-cds-pep-larger-orf35-50SimCLTL9.txt", 35)</f>
        <v>35</v>
      </c>
      <c r="BR8">
        <f>HYPERLINK("http://exon.niaid.nih.gov/transcriptome/Anopheles_sialome/links/cluster-b/anopheline-sialome-cds-pep-larger-orf40-50SimCLU8.txt", 8)</f>
        <v>8</v>
      </c>
      <c r="BS8">
        <f>HYPERLINK("http://exon.niaid.nih.gov/transcriptome/Anopheles_sialome/links/cluster-b/anopheline-sialome-cds-pep-larger-orf40-50SimCLTL8.txt", 35)</f>
        <v>35</v>
      </c>
      <c r="BT8">
        <f>HYPERLINK("http://exon.niaid.nih.gov/transcriptome/Anopheles_sialome/links/cluster-b/anopheline-sialome-cds-pep-larger-orf45-50SimCLU7.txt", 7)</f>
        <v>7</v>
      </c>
      <c r="BU8">
        <f>HYPERLINK("http://exon.niaid.nih.gov/transcriptome/Anopheles_sialome/links/cluster-b/anopheline-sialome-cds-pep-larger-orf45-50SimCLTL7.txt", 35)</f>
        <v>35</v>
      </c>
      <c r="BV8">
        <f>HYPERLINK("http://exon.niaid.nih.gov/transcriptome/Anopheles_sialome/links/cluster-b/anopheline-sialome-cds-pep-larger-orf50-50SimCLU7.txt", 7)</f>
        <v>7</v>
      </c>
      <c r="BW8">
        <f>HYPERLINK("http://exon.niaid.nih.gov/transcriptome/Anopheles_sialome/links/cluster-b/anopheline-sialome-cds-pep-larger-orf50-50SimCLTL7.txt", 35)</f>
        <v>35</v>
      </c>
      <c r="BX8">
        <f>HYPERLINK("http://exon.niaid.nih.gov/transcriptome/Anopheles_sialome/links/cluster-b/anopheline-sialome-cds-pep-larger-orf55-50SimCLU7.txt", 7)</f>
        <v>7</v>
      </c>
      <c r="BY8">
        <f>HYPERLINK("http://exon.niaid.nih.gov/transcriptome/Anopheles_sialome/links/cluster-b/anopheline-sialome-cds-pep-larger-orf55-50SimCLTL7.txt", 35)</f>
        <v>35</v>
      </c>
      <c r="BZ8">
        <f>HYPERLINK("http://exon.niaid.nih.gov/transcriptome/Anopheles_sialome/links/cluster-b/anopheline-sialome-cds-pep-larger-orf60-50SimCLU5.txt", 5)</f>
        <v>5</v>
      </c>
      <c r="CA8">
        <f>HYPERLINK("http://exon.niaid.nih.gov/transcriptome/Anopheles_sialome/links/cluster-b/anopheline-sialome-cds-pep-larger-orf60-50SimCLTL5.txt", 35)</f>
        <v>35</v>
      </c>
      <c r="CB8">
        <f>HYPERLINK("http://exon.niaid.nih.gov/transcriptome/Anopheles_sialome/links/cluster-b/anopheline-sialome-cds-pep-larger-orf65-50SimCLU3.txt", 3)</f>
        <v>3</v>
      </c>
      <c r="CC8">
        <f>HYPERLINK("http://exon.niaid.nih.gov/transcriptome/Anopheles_sialome/links/cluster-b/anopheline-sialome-cds-pep-larger-orf65-50SimCLTL3.txt", 35)</f>
        <v>35</v>
      </c>
      <c r="CD8">
        <f>HYPERLINK("http://exon.niaid.nih.gov/transcriptome/Anopheles_sialome/links/cluster-b/anopheline-sialome-cds-pep-larger-orf70-50SimCLU17.txt", 17)</f>
        <v>17</v>
      </c>
      <c r="CE8">
        <f>HYPERLINK("http://exon.niaid.nih.gov/transcriptome/Anopheles_sialome/links/cluster-b/anopheline-sialome-cds-pep-larger-orf70-50SimCLTL17.txt", 17)</f>
        <v>17</v>
      </c>
      <c r="CF8">
        <f>HYPERLINK("http://exon.niaid.nih.gov/transcriptome/Anopheles_sialome/links/cluster-b/anopheline-sialome-cds-pep-larger-orf75-50SimCLU12.txt", 12)</f>
        <v>12</v>
      </c>
      <c r="CG8">
        <f>HYPERLINK("http://exon.niaid.nih.gov/transcriptome/Anopheles_sialome/links/cluster-b/anopheline-sialome-cds-pep-larger-orf75-50SimCLTL12.txt", 17)</f>
        <v>17</v>
      </c>
      <c r="CH8">
        <f>HYPERLINK("http://exon.niaid.nih.gov/transcriptome/Anopheles_sialome/links/cluster-b/anopheline-sialome-cds-pep-larger-orf80-50SimCLU9.txt", 9)</f>
        <v>9</v>
      </c>
      <c r="CI8">
        <f>HYPERLINK("http://exon.niaid.nih.gov/transcriptome/Anopheles_sialome/links/cluster-b/anopheline-sialome-cds-pep-larger-orf80-50SimCLTL9.txt", 17)</f>
        <v>17</v>
      </c>
      <c r="CJ8">
        <f>HYPERLINK("http://exon.niaid.nih.gov/transcriptome/Anopheles_sialome/links/cluster-b/anopheline-sialome-cds-pep-larger-orf85-50SimCLU11.txt", 11)</f>
        <v>11</v>
      </c>
      <c r="CK8">
        <f>HYPERLINK("http://exon.niaid.nih.gov/transcriptome/Anopheles_sialome/links/cluster-b/anopheline-sialome-cds-pep-larger-orf85-50SimCLTL11.txt", 13)</f>
        <v>13</v>
      </c>
      <c r="CL8">
        <f>HYPERLINK("http://exon.niaid.nih.gov/transcriptome/Anopheles_sialome/links/cluster-b/anopheline-sialome-cds-pep-larger-orf90-50SimCLU8.txt", 8)</f>
        <v>8</v>
      </c>
      <c r="CM8">
        <f>HYPERLINK("http://exon.niaid.nih.gov/transcriptome/Anopheles_sialome/links/cluster-b/anopheline-sialome-cds-pep-larger-orf90-50SimCLTL8.txt", 12)</f>
        <v>12</v>
      </c>
      <c r="CN8">
        <f>HYPERLINK("http://exon.niaid.nih.gov/transcriptome/Anopheles_sialome/links/cluster-b/anopheline-sialome-cds-pep-larger-orf95-50SimCLU5.txt", 5)</f>
        <v>5</v>
      </c>
      <c r="CO8">
        <f>HYPERLINK("http://exon.niaid.nih.gov/transcriptome/Anopheles_sialome/links/cluster-b/anopheline-sialome-cds-pep-larger-orf95-50SimCLTL5.txt", 6)</f>
        <v>6</v>
      </c>
    </row>
    <row r="9" spans="1:93">
      <c r="A9" s="2" t="str">
        <f>HYPERLINK("http://exon.niaid.nih.gov/transcriptome/Anopheles_sialome/links/cds/anomel_apy-cds.txt","anomel_apy")</f>
        <v>anomel_apy</v>
      </c>
      <c r="B9">
        <v>1674</v>
      </c>
      <c r="C9" t="s">
        <v>104</v>
      </c>
      <c r="D9" t="s">
        <v>7</v>
      </c>
      <c r="E9" t="s">
        <v>5</v>
      </c>
      <c r="F9" t="s">
        <v>1</v>
      </c>
      <c r="G9" t="str">
        <f>HYPERLINK("http://exon.niaid.nih.gov/transcriptome/Anopheles_sialome/links/pep/anomel_apy-pep.txt","anomel_apy")</f>
        <v>anomel_apy</v>
      </c>
      <c r="H9">
        <v>557</v>
      </c>
      <c r="I9">
        <v>1</v>
      </c>
      <c r="J9" s="3" t="str">
        <f>HYPERLINK("http://exon.niaid.nih.gov/transcriptome/Anopheles_sialome/links/Sigp/anomel_apy-SigP.txt","SIG")</f>
        <v>SIG</v>
      </c>
      <c r="K9" t="s">
        <v>695</v>
      </c>
      <c r="L9">
        <v>61.831000000000003</v>
      </c>
      <c r="M9">
        <v>8.9700000000000006</v>
      </c>
      <c r="N9">
        <v>59.488</v>
      </c>
      <c r="O9">
        <v>8.83</v>
      </c>
      <c r="P9" t="s">
        <v>891</v>
      </c>
      <c r="Q9" s="3">
        <v>0</v>
      </c>
      <c r="R9" t="s">
        <v>128</v>
      </c>
      <c r="S9" t="s">
        <v>128</v>
      </c>
      <c r="T9" t="s">
        <v>128</v>
      </c>
      <c r="U9" t="s">
        <v>128</v>
      </c>
      <c r="V9" t="s">
        <v>128</v>
      </c>
      <c r="W9" s="3" t="str">
        <f>HYPERLINK("http://exon.niaid.nih.gov/transcriptome/Anopheles_sialome/links/netoglyc/anomel_apy-netoglyc.txt","0")</f>
        <v>0</v>
      </c>
      <c r="X9">
        <v>12.2</v>
      </c>
      <c r="Y9">
        <v>6.6</v>
      </c>
      <c r="Z9">
        <v>3.9</v>
      </c>
      <c r="AA9" t="s">
        <v>654</v>
      </c>
      <c r="AB9" t="s">
        <v>896</v>
      </c>
      <c r="AC9" s="2" t="str">
        <f>HYPERLINK("http://exon.niaid.nih.gov/transcriptome/Anopheles_sialome/links/DIPTERA/anomel_apy-DIPTERA.txt","apyrase")</f>
        <v>apyrase</v>
      </c>
      <c r="AD9" t="str">
        <f>HYPERLINK("http://www.ncbi.nlm.nih.gov/sutils/blink.cgi?pid=4582524","0.0")</f>
        <v>0.0</v>
      </c>
      <c r="AE9" t="str">
        <f>HYPERLINK("http://www.ncbi.nlm.nih.gov/protein/4582524","gi|4582524")</f>
        <v>gi|4582524</v>
      </c>
      <c r="AF9">
        <v>98</v>
      </c>
      <c r="AG9">
        <v>99</v>
      </c>
      <c r="AH9">
        <v>100</v>
      </c>
      <c r="AI9" t="s">
        <v>2254</v>
      </c>
      <c r="AJ9" s="2" t="s">
        <v>128</v>
      </c>
      <c r="AK9" t="s">
        <v>128</v>
      </c>
      <c r="AL9" t="s">
        <v>128</v>
      </c>
      <c r="AM9" t="s">
        <v>128</v>
      </c>
      <c r="AN9" t="s">
        <v>128</v>
      </c>
      <c r="AO9" t="s">
        <v>128</v>
      </c>
      <c r="AP9" t="s">
        <v>128</v>
      </c>
      <c r="AQ9" s="2" t="str">
        <f>HYPERLINK("http://exon.niaid.nih.gov/transcriptome/Anopheles_sialome/links/NR-LIGHT/anomel_apy-NR-LIGHT.txt","apyrase")</f>
        <v>apyrase</v>
      </c>
      <c r="AR9" t="str">
        <f>HYPERLINK("http://www.ncbi.nlm.nih.gov/sutils/blink.cgi?pid=4582524","0.0")</f>
        <v>0.0</v>
      </c>
      <c r="AS9" t="str">
        <f>HYPERLINK("http://www.ncbi.nlm.nih.gov/protein/4582524","gi|4582524")</f>
        <v>gi|4582524</v>
      </c>
      <c r="AT9">
        <v>98</v>
      </c>
      <c r="AU9">
        <v>99</v>
      </c>
      <c r="AV9">
        <v>100</v>
      </c>
      <c r="AW9" t="s">
        <v>2254</v>
      </c>
      <c r="AX9" s="2" t="str">
        <f>HYPERLINK("http://exon.niaid.nih.gov/transcriptome/Anopheles_sialome/links/CDD/anomel_apy-CDD.txt","MPP_CD73_N")</f>
        <v>MPP_CD73_N</v>
      </c>
      <c r="AY9" t="str">
        <f>HYPERLINK("http://www.ncbi.nlm.nih.gov/Structure/cdd/cddsrv.cgi?uid=cd07409&amp;version=v4.0","1E-111")</f>
        <v>1E-111</v>
      </c>
      <c r="AZ9" t="s">
        <v>2402</v>
      </c>
      <c r="BA9" s="2" t="str">
        <f>HYPERLINK("http://exon.niaid.nih.gov/transcriptome/Anopheles_sialome/links/KOG/anomel_apy-KOG.txt","5' nucleotidase")</f>
        <v>5' nucleotidase</v>
      </c>
      <c r="BB9" t="str">
        <f>HYPERLINK("http://www.ncbi.nlm.nih.gov/Structure/cdd/cddsrv.cgi?uid=KOG4419","2E-053")</f>
        <v>2E-053</v>
      </c>
      <c r="BC9" t="s">
        <v>2398</v>
      </c>
      <c r="BD9" t="str">
        <f>HYPERLINK("http://exon.niaid.nih.gov/transcriptome/Anopheles_sialome/links/KOG/anomel_apy-KOG.txt","KOG4419")</f>
        <v>KOG4419</v>
      </c>
      <c r="BE9" t="str">
        <f>HYPERLINK("http://exon.niaid.nih.gov/transcriptome/Anopheles_sialome/links/PFAM/anomel_apy-PFAM.txt","5_nucleotid_C")</f>
        <v>5_nucleotid_C</v>
      </c>
      <c r="BF9" t="str">
        <f>HYPERLINK("http://pfam.sanger.ac.uk/family?acc=PF02872","2E-034")</f>
        <v>2E-034</v>
      </c>
      <c r="BG9" s="2" t="str">
        <f>HYPERLINK("http://exon.niaid.nih.gov/transcriptome/Anopheles_sialome/links/SMART/anomel_apy-SMART.txt","PGA_cap")</f>
        <v>PGA_cap</v>
      </c>
      <c r="BH9" t="str">
        <f>HYPERLINK("http://smart.embl-heidelberg.de/smart/do_annotation.pl?DOMAIN=PGA_cap&amp;BLAST=DUMMY","3E-010")</f>
        <v>3E-010</v>
      </c>
      <c r="BI9" t="s">
        <v>128</v>
      </c>
      <c r="BJ9" s="2" t="s">
        <v>128</v>
      </c>
      <c r="BK9" t="s">
        <v>899</v>
      </c>
      <c r="BL9">
        <f>HYPERLINK("http://exon.niaid.nih.gov/transcriptome/Anopheles_sialome/links/cluster-b/anopheline-sialome-cds-pep-larger-orf25-50SimCLU9.txt", 9)</f>
        <v>9</v>
      </c>
      <c r="BM9">
        <f>HYPERLINK("http://exon.niaid.nih.gov/transcriptome/Anopheles_sialome/links/cluster-b/anopheline-sialome-cds-pep-larger-orf25-50SimCLTL9.txt", 35)</f>
        <v>35</v>
      </c>
      <c r="BN9">
        <f>HYPERLINK("http://exon.niaid.nih.gov/transcriptome/Anopheles_sialome/links/cluster-b/anopheline-sialome-cds-pep-larger-orf30-50SimCLU8.txt", 8)</f>
        <v>8</v>
      </c>
      <c r="BO9">
        <f>HYPERLINK("http://exon.niaid.nih.gov/transcriptome/Anopheles_sialome/links/cluster-b/anopheline-sialome-cds-pep-larger-orf30-50SimCLTL8.txt", 35)</f>
        <v>35</v>
      </c>
      <c r="BP9">
        <f>HYPERLINK("http://exon.niaid.nih.gov/transcriptome/Anopheles_sialome/links/cluster-b/anopheline-sialome-cds-pep-larger-orf35-50SimCLU9.txt", 9)</f>
        <v>9</v>
      </c>
      <c r="BQ9">
        <f>HYPERLINK("http://exon.niaid.nih.gov/transcriptome/Anopheles_sialome/links/cluster-b/anopheline-sialome-cds-pep-larger-orf35-50SimCLTL9.txt", 35)</f>
        <v>35</v>
      </c>
      <c r="BR9">
        <f>HYPERLINK("http://exon.niaid.nih.gov/transcriptome/Anopheles_sialome/links/cluster-b/anopheline-sialome-cds-pep-larger-orf40-50SimCLU8.txt", 8)</f>
        <v>8</v>
      </c>
      <c r="BS9">
        <f>HYPERLINK("http://exon.niaid.nih.gov/transcriptome/Anopheles_sialome/links/cluster-b/anopheline-sialome-cds-pep-larger-orf40-50SimCLTL8.txt", 35)</f>
        <v>35</v>
      </c>
      <c r="BT9">
        <f>HYPERLINK("http://exon.niaid.nih.gov/transcriptome/Anopheles_sialome/links/cluster-b/anopheline-sialome-cds-pep-larger-orf45-50SimCLU7.txt", 7)</f>
        <v>7</v>
      </c>
      <c r="BU9">
        <f>HYPERLINK("http://exon.niaid.nih.gov/transcriptome/Anopheles_sialome/links/cluster-b/anopheline-sialome-cds-pep-larger-orf45-50SimCLTL7.txt", 35)</f>
        <v>35</v>
      </c>
      <c r="BV9">
        <f>HYPERLINK("http://exon.niaid.nih.gov/transcriptome/Anopheles_sialome/links/cluster-b/anopheline-sialome-cds-pep-larger-orf50-50SimCLU7.txt", 7)</f>
        <v>7</v>
      </c>
      <c r="BW9">
        <f>HYPERLINK("http://exon.niaid.nih.gov/transcriptome/Anopheles_sialome/links/cluster-b/anopheline-sialome-cds-pep-larger-orf50-50SimCLTL7.txt", 35)</f>
        <v>35</v>
      </c>
      <c r="BX9">
        <f>HYPERLINK("http://exon.niaid.nih.gov/transcriptome/Anopheles_sialome/links/cluster-b/anopheline-sialome-cds-pep-larger-orf55-50SimCLU7.txt", 7)</f>
        <v>7</v>
      </c>
      <c r="BY9">
        <f>HYPERLINK("http://exon.niaid.nih.gov/transcriptome/Anopheles_sialome/links/cluster-b/anopheline-sialome-cds-pep-larger-orf55-50SimCLTL7.txt", 35)</f>
        <v>35</v>
      </c>
      <c r="BZ9">
        <f>HYPERLINK("http://exon.niaid.nih.gov/transcriptome/Anopheles_sialome/links/cluster-b/anopheline-sialome-cds-pep-larger-orf60-50SimCLU5.txt", 5)</f>
        <v>5</v>
      </c>
      <c r="CA9">
        <f>HYPERLINK("http://exon.niaid.nih.gov/transcriptome/Anopheles_sialome/links/cluster-b/anopheline-sialome-cds-pep-larger-orf60-50SimCLTL5.txt", 35)</f>
        <v>35</v>
      </c>
      <c r="CB9">
        <f>HYPERLINK("http://exon.niaid.nih.gov/transcriptome/Anopheles_sialome/links/cluster-b/anopheline-sialome-cds-pep-larger-orf65-50SimCLU3.txt", 3)</f>
        <v>3</v>
      </c>
      <c r="CC9">
        <f>HYPERLINK("http://exon.niaid.nih.gov/transcriptome/Anopheles_sialome/links/cluster-b/anopheline-sialome-cds-pep-larger-orf65-50SimCLTL3.txt", 35)</f>
        <v>35</v>
      </c>
      <c r="CD9">
        <f>HYPERLINK("http://exon.niaid.nih.gov/transcriptome/Anopheles_sialome/links/cluster-b/anopheline-sialome-cds-pep-larger-orf70-50SimCLU17.txt", 17)</f>
        <v>17</v>
      </c>
      <c r="CE9">
        <f>HYPERLINK("http://exon.niaid.nih.gov/transcriptome/Anopheles_sialome/links/cluster-b/anopheline-sialome-cds-pep-larger-orf70-50SimCLTL17.txt", 17)</f>
        <v>17</v>
      </c>
      <c r="CF9">
        <f>HYPERLINK("http://exon.niaid.nih.gov/transcriptome/Anopheles_sialome/links/cluster-b/anopheline-sialome-cds-pep-larger-orf75-50SimCLU12.txt", 12)</f>
        <v>12</v>
      </c>
      <c r="CG9">
        <f>HYPERLINK("http://exon.niaid.nih.gov/transcriptome/Anopheles_sialome/links/cluster-b/anopheline-sialome-cds-pep-larger-orf75-50SimCLTL12.txt", 17)</f>
        <v>17</v>
      </c>
      <c r="CH9">
        <f>HYPERLINK("http://exon.niaid.nih.gov/transcriptome/Anopheles_sialome/links/cluster-b/anopheline-sialome-cds-pep-larger-orf80-50SimCLU9.txt", 9)</f>
        <v>9</v>
      </c>
      <c r="CI9">
        <f>HYPERLINK("http://exon.niaid.nih.gov/transcriptome/Anopheles_sialome/links/cluster-b/anopheline-sialome-cds-pep-larger-orf80-50SimCLTL9.txt", 17)</f>
        <v>17</v>
      </c>
      <c r="CJ9">
        <f>HYPERLINK("http://exon.niaid.nih.gov/transcriptome/Anopheles_sialome/links/cluster-b/anopheline-sialome-cds-pep-larger-orf85-50SimCLU11.txt", 11)</f>
        <v>11</v>
      </c>
      <c r="CK9">
        <f>HYPERLINK("http://exon.niaid.nih.gov/transcriptome/Anopheles_sialome/links/cluster-b/anopheline-sialome-cds-pep-larger-orf85-50SimCLTL11.txt", 13)</f>
        <v>13</v>
      </c>
      <c r="CL9">
        <f>HYPERLINK("http://exon.niaid.nih.gov/transcriptome/Anopheles_sialome/links/cluster-b/anopheline-sialome-cds-pep-larger-orf90-50SimCLU8.txt", 8)</f>
        <v>8</v>
      </c>
      <c r="CM9">
        <f>HYPERLINK("http://exon.niaid.nih.gov/transcriptome/Anopheles_sialome/links/cluster-b/anopheline-sialome-cds-pep-larger-orf90-50SimCLTL8.txt", 12)</f>
        <v>12</v>
      </c>
      <c r="CN9">
        <f>HYPERLINK("http://exon.niaid.nih.gov/transcriptome/Anopheles_sialome/links/cluster-b/anopheline-sialome-cds-pep-larger-orf95-50SimCLU5.txt", 5)</f>
        <v>5</v>
      </c>
      <c r="CO9">
        <f>HYPERLINK("http://exon.niaid.nih.gov/transcriptome/Anopheles_sialome/links/cluster-b/anopheline-sialome-cds-pep-larger-orf95-50SimCLTL5.txt", 6)</f>
        <v>6</v>
      </c>
    </row>
    <row r="10" spans="1:93">
      <c r="A10" s="2" t="str">
        <f>HYPERLINK("http://exon.niaid.nih.gov/transcriptome/Anopheles_sialome/links/cds/anochris_apy-cds.txt","anochris_apy")</f>
        <v>anochris_apy</v>
      </c>
      <c r="B10">
        <v>1680</v>
      </c>
      <c r="C10" t="s">
        <v>105</v>
      </c>
      <c r="D10" t="s">
        <v>7</v>
      </c>
      <c r="E10" t="s">
        <v>5</v>
      </c>
      <c r="F10" t="s">
        <v>1</v>
      </c>
      <c r="G10" t="str">
        <f>HYPERLINK("http://exon.niaid.nih.gov/transcriptome/Anopheles_sialome/links/pep/anochris_apy-pep.txt","anochris_apy")</f>
        <v>anochris_apy</v>
      </c>
      <c r="H10">
        <v>559</v>
      </c>
      <c r="I10">
        <v>1</v>
      </c>
      <c r="J10" s="3" t="str">
        <f>HYPERLINK("http://exon.niaid.nih.gov/transcriptome/Anopheles_sialome/links/Sigp/anochris_apy-SigP.txt","SIG")</f>
        <v>SIG</v>
      </c>
      <c r="K10" t="s">
        <v>715</v>
      </c>
      <c r="L10">
        <v>61.938000000000002</v>
      </c>
      <c r="M10">
        <v>9.08</v>
      </c>
      <c r="N10">
        <v>59.384999999999998</v>
      </c>
      <c r="O10">
        <v>9.1199999999999992</v>
      </c>
      <c r="P10" t="s">
        <v>901</v>
      </c>
      <c r="Q10" s="3">
        <v>0</v>
      </c>
      <c r="R10" t="s">
        <v>128</v>
      </c>
      <c r="S10" t="s">
        <v>128</v>
      </c>
      <c r="T10" t="s">
        <v>128</v>
      </c>
      <c r="U10" t="s">
        <v>128</v>
      </c>
      <c r="V10" t="s">
        <v>128</v>
      </c>
      <c r="W10" s="3" t="str">
        <f>HYPERLINK("http://exon.niaid.nih.gov/transcriptome/Anopheles_sialome/links/netoglyc/anochris_apy-netoglyc.txt","0")</f>
        <v>0</v>
      </c>
      <c r="X10">
        <v>12.2</v>
      </c>
      <c r="Y10">
        <v>7.2</v>
      </c>
      <c r="Z10">
        <v>3.8</v>
      </c>
      <c r="AA10" t="s">
        <v>654</v>
      </c>
      <c r="AB10" t="s">
        <v>128</v>
      </c>
      <c r="AC10" s="2" t="str">
        <f>HYPERLINK("http://exon.niaid.nih.gov/transcriptome/Anopheles_sialome/links/DIPTERA/anochris_apy-DIPTERA.txt","AGAP011971-PA")</f>
        <v>AGAP011971-PA</v>
      </c>
      <c r="AD10" t="str">
        <f>HYPERLINK("http://www.ncbi.nlm.nih.gov/sutils/blink.cgi?pid=55234710","0.0")</f>
        <v>0.0</v>
      </c>
      <c r="AE10" t="str">
        <f>HYPERLINK("http://www.ncbi.nlm.nih.gov/protein/55234710","gi|55234710")</f>
        <v>gi|55234710</v>
      </c>
      <c r="AF10">
        <v>84</v>
      </c>
      <c r="AG10">
        <v>92</v>
      </c>
      <c r="AH10">
        <v>100</v>
      </c>
      <c r="AI10" t="s">
        <v>2285</v>
      </c>
      <c r="AJ10" s="2" t="s">
        <v>128</v>
      </c>
      <c r="AK10" t="s">
        <v>128</v>
      </c>
      <c r="AL10" t="s">
        <v>128</v>
      </c>
      <c r="AM10" t="s">
        <v>128</v>
      </c>
      <c r="AN10" t="s">
        <v>128</v>
      </c>
      <c r="AO10" t="s">
        <v>128</v>
      </c>
      <c r="AP10" t="s">
        <v>128</v>
      </c>
      <c r="AQ10" s="2" t="str">
        <f>HYPERLINK("http://exon.niaid.nih.gov/transcriptome/Anopheles_sialome/links/NR-LIGHT/anochris_apy-NR-LIGHT.txt","AGAP011971-PA")</f>
        <v>AGAP011971-PA</v>
      </c>
      <c r="AR10" t="str">
        <f>HYPERLINK("http://www.ncbi.nlm.nih.gov/sutils/blink.cgi?pid=58394160","0.0")</f>
        <v>0.0</v>
      </c>
      <c r="AS10" t="str">
        <f>HYPERLINK("http://www.ncbi.nlm.nih.gov/protein/58394160","gi|58394160")</f>
        <v>gi|58394160</v>
      </c>
      <c r="AT10">
        <v>84</v>
      </c>
      <c r="AU10">
        <v>92</v>
      </c>
      <c r="AV10">
        <v>100</v>
      </c>
      <c r="AW10" t="s">
        <v>2285</v>
      </c>
      <c r="AX10" s="2" t="str">
        <f>HYPERLINK("http://exon.niaid.nih.gov/transcriptome/Anopheles_sialome/links/CDD/anochris_apy-CDD.txt","MPP_CD73_N")</f>
        <v>MPP_CD73_N</v>
      </c>
      <c r="AY10" t="str">
        <f>HYPERLINK("http://www.ncbi.nlm.nih.gov/Structure/cdd/cddsrv.cgi?uid=cd07409&amp;version=v4.0","1E-108")</f>
        <v>1E-108</v>
      </c>
      <c r="AZ10" t="s">
        <v>2403</v>
      </c>
      <c r="BA10" s="2" t="str">
        <f>HYPERLINK("http://exon.niaid.nih.gov/transcriptome/Anopheles_sialome/links/KOG/anochris_apy-KOG.txt","5' nucleotidase")</f>
        <v>5' nucleotidase</v>
      </c>
      <c r="BB10" t="str">
        <f>HYPERLINK("http://www.ncbi.nlm.nih.gov/Structure/cdd/cddsrv.cgi?uid=KOG4419","2E-055")</f>
        <v>2E-055</v>
      </c>
      <c r="BC10" t="s">
        <v>2398</v>
      </c>
      <c r="BD10" t="str">
        <f>HYPERLINK("http://exon.niaid.nih.gov/transcriptome/Anopheles_sialome/links/KOG/anochris_apy-KOG.txt","KOG4419")</f>
        <v>KOG4419</v>
      </c>
      <c r="BE10" t="str">
        <f>HYPERLINK("http://exon.niaid.nih.gov/transcriptome/Anopheles_sialome/links/PFAM/anochris_apy-PFAM.txt","5_nucleotid_C")</f>
        <v>5_nucleotid_C</v>
      </c>
      <c r="BF10" t="str">
        <f>HYPERLINK("http://pfam.sanger.ac.uk/family?acc=PF02872","4E-035")</f>
        <v>4E-035</v>
      </c>
      <c r="BG10" s="2" t="str">
        <f>HYPERLINK("http://exon.niaid.nih.gov/transcriptome/Anopheles_sialome/links/SMART/anochris_apy-SMART.txt","PGA_cap")</f>
        <v>PGA_cap</v>
      </c>
      <c r="BH10" t="str">
        <f>HYPERLINK("http://smart.embl-heidelberg.de/smart/do_annotation.pl?DOMAIN=PGA_cap&amp;BLAST=DUMMY","8E-009")</f>
        <v>8E-009</v>
      </c>
      <c r="BI10" t="s">
        <v>128</v>
      </c>
      <c r="BJ10" s="2" t="s">
        <v>128</v>
      </c>
      <c r="BK10" t="s">
        <v>900</v>
      </c>
      <c r="BL10">
        <f>HYPERLINK("http://exon.niaid.nih.gov/transcriptome/Anopheles_sialome/links/cluster-b/anopheline-sialome-cds-pep-larger-orf25-50SimCLU9.txt", 9)</f>
        <v>9</v>
      </c>
      <c r="BM10">
        <f>HYPERLINK("http://exon.niaid.nih.gov/transcriptome/Anopheles_sialome/links/cluster-b/anopheline-sialome-cds-pep-larger-orf25-50SimCLTL9.txt", 35)</f>
        <v>35</v>
      </c>
      <c r="BN10">
        <f>HYPERLINK("http://exon.niaid.nih.gov/transcriptome/Anopheles_sialome/links/cluster-b/anopheline-sialome-cds-pep-larger-orf30-50SimCLU8.txt", 8)</f>
        <v>8</v>
      </c>
      <c r="BO10">
        <f>HYPERLINK("http://exon.niaid.nih.gov/transcriptome/Anopheles_sialome/links/cluster-b/anopheline-sialome-cds-pep-larger-orf30-50SimCLTL8.txt", 35)</f>
        <v>35</v>
      </c>
      <c r="BP10">
        <f>HYPERLINK("http://exon.niaid.nih.gov/transcriptome/Anopheles_sialome/links/cluster-b/anopheline-sialome-cds-pep-larger-orf35-50SimCLU9.txt", 9)</f>
        <v>9</v>
      </c>
      <c r="BQ10">
        <f>HYPERLINK("http://exon.niaid.nih.gov/transcriptome/Anopheles_sialome/links/cluster-b/anopheline-sialome-cds-pep-larger-orf35-50SimCLTL9.txt", 35)</f>
        <v>35</v>
      </c>
      <c r="BR10">
        <f>HYPERLINK("http://exon.niaid.nih.gov/transcriptome/Anopheles_sialome/links/cluster-b/anopheline-sialome-cds-pep-larger-orf40-50SimCLU8.txt", 8)</f>
        <v>8</v>
      </c>
      <c r="BS10">
        <f>HYPERLINK("http://exon.niaid.nih.gov/transcriptome/Anopheles_sialome/links/cluster-b/anopheline-sialome-cds-pep-larger-orf40-50SimCLTL8.txt", 35)</f>
        <v>35</v>
      </c>
      <c r="BT10">
        <f>HYPERLINK("http://exon.niaid.nih.gov/transcriptome/Anopheles_sialome/links/cluster-b/anopheline-sialome-cds-pep-larger-orf45-50SimCLU7.txt", 7)</f>
        <v>7</v>
      </c>
      <c r="BU10">
        <f>HYPERLINK("http://exon.niaid.nih.gov/transcriptome/Anopheles_sialome/links/cluster-b/anopheline-sialome-cds-pep-larger-orf45-50SimCLTL7.txt", 35)</f>
        <v>35</v>
      </c>
      <c r="BV10">
        <f>HYPERLINK("http://exon.niaid.nih.gov/transcriptome/Anopheles_sialome/links/cluster-b/anopheline-sialome-cds-pep-larger-orf50-50SimCLU7.txt", 7)</f>
        <v>7</v>
      </c>
      <c r="BW10">
        <f>HYPERLINK("http://exon.niaid.nih.gov/transcriptome/Anopheles_sialome/links/cluster-b/anopheline-sialome-cds-pep-larger-orf50-50SimCLTL7.txt", 35)</f>
        <v>35</v>
      </c>
      <c r="BX10">
        <f>HYPERLINK("http://exon.niaid.nih.gov/transcriptome/Anopheles_sialome/links/cluster-b/anopheline-sialome-cds-pep-larger-orf55-50SimCLU7.txt", 7)</f>
        <v>7</v>
      </c>
      <c r="BY10">
        <f>HYPERLINK("http://exon.niaid.nih.gov/transcriptome/Anopheles_sialome/links/cluster-b/anopheline-sialome-cds-pep-larger-orf55-50SimCLTL7.txt", 35)</f>
        <v>35</v>
      </c>
      <c r="BZ10">
        <f>HYPERLINK("http://exon.niaid.nih.gov/transcriptome/Anopheles_sialome/links/cluster-b/anopheline-sialome-cds-pep-larger-orf60-50SimCLU5.txt", 5)</f>
        <v>5</v>
      </c>
      <c r="CA10">
        <f>HYPERLINK("http://exon.niaid.nih.gov/transcriptome/Anopheles_sialome/links/cluster-b/anopheline-sialome-cds-pep-larger-orf60-50SimCLTL5.txt", 35)</f>
        <v>35</v>
      </c>
      <c r="CB10">
        <f>HYPERLINK("http://exon.niaid.nih.gov/transcriptome/Anopheles_sialome/links/cluster-b/anopheline-sialome-cds-pep-larger-orf65-50SimCLU3.txt", 3)</f>
        <v>3</v>
      </c>
      <c r="CC10">
        <f>HYPERLINK("http://exon.niaid.nih.gov/transcriptome/Anopheles_sialome/links/cluster-b/anopheline-sialome-cds-pep-larger-orf65-50SimCLTL3.txt", 35)</f>
        <v>35</v>
      </c>
      <c r="CD10">
        <f>HYPERLINK("http://exon.niaid.nih.gov/transcriptome/Anopheles_sialome/links/cluster-b/anopheline-sialome-cds-pep-larger-orf70-50SimCLU17.txt", 17)</f>
        <v>17</v>
      </c>
      <c r="CE10">
        <f>HYPERLINK("http://exon.niaid.nih.gov/transcriptome/Anopheles_sialome/links/cluster-b/anopheline-sialome-cds-pep-larger-orf70-50SimCLTL17.txt", 17)</f>
        <v>17</v>
      </c>
      <c r="CF10">
        <f>HYPERLINK("http://exon.niaid.nih.gov/transcriptome/Anopheles_sialome/links/cluster-b/anopheline-sialome-cds-pep-larger-orf75-50SimCLU12.txt", 12)</f>
        <v>12</v>
      </c>
      <c r="CG10">
        <f>HYPERLINK("http://exon.niaid.nih.gov/transcriptome/Anopheles_sialome/links/cluster-b/anopheline-sialome-cds-pep-larger-orf75-50SimCLTL12.txt", 17)</f>
        <v>17</v>
      </c>
      <c r="CH10">
        <f>HYPERLINK("http://exon.niaid.nih.gov/transcriptome/Anopheles_sialome/links/cluster-b/anopheline-sialome-cds-pep-larger-orf80-50SimCLU9.txt", 9)</f>
        <v>9</v>
      </c>
      <c r="CI10">
        <f>HYPERLINK("http://exon.niaid.nih.gov/transcriptome/Anopheles_sialome/links/cluster-b/anopheline-sialome-cds-pep-larger-orf80-50SimCLTL9.txt", 17)</f>
        <v>17</v>
      </c>
      <c r="CJ10">
        <f>HYPERLINK("http://exon.niaid.nih.gov/transcriptome/Anopheles_sialome/links/cluster-b/anopheline-sialome-cds-pep-larger-orf85-50SimCLU11.txt", 11)</f>
        <v>11</v>
      </c>
      <c r="CK10">
        <f>HYPERLINK("http://exon.niaid.nih.gov/transcriptome/Anopheles_sialome/links/cluster-b/anopheline-sialome-cds-pep-larger-orf85-50SimCLTL11.txt", 13)</f>
        <v>13</v>
      </c>
      <c r="CL10">
        <f>HYPERLINK("http://exon.niaid.nih.gov/transcriptome/Anopheles_sialome/links/cluster-b/anopheline-sialome-cds-pep-larger-orf90-50SimCLU8.txt", 8)</f>
        <v>8</v>
      </c>
      <c r="CM10">
        <f>HYPERLINK("http://exon.niaid.nih.gov/transcriptome/Anopheles_sialome/links/cluster-b/anopheline-sialome-cds-pep-larger-orf90-50SimCLTL8.txt", 12)</f>
        <v>12</v>
      </c>
      <c r="CN10">
        <v>120</v>
      </c>
      <c r="CO10">
        <v>1</v>
      </c>
    </row>
    <row r="11" spans="1:93">
      <c r="A11" s="2" t="str">
        <f>HYPERLINK("http://exon.niaid.nih.gov/transcriptome/Anopheles_sialome/links/cds/anoepi_apy-cds.txt","anoepi_apy")</f>
        <v>anoepi_apy</v>
      </c>
      <c r="B11">
        <v>1680</v>
      </c>
      <c r="C11" t="s">
        <v>106</v>
      </c>
      <c r="D11" t="s">
        <v>7</v>
      </c>
      <c r="E11" t="s">
        <v>5</v>
      </c>
      <c r="F11" t="s">
        <v>1</v>
      </c>
      <c r="G11" t="str">
        <f>HYPERLINK("http://exon.niaid.nih.gov/transcriptome/Anopheles_sialome/links/pep/anoepi_apy-pep.txt","anoepi_apy")</f>
        <v>anoepi_apy</v>
      </c>
      <c r="H11">
        <v>559</v>
      </c>
      <c r="I11">
        <v>0</v>
      </c>
      <c r="J11" s="3" t="str">
        <f>HYPERLINK("http://exon.niaid.nih.gov/transcriptome/Anopheles_sialome/links/Sigp/anoepi_apy-SigP.txt","SIG")</f>
        <v>SIG</v>
      </c>
      <c r="K11" t="s">
        <v>715</v>
      </c>
      <c r="L11">
        <v>62.164000000000001</v>
      </c>
      <c r="M11">
        <v>8.52</v>
      </c>
      <c r="N11">
        <v>59.554000000000002</v>
      </c>
      <c r="O11">
        <v>8.11</v>
      </c>
      <c r="P11" t="s">
        <v>867</v>
      </c>
      <c r="Q11" s="3">
        <v>0</v>
      </c>
      <c r="R11" t="s">
        <v>128</v>
      </c>
      <c r="S11" t="s">
        <v>128</v>
      </c>
      <c r="T11" t="s">
        <v>128</v>
      </c>
      <c r="U11" t="s">
        <v>128</v>
      </c>
      <c r="V11" t="s">
        <v>128</v>
      </c>
      <c r="W11" s="3" t="str">
        <f>HYPERLINK("http://exon.niaid.nih.gov/transcriptome/Anopheles_sialome/links/netoglyc/anoepi_apy-netoglyc.txt","1")</f>
        <v>1</v>
      </c>
      <c r="X11">
        <v>12.2</v>
      </c>
      <c r="Y11">
        <v>6.6</v>
      </c>
      <c r="Z11">
        <v>3.9</v>
      </c>
      <c r="AA11" t="s">
        <v>654</v>
      </c>
      <c r="AB11" t="s">
        <v>128</v>
      </c>
      <c r="AC11" s="2" t="str">
        <f>HYPERLINK("http://exon.niaid.nih.gov/transcriptome/Anopheles_sialome/links/DIPTERA/anoepi_apy-DIPTERA.txt","apyrase")</f>
        <v>apyrase</v>
      </c>
      <c r="AD11" t="str">
        <f>HYPERLINK("http://www.ncbi.nlm.nih.gov/sutils/blink.cgi?pid=4582524","0.0")</f>
        <v>0.0</v>
      </c>
      <c r="AE11" t="str">
        <f>HYPERLINK("http://www.ncbi.nlm.nih.gov/protein/4582524","gi|4582524")</f>
        <v>gi|4582524</v>
      </c>
      <c r="AF11">
        <v>85</v>
      </c>
      <c r="AG11">
        <v>93</v>
      </c>
      <c r="AH11">
        <v>100</v>
      </c>
      <c r="AI11" t="s">
        <v>2254</v>
      </c>
      <c r="AJ11" s="2" t="s">
        <v>128</v>
      </c>
      <c r="AK11" t="s">
        <v>128</v>
      </c>
      <c r="AL11" t="s">
        <v>128</v>
      </c>
      <c r="AM11" t="s">
        <v>128</v>
      </c>
      <c r="AN11" t="s">
        <v>128</v>
      </c>
      <c r="AO11" t="s">
        <v>128</v>
      </c>
      <c r="AP11" t="s">
        <v>128</v>
      </c>
      <c r="AQ11" s="2" t="str">
        <f>HYPERLINK("http://exon.niaid.nih.gov/transcriptome/Anopheles_sialome/links/NR-LIGHT/anoepi_apy-NR-LIGHT.txt","apyrase")</f>
        <v>apyrase</v>
      </c>
      <c r="AR11" t="str">
        <f>HYPERLINK("http://www.ncbi.nlm.nih.gov/sutils/blink.cgi?pid=4582524","0.0")</f>
        <v>0.0</v>
      </c>
      <c r="AS11" t="str">
        <f>HYPERLINK("http://www.ncbi.nlm.nih.gov/protein/4582524","gi|4582524")</f>
        <v>gi|4582524</v>
      </c>
      <c r="AT11">
        <v>85</v>
      </c>
      <c r="AU11">
        <v>93</v>
      </c>
      <c r="AV11">
        <v>100</v>
      </c>
      <c r="AW11" t="s">
        <v>2254</v>
      </c>
      <c r="AX11" s="2" t="str">
        <f>HYPERLINK("http://exon.niaid.nih.gov/transcriptome/Anopheles_sialome/links/CDD/anoepi_apy-CDD.txt","MPP_CD73_N")</f>
        <v>MPP_CD73_N</v>
      </c>
      <c r="AY11" t="str">
        <f>HYPERLINK("http://www.ncbi.nlm.nih.gov/Structure/cdd/cddsrv.cgi?uid=cd07409&amp;version=v4.0","1E-110")</f>
        <v>1E-110</v>
      </c>
      <c r="AZ11" t="s">
        <v>2404</v>
      </c>
      <c r="BA11" s="2" t="str">
        <f>HYPERLINK("http://exon.niaid.nih.gov/transcriptome/Anopheles_sialome/links/KOG/anoepi_apy-KOG.txt","5' nucleotidase")</f>
        <v>5' nucleotidase</v>
      </c>
      <c r="BB11" t="str">
        <f>HYPERLINK("http://www.ncbi.nlm.nih.gov/Structure/cdd/cddsrv.cgi?uid=KOG4419","8E-053")</f>
        <v>8E-053</v>
      </c>
      <c r="BC11" t="s">
        <v>2398</v>
      </c>
      <c r="BD11" t="str">
        <f>HYPERLINK("http://exon.niaid.nih.gov/transcriptome/Anopheles_sialome/links/KOG/anoepi_apy-KOG.txt","KOG4419")</f>
        <v>KOG4419</v>
      </c>
      <c r="BE11" t="str">
        <f>HYPERLINK("http://exon.niaid.nih.gov/transcriptome/Anopheles_sialome/links/PFAM/anoepi_apy-PFAM.txt","5_nucleotid_C")</f>
        <v>5_nucleotid_C</v>
      </c>
      <c r="BF11" t="str">
        <f>HYPERLINK("http://pfam.sanger.ac.uk/family?acc=PF02872","1E-033")</f>
        <v>1E-033</v>
      </c>
      <c r="BG11" s="2" t="str">
        <f>HYPERLINK("http://exon.niaid.nih.gov/transcriptome/Anopheles_sialome/links/SMART/anoepi_apy-SMART.txt","PGA_cap")</f>
        <v>PGA_cap</v>
      </c>
      <c r="BH11" t="str">
        <f>HYPERLINK("http://smart.embl-heidelberg.de/smart/do_annotation.pl?DOMAIN=PGA_cap&amp;BLAST=DUMMY","2E-009")</f>
        <v>2E-009</v>
      </c>
      <c r="BI11" t="s">
        <v>128</v>
      </c>
      <c r="BJ11" s="2" t="s">
        <v>128</v>
      </c>
      <c r="BK11" t="s">
        <v>902</v>
      </c>
      <c r="BL11">
        <f>HYPERLINK("http://exon.niaid.nih.gov/transcriptome/Anopheles_sialome/links/cluster-b/anopheline-sialome-cds-pep-larger-orf25-50SimCLU9.txt", 9)</f>
        <v>9</v>
      </c>
      <c r="BM11">
        <f>HYPERLINK("http://exon.niaid.nih.gov/transcriptome/Anopheles_sialome/links/cluster-b/anopheline-sialome-cds-pep-larger-orf25-50SimCLTL9.txt", 35)</f>
        <v>35</v>
      </c>
      <c r="BN11">
        <f>HYPERLINK("http://exon.niaid.nih.gov/transcriptome/Anopheles_sialome/links/cluster-b/anopheline-sialome-cds-pep-larger-orf30-50SimCLU8.txt", 8)</f>
        <v>8</v>
      </c>
      <c r="BO11">
        <f>HYPERLINK("http://exon.niaid.nih.gov/transcriptome/Anopheles_sialome/links/cluster-b/anopheline-sialome-cds-pep-larger-orf30-50SimCLTL8.txt", 35)</f>
        <v>35</v>
      </c>
      <c r="BP11">
        <f>HYPERLINK("http://exon.niaid.nih.gov/transcriptome/Anopheles_sialome/links/cluster-b/anopheline-sialome-cds-pep-larger-orf35-50SimCLU9.txt", 9)</f>
        <v>9</v>
      </c>
      <c r="BQ11">
        <f>HYPERLINK("http://exon.niaid.nih.gov/transcriptome/Anopheles_sialome/links/cluster-b/anopheline-sialome-cds-pep-larger-orf35-50SimCLTL9.txt", 35)</f>
        <v>35</v>
      </c>
      <c r="BR11">
        <f>HYPERLINK("http://exon.niaid.nih.gov/transcriptome/Anopheles_sialome/links/cluster-b/anopheline-sialome-cds-pep-larger-orf40-50SimCLU8.txt", 8)</f>
        <v>8</v>
      </c>
      <c r="BS11">
        <f>HYPERLINK("http://exon.niaid.nih.gov/transcriptome/Anopheles_sialome/links/cluster-b/anopheline-sialome-cds-pep-larger-orf40-50SimCLTL8.txt", 35)</f>
        <v>35</v>
      </c>
      <c r="BT11">
        <f>HYPERLINK("http://exon.niaid.nih.gov/transcriptome/Anopheles_sialome/links/cluster-b/anopheline-sialome-cds-pep-larger-orf45-50SimCLU7.txt", 7)</f>
        <v>7</v>
      </c>
      <c r="BU11">
        <f>HYPERLINK("http://exon.niaid.nih.gov/transcriptome/Anopheles_sialome/links/cluster-b/anopheline-sialome-cds-pep-larger-orf45-50SimCLTL7.txt", 35)</f>
        <v>35</v>
      </c>
      <c r="BV11">
        <f>HYPERLINK("http://exon.niaid.nih.gov/transcriptome/Anopheles_sialome/links/cluster-b/anopheline-sialome-cds-pep-larger-orf50-50SimCLU7.txt", 7)</f>
        <v>7</v>
      </c>
      <c r="BW11">
        <f>HYPERLINK("http://exon.niaid.nih.gov/transcriptome/Anopheles_sialome/links/cluster-b/anopheline-sialome-cds-pep-larger-orf50-50SimCLTL7.txt", 35)</f>
        <v>35</v>
      </c>
      <c r="BX11">
        <f>HYPERLINK("http://exon.niaid.nih.gov/transcriptome/Anopheles_sialome/links/cluster-b/anopheline-sialome-cds-pep-larger-orf55-50SimCLU7.txt", 7)</f>
        <v>7</v>
      </c>
      <c r="BY11">
        <f>HYPERLINK("http://exon.niaid.nih.gov/transcriptome/Anopheles_sialome/links/cluster-b/anopheline-sialome-cds-pep-larger-orf55-50SimCLTL7.txt", 35)</f>
        <v>35</v>
      </c>
      <c r="BZ11">
        <f>HYPERLINK("http://exon.niaid.nih.gov/transcriptome/Anopheles_sialome/links/cluster-b/anopheline-sialome-cds-pep-larger-orf60-50SimCLU5.txt", 5)</f>
        <v>5</v>
      </c>
      <c r="CA11">
        <f>HYPERLINK("http://exon.niaid.nih.gov/transcriptome/Anopheles_sialome/links/cluster-b/anopheline-sialome-cds-pep-larger-orf60-50SimCLTL5.txt", 35)</f>
        <v>35</v>
      </c>
      <c r="CB11">
        <f>HYPERLINK("http://exon.niaid.nih.gov/transcriptome/Anopheles_sialome/links/cluster-b/anopheline-sialome-cds-pep-larger-orf65-50SimCLU3.txt", 3)</f>
        <v>3</v>
      </c>
      <c r="CC11">
        <f>HYPERLINK("http://exon.niaid.nih.gov/transcriptome/Anopheles_sialome/links/cluster-b/anopheline-sialome-cds-pep-larger-orf65-50SimCLTL3.txt", 35)</f>
        <v>35</v>
      </c>
      <c r="CD11">
        <f>HYPERLINK("http://exon.niaid.nih.gov/transcriptome/Anopheles_sialome/links/cluster-b/anopheline-sialome-cds-pep-larger-orf70-50SimCLU17.txt", 17)</f>
        <v>17</v>
      </c>
      <c r="CE11">
        <f>HYPERLINK("http://exon.niaid.nih.gov/transcriptome/Anopheles_sialome/links/cluster-b/anopheline-sialome-cds-pep-larger-orf70-50SimCLTL17.txt", 17)</f>
        <v>17</v>
      </c>
      <c r="CF11">
        <f>HYPERLINK("http://exon.niaid.nih.gov/transcriptome/Anopheles_sialome/links/cluster-b/anopheline-sialome-cds-pep-larger-orf75-50SimCLU12.txt", 12)</f>
        <v>12</v>
      </c>
      <c r="CG11">
        <f>HYPERLINK("http://exon.niaid.nih.gov/transcriptome/Anopheles_sialome/links/cluster-b/anopheline-sialome-cds-pep-larger-orf75-50SimCLTL12.txt", 17)</f>
        <v>17</v>
      </c>
      <c r="CH11">
        <f>HYPERLINK("http://exon.niaid.nih.gov/transcriptome/Anopheles_sialome/links/cluster-b/anopheline-sialome-cds-pep-larger-orf80-50SimCLU9.txt", 9)</f>
        <v>9</v>
      </c>
      <c r="CI11">
        <f>HYPERLINK("http://exon.niaid.nih.gov/transcriptome/Anopheles_sialome/links/cluster-b/anopheline-sialome-cds-pep-larger-orf80-50SimCLTL9.txt", 17)</f>
        <v>17</v>
      </c>
      <c r="CJ11">
        <f>HYPERLINK("http://exon.niaid.nih.gov/transcriptome/Anopheles_sialome/links/cluster-b/anopheline-sialome-cds-pep-larger-orf85-50SimCLU11.txt", 11)</f>
        <v>11</v>
      </c>
      <c r="CK11">
        <f>HYPERLINK("http://exon.niaid.nih.gov/transcriptome/Anopheles_sialome/links/cluster-b/anopheline-sialome-cds-pep-larger-orf85-50SimCLTL11.txt", 13)</f>
        <v>13</v>
      </c>
      <c r="CL11">
        <f>HYPERLINK("http://exon.niaid.nih.gov/transcriptome/Anopheles_sialome/links/cluster-b/anopheline-sialome-cds-pep-larger-orf90-50SimCLU8.txt", 8)</f>
        <v>8</v>
      </c>
      <c r="CM11">
        <f>HYPERLINK("http://exon.niaid.nih.gov/transcriptome/Anopheles_sialome/links/cluster-b/anopheline-sialome-cds-pep-larger-orf90-50SimCLTL8.txt", 12)</f>
        <v>12</v>
      </c>
      <c r="CN11">
        <v>121</v>
      </c>
      <c r="CO11">
        <v>1</v>
      </c>
    </row>
    <row r="12" spans="1:93">
      <c r="A12" s="2" t="str">
        <f>HYPERLINK("http://exon.niaid.nih.gov/transcriptome/Anopheles_sialome/links/cds/anofun_apy-cds.txt","anofun_apy")</f>
        <v>anofun_apy</v>
      </c>
      <c r="B12">
        <v>1671</v>
      </c>
      <c r="C12" t="s">
        <v>107</v>
      </c>
      <c r="D12" t="s">
        <v>7</v>
      </c>
      <c r="E12" t="s">
        <v>5</v>
      </c>
      <c r="F12" t="s">
        <v>1</v>
      </c>
      <c r="G12" t="str">
        <f>HYPERLINK("http://exon.niaid.nih.gov/transcriptome/Anopheles_sialome/links/pep/anofun_apy-pep.txt","anofun_apy")</f>
        <v>anofun_apy</v>
      </c>
      <c r="H12">
        <v>556</v>
      </c>
      <c r="I12">
        <v>1</v>
      </c>
      <c r="J12" s="3" t="str">
        <f>HYPERLINK("http://exon.niaid.nih.gov/transcriptome/Anopheles_sialome/links/Sigp/anofun_apy-SigP.txt","SIG")</f>
        <v>SIG</v>
      </c>
      <c r="K12" t="s">
        <v>689</v>
      </c>
      <c r="L12">
        <v>62.177999999999997</v>
      </c>
      <c r="M12">
        <v>9.16</v>
      </c>
      <c r="N12">
        <v>59.896999999999998</v>
      </c>
      <c r="O12">
        <v>9.15</v>
      </c>
      <c r="P12" t="s">
        <v>904</v>
      </c>
      <c r="Q12" s="3">
        <v>0</v>
      </c>
      <c r="R12" t="s">
        <v>128</v>
      </c>
      <c r="S12" t="s">
        <v>128</v>
      </c>
      <c r="T12" t="s">
        <v>128</v>
      </c>
      <c r="U12" t="s">
        <v>128</v>
      </c>
      <c r="V12" t="s">
        <v>128</v>
      </c>
      <c r="W12" s="3" t="str">
        <f>HYPERLINK("http://exon.niaid.nih.gov/transcriptome/Anopheles_sialome/links/netoglyc/anofun_apy-netoglyc.txt","2")</f>
        <v>2</v>
      </c>
      <c r="X12">
        <v>11.7</v>
      </c>
      <c r="Y12">
        <v>6.5</v>
      </c>
      <c r="Z12">
        <v>4.0999999999999996</v>
      </c>
      <c r="AA12" t="s">
        <v>654</v>
      </c>
      <c r="AB12" t="s">
        <v>905</v>
      </c>
      <c r="AC12" s="2" t="str">
        <f>HYPERLINK("http://exon.niaid.nih.gov/transcriptome/Anopheles_sialome/links/DIPTERA/anofun_apy-DIPTERA.txt","apyrase")</f>
        <v>apyrase</v>
      </c>
      <c r="AD12" t="str">
        <f>HYPERLINK("http://www.ncbi.nlm.nih.gov/sutils/blink.cgi?pid=927214882","0.0")</f>
        <v>0.0</v>
      </c>
      <c r="AE12" t="str">
        <f>HYPERLINK("http://www.ncbi.nlm.nih.gov/protein/927214882","gi|927214882")</f>
        <v>gi|927214882</v>
      </c>
      <c r="AF12">
        <v>85</v>
      </c>
      <c r="AG12">
        <v>91</v>
      </c>
      <c r="AH12">
        <v>100</v>
      </c>
      <c r="AI12" t="s">
        <v>2405</v>
      </c>
      <c r="AJ12" s="2" t="s">
        <v>128</v>
      </c>
      <c r="AK12" t="s">
        <v>128</v>
      </c>
      <c r="AL12" t="s">
        <v>128</v>
      </c>
      <c r="AM12" t="s">
        <v>128</v>
      </c>
      <c r="AN12" t="s">
        <v>128</v>
      </c>
      <c r="AO12" t="s">
        <v>128</v>
      </c>
      <c r="AP12" t="s">
        <v>128</v>
      </c>
      <c r="AQ12" s="2" t="str">
        <f>HYPERLINK("http://exon.niaid.nih.gov/transcriptome/Anopheles_sialome/links/NR-LIGHT/anofun_apy-NR-LIGHT.txt","apyrase")</f>
        <v>apyrase</v>
      </c>
      <c r="AR12" t="str">
        <f>HYPERLINK("http://www.ncbi.nlm.nih.gov/sutils/blink.cgi?pid=927214882","0.0")</f>
        <v>0.0</v>
      </c>
      <c r="AS12" t="str">
        <f>HYPERLINK("http://www.ncbi.nlm.nih.gov/protein/927214882","gi|927214882")</f>
        <v>gi|927214882</v>
      </c>
      <c r="AT12">
        <v>85</v>
      </c>
      <c r="AU12">
        <v>91</v>
      </c>
      <c r="AV12">
        <v>100</v>
      </c>
      <c r="AW12" t="s">
        <v>2405</v>
      </c>
      <c r="AX12" s="2" t="str">
        <f>HYPERLINK("http://exon.niaid.nih.gov/transcriptome/Anopheles_sialome/links/CDD/anofun_apy-CDD.txt","MPP_CD73_N")</f>
        <v>MPP_CD73_N</v>
      </c>
      <c r="AY12" t="str">
        <f>HYPERLINK("http://www.ncbi.nlm.nih.gov/Structure/cdd/cddsrv.cgi?uid=cd07409&amp;version=v4.0","1E-109")</f>
        <v>1E-109</v>
      </c>
      <c r="AZ12" t="s">
        <v>2406</v>
      </c>
      <c r="BA12" s="2" t="str">
        <f>HYPERLINK("http://exon.niaid.nih.gov/transcriptome/Anopheles_sialome/links/KOG/anofun_apy-KOG.txt","5' nucleotidase")</f>
        <v>5' nucleotidase</v>
      </c>
      <c r="BB12" t="str">
        <f>HYPERLINK("http://www.ncbi.nlm.nih.gov/Structure/cdd/cddsrv.cgi?uid=KOG4419","6E-052")</f>
        <v>6E-052</v>
      </c>
      <c r="BC12" t="s">
        <v>2398</v>
      </c>
      <c r="BD12" t="str">
        <f>HYPERLINK("http://exon.niaid.nih.gov/transcriptome/Anopheles_sialome/links/KOG/anofun_apy-KOG.txt","KOG4419")</f>
        <v>KOG4419</v>
      </c>
      <c r="BE12" t="str">
        <f>HYPERLINK("http://exon.niaid.nih.gov/transcriptome/Anopheles_sialome/links/PFAM/anofun_apy-PFAM.txt","5_nucleotid_C")</f>
        <v>5_nucleotid_C</v>
      </c>
      <c r="BF12" t="str">
        <f>HYPERLINK("http://pfam.sanger.ac.uk/family?acc=PF02872","4E-033")</f>
        <v>4E-033</v>
      </c>
      <c r="BG12" s="2" t="str">
        <f>HYPERLINK("http://exon.niaid.nih.gov/transcriptome/Anopheles_sialome/links/SMART/anofun_apy-SMART.txt","PGA_cap")</f>
        <v>PGA_cap</v>
      </c>
      <c r="BH12" t="str">
        <f>HYPERLINK("http://smart.embl-heidelberg.de/smart/do_annotation.pl?DOMAIN=PGA_cap&amp;BLAST=DUMMY","5E-009")</f>
        <v>5E-009</v>
      </c>
      <c r="BI12" t="s">
        <v>128</v>
      </c>
      <c r="BJ12" s="2" t="s">
        <v>128</v>
      </c>
      <c r="BK12" t="s">
        <v>903</v>
      </c>
      <c r="BL12">
        <f>HYPERLINK("http://exon.niaid.nih.gov/transcriptome/Anopheles_sialome/links/cluster-b/anopheline-sialome-cds-pep-larger-orf25-50SimCLU9.txt", 9)</f>
        <v>9</v>
      </c>
      <c r="BM12">
        <f>HYPERLINK("http://exon.niaid.nih.gov/transcriptome/Anopheles_sialome/links/cluster-b/anopheline-sialome-cds-pep-larger-orf25-50SimCLTL9.txt", 35)</f>
        <v>35</v>
      </c>
      <c r="BN12">
        <f>HYPERLINK("http://exon.niaid.nih.gov/transcriptome/Anopheles_sialome/links/cluster-b/anopheline-sialome-cds-pep-larger-orf30-50SimCLU8.txt", 8)</f>
        <v>8</v>
      </c>
      <c r="BO12">
        <f>HYPERLINK("http://exon.niaid.nih.gov/transcriptome/Anopheles_sialome/links/cluster-b/anopheline-sialome-cds-pep-larger-orf30-50SimCLTL8.txt", 35)</f>
        <v>35</v>
      </c>
      <c r="BP12">
        <f>HYPERLINK("http://exon.niaid.nih.gov/transcriptome/Anopheles_sialome/links/cluster-b/anopheline-sialome-cds-pep-larger-orf35-50SimCLU9.txt", 9)</f>
        <v>9</v>
      </c>
      <c r="BQ12">
        <f>HYPERLINK("http://exon.niaid.nih.gov/transcriptome/Anopheles_sialome/links/cluster-b/anopheline-sialome-cds-pep-larger-orf35-50SimCLTL9.txt", 35)</f>
        <v>35</v>
      </c>
      <c r="BR12">
        <f>HYPERLINK("http://exon.niaid.nih.gov/transcriptome/Anopheles_sialome/links/cluster-b/anopheline-sialome-cds-pep-larger-orf40-50SimCLU8.txt", 8)</f>
        <v>8</v>
      </c>
      <c r="BS12">
        <f>HYPERLINK("http://exon.niaid.nih.gov/transcriptome/Anopheles_sialome/links/cluster-b/anopheline-sialome-cds-pep-larger-orf40-50SimCLTL8.txt", 35)</f>
        <v>35</v>
      </c>
      <c r="BT12">
        <f>HYPERLINK("http://exon.niaid.nih.gov/transcriptome/Anopheles_sialome/links/cluster-b/anopheline-sialome-cds-pep-larger-orf45-50SimCLU7.txt", 7)</f>
        <v>7</v>
      </c>
      <c r="BU12">
        <f>HYPERLINK("http://exon.niaid.nih.gov/transcriptome/Anopheles_sialome/links/cluster-b/anopheline-sialome-cds-pep-larger-orf45-50SimCLTL7.txt", 35)</f>
        <v>35</v>
      </c>
      <c r="BV12">
        <f>HYPERLINK("http://exon.niaid.nih.gov/transcriptome/Anopheles_sialome/links/cluster-b/anopheline-sialome-cds-pep-larger-orf50-50SimCLU7.txt", 7)</f>
        <v>7</v>
      </c>
      <c r="BW12">
        <f>HYPERLINK("http://exon.niaid.nih.gov/transcriptome/Anopheles_sialome/links/cluster-b/anopheline-sialome-cds-pep-larger-orf50-50SimCLTL7.txt", 35)</f>
        <v>35</v>
      </c>
      <c r="BX12">
        <f>HYPERLINK("http://exon.niaid.nih.gov/transcriptome/Anopheles_sialome/links/cluster-b/anopheline-sialome-cds-pep-larger-orf55-50SimCLU7.txt", 7)</f>
        <v>7</v>
      </c>
      <c r="BY12">
        <f>HYPERLINK("http://exon.niaid.nih.gov/transcriptome/Anopheles_sialome/links/cluster-b/anopheline-sialome-cds-pep-larger-orf55-50SimCLTL7.txt", 35)</f>
        <v>35</v>
      </c>
      <c r="BZ12">
        <f>HYPERLINK("http://exon.niaid.nih.gov/transcriptome/Anopheles_sialome/links/cluster-b/anopheline-sialome-cds-pep-larger-orf60-50SimCLU5.txt", 5)</f>
        <v>5</v>
      </c>
      <c r="CA12">
        <f>HYPERLINK("http://exon.niaid.nih.gov/transcriptome/Anopheles_sialome/links/cluster-b/anopheline-sialome-cds-pep-larger-orf60-50SimCLTL5.txt", 35)</f>
        <v>35</v>
      </c>
      <c r="CB12">
        <f>HYPERLINK("http://exon.niaid.nih.gov/transcriptome/Anopheles_sialome/links/cluster-b/anopheline-sialome-cds-pep-larger-orf65-50SimCLU3.txt", 3)</f>
        <v>3</v>
      </c>
      <c r="CC12">
        <f>HYPERLINK("http://exon.niaid.nih.gov/transcriptome/Anopheles_sialome/links/cluster-b/anopheline-sialome-cds-pep-larger-orf65-50SimCLTL3.txt", 35)</f>
        <v>35</v>
      </c>
      <c r="CD12">
        <f>HYPERLINK("http://exon.niaid.nih.gov/transcriptome/Anopheles_sialome/links/cluster-b/anopheline-sialome-cds-pep-larger-orf70-50SimCLU17.txt", 17)</f>
        <v>17</v>
      </c>
      <c r="CE12">
        <f>HYPERLINK("http://exon.niaid.nih.gov/transcriptome/Anopheles_sialome/links/cluster-b/anopheline-sialome-cds-pep-larger-orf70-50SimCLTL17.txt", 17)</f>
        <v>17</v>
      </c>
      <c r="CF12">
        <f>HYPERLINK("http://exon.niaid.nih.gov/transcriptome/Anopheles_sialome/links/cluster-b/anopheline-sialome-cds-pep-larger-orf75-50SimCLU12.txt", 12)</f>
        <v>12</v>
      </c>
      <c r="CG12">
        <f>HYPERLINK("http://exon.niaid.nih.gov/transcriptome/Anopheles_sialome/links/cluster-b/anopheline-sialome-cds-pep-larger-orf75-50SimCLTL12.txt", 17)</f>
        <v>17</v>
      </c>
      <c r="CH12">
        <f>HYPERLINK("http://exon.niaid.nih.gov/transcriptome/Anopheles_sialome/links/cluster-b/anopheline-sialome-cds-pep-larger-orf80-50SimCLU9.txt", 9)</f>
        <v>9</v>
      </c>
      <c r="CI12">
        <f>HYPERLINK("http://exon.niaid.nih.gov/transcriptome/Anopheles_sialome/links/cluster-b/anopheline-sialome-cds-pep-larger-orf80-50SimCLTL9.txt", 17)</f>
        <v>17</v>
      </c>
      <c r="CJ12">
        <f>HYPERLINK("http://exon.niaid.nih.gov/transcriptome/Anopheles_sialome/links/cluster-b/anopheline-sialome-cds-pep-larger-orf85-50SimCLU11.txt", 11)</f>
        <v>11</v>
      </c>
      <c r="CK12">
        <f>HYPERLINK("http://exon.niaid.nih.gov/transcriptome/Anopheles_sialome/links/cluster-b/anopheline-sialome-cds-pep-larger-orf85-50SimCLTL11.txt", 13)</f>
        <v>13</v>
      </c>
      <c r="CL12">
        <f>HYPERLINK("http://exon.niaid.nih.gov/transcriptome/Anopheles_sialome/links/cluster-b/anopheline-sialome-cds-pep-larger-orf90-50SimCLU8.txt", 8)</f>
        <v>8</v>
      </c>
      <c r="CM12">
        <f>HYPERLINK("http://exon.niaid.nih.gov/transcriptome/Anopheles_sialome/links/cluster-b/anopheline-sialome-cds-pep-larger-orf90-50SimCLTL8.txt", 12)</f>
        <v>12</v>
      </c>
      <c r="CN12">
        <v>122</v>
      </c>
      <c r="CO12">
        <v>1</v>
      </c>
    </row>
    <row r="13" spans="1:93">
      <c r="A13" s="2" t="str">
        <f>HYPERLINK("http://exon.niaid.nih.gov/transcriptome/Anopheles_sialome/links/cds/anomin_apy-cds.txt","anomin_apy")</f>
        <v>anomin_apy</v>
      </c>
      <c r="B13">
        <v>1671</v>
      </c>
      <c r="C13" t="s">
        <v>108</v>
      </c>
      <c r="D13" t="s">
        <v>7</v>
      </c>
      <c r="E13" t="s">
        <v>5</v>
      </c>
      <c r="F13" t="s">
        <v>1</v>
      </c>
      <c r="G13" t="str">
        <f>HYPERLINK("http://exon.niaid.nih.gov/transcriptome/Anopheles_sialome/links/pep/anomin_apy-pep.txt","anomin_apy")</f>
        <v>anomin_apy</v>
      </c>
      <c r="H13">
        <v>556</v>
      </c>
      <c r="I13">
        <v>0</v>
      </c>
      <c r="J13" s="3" t="str">
        <f>HYPERLINK("http://exon.niaid.nih.gov/transcriptome/Anopheles_sialome/links/Sigp/anomin_apy-SigP.txt","SIG")</f>
        <v>SIG</v>
      </c>
      <c r="K13" t="s">
        <v>689</v>
      </c>
      <c r="L13">
        <v>62.204000000000001</v>
      </c>
      <c r="M13">
        <v>9.01</v>
      </c>
      <c r="N13">
        <v>59.933</v>
      </c>
      <c r="O13">
        <v>9.01</v>
      </c>
      <c r="P13" t="s">
        <v>907</v>
      </c>
      <c r="Q13" s="3">
        <v>0</v>
      </c>
      <c r="R13" t="s">
        <v>128</v>
      </c>
      <c r="S13" t="s">
        <v>128</v>
      </c>
      <c r="T13" t="s">
        <v>128</v>
      </c>
      <c r="U13" t="s">
        <v>128</v>
      </c>
      <c r="V13" t="s">
        <v>128</v>
      </c>
      <c r="W13" s="3" t="str">
        <f>HYPERLINK("http://exon.niaid.nih.gov/transcriptome/Anopheles_sialome/links/netoglyc/anomin_apy-netoglyc.txt","1")</f>
        <v>1</v>
      </c>
      <c r="X13">
        <v>11.9</v>
      </c>
      <c r="Y13">
        <v>6.7</v>
      </c>
      <c r="Z13">
        <v>4</v>
      </c>
      <c r="AA13" t="s">
        <v>654</v>
      </c>
      <c r="AB13" t="s">
        <v>908</v>
      </c>
      <c r="AC13" s="2" t="str">
        <f>HYPERLINK("http://exon.niaid.nih.gov/transcriptome/Anopheles_sialome/links/DIPTERA/anomin_apy-DIPTERA.txt","apyrase")</f>
        <v>apyrase</v>
      </c>
      <c r="AD13" t="str">
        <f>HYPERLINK("http://www.ncbi.nlm.nih.gov/sutils/blink.cgi?pid=927214882","0.0")</f>
        <v>0.0</v>
      </c>
      <c r="AE13" t="str">
        <f>HYPERLINK("http://www.ncbi.nlm.nih.gov/protein/927214882","gi|927214882")</f>
        <v>gi|927214882</v>
      </c>
      <c r="AF13">
        <v>90</v>
      </c>
      <c r="AG13">
        <v>94</v>
      </c>
      <c r="AH13">
        <v>100</v>
      </c>
      <c r="AI13" t="s">
        <v>2405</v>
      </c>
      <c r="AJ13" s="2" t="s">
        <v>128</v>
      </c>
      <c r="AK13" t="s">
        <v>128</v>
      </c>
      <c r="AL13" t="s">
        <v>128</v>
      </c>
      <c r="AM13" t="s">
        <v>128</v>
      </c>
      <c r="AN13" t="s">
        <v>128</v>
      </c>
      <c r="AO13" t="s">
        <v>128</v>
      </c>
      <c r="AP13" t="s">
        <v>128</v>
      </c>
      <c r="AQ13" s="2" t="str">
        <f>HYPERLINK("http://exon.niaid.nih.gov/transcriptome/Anopheles_sialome/links/NR-LIGHT/anomin_apy-NR-LIGHT.txt","apyrase")</f>
        <v>apyrase</v>
      </c>
      <c r="AR13" t="str">
        <f>HYPERLINK("http://www.ncbi.nlm.nih.gov/sutils/blink.cgi?pid=927214882","0.0")</f>
        <v>0.0</v>
      </c>
      <c r="AS13" t="str">
        <f>HYPERLINK("http://www.ncbi.nlm.nih.gov/protein/927214882","gi|927214882")</f>
        <v>gi|927214882</v>
      </c>
      <c r="AT13">
        <v>90</v>
      </c>
      <c r="AU13">
        <v>94</v>
      </c>
      <c r="AV13">
        <v>100</v>
      </c>
      <c r="AW13" t="s">
        <v>2405</v>
      </c>
      <c r="AX13" s="2" t="str">
        <f>HYPERLINK("http://exon.niaid.nih.gov/transcriptome/Anopheles_sialome/links/CDD/anomin_apy-CDD.txt","MPP_CD73_N")</f>
        <v>MPP_CD73_N</v>
      </c>
      <c r="AY13" t="str">
        <f>HYPERLINK("http://www.ncbi.nlm.nih.gov/Structure/cdd/cddsrv.cgi?uid=cd07409&amp;version=v4.0","1E-110")</f>
        <v>1E-110</v>
      </c>
      <c r="AZ13" t="s">
        <v>2407</v>
      </c>
      <c r="BA13" s="2" t="str">
        <f>HYPERLINK("http://exon.niaid.nih.gov/transcriptome/Anopheles_sialome/links/KOG/anomin_apy-KOG.txt","5' nucleotidase")</f>
        <v>5' nucleotidase</v>
      </c>
      <c r="BB13" t="str">
        <f>HYPERLINK("http://www.ncbi.nlm.nih.gov/Structure/cdd/cddsrv.cgi?uid=KOG4419","4E-055")</f>
        <v>4E-055</v>
      </c>
      <c r="BC13" t="s">
        <v>2398</v>
      </c>
      <c r="BD13" t="str">
        <f>HYPERLINK("http://exon.niaid.nih.gov/transcriptome/Anopheles_sialome/links/KOG/anomin_apy-KOG.txt","KOG4419")</f>
        <v>KOG4419</v>
      </c>
      <c r="BE13" t="str">
        <f>HYPERLINK("http://exon.niaid.nih.gov/transcriptome/Anopheles_sialome/links/PFAM/anomin_apy-PFAM.txt","5_nucleotid_C")</f>
        <v>5_nucleotid_C</v>
      </c>
      <c r="BF13" t="str">
        <f>HYPERLINK("http://pfam.sanger.ac.uk/family?acc=PF02872","8E-033")</f>
        <v>8E-033</v>
      </c>
      <c r="BG13" s="2" t="str">
        <f>HYPERLINK("http://exon.niaid.nih.gov/transcriptome/Anopheles_sialome/links/SMART/anomin_apy-SMART.txt","PGA_cap")</f>
        <v>PGA_cap</v>
      </c>
      <c r="BH13" t="str">
        <f>HYPERLINK("http://smart.embl-heidelberg.de/smart/do_annotation.pl?DOMAIN=PGA_cap&amp;BLAST=DUMMY","3E-009")</f>
        <v>3E-009</v>
      </c>
      <c r="BI13" t="s">
        <v>128</v>
      </c>
      <c r="BJ13" s="2" t="s">
        <v>128</v>
      </c>
      <c r="BK13" t="s">
        <v>906</v>
      </c>
      <c r="BL13">
        <f>HYPERLINK("http://exon.niaid.nih.gov/transcriptome/Anopheles_sialome/links/cluster-b/anopheline-sialome-cds-pep-larger-orf25-50SimCLU9.txt", 9)</f>
        <v>9</v>
      </c>
      <c r="BM13">
        <f>HYPERLINK("http://exon.niaid.nih.gov/transcriptome/Anopheles_sialome/links/cluster-b/anopheline-sialome-cds-pep-larger-orf25-50SimCLTL9.txt", 35)</f>
        <v>35</v>
      </c>
      <c r="BN13">
        <f>HYPERLINK("http://exon.niaid.nih.gov/transcriptome/Anopheles_sialome/links/cluster-b/anopheline-sialome-cds-pep-larger-orf30-50SimCLU8.txt", 8)</f>
        <v>8</v>
      </c>
      <c r="BO13">
        <f>HYPERLINK("http://exon.niaid.nih.gov/transcriptome/Anopheles_sialome/links/cluster-b/anopheline-sialome-cds-pep-larger-orf30-50SimCLTL8.txt", 35)</f>
        <v>35</v>
      </c>
      <c r="BP13">
        <f>HYPERLINK("http://exon.niaid.nih.gov/transcriptome/Anopheles_sialome/links/cluster-b/anopheline-sialome-cds-pep-larger-orf35-50SimCLU9.txt", 9)</f>
        <v>9</v>
      </c>
      <c r="BQ13">
        <f>HYPERLINK("http://exon.niaid.nih.gov/transcriptome/Anopheles_sialome/links/cluster-b/anopheline-sialome-cds-pep-larger-orf35-50SimCLTL9.txt", 35)</f>
        <v>35</v>
      </c>
      <c r="BR13">
        <f>HYPERLINK("http://exon.niaid.nih.gov/transcriptome/Anopheles_sialome/links/cluster-b/anopheline-sialome-cds-pep-larger-orf40-50SimCLU8.txt", 8)</f>
        <v>8</v>
      </c>
      <c r="BS13">
        <f>HYPERLINK("http://exon.niaid.nih.gov/transcriptome/Anopheles_sialome/links/cluster-b/anopheline-sialome-cds-pep-larger-orf40-50SimCLTL8.txt", 35)</f>
        <v>35</v>
      </c>
      <c r="BT13">
        <f>HYPERLINK("http://exon.niaid.nih.gov/transcriptome/Anopheles_sialome/links/cluster-b/anopheline-sialome-cds-pep-larger-orf45-50SimCLU7.txt", 7)</f>
        <v>7</v>
      </c>
      <c r="BU13">
        <f>HYPERLINK("http://exon.niaid.nih.gov/transcriptome/Anopheles_sialome/links/cluster-b/anopheline-sialome-cds-pep-larger-orf45-50SimCLTL7.txt", 35)</f>
        <v>35</v>
      </c>
      <c r="BV13">
        <f>HYPERLINK("http://exon.niaid.nih.gov/transcriptome/Anopheles_sialome/links/cluster-b/anopheline-sialome-cds-pep-larger-orf50-50SimCLU7.txt", 7)</f>
        <v>7</v>
      </c>
      <c r="BW13">
        <f>HYPERLINK("http://exon.niaid.nih.gov/transcriptome/Anopheles_sialome/links/cluster-b/anopheline-sialome-cds-pep-larger-orf50-50SimCLTL7.txt", 35)</f>
        <v>35</v>
      </c>
      <c r="BX13">
        <f>HYPERLINK("http://exon.niaid.nih.gov/transcriptome/Anopheles_sialome/links/cluster-b/anopheline-sialome-cds-pep-larger-orf55-50SimCLU7.txt", 7)</f>
        <v>7</v>
      </c>
      <c r="BY13">
        <f>HYPERLINK("http://exon.niaid.nih.gov/transcriptome/Anopheles_sialome/links/cluster-b/anopheline-sialome-cds-pep-larger-orf55-50SimCLTL7.txt", 35)</f>
        <v>35</v>
      </c>
      <c r="BZ13">
        <f>HYPERLINK("http://exon.niaid.nih.gov/transcriptome/Anopheles_sialome/links/cluster-b/anopheline-sialome-cds-pep-larger-orf60-50SimCLU5.txt", 5)</f>
        <v>5</v>
      </c>
      <c r="CA13">
        <f>HYPERLINK("http://exon.niaid.nih.gov/transcriptome/Anopheles_sialome/links/cluster-b/anopheline-sialome-cds-pep-larger-orf60-50SimCLTL5.txt", 35)</f>
        <v>35</v>
      </c>
      <c r="CB13">
        <f>HYPERLINK("http://exon.niaid.nih.gov/transcriptome/Anopheles_sialome/links/cluster-b/anopheline-sialome-cds-pep-larger-orf65-50SimCLU3.txt", 3)</f>
        <v>3</v>
      </c>
      <c r="CC13">
        <f>HYPERLINK("http://exon.niaid.nih.gov/transcriptome/Anopheles_sialome/links/cluster-b/anopheline-sialome-cds-pep-larger-orf65-50SimCLTL3.txt", 35)</f>
        <v>35</v>
      </c>
      <c r="CD13">
        <f>HYPERLINK("http://exon.niaid.nih.gov/transcriptome/Anopheles_sialome/links/cluster-b/anopheline-sialome-cds-pep-larger-orf70-50SimCLU17.txt", 17)</f>
        <v>17</v>
      </c>
      <c r="CE13">
        <f>HYPERLINK("http://exon.niaid.nih.gov/transcriptome/Anopheles_sialome/links/cluster-b/anopheline-sialome-cds-pep-larger-orf70-50SimCLTL17.txt", 17)</f>
        <v>17</v>
      </c>
      <c r="CF13">
        <f>HYPERLINK("http://exon.niaid.nih.gov/transcriptome/Anopheles_sialome/links/cluster-b/anopheline-sialome-cds-pep-larger-orf75-50SimCLU12.txt", 12)</f>
        <v>12</v>
      </c>
      <c r="CG13">
        <f>HYPERLINK("http://exon.niaid.nih.gov/transcriptome/Anopheles_sialome/links/cluster-b/anopheline-sialome-cds-pep-larger-orf75-50SimCLTL12.txt", 17)</f>
        <v>17</v>
      </c>
      <c r="CH13">
        <f>HYPERLINK("http://exon.niaid.nih.gov/transcriptome/Anopheles_sialome/links/cluster-b/anopheline-sialome-cds-pep-larger-orf80-50SimCLU9.txt", 9)</f>
        <v>9</v>
      </c>
      <c r="CI13">
        <f>HYPERLINK("http://exon.niaid.nih.gov/transcriptome/Anopheles_sialome/links/cluster-b/anopheline-sialome-cds-pep-larger-orf80-50SimCLTL9.txt", 17)</f>
        <v>17</v>
      </c>
      <c r="CJ13">
        <f>HYPERLINK("http://exon.niaid.nih.gov/transcriptome/Anopheles_sialome/links/cluster-b/anopheline-sialome-cds-pep-larger-orf85-50SimCLU11.txt", 11)</f>
        <v>11</v>
      </c>
      <c r="CK13">
        <f>HYPERLINK("http://exon.niaid.nih.gov/transcriptome/Anopheles_sialome/links/cluster-b/anopheline-sialome-cds-pep-larger-orf85-50SimCLTL11.txt", 13)</f>
        <v>13</v>
      </c>
      <c r="CL13">
        <f>HYPERLINK("http://exon.niaid.nih.gov/transcriptome/Anopheles_sialome/links/cluster-b/anopheline-sialome-cds-pep-larger-orf90-50SimCLU8.txt", 8)</f>
        <v>8</v>
      </c>
      <c r="CM13">
        <f>HYPERLINK("http://exon.niaid.nih.gov/transcriptome/Anopheles_sialome/links/cluster-b/anopheline-sialome-cds-pep-larger-orf90-50SimCLTL8.txt", 12)</f>
        <v>12</v>
      </c>
      <c r="CN13">
        <f>HYPERLINK("http://exon.niaid.nih.gov/transcriptome/Anopheles_sialome/links/cluster-b/anopheline-sialome-cds-pep-larger-orf95-50SimCLU58.txt", 58)</f>
        <v>58</v>
      </c>
      <c r="CO13">
        <f>HYPERLINK("http://exon.niaid.nih.gov/transcriptome/Anopheles_sialome/links/cluster-b/anopheline-sialome-cds-pep-larger-orf95-50SimCLTL58.txt", 2)</f>
        <v>2</v>
      </c>
    </row>
    <row r="14" spans="1:93">
      <c r="A14" s="2" t="str">
        <f>HYPERLINK("http://exon.niaid.nih.gov/transcriptome/Anopheles_sialome/links/cds/anocul_apy-cds.txt","anocul_apy")</f>
        <v>anocul_apy</v>
      </c>
      <c r="B14">
        <v>1671</v>
      </c>
      <c r="C14" t="s">
        <v>109</v>
      </c>
      <c r="D14" t="s">
        <v>7</v>
      </c>
      <c r="E14" t="s">
        <v>5</v>
      </c>
      <c r="F14" t="s">
        <v>1</v>
      </c>
      <c r="G14" t="str">
        <f>HYPERLINK("http://exon.niaid.nih.gov/transcriptome/Anopheles_sialome/links/pep/anocul_apy-pep.txt","anocul_apy")</f>
        <v>anocul_apy</v>
      </c>
      <c r="H14">
        <v>556</v>
      </c>
      <c r="I14">
        <v>1</v>
      </c>
      <c r="J14" s="3" t="str">
        <f>HYPERLINK("http://exon.niaid.nih.gov/transcriptome/Anopheles_sialome/links/Sigp/anocul_apy-SigP.txt","SIG")</f>
        <v>SIG</v>
      </c>
      <c r="K14" t="s">
        <v>689</v>
      </c>
      <c r="L14">
        <v>62.213000000000001</v>
      </c>
      <c r="M14">
        <v>8.99</v>
      </c>
      <c r="N14">
        <v>59.942</v>
      </c>
      <c r="O14">
        <v>9</v>
      </c>
      <c r="P14" t="s">
        <v>674</v>
      </c>
      <c r="Q14" s="3">
        <v>0</v>
      </c>
      <c r="R14" t="s">
        <v>128</v>
      </c>
      <c r="S14" t="s">
        <v>128</v>
      </c>
      <c r="T14" t="s">
        <v>128</v>
      </c>
      <c r="U14" t="s">
        <v>128</v>
      </c>
      <c r="V14" t="s">
        <v>128</v>
      </c>
      <c r="W14" s="3" t="str">
        <f>HYPERLINK("http://exon.niaid.nih.gov/transcriptome/Anopheles_sialome/links/netoglyc/anocul_apy-netoglyc.txt","1")</f>
        <v>1</v>
      </c>
      <c r="X14">
        <v>11.9</v>
      </c>
      <c r="Y14">
        <v>6.7</v>
      </c>
      <c r="Z14">
        <v>4.0999999999999996</v>
      </c>
      <c r="AA14" t="s">
        <v>654</v>
      </c>
      <c r="AB14" t="s">
        <v>908</v>
      </c>
      <c r="AC14" s="2" t="str">
        <f>HYPERLINK("http://exon.niaid.nih.gov/transcriptome/Anopheles_sialome/links/DIPTERA/anocul_apy-DIPTERA.txt","apyrase")</f>
        <v>apyrase</v>
      </c>
      <c r="AD14" t="str">
        <f>HYPERLINK("http://www.ncbi.nlm.nih.gov/sutils/blink.cgi?pid=927214882","0.0")</f>
        <v>0.0</v>
      </c>
      <c r="AE14" t="str">
        <f>HYPERLINK("http://www.ncbi.nlm.nih.gov/protein/927214882","gi|927214882")</f>
        <v>gi|927214882</v>
      </c>
      <c r="AF14">
        <v>97</v>
      </c>
      <c r="AG14">
        <v>97</v>
      </c>
      <c r="AH14">
        <v>100</v>
      </c>
      <c r="AI14" t="s">
        <v>2405</v>
      </c>
      <c r="AJ14" s="2" t="s">
        <v>128</v>
      </c>
      <c r="AK14" t="s">
        <v>128</v>
      </c>
      <c r="AL14" t="s">
        <v>128</v>
      </c>
      <c r="AM14" t="s">
        <v>128</v>
      </c>
      <c r="AN14" t="s">
        <v>128</v>
      </c>
      <c r="AO14" t="s">
        <v>128</v>
      </c>
      <c r="AP14" t="s">
        <v>128</v>
      </c>
      <c r="AQ14" s="2" t="str">
        <f>HYPERLINK("http://exon.niaid.nih.gov/transcriptome/Anopheles_sialome/links/NR-LIGHT/anocul_apy-NR-LIGHT.txt","apyrase")</f>
        <v>apyrase</v>
      </c>
      <c r="AR14" t="str">
        <f>HYPERLINK("http://www.ncbi.nlm.nih.gov/sutils/blink.cgi?pid=927214882","0.0")</f>
        <v>0.0</v>
      </c>
      <c r="AS14" t="str">
        <f>HYPERLINK("http://www.ncbi.nlm.nih.gov/protein/927214882","gi|927214882")</f>
        <v>gi|927214882</v>
      </c>
      <c r="AT14">
        <v>97</v>
      </c>
      <c r="AU14">
        <v>97</v>
      </c>
      <c r="AV14">
        <v>100</v>
      </c>
      <c r="AW14" t="s">
        <v>2405</v>
      </c>
      <c r="AX14" s="2" t="str">
        <f>HYPERLINK("http://exon.niaid.nih.gov/transcriptome/Anopheles_sialome/links/CDD/anocul_apy-CDD.txt","MPP_CD73_N")</f>
        <v>MPP_CD73_N</v>
      </c>
      <c r="AY14" t="str">
        <f>HYPERLINK("http://www.ncbi.nlm.nih.gov/Structure/cdd/cddsrv.cgi?uid=cd07409&amp;version=v4.0","1E-109")</f>
        <v>1E-109</v>
      </c>
      <c r="AZ14" t="s">
        <v>2408</v>
      </c>
      <c r="BA14" s="2" t="str">
        <f>HYPERLINK("http://exon.niaid.nih.gov/transcriptome/Anopheles_sialome/links/KOG/anocul_apy-KOG.txt","5' nucleotidase")</f>
        <v>5' nucleotidase</v>
      </c>
      <c r="BB14" t="str">
        <f>HYPERLINK("http://www.ncbi.nlm.nih.gov/Structure/cdd/cddsrv.cgi?uid=KOG4419","2E-055")</f>
        <v>2E-055</v>
      </c>
      <c r="BC14" t="s">
        <v>2398</v>
      </c>
      <c r="BD14" t="str">
        <f>HYPERLINK("http://exon.niaid.nih.gov/transcriptome/Anopheles_sialome/links/KOG/anocul_apy-KOG.txt","KOG4419")</f>
        <v>KOG4419</v>
      </c>
      <c r="BE14" t="str">
        <f>HYPERLINK("http://exon.niaid.nih.gov/transcriptome/Anopheles_sialome/links/PFAM/anocul_apy-PFAM.txt","5_nucleotid_C")</f>
        <v>5_nucleotid_C</v>
      </c>
      <c r="BF14" t="str">
        <f>HYPERLINK("http://pfam.sanger.ac.uk/family?acc=PF02872","6E-033")</f>
        <v>6E-033</v>
      </c>
      <c r="BG14" s="2" t="str">
        <f>HYPERLINK("http://exon.niaid.nih.gov/transcriptome/Anopheles_sialome/links/SMART/anocul_apy-SMART.txt","PGA_cap")</f>
        <v>PGA_cap</v>
      </c>
      <c r="BH14" t="str">
        <f>HYPERLINK("http://smart.embl-heidelberg.de/smart/do_annotation.pl?DOMAIN=PGA_cap&amp;BLAST=DUMMY","8E-008")</f>
        <v>8E-008</v>
      </c>
      <c r="BI14" t="s">
        <v>128</v>
      </c>
      <c r="BJ14" s="2" t="s">
        <v>128</v>
      </c>
      <c r="BK14" t="s">
        <v>909</v>
      </c>
      <c r="BL14">
        <f>HYPERLINK("http://exon.niaid.nih.gov/transcriptome/Anopheles_sialome/links/cluster-b/anopheline-sialome-cds-pep-larger-orf25-50SimCLU9.txt", 9)</f>
        <v>9</v>
      </c>
      <c r="BM14">
        <f>HYPERLINK("http://exon.niaid.nih.gov/transcriptome/Anopheles_sialome/links/cluster-b/anopheline-sialome-cds-pep-larger-orf25-50SimCLTL9.txt", 35)</f>
        <v>35</v>
      </c>
      <c r="BN14">
        <f>HYPERLINK("http://exon.niaid.nih.gov/transcriptome/Anopheles_sialome/links/cluster-b/anopheline-sialome-cds-pep-larger-orf30-50SimCLU8.txt", 8)</f>
        <v>8</v>
      </c>
      <c r="BO14">
        <f>HYPERLINK("http://exon.niaid.nih.gov/transcriptome/Anopheles_sialome/links/cluster-b/anopheline-sialome-cds-pep-larger-orf30-50SimCLTL8.txt", 35)</f>
        <v>35</v>
      </c>
      <c r="BP14">
        <f>HYPERLINK("http://exon.niaid.nih.gov/transcriptome/Anopheles_sialome/links/cluster-b/anopheline-sialome-cds-pep-larger-orf35-50SimCLU9.txt", 9)</f>
        <v>9</v>
      </c>
      <c r="BQ14">
        <f>HYPERLINK("http://exon.niaid.nih.gov/transcriptome/Anopheles_sialome/links/cluster-b/anopheline-sialome-cds-pep-larger-orf35-50SimCLTL9.txt", 35)</f>
        <v>35</v>
      </c>
      <c r="BR14">
        <f>HYPERLINK("http://exon.niaid.nih.gov/transcriptome/Anopheles_sialome/links/cluster-b/anopheline-sialome-cds-pep-larger-orf40-50SimCLU8.txt", 8)</f>
        <v>8</v>
      </c>
      <c r="BS14">
        <f>HYPERLINK("http://exon.niaid.nih.gov/transcriptome/Anopheles_sialome/links/cluster-b/anopheline-sialome-cds-pep-larger-orf40-50SimCLTL8.txt", 35)</f>
        <v>35</v>
      </c>
      <c r="BT14">
        <f>HYPERLINK("http://exon.niaid.nih.gov/transcriptome/Anopheles_sialome/links/cluster-b/anopheline-sialome-cds-pep-larger-orf45-50SimCLU7.txt", 7)</f>
        <v>7</v>
      </c>
      <c r="BU14">
        <f>HYPERLINK("http://exon.niaid.nih.gov/transcriptome/Anopheles_sialome/links/cluster-b/anopheline-sialome-cds-pep-larger-orf45-50SimCLTL7.txt", 35)</f>
        <v>35</v>
      </c>
      <c r="BV14">
        <f>HYPERLINK("http://exon.niaid.nih.gov/transcriptome/Anopheles_sialome/links/cluster-b/anopheline-sialome-cds-pep-larger-orf50-50SimCLU7.txt", 7)</f>
        <v>7</v>
      </c>
      <c r="BW14">
        <f>HYPERLINK("http://exon.niaid.nih.gov/transcriptome/Anopheles_sialome/links/cluster-b/anopheline-sialome-cds-pep-larger-orf50-50SimCLTL7.txt", 35)</f>
        <v>35</v>
      </c>
      <c r="BX14">
        <f>HYPERLINK("http://exon.niaid.nih.gov/transcriptome/Anopheles_sialome/links/cluster-b/anopheline-sialome-cds-pep-larger-orf55-50SimCLU7.txt", 7)</f>
        <v>7</v>
      </c>
      <c r="BY14">
        <f>HYPERLINK("http://exon.niaid.nih.gov/transcriptome/Anopheles_sialome/links/cluster-b/anopheline-sialome-cds-pep-larger-orf55-50SimCLTL7.txt", 35)</f>
        <v>35</v>
      </c>
      <c r="BZ14">
        <f>HYPERLINK("http://exon.niaid.nih.gov/transcriptome/Anopheles_sialome/links/cluster-b/anopheline-sialome-cds-pep-larger-orf60-50SimCLU5.txt", 5)</f>
        <v>5</v>
      </c>
      <c r="CA14">
        <f>HYPERLINK("http://exon.niaid.nih.gov/transcriptome/Anopheles_sialome/links/cluster-b/anopheline-sialome-cds-pep-larger-orf60-50SimCLTL5.txt", 35)</f>
        <v>35</v>
      </c>
      <c r="CB14">
        <f>HYPERLINK("http://exon.niaid.nih.gov/transcriptome/Anopheles_sialome/links/cluster-b/anopheline-sialome-cds-pep-larger-orf65-50SimCLU3.txt", 3)</f>
        <v>3</v>
      </c>
      <c r="CC14">
        <f>HYPERLINK("http://exon.niaid.nih.gov/transcriptome/Anopheles_sialome/links/cluster-b/anopheline-sialome-cds-pep-larger-orf65-50SimCLTL3.txt", 35)</f>
        <v>35</v>
      </c>
      <c r="CD14">
        <f>HYPERLINK("http://exon.niaid.nih.gov/transcriptome/Anopheles_sialome/links/cluster-b/anopheline-sialome-cds-pep-larger-orf70-50SimCLU17.txt", 17)</f>
        <v>17</v>
      </c>
      <c r="CE14">
        <f>HYPERLINK("http://exon.niaid.nih.gov/transcriptome/Anopheles_sialome/links/cluster-b/anopheline-sialome-cds-pep-larger-orf70-50SimCLTL17.txt", 17)</f>
        <v>17</v>
      </c>
      <c r="CF14">
        <f>HYPERLINK("http://exon.niaid.nih.gov/transcriptome/Anopheles_sialome/links/cluster-b/anopheline-sialome-cds-pep-larger-orf75-50SimCLU12.txt", 12)</f>
        <v>12</v>
      </c>
      <c r="CG14">
        <f>HYPERLINK("http://exon.niaid.nih.gov/transcriptome/Anopheles_sialome/links/cluster-b/anopheline-sialome-cds-pep-larger-orf75-50SimCLTL12.txt", 17)</f>
        <v>17</v>
      </c>
      <c r="CH14">
        <f>HYPERLINK("http://exon.niaid.nih.gov/transcriptome/Anopheles_sialome/links/cluster-b/anopheline-sialome-cds-pep-larger-orf80-50SimCLU9.txt", 9)</f>
        <v>9</v>
      </c>
      <c r="CI14">
        <f>HYPERLINK("http://exon.niaid.nih.gov/transcriptome/Anopheles_sialome/links/cluster-b/anopheline-sialome-cds-pep-larger-orf80-50SimCLTL9.txt", 17)</f>
        <v>17</v>
      </c>
      <c r="CJ14">
        <f>HYPERLINK("http://exon.niaid.nih.gov/transcriptome/Anopheles_sialome/links/cluster-b/anopheline-sialome-cds-pep-larger-orf85-50SimCLU11.txt", 11)</f>
        <v>11</v>
      </c>
      <c r="CK14">
        <f>HYPERLINK("http://exon.niaid.nih.gov/transcriptome/Anopheles_sialome/links/cluster-b/anopheline-sialome-cds-pep-larger-orf85-50SimCLTL11.txt", 13)</f>
        <v>13</v>
      </c>
      <c r="CL14">
        <f>HYPERLINK("http://exon.niaid.nih.gov/transcriptome/Anopheles_sialome/links/cluster-b/anopheline-sialome-cds-pep-larger-orf90-50SimCLU8.txt", 8)</f>
        <v>8</v>
      </c>
      <c r="CM14">
        <f>HYPERLINK("http://exon.niaid.nih.gov/transcriptome/Anopheles_sialome/links/cluster-b/anopheline-sialome-cds-pep-larger-orf90-50SimCLTL8.txt", 12)</f>
        <v>12</v>
      </c>
      <c r="CN14">
        <f>HYPERLINK("http://exon.niaid.nih.gov/transcriptome/Anopheles_sialome/links/cluster-b/anopheline-sialome-cds-pep-larger-orf95-50SimCLU58.txt", 58)</f>
        <v>58</v>
      </c>
      <c r="CO14">
        <f>HYPERLINK("http://exon.niaid.nih.gov/transcriptome/Anopheles_sialome/links/cluster-b/anopheline-sialome-cds-pep-larger-orf95-50SimCLTL58.txt", 2)</f>
        <v>2</v>
      </c>
    </row>
    <row r="15" spans="1:93">
      <c r="A15" s="2" t="str">
        <f>HYPERLINK("http://exon.niaid.nih.gov/transcriptome/Anopheles_sialome/links/cds/anoste_apy-cds.txt","anoste_apy")</f>
        <v>anoste_apy</v>
      </c>
      <c r="B15">
        <v>1686</v>
      </c>
      <c r="C15" t="s">
        <v>110</v>
      </c>
      <c r="D15" t="s">
        <v>7</v>
      </c>
      <c r="E15" t="s">
        <v>5</v>
      </c>
      <c r="F15" t="s">
        <v>1</v>
      </c>
      <c r="G15" t="str">
        <f>HYPERLINK("http://exon.niaid.nih.gov/transcriptome/Anopheles_sialome/links/pep/anoste_apy-pep.txt","anoste_apy")</f>
        <v>anoste_apy</v>
      </c>
      <c r="H15">
        <v>561</v>
      </c>
      <c r="I15">
        <v>1</v>
      </c>
      <c r="J15" s="3" t="str">
        <f>HYPERLINK("http://exon.niaid.nih.gov/transcriptome/Anopheles_sialome/links/Sigp/anoste_apy-SigP.txt","SIG")</f>
        <v>SIG</v>
      </c>
      <c r="K15" t="s">
        <v>787</v>
      </c>
      <c r="L15">
        <v>62.683999999999997</v>
      </c>
      <c r="M15">
        <v>8.9600000000000009</v>
      </c>
      <c r="N15">
        <v>60.107999999999997</v>
      </c>
      <c r="O15">
        <v>8.92</v>
      </c>
      <c r="P15" t="s">
        <v>911</v>
      </c>
      <c r="Q15" s="3">
        <v>0</v>
      </c>
      <c r="R15" t="s">
        <v>128</v>
      </c>
      <c r="S15" t="s">
        <v>128</v>
      </c>
      <c r="T15" t="s">
        <v>128</v>
      </c>
      <c r="U15" t="s">
        <v>128</v>
      </c>
      <c r="V15" t="s">
        <v>128</v>
      </c>
      <c r="W15" s="3" t="str">
        <f>HYPERLINK("http://exon.niaid.nih.gov/transcriptome/Anopheles_sialome/links/netoglyc/anoste_apy-netoglyc.txt","1")</f>
        <v>1</v>
      </c>
      <c r="X15">
        <v>11.8</v>
      </c>
      <c r="Y15">
        <v>7</v>
      </c>
      <c r="Z15">
        <v>4.3</v>
      </c>
      <c r="AA15" t="s">
        <v>654</v>
      </c>
      <c r="AB15" t="s">
        <v>912</v>
      </c>
      <c r="AC15" s="2" t="str">
        <f>HYPERLINK("http://exon.niaid.nih.gov/transcriptome/Anopheles_sialome/links/DIPTERA/anoste_apy-DIPTERA.txt","apyrase")</f>
        <v>apyrase</v>
      </c>
      <c r="AD15" t="str">
        <f>HYPERLINK("http://www.ncbi.nlm.nih.gov/sutils/blink.cgi?pid=927214882","0.0")</f>
        <v>0.0</v>
      </c>
      <c r="AE15" t="str">
        <f>HYPERLINK("http://www.ncbi.nlm.nih.gov/protein/927214882","gi|927214882")</f>
        <v>gi|927214882</v>
      </c>
      <c r="AF15">
        <v>80</v>
      </c>
      <c r="AG15">
        <v>89</v>
      </c>
      <c r="AH15">
        <v>101</v>
      </c>
      <c r="AI15" t="s">
        <v>2405</v>
      </c>
      <c r="AJ15" s="2" t="s">
        <v>128</v>
      </c>
      <c r="AK15" t="s">
        <v>128</v>
      </c>
      <c r="AL15" t="s">
        <v>128</v>
      </c>
      <c r="AM15" t="s">
        <v>128</v>
      </c>
      <c r="AN15" t="s">
        <v>128</v>
      </c>
      <c r="AO15" t="s">
        <v>128</v>
      </c>
      <c r="AP15" t="s">
        <v>128</v>
      </c>
      <c r="AQ15" s="2" t="str">
        <f>HYPERLINK("http://exon.niaid.nih.gov/transcriptome/Anopheles_sialome/links/NR-LIGHT/anoste_apy-NR-LIGHT.txt","apyrase")</f>
        <v>apyrase</v>
      </c>
      <c r="AR15" t="str">
        <f>HYPERLINK("http://www.ncbi.nlm.nih.gov/sutils/blink.cgi?pid=927214882","0.0")</f>
        <v>0.0</v>
      </c>
      <c r="AS15" t="str">
        <f>HYPERLINK("http://www.ncbi.nlm.nih.gov/protein/927214882","gi|927214882")</f>
        <v>gi|927214882</v>
      </c>
      <c r="AT15">
        <v>80</v>
      </c>
      <c r="AU15">
        <v>89</v>
      </c>
      <c r="AV15">
        <v>101</v>
      </c>
      <c r="AW15" t="s">
        <v>2405</v>
      </c>
      <c r="AX15" s="2" t="str">
        <f>HYPERLINK("http://exon.niaid.nih.gov/transcriptome/Anopheles_sialome/links/CDD/anoste_apy-CDD.txt","MPP_CD73_N")</f>
        <v>MPP_CD73_N</v>
      </c>
      <c r="AY15" t="str">
        <f>HYPERLINK("http://www.ncbi.nlm.nih.gov/Structure/cdd/cddsrv.cgi?uid=cd07409&amp;version=v4.0","1E-111")</f>
        <v>1E-111</v>
      </c>
      <c r="AZ15" t="s">
        <v>2409</v>
      </c>
      <c r="BA15" s="2" t="str">
        <f>HYPERLINK("http://exon.niaid.nih.gov/transcriptome/Anopheles_sialome/links/KOG/anoste_apy-KOG.txt","5' nucleotidase")</f>
        <v>5' nucleotidase</v>
      </c>
      <c r="BB15" t="str">
        <f>HYPERLINK("http://www.ncbi.nlm.nih.gov/Structure/cdd/cddsrv.cgi?uid=KOG4419","8E-050")</f>
        <v>8E-050</v>
      </c>
      <c r="BC15" t="s">
        <v>2398</v>
      </c>
      <c r="BD15" t="str">
        <f>HYPERLINK("http://exon.niaid.nih.gov/transcriptome/Anopheles_sialome/links/KOG/anoste_apy-KOG.txt","KOG4419")</f>
        <v>KOG4419</v>
      </c>
      <c r="BE15" t="str">
        <f>HYPERLINK("http://exon.niaid.nih.gov/transcriptome/Anopheles_sialome/links/PFAM/anoste_apy-PFAM.txt","5_nucleotid_C")</f>
        <v>5_nucleotid_C</v>
      </c>
      <c r="BF15" t="str">
        <f>HYPERLINK("http://pfam.sanger.ac.uk/family?acc=PF02872","9E-033")</f>
        <v>9E-033</v>
      </c>
      <c r="BG15" s="2" t="str">
        <f>HYPERLINK("http://exon.niaid.nih.gov/transcriptome/Anopheles_sialome/links/SMART/anoste_apy-SMART.txt","PGA_cap")</f>
        <v>PGA_cap</v>
      </c>
      <c r="BH15" t="str">
        <f>HYPERLINK("http://smart.embl-heidelberg.de/smart/do_annotation.pl?DOMAIN=PGA_cap&amp;BLAST=DUMMY","3E-010")</f>
        <v>3E-010</v>
      </c>
      <c r="BI15" t="s">
        <v>128</v>
      </c>
      <c r="BJ15" s="2" t="s">
        <v>128</v>
      </c>
      <c r="BK15" t="s">
        <v>910</v>
      </c>
      <c r="BL15">
        <f>HYPERLINK("http://exon.niaid.nih.gov/transcriptome/Anopheles_sialome/links/cluster-b/anopheline-sialome-cds-pep-larger-orf25-50SimCLU9.txt", 9)</f>
        <v>9</v>
      </c>
      <c r="BM15">
        <f>HYPERLINK("http://exon.niaid.nih.gov/transcriptome/Anopheles_sialome/links/cluster-b/anopheline-sialome-cds-pep-larger-orf25-50SimCLTL9.txt", 35)</f>
        <v>35</v>
      </c>
      <c r="BN15">
        <f>HYPERLINK("http://exon.niaid.nih.gov/transcriptome/Anopheles_sialome/links/cluster-b/anopheline-sialome-cds-pep-larger-orf30-50SimCLU8.txt", 8)</f>
        <v>8</v>
      </c>
      <c r="BO15">
        <f>HYPERLINK("http://exon.niaid.nih.gov/transcriptome/Anopheles_sialome/links/cluster-b/anopheline-sialome-cds-pep-larger-orf30-50SimCLTL8.txt", 35)</f>
        <v>35</v>
      </c>
      <c r="BP15">
        <f>HYPERLINK("http://exon.niaid.nih.gov/transcriptome/Anopheles_sialome/links/cluster-b/anopheline-sialome-cds-pep-larger-orf35-50SimCLU9.txt", 9)</f>
        <v>9</v>
      </c>
      <c r="BQ15">
        <f>HYPERLINK("http://exon.niaid.nih.gov/transcriptome/Anopheles_sialome/links/cluster-b/anopheline-sialome-cds-pep-larger-orf35-50SimCLTL9.txt", 35)</f>
        <v>35</v>
      </c>
      <c r="BR15">
        <f>HYPERLINK("http://exon.niaid.nih.gov/transcriptome/Anopheles_sialome/links/cluster-b/anopheline-sialome-cds-pep-larger-orf40-50SimCLU8.txt", 8)</f>
        <v>8</v>
      </c>
      <c r="BS15">
        <f>HYPERLINK("http://exon.niaid.nih.gov/transcriptome/Anopheles_sialome/links/cluster-b/anopheline-sialome-cds-pep-larger-orf40-50SimCLTL8.txt", 35)</f>
        <v>35</v>
      </c>
      <c r="BT15">
        <f>HYPERLINK("http://exon.niaid.nih.gov/transcriptome/Anopheles_sialome/links/cluster-b/anopheline-sialome-cds-pep-larger-orf45-50SimCLU7.txt", 7)</f>
        <v>7</v>
      </c>
      <c r="BU15">
        <f>HYPERLINK("http://exon.niaid.nih.gov/transcriptome/Anopheles_sialome/links/cluster-b/anopheline-sialome-cds-pep-larger-orf45-50SimCLTL7.txt", 35)</f>
        <v>35</v>
      </c>
      <c r="BV15">
        <f>HYPERLINK("http://exon.niaid.nih.gov/transcriptome/Anopheles_sialome/links/cluster-b/anopheline-sialome-cds-pep-larger-orf50-50SimCLU7.txt", 7)</f>
        <v>7</v>
      </c>
      <c r="BW15">
        <f>HYPERLINK("http://exon.niaid.nih.gov/transcriptome/Anopheles_sialome/links/cluster-b/anopheline-sialome-cds-pep-larger-orf50-50SimCLTL7.txt", 35)</f>
        <v>35</v>
      </c>
      <c r="BX15">
        <f>HYPERLINK("http://exon.niaid.nih.gov/transcriptome/Anopheles_sialome/links/cluster-b/anopheline-sialome-cds-pep-larger-orf55-50SimCLU7.txt", 7)</f>
        <v>7</v>
      </c>
      <c r="BY15">
        <f>HYPERLINK("http://exon.niaid.nih.gov/transcriptome/Anopheles_sialome/links/cluster-b/anopheline-sialome-cds-pep-larger-orf55-50SimCLTL7.txt", 35)</f>
        <v>35</v>
      </c>
      <c r="BZ15">
        <f>HYPERLINK("http://exon.niaid.nih.gov/transcriptome/Anopheles_sialome/links/cluster-b/anopheline-sialome-cds-pep-larger-orf60-50SimCLU5.txt", 5)</f>
        <v>5</v>
      </c>
      <c r="CA15">
        <f>HYPERLINK("http://exon.niaid.nih.gov/transcriptome/Anopheles_sialome/links/cluster-b/anopheline-sialome-cds-pep-larger-orf60-50SimCLTL5.txt", 35)</f>
        <v>35</v>
      </c>
      <c r="CB15">
        <f>HYPERLINK("http://exon.niaid.nih.gov/transcriptome/Anopheles_sialome/links/cluster-b/anopheline-sialome-cds-pep-larger-orf65-50SimCLU3.txt", 3)</f>
        <v>3</v>
      </c>
      <c r="CC15">
        <f>HYPERLINK("http://exon.niaid.nih.gov/transcriptome/Anopheles_sialome/links/cluster-b/anopheline-sialome-cds-pep-larger-orf65-50SimCLTL3.txt", 35)</f>
        <v>35</v>
      </c>
      <c r="CD15">
        <f>HYPERLINK("http://exon.niaid.nih.gov/transcriptome/Anopheles_sialome/links/cluster-b/anopheline-sialome-cds-pep-larger-orf70-50SimCLU17.txt", 17)</f>
        <v>17</v>
      </c>
      <c r="CE15">
        <f>HYPERLINK("http://exon.niaid.nih.gov/transcriptome/Anopheles_sialome/links/cluster-b/anopheline-sialome-cds-pep-larger-orf70-50SimCLTL17.txt", 17)</f>
        <v>17</v>
      </c>
      <c r="CF15">
        <f>HYPERLINK("http://exon.niaid.nih.gov/transcriptome/Anopheles_sialome/links/cluster-b/anopheline-sialome-cds-pep-larger-orf75-50SimCLU12.txt", 12)</f>
        <v>12</v>
      </c>
      <c r="CG15">
        <f>HYPERLINK("http://exon.niaid.nih.gov/transcriptome/Anopheles_sialome/links/cluster-b/anopheline-sialome-cds-pep-larger-orf75-50SimCLTL12.txt", 17)</f>
        <v>17</v>
      </c>
      <c r="CH15">
        <f>HYPERLINK("http://exon.niaid.nih.gov/transcriptome/Anopheles_sialome/links/cluster-b/anopheline-sialome-cds-pep-larger-orf80-50SimCLU9.txt", 9)</f>
        <v>9</v>
      </c>
      <c r="CI15">
        <f>HYPERLINK("http://exon.niaid.nih.gov/transcriptome/Anopheles_sialome/links/cluster-b/anopheline-sialome-cds-pep-larger-orf80-50SimCLTL9.txt", 17)</f>
        <v>17</v>
      </c>
      <c r="CJ15">
        <f>HYPERLINK("http://exon.niaid.nih.gov/transcriptome/Anopheles_sialome/links/cluster-b/anopheline-sialome-cds-pep-larger-orf85-50SimCLU11.txt", 11)</f>
        <v>11</v>
      </c>
      <c r="CK15">
        <f>HYPERLINK("http://exon.niaid.nih.gov/transcriptome/Anopheles_sialome/links/cluster-b/anopheline-sialome-cds-pep-larger-orf85-50SimCLTL11.txt", 13)</f>
        <v>13</v>
      </c>
      <c r="CL15">
        <f>HYPERLINK("http://exon.niaid.nih.gov/transcriptome/Anopheles_sialome/links/cluster-b/anopheline-sialome-cds-pep-larger-orf90-50SimCLU8.txt", 8)</f>
        <v>8</v>
      </c>
      <c r="CM15">
        <f>HYPERLINK("http://exon.niaid.nih.gov/transcriptome/Anopheles_sialome/links/cluster-b/anopheline-sialome-cds-pep-larger-orf90-50SimCLTL8.txt", 12)</f>
        <v>12</v>
      </c>
      <c r="CN15">
        <v>123</v>
      </c>
      <c r="CO15">
        <v>1</v>
      </c>
    </row>
    <row r="16" spans="1:93">
      <c r="A16" s="2" t="str">
        <f>HYPERLINK("http://exon.niaid.nih.gov/transcriptome/Anopheles_sialome/links/cds/anodir_apy-cds.txt","anodir_apy")</f>
        <v>anodir_apy</v>
      </c>
      <c r="B16">
        <v>1671</v>
      </c>
      <c r="C16" t="s">
        <v>111</v>
      </c>
      <c r="D16" t="s">
        <v>7</v>
      </c>
      <c r="E16" t="s">
        <v>5</v>
      </c>
      <c r="F16" t="s">
        <v>1</v>
      </c>
      <c r="G16" t="str">
        <f>HYPERLINK("http://exon.niaid.nih.gov/transcriptome/Anopheles_sialome/links/pep/anodir_apy-pep.txt","anodir_apy")</f>
        <v>anodir_apy</v>
      </c>
      <c r="H16">
        <v>556</v>
      </c>
      <c r="I16">
        <v>0</v>
      </c>
      <c r="J16" s="3" t="str">
        <f>HYPERLINK("http://exon.niaid.nih.gov/transcriptome/Anopheles_sialome/links/Sigp/anodir_apy-SigP.txt","SIG")</f>
        <v>SIG</v>
      </c>
      <c r="K16" t="s">
        <v>689</v>
      </c>
      <c r="L16">
        <v>61.613</v>
      </c>
      <c r="M16">
        <v>9.02</v>
      </c>
      <c r="N16">
        <v>59.326000000000001</v>
      </c>
      <c r="O16">
        <v>8.94</v>
      </c>
      <c r="P16" t="s">
        <v>914</v>
      </c>
      <c r="Q16" s="3">
        <v>0</v>
      </c>
      <c r="R16" t="s">
        <v>128</v>
      </c>
      <c r="S16" t="s">
        <v>128</v>
      </c>
      <c r="T16" t="s">
        <v>128</v>
      </c>
      <c r="U16" t="s">
        <v>128</v>
      </c>
      <c r="V16" t="s">
        <v>128</v>
      </c>
      <c r="W16" s="3" t="str">
        <f>HYPERLINK("http://exon.niaid.nih.gov/transcriptome/Anopheles_sialome/links/netoglyc/anodir_apy-netoglyc.txt","0")</f>
        <v>0</v>
      </c>
      <c r="X16">
        <v>14.2</v>
      </c>
      <c r="Y16">
        <v>7</v>
      </c>
      <c r="Z16">
        <v>3.8</v>
      </c>
      <c r="AA16" t="s">
        <v>654</v>
      </c>
      <c r="AB16" t="s">
        <v>915</v>
      </c>
      <c r="AC16" s="2" t="str">
        <f>HYPERLINK("http://exon.niaid.nih.gov/transcriptome/Anopheles_sialome/links/DIPTERA/anodir_apy-DIPTERA.txt","apyrase")</f>
        <v>apyrase</v>
      </c>
      <c r="AD16" t="str">
        <f>HYPERLINK("http://www.ncbi.nlm.nih.gov/sutils/blink.cgi?pid=927214882","0.0")</f>
        <v>0.0</v>
      </c>
      <c r="AE16" t="str">
        <f>HYPERLINK("http://www.ncbi.nlm.nih.gov/protein/927214882","gi|927214882")</f>
        <v>gi|927214882</v>
      </c>
      <c r="AF16">
        <v>76</v>
      </c>
      <c r="AG16">
        <v>87</v>
      </c>
      <c r="AH16">
        <v>100</v>
      </c>
      <c r="AI16" t="s">
        <v>2405</v>
      </c>
      <c r="AJ16" s="2" t="s">
        <v>128</v>
      </c>
      <c r="AK16" t="s">
        <v>128</v>
      </c>
      <c r="AL16" t="s">
        <v>128</v>
      </c>
      <c r="AM16" t="s">
        <v>128</v>
      </c>
      <c r="AN16" t="s">
        <v>128</v>
      </c>
      <c r="AO16" t="s">
        <v>128</v>
      </c>
      <c r="AP16" t="s">
        <v>128</v>
      </c>
      <c r="AQ16" s="2" t="str">
        <f>HYPERLINK("http://exon.niaid.nih.gov/transcriptome/Anopheles_sialome/links/NR-LIGHT/anodir_apy-NR-LIGHT.txt","apyrase")</f>
        <v>apyrase</v>
      </c>
      <c r="AR16" t="str">
        <f>HYPERLINK("http://www.ncbi.nlm.nih.gov/sutils/blink.cgi?pid=927214882","0.0")</f>
        <v>0.0</v>
      </c>
      <c r="AS16" t="str">
        <f>HYPERLINK("http://www.ncbi.nlm.nih.gov/protein/927214882","gi|927214882")</f>
        <v>gi|927214882</v>
      </c>
      <c r="AT16">
        <v>76</v>
      </c>
      <c r="AU16">
        <v>87</v>
      </c>
      <c r="AV16">
        <v>100</v>
      </c>
      <c r="AW16" t="s">
        <v>2405</v>
      </c>
      <c r="AX16" s="2" t="str">
        <f>HYPERLINK("http://exon.niaid.nih.gov/transcriptome/Anopheles_sialome/links/CDD/anodir_apy-CDD.txt","MPP_CD73_N")</f>
        <v>MPP_CD73_N</v>
      </c>
      <c r="AY16" t="str">
        <f>HYPERLINK("http://www.ncbi.nlm.nih.gov/Structure/cdd/cddsrv.cgi?uid=cd07409&amp;version=v4.0","1E-111")</f>
        <v>1E-111</v>
      </c>
      <c r="AZ16" t="s">
        <v>2410</v>
      </c>
      <c r="BA16" s="2" t="str">
        <f>HYPERLINK("http://exon.niaid.nih.gov/transcriptome/Anopheles_sialome/links/KOG/anodir_apy-KOG.txt","5' nucleotidase")</f>
        <v>5' nucleotidase</v>
      </c>
      <c r="BB16" t="str">
        <f>HYPERLINK("http://www.ncbi.nlm.nih.gov/Structure/cdd/cddsrv.cgi?uid=KOG4419","3E-053")</f>
        <v>3E-053</v>
      </c>
      <c r="BC16" t="s">
        <v>2398</v>
      </c>
      <c r="BD16" t="str">
        <f>HYPERLINK("http://exon.niaid.nih.gov/transcriptome/Anopheles_sialome/links/KOG/anodir_apy-KOG.txt","KOG4419")</f>
        <v>KOG4419</v>
      </c>
      <c r="BE16" t="str">
        <f>HYPERLINK("http://exon.niaid.nih.gov/transcriptome/Anopheles_sialome/links/PFAM/anodir_apy-PFAM.txt","5_nucleotid_C")</f>
        <v>5_nucleotid_C</v>
      </c>
      <c r="BF16" t="str">
        <f>HYPERLINK("http://pfam.sanger.ac.uk/family?acc=PF02872","5E-034")</f>
        <v>5E-034</v>
      </c>
      <c r="BG16" s="2" t="str">
        <f>HYPERLINK("http://exon.niaid.nih.gov/transcriptome/Anopheles_sialome/links/SMART/anodir_apy-SMART.txt","PGA_cap")</f>
        <v>PGA_cap</v>
      </c>
      <c r="BH16" t="str">
        <f>HYPERLINK("http://smart.embl-heidelberg.de/smart/do_annotation.pl?DOMAIN=PGA_cap&amp;BLAST=DUMMY","8E-009")</f>
        <v>8E-009</v>
      </c>
      <c r="BI16" t="str">
        <f>HYPERLINK("http://exon.niaid.nih.gov/transcriptome/Anopheles_sialome/links/TICK-BLOCKS/anodir_apy-TICK-BLOCKS.txt","SG1_stringent_pattern |")</f>
        <v>SG1_stringent_pattern |</v>
      </c>
      <c r="BJ16" s="2" t="s">
        <v>128</v>
      </c>
      <c r="BK16" t="s">
        <v>913</v>
      </c>
      <c r="BL16">
        <f>HYPERLINK("http://exon.niaid.nih.gov/transcriptome/Anopheles_sialome/links/cluster-b/anopheline-sialome-cds-pep-larger-orf25-50SimCLU9.txt", 9)</f>
        <v>9</v>
      </c>
      <c r="BM16">
        <f>HYPERLINK("http://exon.niaid.nih.gov/transcriptome/Anopheles_sialome/links/cluster-b/anopheline-sialome-cds-pep-larger-orf25-50SimCLTL9.txt", 35)</f>
        <v>35</v>
      </c>
      <c r="BN16">
        <f>HYPERLINK("http://exon.niaid.nih.gov/transcriptome/Anopheles_sialome/links/cluster-b/anopheline-sialome-cds-pep-larger-orf30-50SimCLU8.txt", 8)</f>
        <v>8</v>
      </c>
      <c r="BO16">
        <f>HYPERLINK("http://exon.niaid.nih.gov/transcriptome/Anopheles_sialome/links/cluster-b/anopheline-sialome-cds-pep-larger-orf30-50SimCLTL8.txt", 35)</f>
        <v>35</v>
      </c>
      <c r="BP16">
        <f>HYPERLINK("http://exon.niaid.nih.gov/transcriptome/Anopheles_sialome/links/cluster-b/anopheline-sialome-cds-pep-larger-orf35-50SimCLU9.txt", 9)</f>
        <v>9</v>
      </c>
      <c r="BQ16">
        <f>HYPERLINK("http://exon.niaid.nih.gov/transcriptome/Anopheles_sialome/links/cluster-b/anopheline-sialome-cds-pep-larger-orf35-50SimCLTL9.txt", 35)</f>
        <v>35</v>
      </c>
      <c r="BR16">
        <f>HYPERLINK("http://exon.niaid.nih.gov/transcriptome/Anopheles_sialome/links/cluster-b/anopheline-sialome-cds-pep-larger-orf40-50SimCLU8.txt", 8)</f>
        <v>8</v>
      </c>
      <c r="BS16">
        <f>HYPERLINK("http://exon.niaid.nih.gov/transcriptome/Anopheles_sialome/links/cluster-b/anopheline-sialome-cds-pep-larger-orf40-50SimCLTL8.txt", 35)</f>
        <v>35</v>
      </c>
      <c r="BT16">
        <f>HYPERLINK("http://exon.niaid.nih.gov/transcriptome/Anopheles_sialome/links/cluster-b/anopheline-sialome-cds-pep-larger-orf45-50SimCLU7.txt", 7)</f>
        <v>7</v>
      </c>
      <c r="BU16">
        <f>HYPERLINK("http://exon.niaid.nih.gov/transcriptome/Anopheles_sialome/links/cluster-b/anopheline-sialome-cds-pep-larger-orf45-50SimCLTL7.txt", 35)</f>
        <v>35</v>
      </c>
      <c r="BV16">
        <f>HYPERLINK("http://exon.niaid.nih.gov/transcriptome/Anopheles_sialome/links/cluster-b/anopheline-sialome-cds-pep-larger-orf50-50SimCLU7.txt", 7)</f>
        <v>7</v>
      </c>
      <c r="BW16">
        <f>HYPERLINK("http://exon.niaid.nih.gov/transcriptome/Anopheles_sialome/links/cluster-b/anopheline-sialome-cds-pep-larger-orf50-50SimCLTL7.txt", 35)</f>
        <v>35</v>
      </c>
      <c r="BX16">
        <f>HYPERLINK("http://exon.niaid.nih.gov/transcriptome/Anopheles_sialome/links/cluster-b/anopheline-sialome-cds-pep-larger-orf55-50SimCLU7.txt", 7)</f>
        <v>7</v>
      </c>
      <c r="BY16">
        <f>HYPERLINK("http://exon.niaid.nih.gov/transcriptome/Anopheles_sialome/links/cluster-b/anopheline-sialome-cds-pep-larger-orf55-50SimCLTL7.txt", 35)</f>
        <v>35</v>
      </c>
      <c r="BZ16">
        <f>HYPERLINK("http://exon.niaid.nih.gov/transcriptome/Anopheles_sialome/links/cluster-b/anopheline-sialome-cds-pep-larger-orf60-50SimCLU5.txt", 5)</f>
        <v>5</v>
      </c>
      <c r="CA16">
        <f>HYPERLINK("http://exon.niaid.nih.gov/transcriptome/Anopheles_sialome/links/cluster-b/anopheline-sialome-cds-pep-larger-orf60-50SimCLTL5.txt", 35)</f>
        <v>35</v>
      </c>
      <c r="CB16">
        <f>HYPERLINK("http://exon.niaid.nih.gov/transcriptome/Anopheles_sialome/links/cluster-b/anopheline-sialome-cds-pep-larger-orf65-50SimCLU3.txt", 3)</f>
        <v>3</v>
      </c>
      <c r="CC16">
        <f>HYPERLINK("http://exon.niaid.nih.gov/transcriptome/Anopheles_sialome/links/cluster-b/anopheline-sialome-cds-pep-larger-orf65-50SimCLTL3.txt", 35)</f>
        <v>35</v>
      </c>
      <c r="CD16">
        <f>HYPERLINK("http://exon.niaid.nih.gov/transcriptome/Anopheles_sialome/links/cluster-b/anopheline-sialome-cds-pep-larger-orf70-50SimCLU17.txt", 17)</f>
        <v>17</v>
      </c>
      <c r="CE16">
        <f>HYPERLINK("http://exon.niaid.nih.gov/transcriptome/Anopheles_sialome/links/cluster-b/anopheline-sialome-cds-pep-larger-orf70-50SimCLTL17.txt", 17)</f>
        <v>17</v>
      </c>
      <c r="CF16">
        <f>HYPERLINK("http://exon.niaid.nih.gov/transcriptome/Anopheles_sialome/links/cluster-b/anopheline-sialome-cds-pep-larger-orf75-50SimCLU12.txt", 12)</f>
        <v>12</v>
      </c>
      <c r="CG16">
        <f>HYPERLINK("http://exon.niaid.nih.gov/transcriptome/Anopheles_sialome/links/cluster-b/anopheline-sialome-cds-pep-larger-orf75-50SimCLTL12.txt", 17)</f>
        <v>17</v>
      </c>
      <c r="CH16">
        <f>HYPERLINK("http://exon.niaid.nih.gov/transcriptome/Anopheles_sialome/links/cluster-b/anopheline-sialome-cds-pep-larger-orf80-50SimCLU9.txt", 9)</f>
        <v>9</v>
      </c>
      <c r="CI16">
        <f>HYPERLINK("http://exon.niaid.nih.gov/transcriptome/Anopheles_sialome/links/cluster-b/anopheline-sialome-cds-pep-larger-orf80-50SimCLTL9.txt", 17)</f>
        <v>17</v>
      </c>
      <c r="CJ16">
        <f>HYPERLINK("http://exon.niaid.nih.gov/transcriptome/Anopheles_sialome/links/cluster-b/anopheline-sialome-cds-pep-larger-orf85-50SimCLU11.txt", 11)</f>
        <v>11</v>
      </c>
      <c r="CK16">
        <f>HYPERLINK("http://exon.niaid.nih.gov/transcriptome/Anopheles_sialome/links/cluster-b/anopheline-sialome-cds-pep-larger-orf85-50SimCLTL11.txt", 13)</f>
        <v>13</v>
      </c>
      <c r="CL16">
        <v>138</v>
      </c>
      <c r="CM16">
        <v>1</v>
      </c>
      <c r="CN16">
        <v>124</v>
      </c>
      <c r="CO16">
        <v>1</v>
      </c>
    </row>
    <row r="17" spans="1:93">
      <c r="A17" s="2" t="str">
        <f>HYPERLINK("http://exon.niaid.nih.gov/transcriptome/Anopheles_sialome/links/cds/anoatro_apy-cds.txt","anoatro_apy")</f>
        <v>anoatro_apy</v>
      </c>
      <c r="B17">
        <v>1668</v>
      </c>
      <c r="C17" t="s">
        <v>112</v>
      </c>
      <c r="D17" t="s">
        <v>4</v>
      </c>
      <c r="E17" t="s">
        <v>5</v>
      </c>
      <c r="F17" t="s">
        <v>1</v>
      </c>
      <c r="G17" t="str">
        <f>HYPERLINK("http://exon.niaid.nih.gov/transcriptome/Anopheles_sialome/links/pep/anoatro_apy-pep.txt","anoatro_apy")</f>
        <v>anoatro_apy</v>
      </c>
      <c r="H17">
        <v>555</v>
      </c>
      <c r="I17">
        <v>0</v>
      </c>
      <c r="J17" s="3" t="str">
        <f>HYPERLINK("http://exon.niaid.nih.gov/transcriptome/Anopheles_sialome/links/Sigp/anoatro_apy-SigP.txt","SIG")</f>
        <v>SIG</v>
      </c>
      <c r="K17" t="s">
        <v>689</v>
      </c>
      <c r="L17">
        <v>61.988</v>
      </c>
      <c r="M17">
        <v>8.4700000000000006</v>
      </c>
      <c r="N17">
        <v>59.716999999999999</v>
      </c>
      <c r="O17">
        <v>8.1</v>
      </c>
      <c r="P17" t="s">
        <v>917</v>
      </c>
      <c r="Q17" s="3">
        <v>0</v>
      </c>
      <c r="R17" t="s">
        <v>128</v>
      </c>
      <c r="S17" t="s">
        <v>128</v>
      </c>
      <c r="T17" t="s">
        <v>128</v>
      </c>
      <c r="U17" t="s">
        <v>128</v>
      </c>
      <c r="V17" t="s">
        <v>128</v>
      </c>
      <c r="W17" s="3" t="str">
        <f>HYPERLINK("http://exon.niaid.nih.gov/transcriptome/Anopheles_sialome/links/netoglyc/anoatro_apy-netoglyc.txt","0")</f>
        <v>0</v>
      </c>
      <c r="X17">
        <v>11.7</v>
      </c>
      <c r="Y17">
        <v>7.2</v>
      </c>
      <c r="Z17">
        <v>3.2</v>
      </c>
      <c r="AA17" t="s">
        <v>654</v>
      </c>
      <c r="AB17" t="s">
        <v>128</v>
      </c>
      <c r="AC17" s="2" t="str">
        <f>HYPERLINK("http://exon.niaid.nih.gov/transcriptome/Anopheles_sialome/links/DIPTERA/anoatro_apy-DIPTERA.txt","AGAP011971-PA")</f>
        <v>AGAP011971-PA</v>
      </c>
      <c r="AD17" t="str">
        <f>HYPERLINK("http://www.ncbi.nlm.nih.gov/sutils/blink.cgi?pid=55234710","0.0")</f>
        <v>0.0</v>
      </c>
      <c r="AE17" t="str">
        <f>HYPERLINK("http://www.ncbi.nlm.nih.gov/protein/55234710","gi|55234710")</f>
        <v>gi|55234710</v>
      </c>
      <c r="AF17">
        <v>68</v>
      </c>
      <c r="AG17">
        <v>81</v>
      </c>
      <c r="AH17">
        <v>100</v>
      </c>
      <c r="AI17" t="s">
        <v>2285</v>
      </c>
      <c r="AJ17" s="2" t="s">
        <v>128</v>
      </c>
      <c r="AK17" t="s">
        <v>128</v>
      </c>
      <c r="AL17" t="s">
        <v>128</v>
      </c>
      <c r="AM17" t="s">
        <v>128</v>
      </c>
      <c r="AN17" t="s">
        <v>128</v>
      </c>
      <c r="AO17" t="s">
        <v>128</v>
      </c>
      <c r="AP17" t="s">
        <v>128</v>
      </c>
      <c r="AQ17" s="2" t="str">
        <f>HYPERLINK("http://exon.niaid.nih.gov/transcriptome/Anopheles_sialome/links/NR-LIGHT/anoatro_apy-NR-LIGHT.txt","AGAP011971-PA")</f>
        <v>AGAP011971-PA</v>
      </c>
      <c r="AR17" t="str">
        <f>HYPERLINK("http://www.ncbi.nlm.nih.gov/sutils/blink.cgi?pid=58394160","0.0")</f>
        <v>0.0</v>
      </c>
      <c r="AS17" t="str">
        <f>HYPERLINK("http://www.ncbi.nlm.nih.gov/protein/58394160","gi|58394160")</f>
        <v>gi|58394160</v>
      </c>
      <c r="AT17">
        <v>68</v>
      </c>
      <c r="AU17">
        <v>81</v>
      </c>
      <c r="AV17">
        <v>100</v>
      </c>
      <c r="AW17" t="s">
        <v>2285</v>
      </c>
      <c r="AX17" s="2" t="str">
        <f>HYPERLINK("http://exon.niaid.nih.gov/transcriptome/Anopheles_sialome/links/CDD/anoatro_apy-CDD.txt","MPP_CD73_N")</f>
        <v>MPP_CD73_N</v>
      </c>
      <c r="AY17" t="str">
        <f>HYPERLINK("http://www.ncbi.nlm.nih.gov/Structure/cdd/cddsrv.cgi?uid=cd07409&amp;version=v4.0","1E-113")</f>
        <v>1E-113</v>
      </c>
      <c r="AZ17" t="s">
        <v>2411</v>
      </c>
      <c r="BA17" s="2" t="str">
        <f>HYPERLINK("http://exon.niaid.nih.gov/transcriptome/Anopheles_sialome/links/KOG/anoatro_apy-KOG.txt","5' nucleotidase")</f>
        <v>5' nucleotidase</v>
      </c>
      <c r="BB17" t="str">
        <f>HYPERLINK("http://www.ncbi.nlm.nih.gov/Structure/cdd/cddsrv.cgi?uid=KOG4419","3E-051")</f>
        <v>3E-051</v>
      </c>
      <c r="BC17" t="s">
        <v>2398</v>
      </c>
      <c r="BD17" t="str">
        <f>HYPERLINK("http://exon.niaid.nih.gov/transcriptome/Anopheles_sialome/links/KOG/anoatro_apy-KOG.txt","KOG4419")</f>
        <v>KOG4419</v>
      </c>
      <c r="BE17" t="str">
        <f>HYPERLINK("http://exon.niaid.nih.gov/transcriptome/Anopheles_sialome/links/PFAM/anoatro_apy-PFAM.txt","5_nucleotid_C")</f>
        <v>5_nucleotid_C</v>
      </c>
      <c r="BF17" t="str">
        <f>HYPERLINK("http://pfam.sanger.ac.uk/family?acc=PF02872","4E-033")</f>
        <v>4E-033</v>
      </c>
      <c r="BG17" s="2" t="str">
        <f>HYPERLINK("http://exon.niaid.nih.gov/transcriptome/Anopheles_sialome/links/SMART/anoatro_apy-SMART.txt","PGA_cap")</f>
        <v>PGA_cap</v>
      </c>
      <c r="BH17" t="str">
        <f>HYPERLINK("http://smart.embl-heidelberg.de/smart/do_annotation.pl?DOMAIN=PGA_cap&amp;BLAST=DUMMY","2E-010")</f>
        <v>2E-010</v>
      </c>
      <c r="BI17" t="s">
        <v>128</v>
      </c>
      <c r="BJ17" s="2" t="s">
        <v>128</v>
      </c>
      <c r="BK17" t="s">
        <v>916</v>
      </c>
      <c r="BL17">
        <f>HYPERLINK("http://exon.niaid.nih.gov/transcriptome/Anopheles_sialome/links/cluster-b/anopheline-sialome-cds-pep-larger-orf25-50SimCLU9.txt", 9)</f>
        <v>9</v>
      </c>
      <c r="BM17">
        <f>HYPERLINK("http://exon.niaid.nih.gov/transcriptome/Anopheles_sialome/links/cluster-b/anopheline-sialome-cds-pep-larger-orf25-50SimCLTL9.txt", 35)</f>
        <v>35</v>
      </c>
      <c r="BN17">
        <f>HYPERLINK("http://exon.niaid.nih.gov/transcriptome/Anopheles_sialome/links/cluster-b/anopheline-sialome-cds-pep-larger-orf30-50SimCLU8.txt", 8)</f>
        <v>8</v>
      </c>
      <c r="BO17">
        <f>HYPERLINK("http://exon.niaid.nih.gov/transcriptome/Anopheles_sialome/links/cluster-b/anopheline-sialome-cds-pep-larger-orf30-50SimCLTL8.txt", 35)</f>
        <v>35</v>
      </c>
      <c r="BP17">
        <f>HYPERLINK("http://exon.niaid.nih.gov/transcriptome/Anopheles_sialome/links/cluster-b/anopheline-sialome-cds-pep-larger-orf35-50SimCLU9.txt", 9)</f>
        <v>9</v>
      </c>
      <c r="BQ17">
        <f>HYPERLINK("http://exon.niaid.nih.gov/transcriptome/Anopheles_sialome/links/cluster-b/anopheline-sialome-cds-pep-larger-orf35-50SimCLTL9.txt", 35)</f>
        <v>35</v>
      </c>
      <c r="BR17">
        <f>HYPERLINK("http://exon.niaid.nih.gov/transcriptome/Anopheles_sialome/links/cluster-b/anopheline-sialome-cds-pep-larger-orf40-50SimCLU8.txt", 8)</f>
        <v>8</v>
      </c>
      <c r="BS17">
        <f>HYPERLINK("http://exon.niaid.nih.gov/transcriptome/Anopheles_sialome/links/cluster-b/anopheline-sialome-cds-pep-larger-orf40-50SimCLTL8.txt", 35)</f>
        <v>35</v>
      </c>
      <c r="BT17">
        <f>HYPERLINK("http://exon.niaid.nih.gov/transcriptome/Anopheles_sialome/links/cluster-b/anopheline-sialome-cds-pep-larger-orf45-50SimCLU7.txt", 7)</f>
        <v>7</v>
      </c>
      <c r="BU17">
        <f>HYPERLINK("http://exon.niaid.nih.gov/transcriptome/Anopheles_sialome/links/cluster-b/anopheline-sialome-cds-pep-larger-orf45-50SimCLTL7.txt", 35)</f>
        <v>35</v>
      </c>
      <c r="BV17">
        <f>HYPERLINK("http://exon.niaid.nih.gov/transcriptome/Anopheles_sialome/links/cluster-b/anopheline-sialome-cds-pep-larger-orf50-50SimCLU7.txt", 7)</f>
        <v>7</v>
      </c>
      <c r="BW17">
        <f>HYPERLINK("http://exon.niaid.nih.gov/transcriptome/Anopheles_sialome/links/cluster-b/anopheline-sialome-cds-pep-larger-orf50-50SimCLTL7.txt", 35)</f>
        <v>35</v>
      </c>
      <c r="BX17">
        <f>HYPERLINK("http://exon.niaid.nih.gov/transcriptome/Anopheles_sialome/links/cluster-b/anopheline-sialome-cds-pep-larger-orf55-50SimCLU7.txt", 7)</f>
        <v>7</v>
      </c>
      <c r="BY17">
        <f>HYPERLINK("http://exon.niaid.nih.gov/transcriptome/Anopheles_sialome/links/cluster-b/anopheline-sialome-cds-pep-larger-orf55-50SimCLTL7.txt", 35)</f>
        <v>35</v>
      </c>
      <c r="BZ17">
        <f>HYPERLINK("http://exon.niaid.nih.gov/transcriptome/Anopheles_sialome/links/cluster-b/anopheline-sialome-cds-pep-larger-orf60-50SimCLU5.txt", 5)</f>
        <v>5</v>
      </c>
      <c r="CA17">
        <f>HYPERLINK("http://exon.niaid.nih.gov/transcriptome/Anopheles_sialome/links/cluster-b/anopheline-sialome-cds-pep-larger-orf60-50SimCLTL5.txt", 35)</f>
        <v>35</v>
      </c>
      <c r="CB17">
        <f>HYPERLINK("http://exon.niaid.nih.gov/transcriptome/Anopheles_sialome/links/cluster-b/anopheline-sialome-cds-pep-larger-orf65-50SimCLU3.txt", 3)</f>
        <v>3</v>
      </c>
      <c r="CC17">
        <f>HYPERLINK("http://exon.niaid.nih.gov/transcriptome/Anopheles_sialome/links/cluster-b/anopheline-sialome-cds-pep-larger-orf65-50SimCLTL3.txt", 35)</f>
        <v>35</v>
      </c>
      <c r="CD17">
        <f>HYPERLINK("http://exon.niaid.nih.gov/transcriptome/Anopheles_sialome/links/cluster-b/anopheline-sialome-cds-pep-larger-orf70-50SimCLU17.txt", 17)</f>
        <v>17</v>
      </c>
      <c r="CE17">
        <f>HYPERLINK("http://exon.niaid.nih.gov/transcriptome/Anopheles_sialome/links/cluster-b/anopheline-sialome-cds-pep-larger-orf70-50SimCLTL17.txt", 17)</f>
        <v>17</v>
      </c>
      <c r="CF17">
        <f>HYPERLINK("http://exon.niaid.nih.gov/transcriptome/Anopheles_sialome/links/cluster-b/anopheline-sialome-cds-pep-larger-orf75-50SimCLU12.txt", 12)</f>
        <v>12</v>
      </c>
      <c r="CG17">
        <f>HYPERLINK("http://exon.niaid.nih.gov/transcriptome/Anopheles_sialome/links/cluster-b/anopheline-sialome-cds-pep-larger-orf75-50SimCLTL12.txt", 17)</f>
        <v>17</v>
      </c>
      <c r="CH17">
        <f>HYPERLINK("http://exon.niaid.nih.gov/transcriptome/Anopheles_sialome/links/cluster-b/anopheline-sialome-cds-pep-larger-orf80-50SimCLU9.txt", 9)</f>
        <v>9</v>
      </c>
      <c r="CI17">
        <f>HYPERLINK("http://exon.niaid.nih.gov/transcriptome/Anopheles_sialome/links/cluster-b/anopheline-sialome-cds-pep-larger-orf80-50SimCLTL9.txt", 17)</f>
        <v>17</v>
      </c>
      <c r="CJ17">
        <f>HYPERLINK("http://exon.niaid.nih.gov/transcriptome/Anopheles_sialome/links/cluster-b/anopheline-sialome-cds-pep-larger-orf85-50SimCLU64.txt", 64)</f>
        <v>64</v>
      </c>
      <c r="CK17">
        <f>HYPERLINK("http://exon.niaid.nih.gov/transcriptome/Anopheles_sialome/links/cluster-b/anopheline-sialome-cds-pep-larger-orf85-50SimCLTL64.txt", 2)</f>
        <v>2</v>
      </c>
      <c r="CL17">
        <v>139</v>
      </c>
      <c r="CM17">
        <v>1</v>
      </c>
      <c r="CN17">
        <v>125</v>
      </c>
      <c r="CO17">
        <v>1</v>
      </c>
    </row>
    <row r="18" spans="1:93">
      <c r="A18" s="2" t="str">
        <f>HYPERLINK("http://exon.niaid.nih.gov/transcriptome/Anopheles_sialome/links/cds/anosin_apy-cds.txt","anosin_apy")</f>
        <v>anosin_apy</v>
      </c>
      <c r="B18">
        <v>1665</v>
      </c>
      <c r="C18" t="s">
        <v>4</v>
      </c>
      <c r="D18" t="s">
        <v>3178</v>
      </c>
      <c r="E18" t="s">
        <v>5</v>
      </c>
      <c r="F18" t="s">
        <v>1</v>
      </c>
      <c r="G18" t="str">
        <f>HYPERLINK("http://exon.niaid.nih.gov/transcriptome/Anopheles_sialome/links/pep/anosin_apy-pep.txt","anosin_apy")</f>
        <v>anosin_apy</v>
      </c>
      <c r="H18">
        <v>554</v>
      </c>
      <c r="I18">
        <v>0</v>
      </c>
      <c r="J18" s="3" t="str">
        <f>HYPERLINK("http://exon.niaid.nih.gov/transcriptome/Anopheles_sialome/links/Sigp/anosin_apy-SigP.txt","SIG")</f>
        <v>SIG</v>
      </c>
      <c r="K18" t="s">
        <v>919</v>
      </c>
      <c r="L18">
        <v>62.237000000000002</v>
      </c>
      <c r="M18">
        <v>8.4700000000000006</v>
      </c>
      <c r="N18">
        <v>60.329000000000001</v>
      </c>
      <c r="O18">
        <v>8.5399999999999991</v>
      </c>
      <c r="P18" t="s">
        <v>670</v>
      </c>
      <c r="Q18" s="3">
        <v>0</v>
      </c>
      <c r="R18" t="s">
        <v>128</v>
      </c>
      <c r="S18" t="s">
        <v>128</v>
      </c>
      <c r="T18" t="s">
        <v>128</v>
      </c>
      <c r="U18" t="s">
        <v>128</v>
      </c>
      <c r="V18" t="s">
        <v>128</v>
      </c>
      <c r="W18" s="3" t="str">
        <f>HYPERLINK("http://exon.niaid.nih.gov/transcriptome/Anopheles_sialome/links/netoglyc/anosin_apy-netoglyc.txt","0")</f>
        <v>0</v>
      </c>
      <c r="X18">
        <v>11.6</v>
      </c>
      <c r="Y18">
        <v>6.9</v>
      </c>
      <c r="Z18">
        <v>3.2</v>
      </c>
      <c r="AA18" t="s">
        <v>654</v>
      </c>
      <c r="AB18" t="s">
        <v>920</v>
      </c>
      <c r="AC18" s="2" t="str">
        <f>HYPERLINK("http://exon.niaid.nih.gov/transcriptome/Anopheles_sialome/links/DIPTERA/anosin_apy-DIPTERA.txt","apyrase")</f>
        <v>apyrase</v>
      </c>
      <c r="AD18" t="str">
        <f>HYPERLINK("http://www.ncbi.nlm.nih.gov/sutils/blink.cgi?pid=668458953","0.0")</f>
        <v>0.0</v>
      </c>
      <c r="AE18" t="str">
        <f>HYPERLINK("http://www.ncbi.nlm.nih.gov/protein/668458953","gi|668458953")</f>
        <v>gi|668458953</v>
      </c>
      <c r="AF18">
        <v>97</v>
      </c>
      <c r="AG18">
        <v>98</v>
      </c>
      <c r="AH18">
        <v>100</v>
      </c>
      <c r="AI18" t="s">
        <v>2277</v>
      </c>
      <c r="AJ18" s="2" t="s">
        <v>128</v>
      </c>
      <c r="AK18" t="s">
        <v>128</v>
      </c>
      <c r="AL18" t="s">
        <v>128</v>
      </c>
      <c r="AM18" t="s">
        <v>128</v>
      </c>
      <c r="AN18" t="s">
        <v>128</v>
      </c>
      <c r="AO18" t="s">
        <v>128</v>
      </c>
      <c r="AP18" t="s">
        <v>128</v>
      </c>
      <c r="AQ18" s="2" t="str">
        <f>HYPERLINK("http://exon.niaid.nih.gov/transcriptome/Anopheles_sialome/links/NR-LIGHT/anosin_apy-NR-LIGHT.txt","apyrase")</f>
        <v>apyrase</v>
      </c>
      <c r="AR18" t="str">
        <f>HYPERLINK("http://www.ncbi.nlm.nih.gov/sutils/blink.cgi?pid=668458953","0.0")</f>
        <v>0.0</v>
      </c>
      <c r="AS18" t="str">
        <f>HYPERLINK("http://www.ncbi.nlm.nih.gov/protein/668458953","gi|668458953")</f>
        <v>gi|668458953</v>
      </c>
      <c r="AT18">
        <v>97</v>
      </c>
      <c r="AU18">
        <v>98</v>
      </c>
      <c r="AV18">
        <v>100</v>
      </c>
      <c r="AW18" t="s">
        <v>2277</v>
      </c>
      <c r="AX18" s="2" t="str">
        <f>HYPERLINK("http://exon.niaid.nih.gov/transcriptome/Anopheles_sialome/links/CDD/anosin_apy-CDD.txt","MPP_CD73_N")</f>
        <v>MPP_CD73_N</v>
      </c>
      <c r="AY18" t="str">
        <f>HYPERLINK("http://www.ncbi.nlm.nih.gov/Structure/cdd/cddsrv.cgi?uid=cd07409&amp;version=v4.0","1E-107")</f>
        <v>1E-107</v>
      </c>
      <c r="AZ18" t="s">
        <v>2412</v>
      </c>
      <c r="BA18" s="2" t="str">
        <f>HYPERLINK("http://exon.niaid.nih.gov/transcriptome/Anopheles_sialome/links/KOG/anosin_apy-KOG.txt","5' nucleotidase")</f>
        <v>5' nucleotidase</v>
      </c>
      <c r="BB18" t="str">
        <f>HYPERLINK("http://www.ncbi.nlm.nih.gov/Structure/cdd/cddsrv.cgi?uid=KOG4419","2E-049")</f>
        <v>2E-049</v>
      </c>
      <c r="BC18" t="s">
        <v>2398</v>
      </c>
      <c r="BD18" t="str">
        <f>HYPERLINK("http://exon.niaid.nih.gov/transcriptome/Anopheles_sialome/links/KOG/anosin_apy-KOG.txt","KOG4419")</f>
        <v>KOG4419</v>
      </c>
      <c r="BE18" t="str">
        <f>HYPERLINK("http://exon.niaid.nih.gov/transcriptome/Anopheles_sialome/links/PFAM/anosin_apy-PFAM.txt","5_nucleotid_C")</f>
        <v>5_nucleotid_C</v>
      </c>
      <c r="BF18" t="str">
        <f>HYPERLINK("http://pfam.sanger.ac.uk/family?acc=PF02872","2E-033")</f>
        <v>2E-033</v>
      </c>
      <c r="BG18" s="2" t="str">
        <f>HYPERLINK("http://exon.niaid.nih.gov/transcriptome/Anopheles_sialome/links/SMART/anosin_apy-SMART.txt","PGA_cap")</f>
        <v>PGA_cap</v>
      </c>
      <c r="BH18" t="str">
        <f>HYPERLINK("http://smart.embl-heidelberg.de/smart/do_annotation.pl?DOMAIN=PGA_cap&amp;BLAST=DUMMY","2E-009")</f>
        <v>2E-009</v>
      </c>
      <c r="BI18" t="s">
        <v>128</v>
      </c>
      <c r="BJ18" s="2" t="s">
        <v>128</v>
      </c>
      <c r="BK18" t="s">
        <v>918</v>
      </c>
      <c r="BL18">
        <f>HYPERLINK("http://exon.niaid.nih.gov/transcriptome/Anopheles_sialome/links/cluster-b/anopheline-sialome-cds-pep-larger-orf25-50SimCLU9.txt", 9)</f>
        <v>9</v>
      </c>
      <c r="BM18">
        <f>HYPERLINK("http://exon.niaid.nih.gov/transcriptome/Anopheles_sialome/links/cluster-b/anopheline-sialome-cds-pep-larger-orf25-50SimCLTL9.txt", 35)</f>
        <v>35</v>
      </c>
      <c r="BN18">
        <f>HYPERLINK("http://exon.niaid.nih.gov/transcriptome/Anopheles_sialome/links/cluster-b/anopheline-sialome-cds-pep-larger-orf30-50SimCLU8.txt", 8)</f>
        <v>8</v>
      </c>
      <c r="BO18">
        <f>HYPERLINK("http://exon.niaid.nih.gov/transcriptome/Anopheles_sialome/links/cluster-b/anopheline-sialome-cds-pep-larger-orf30-50SimCLTL8.txt", 35)</f>
        <v>35</v>
      </c>
      <c r="BP18">
        <f>HYPERLINK("http://exon.niaid.nih.gov/transcriptome/Anopheles_sialome/links/cluster-b/anopheline-sialome-cds-pep-larger-orf35-50SimCLU9.txt", 9)</f>
        <v>9</v>
      </c>
      <c r="BQ18">
        <f>HYPERLINK("http://exon.niaid.nih.gov/transcriptome/Anopheles_sialome/links/cluster-b/anopheline-sialome-cds-pep-larger-orf35-50SimCLTL9.txt", 35)</f>
        <v>35</v>
      </c>
      <c r="BR18">
        <f>HYPERLINK("http://exon.niaid.nih.gov/transcriptome/Anopheles_sialome/links/cluster-b/anopheline-sialome-cds-pep-larger-orf40-50SimCLU8.txt", 8)</f>
        <v>8</v>
      </c>
      <c r="BS18">
        <f>HYPERLINK("http://exon.niaid.nih.gov/transcriptome/Anopheles_sialome/links/cluster-b/anopheline-sialome-cds-pep-larger-orf40-50SimCLTL8.txt", 35)</f>
        <v>35</v>
      </c>
      <c r="BT18">
        <f>HYPERLINK("http://exon.niaid.nih.gov/transcriptome/Anopheles_sialome/links/cluster-b/anopheline-sialome-cds-pep-larger-orf45-50SimCLU7.txt", 7)</f>
        <v>7</v>
      </c>
      <c r="BU18">
        <f>HYPERLINK("http://exon.niaid.nih.gov/transcriptome/Anopheles_sialome/links/cluster-b/anopheline-sialome-cds-pep-larger-orf45-50SimCLTL7.txt", 35)</f>
        <v>35</v>
      </c>
      <c r="BV18">
        <f>HYPERLINK("http://exon.niaid.nih.gov/transcriptome/Anopheles_sialome/links/cluster-b/anopheline-sialome-cds-pep-larger-orf50-50SimCLU7.txt", 7)</f>
        <v>7</v>
      </c>
      <c r="BW18">
        <f>HYPERLINK("http://exon.niaid.nih.gov/transcriptome/Anopheles_sialome/links/cluster-b/anopheline-sialome-cds-pep-larger-orf50-50SimCLTL7.txt", 35)</f>
        <v>35</v>
      </c>
      <c r="BX18">
        <f>HYPERLINK("http://exon.niaid.nih.gov/transcriptome/Anopheles_sialome/links/cluster-b/anopheline-sialome-cds-pep-larger-orf55-50SimCLU7.txt", 7)</f>
        <v>7</v>
      </c>
      <c r="BY18">
        <f>HYPERLINK("http://exon.niaid.nih.gov/transcriptome/Anopheles_sialome/links/cluster-b/anopheline-sialome-cds-pep-larger-orf55-50SimCLTL7.txt", 35)</f>
        <v>35</v>
      </c>
      <c r="BZ18">
        <f>HYPERLINK("http://exon.niaid.nih.gov/transcriptome/Anopheles_sialome/links/cluster-b/anopheline-sialome-cds-pep-larger-orf60-50SimCLU5.txt", 5)</f>
        <v>5</v>
      </c>
      <c r="CA18">
        <f>HYPERLINK("http://exon.niaid.nih.gov/transcriptome/Anopheles_sialome/links/cluster-b/anopheline-sialome-cds-pep-larger-orf60-50SimCLTL5.txt", 35)</f>
        <v>35</v>
      </c>
      <c r="CB18">
        <f>HYPERLINK("http://exon.niaid.nih.gov/transcriptome/Anopheles_sialome/links/cluster-b/anopheline-sialome-cds-pep-larger-orf65-50SimCLU3.txt", 3)</f>
        <v>3</v>
      </c>
      <c r="CC18">
        <f>HYPERLINK("http://exon.niaid.nih.gov/transcriptome/Anopheles_sialome/links/cluster-b/anopheline-sialome-cds-pep-larger-orf65-50SimCLTL3.txt", 35)</f>
        <v>35</v>
      </c>
      <c r="CD18">
        <f>HYPERLINK("http://exon.niaid.nih.gov/transcriptome/Anopheles_sialome/links/cluster-b/anopheline-sialome-cds-pep-larger-orf70-50SimCLU17.txt", 17)</f>
        <v>17</v>
      </c>
      <c r="CE18">
        <f>HYPERLINK("http://exon.niaid.nih.gov/transcriptome/Anopheles_sialome/links/cluster-b/anopheline-sialome-cds-pep-larger-orf70-50SimCLTL17.txt", 17)</f>
        <v>17</v>
      </c>
      <c r="CF18">
        <f>HYPERLINK("http://exon.niaid.nih.gov/transcriptome/Anopheles_sialome/links/cluster-b/anopheline-sialome-cds-pep-larger-orf75-50SimCLU12.txt", 12)</f>
        <v>12</v>
      </c>
      <c r="CG18">
        <f>HYPERLINK("http://exon.niaid.nih.gov/transcriptome/Anopheles_sialome/links/cluster-b/anopheline-sialome-cds-pep-larger-orf75-50SimCLTL12.txt", 17)</f>
        <v>17</v>
      </c>
      <c r="CH18">
        <f>HYPERLINK("http://exon.niaid.nih.gov/transcriptome/Anopheles_sialome/links/cluster-b/anopheline-sialome-cds-pep-larger-orf80-50SimCLU9.txt", 9)</f>
        <v>9</v>
      </c>
      <c r="CI18">
        <f>HYPERLINK("http://exon.niaid.nih.gov/transcriptome/Anopheles_sialome/links/cluster-b/anopheline-sialome-cds-pep-larger-orf80-50SimCLTL9.txt", 17)</f>
        <v>17</v>
      </c>
      <c r="CJ18">
        <f>HYPERLINK("http://exon.niaid.nih.gov/transcriptome/Anopheles_sialome/links/cluster-b/anopheline-sialome-cds-pep-larger-orf85-50SimCLU64.txt", 64)</f>
        <v>64</v>
      </c>
      <c r="CK18">
        <f>HYPERLINK("http://exon.niaid.nih.gov/transcriptome/Anopheles_sialome/links/cluster-b/anopheline-sialome-cds-pep-larger-orf85-50SimCLTL64.txt", 2)</f>
        <v>2</v>
      </c>
      <c r="CL18">
        <v>140</v>
      </c>
      <c r="CM18">
        <v>1</v>
      </c>
      <c r="CN18">
        <v>126</v>
      </c>
      <c r="CO18">
        <v>1</v>
      </c>
    </row>
    <row r="19" spans="1:93">
      <c r="A19" s="2" t="str">
        <f>HYPERLINK("http://exon.niaid.nih.gov/transcriptome/Anopheles_sialome/links/cds/anoalb_apy-cds.txt","anoalb_apy")</f>
        <v>anoalb_apy</v>
      </c>
      <c r="B19">
        <v>1662</v>
      </c>
      <c r="C19" t="s">
        <v>113</v>
      </c>
      <c r="D19" t="s">
        <v>7</v>
      </c>
      <c r="E19" t="s">
        <v>5</v>
      </c>
      <c r="F19" t="s">
        <v>1</v>
      </c>
      <c r="G19" t="str">
        <f>HYPERLINK("http://exon.niaid.nih.gov/transcriptome/Anopheles_sialome/links/pep/anoalb_apy-pep.txt","anoalb_apy")</f>
        <v>anoalb_apy</v>
      </c>
      <c r="H19">
        <v>553</v>
      </c>
      <c r="I19">
        <v>0</v>
      </c>
      <c r="J19" s="3" t="str">
        <f>HYPERLINK("http://exon.niaid.nih.gov/transcriptome/Anopheles_sialome/links/Sigp/anoalb_apy-SigP.txt","SIG")</f>
        <v>SIG</v>
      </c>
      <c r="K19" t="s">
        <v>919</v>
      </c>
      <c r="L19">
        <v>62.180999999999997</v>
      </c>
      <c r="M19">
        <v>6.33</v>
      </c>
      <c r="N19">
        <v>60.241</v>
      </c>
      <c r="O19">
        <v>6.14</v>
      </c>
      <c r="P19" t="s">
        <v>922</v>
      </c>
      <c r="Q19" s="3">
        <v>0</v>
      </c>
      <c r="R19" t="s">
        <v>128</v>
      </c>
      <c r="S19" t="s">
        <v>128</v>
      </c>
      <c r="T19" t="s">
        <v>128</v>
      </c>
      <c r="U19" t="s">
        <v>128</v>
      </c>
      <c r="V19" t="s">
        <v>128</v>
      </c>
      <c r="W19" s="3" t="str">
        <f>HYPERLINK("http://exon.niaid.nih.gov/transcriptome/Anopheles_sialome/links/netoglyc/anoalb_apy-netoglyc.txt","0")</f>
        <v>0</v>
      </c>
      <c r="X19">
        <v>11.9</v>
      </c>
      <c r="Y19">
        <v>6.9</v>
      </c>
      <c r="Z19">
        <v>3.6</v>
      </c>
      <c r="AA19" t="s">
        <v>654</v>
      </c>
      <c r="AB19" t="s">
        <v>923</v>
      </c>
      <c r="AC19" s="2" t="str">
        <f>HYPERLINK("http://exon.niaid.nih.gov/transcriptome/Anopheles_sialome/links/DIPTERA/anoalb_apy-DIPTERA.txt","apyrase")</f>
        <v>apyrase</v>
      </c>
      <c r="AD19" t="str">
        <f>HYPERLINK("http://www.ncbi.nlm.nih.gov/sutils/blink.cgi?pid=568254755","0.0")</f>
        <v>0.0</v>
      </c>
      <c r="AE19" t="str">
        <f>HYPERLINK("http://www.ncbi.nlm.nih.gov/protein/568254755","gi|568254755")</f>
        <v>gi|568254755</v>
      </c>
      <c r="AF19">
        <v>91</v>
      </c>
      <c r="AG19">
        <v>95</v>
      </c>
      <c r="AH19">
        <v>100</v>
      </c>
      <c r="AI19" t="s">
        <v>2283</v>
      </c>
      <c r="AJ19" s="2" t="s">
        <v>128</v>
      </c>
      <c r="AK19" t="s">
        <v>128</v>
      </c>
      <c r="AL19" t="s">
        <v>128</v>
      </c>
      <c r="AM19" t="s">
        <v>128</v>
      </c>
      <c r="AN19" t="s">
        <v>128</v>
      </c>
      <c r="AO19" t="s">
        <v>128</v>
      </c>
      <c r="AP19" t="s">
        <v>128</v>
      </c>
      <c r="AQ19" s="2" t="str">
        <f>HYPERLINK("http://exon.niaid.nih.gov/transcriptome/Anopheles_sialome/links/NR-LIGHT/anoalb_apy-NR-LIGHT.txt","apyrase")</f>
        <v>apyrase</v>
      </c>
      <c r="AR19" t="str">
        <f>HYPERLINK("http://www.ncbi.nlm.nih.gov/sutils/blink.cgi?pid=568254755","0.0")</f>
        <v>0.0</v>
      </c>
      <c r="AS19" t="str">
        <f>HYPERLINK("http://www.ncbi.nlm.nih.gov/protein/568254755","gi|568254755")</f>
        <v>gi|568254755</v>
      </c>
      <c r="AT19">
        <v>91</v>
      </c>
      <c r="AU19">
        <v>95</v>
      </c>
      <c r="AV19">
        <v>100</v>
      </c>
      <c r="AW19" t="s">
        <v>2283</v>
      </c>
      <c r="AX19" s="2" t="str">
        <f>HYPERLINK("http://exon.niaid.nih.gov/transcriptome/Anopheles_sialome/links/CDD/anoalb_apy-CDD.txt","MPP_CD73_N")</f>
        <v>MPP_CD73_N</v>
      </c>
      <c r="AY19" t="str">
        <f>HYPERLINK("http://www.ncbi.nlm.nih.gov/Structure/cdd/cddsrv.cgi?uid=cd07409&amp;version=v4.0","1E-106")</f>
        <v>1E-106</v>
      </c>
      <c r="AZ19" t="s">
        <v>2413</v>
      </c>
      <c r="BA19" s="2" t="str">
        <f>HYPERLINK("http://exon.niaid.nih.gov/transcriptome/Anopheles_sialome/links/KOG/anoalb_apy-KOG.txt","5' nucleotidase")</f>
        <v>5' nucleotidase</v>
      </c>
      <c r="BB19" t="str">
        <f>HYPERLINK("http://www.ncbi.nlm.nih.gov/Structure/cdd/cddsrv.cgi?uid=KOG4419","5E-054")</f>
        <v>5E-054</v>
      </c>
      <c r="BC19" t="s">
        <v>2398</v>
      </c>
      <c r="BD19" t="str">
        <f>HYPERLINK("http://exon.niaid.nih.gov/transcriptome/Anopheles_sialome/links/KOG/anoalb_apy-KOG.txt","KOG4419")</f>
        <v>KOG4419</v>
      </c>
      <c r="BE19" t="str">
        <f>HYPERLINK("http://exon.niaid.nih.gov/transcriptome/Anopheles_sialome/links/PFAM/anoalb_apy-PFAM.txt","5_nucleotid_C")</f>
        <v>5_nucleotid_C</v>
      </c>
      <c r="BF19" t="str">
        <f>HYPERLINK("http://pfam.sanger.ac.uk/family?acc=PF02872","5E-034")</f>
        <v>5E-034</v>
      </c>
      <c r="BG19" s="2" t="str">
        <f>HYPERLINK("http://exon.niaid.nih.gov/transcriptome/Anopheles_sialome/links/SMART/anoalb_apy-SMART.txt","PGA_cap")</f>
        <v>PGA_cap</v>
      </c>
      <c r="BH19" t="str">
        <f>HYPERLINK("http://smart.embl-heidelberg.de/smart/do_annotation.pl?DOMAIN=PGA_cap&amp;BLAST=DUMMY","1E-009")</f>
        <v>1E-009</v>
      </c>
      <c r="BI19" t="s">
        <v>128</v>
      </c>
      <c r="BJ19" s="2" t="s">
        <v>128</v>
      </c>
      <c r="BK19" t="s">
        <v>921</v>
      </c>
      <c r="BL19">
        <f>HYPERLINK("http://exon.niaid.nih.gov/transcriptome/Anopheles_sialome/links/cluster-b/anopheline-sialome-cds-pep-larger-orf25-50SimCLU9.txt", 9)</f>
        <v>9</v>
      </c>
      <c r="BM19">
        <f>HYPERLINK("http://exon.niaid.nih.gov/transcriptome/Anopheles_sialome/links/cluster-b/anopheline-sialome-cds-pep-larger-orf25-50SimCLTL9.txt", 35)</f>
        <v>35</v>
      </c>
      <c r="BN19">
        <f>HYPERLINK("http://exon.niaid.nih.gov/transcriptome/Anopheles_sialome/links/cluster-b/anopheline-sialome-cds-pep-larger-orf30-50SimCLU8.txt", 8)</f>
        <v>8</v>
      </c>
      <c r="BO19">
        <f>HYPERLINK("http://exon.niaid.nih.gov/transcriptome/Anopheles_sialome/links/cluster-b/anopheline-sialome-cds-pep-larger-orf30-50SimCLTL8.txt", 35)</f>
        <v>35</v>
      </c>
      <c r="BP19">
        <f>HYPERLINK("http://exon.niaid.nih.gov/transcriptome/Anopheles_sialome/links/cluster-b/anopheline-sialome-cds-pep-larger-orf35-50SimCLU9.txt", 9)</f>
        <v>9</v>
      </c>
      <c r="BQ19">
        <f>HYPERLINK("http://exon.niaid.nih.gov/transcriptome/Anopheles_sialome/links/cluster-b/anopheline-sialome-cds-pep-larger-orf35-50SimCLTL9.txt", 35)</f>
        <v>35</v>
      </c>
      <c r="BR19">
        <f>HYPERLINK("http://exon.niaid.nih.gov/transcriptome/Anopheles_sialome/links/cluster-b/anopheline-sialome-cds-pep-larger-orf40-50SimCLU8.txt", 8)</f>
        <v>8</v>
      </c>
      <c r="BS19">
        <f>HYPERLINK("http://exon.niaid.nih.gov/transcriptome/Anopheles_sialome/links/cluster-b/anopheline-sialome-cds-pep-larger-orf40-50SimCLTL8.txt", 35)</f>
        <v>35</v>
      </c>
      <c r="BT19">
        <f>HYPERLINK("http://exon.niaid.nih.gov/transcriptome/Anopheles_sialome/links/cluster-b/anopheline-sialome-cds-pep-larger-orf45-50SimCLU7.txt", 7)</f>
        <v>7</v>
      </c>
      <c r="BU19">
        <f>HYPERLINK("http://exon.niaid.nih.gov/transcriptome/Anopheles_sialome/links/cluster-b/anopheline-sialome-cds-pep-larger-orf45-50SimCLTL7.txt", 35)</f>
        <v>35</v>
      </c>
      <c r="BV19">
        <f>HYPERLINK("http://exon.niaid.nih.gov/transcriptome/Anopheles_sialome/links/cluster-b/anopheline-sialome-cds-pep-larger-orf50-50SimCLU7.txt", 7)</f>
        <v>7</v>
      </c>
      <c r="BW19">
        <f>HYPERLINK("http://exon.niaid.nih.gov/transcriptome/Anopheles_sialome/links/cluster-b/anopheline-sialome-cds-pep-larger-orf50-50SimCLTL7.txt", 35)</f>
        <v>35</v>
      </c>
      <c r="BX19">
        <f>HYPERLINK("http://exon.niaid.nih.gov/transcriptome/Anopheles_sialome/links/cluster-b/anopheline-sialome-cds-pep-larger-orf55-50SimCLU7.txt", 7)</f>
        <v>7</v>
      </c>
      <c r="BY19">
        <f>HYPERLINK("http://exon.niaid.nih.gov/transcriptome/Anopheles_sialome/links/cluster-b/anopheline-sialome-cds-pep-larger-orf55-50SimCLTL7.txt", 35)</f>
        <v>35</v>
      </c>
      <c r="BZ19">
        <f>HYPERLINK("http://exon.niaid.nih.gov/transcriptome/Anopheles_sialome/links/cluster-b/anopheline-sialome-cds-pep-larger-orf60-50SimCLU5.txt", 5)</f>
        <v>5</v>
      </c>
      <c r="CA19">
        <f>HYPERLINK("http://exon.niaid.nih.gov/transcriptome/Anopheles_sialome/links/cluster-b/anopheline-sialome-cds-pep-larger-orf60-50SimCLTL5.txt", 35)</f>
        <v>35</v>
      </c>
      <c r="CB19">
        <f>HYPERLINK("http://exon.niaid.nih.gov/transcriptome/Anopheles_sialome/links/cluster-b/anopheline-sialome-cds-pep-larger-orf65-50SimCLU3.txt", 3)</f>
        <v>3</v>
      </c>
      <c r="CC19">
        <f>HYPERLINK("http://exon.niaid.nih.gov/transcriptome/Anopheles_sialome/links/cluster-b/anopheline-sialome-cds-pep-larger-orf65-50SimCLTL3.txt", 35)</f>
        <v>35</v>
      </c>
      <c r="CD19">
        <f>HYPERLINK("http://exon.niaid.nih.gov/transcriptome/Anopheles_sialome/links/cluster-b/anopheline-sialome-cds-pep-larger-orf70-50SimCLU17.txt", 17)</f>
        <v>17</v>
      </c>
      <c r="CE19">
        <f>HYPERLINK("http://exon.niaid.nih.gov/transcriptome/Anopheles_sialome/links/cluster-b/anopheline-sialome-cds-pep-larger-orf70-50SimCLTL17.txt", 17)</f>
        <v>17</v>
      </c>
      <c r="CF19">
        <f>HYPERLINK("http://exon.niaid.nih.gov/transcriptome/Anopheles_sialome/links/cluster-b/anopheline-sialome-cds-pep-larger-orf75-50SimCLU12.txt", 12)</f>
        <v>12</v>
      </c>
      <c r="CG19">
        <f>HYPERLINK("http://exon.niaid.nih.gov/transcriptome/Anopheles_sialome/links/cluster-b/anopheline-sialome-cds-pep-larger-orf75-50SimCLTL12.txt", 17)</f>
        <v>17</v>
      </c>
      <c r="CH19">
        <f>HYPERLINK("http://exon.niaid.nih.gov/transcriptome/Anopheles_sialome/links/cluster-b/anopheline-sialome-cds-pep-larger-orf80-50SimCLU9.txt", 9)</f>
        <v>9</v>
      </c>
      <c r="CI19">
        <f>HYPERLINK("http://exon.niaid.nih.gov/transcriptome/Anopheles_sialome/links/cluster-b/anopheline-sialome-cds-pep-larger-orf80-50SimCLTL9.txt", 17)</f>
        <v>17</v>
      </c>
      <c r="CJ19">
        <f>HYPERLINK("http://exon.niaid.nih.gov/transcriptome/Anopheles_sialome/links/cluster-b/anopheline-sialome-cds-pep-larger-orf85-50SimCLU65.txt", 65)</f>
        <v>65</v>
      </c>
      <c r="CK19">
        <f>HYPERLINK("http://exon.niaid.nih.gov/transcriptome/Anopheles_sialome/links/cluster-b/anopheline-sialome-cds-pep-larger-orf85-50SimCLTL65.txt", 2)</f>
        <v>2</v>
      </c>
      <c r="CL19">
        <f>HYPERLINK("http://exon.niaid.nih.gov/transcriptome/Anopheles_sialome/links/cluster-b/anopheline-sialome-cds-pep-larger-orf90-50SimCLU63.txt", 63)</f>
        <v>63</v>
      </c>
      <c r="CM19">
        <f>HYPERLINK("http://exon.niaid.nih.gov/transcriptome/Anopheles_sialome/links/cluster-b/anopheline-sialome-cds-pep-larger-orf90-50SimCLTL63.txt", 2)</f>
        <v>2</v>
      </c>
      <c r="CN19">
        <f>HYPERLINK("http://exon.niaid.nih.gov/transcriptome/Anopheles_sialome/links/cluster-b/anopheline-sialome-cds-pep-larger-orf95-50SimCLU59.txt", 59)</f>
        <v>59</v>
      </c>
      <c r="CO19">
        <f>HYPERLINK("http://exon.niaid.nih.gov/transcriptome/Anopheles_sialome/links/cluster-b/anopheline-sialome-cds-pep-larger-orf95-50SimCLTL59.txt", 2)</f>
        <v>2</v>
      </c>
    </row>
    <row r="20" spans="1:93">
      <c r="A20" s="2" t="str">
        <f>HYPERLINK("http://exon.niaid.nih.gov/transcriptome/Anopheles_sialome/links/cds/anodar_apy-cds.txt","anodar_apy")</f>
        <v>anodar_apy</v>
      </c>
      <c r="B20">
        <v>1665</v>
      </c>
      <c r="C20" t="s">
        <v>114</v>
      </c>
      <c r="D20" t="s">
        <v>4</v>
      </c>
      <c r="E20" t="s">
        <v>5</v>
      </c>
      <c r="F20" t="s">
        <v>1</v>
      </c>
      <c r="G20" t="str">
        <f>HYPERLINK("http://exon.niaid.nih.gov/transcriptome/Anopheles_sialome/links/pep/anodar_apy-pep.txt","anodar_apy")</f>
        <v>anodar_apy</v>
      </c>
      <c r="H20">
        <v>554</v>
      </c>
      <c r="I20">
        <v>0</v>
      </c>
      <c r="J20" s="3" t="str">
        <f>HYPERLINK("http://exon.niaid.nih.gov/transcriptome/Anopheles_sialome/links/Sigp/anodar_apy-SigP.txt","SIG")</f>
        <v>SIG</v>
      </c>
      <c r="K20" t="s">
        <v>925</v>
      </c>
      <c r="L20">
        <v>62.335999999999999</v>
      </c>
      <c r="M20">
        <v>6.58</v>
      </c>
      <c r="N20">
        <v>60.343000000000004</v>
      </c>
      <c r="O20">
        <v>6.57</v>
      </c>
      <c r="P20" t="s">
        <v>922</v>
      </c>
      <c r="Q20" s="3">
        <v>0</v>
      </c>
      <c r="R20" t="s">
        <v>128</v>
      </c>
      <c r="S20" t="s">
        <v>128</v>
      </c>
      <c r="T20" t="s">
        <v>128</v>
      </c>
      <c r="U20" t="s">
        <v>128</v>
      </c>
      <c r="V20" t="s">
        <v>128</v>
      </c>
      <c r="W20" s="3" t="str">
        <f>HYPERLINK("http://exon.niaid.nih.gov/transcriptome/Anopheles_sialome/links/netoglyc/anodar_apy-netoglyc.txt","0")</f>
        <v>0</v>
      </c>
      <c r="X20">
        <v>13.4</v>
      </c>
      <c r="Y20">
        <v>6.5</v>
      </c>
      <c r="Z20">
        <v>3.4</v>
      </c>
      <c r="AA20" t="s">
        <v>654</v>
      </c>
      <c r="AB20" t="s">
        <v>926</v>
      </c>
      <c r="AC20" s="2" t="str">
        <f>HYPERLINK("http://exon.niaid.nih.gov/transcriptome/Anopheles_sialome/links/DIPTERA/anodar_apy-DIPTERA.txt","apyrase")</f>
        <v>apyrase</v>
      </c>
      <c r="AD20" t="str">
        <f>HYPERLINK("http://www.ncbi.nlm.nih.gov/sutils/blink.cgi?pid=568254755","0.0")</f>
        <v>0.0</v>
      </c>
      <c r="AE20" t="str">
        <f>HYPERLINK("http://www.ncbi.nlm.nih.gov/protein/568254755","gi|568254755")</f>
        <v>gi|568254755</v>
      </c>
      <c r="AF20">
        <v>100</v>
      </c>
      <c r="AG20">
        <v>100</v>
      </c>
      <c r="AH20">
        <v>100</v>
      </c>
      <c r="AI20" t="s">
        <v>2283</v>
      </c>
      <c r="AJ20" s="2" t="s">
        <v>128</v>
      </c>
      <c r="AK20" t="s">
        <v>128</v>
      </c>
      <c r="AL20" t="s">
        <v>128</v>
      </c>
      <c r="AM20" t="s">
        <v>128</v>
      </c>
      <c r="AN20" t="s">
        <v>128</v>
      </c>
      <c r="AO20" t="s">
        <v>128</v>
      </c>
      <c r="AP20" t="s">
        <v>128</v>
      </c>
      <c r="AQ20" s="2" t="str">
        <f>HYPERLINK("http://exon.niaid.nih.gov/transcriptome/Anopheles_sialome/links/NR-LIGHT/anodar_apy-NR-LIGHT.txt","apyrase")</f>
        <v>apyrase</v>
      </c>
      <c r="AR20" t="str">
        <f>HYPERLINK("http://www.ncbi.nlm.nih.gov/sutils/blink.cgi?pid=568254755","0.0")</f>
        <v>0.0</v>
      </c>
      <c r="AS20" t="str">
        <f>HYPERLINK("http://www.ncbi.nlm.nih.gov/protein/568254755","gi|568254755")</f>
        <v>gi|568254755</v>
      </c>
      <c r="AT20">
        <v>100</v>
      </c>
      <c r="AU20">
        <v>100</v>
      </c>
      <c r="AV20">
        <v>100</v>
      </c>
      <c r="AW20" t="s">
        <v>2283</v>
      </c>
      <c r="AX20" s="2" t="str">
        <f>HYPERLINK("http://exon.niaid.nih.gov/transcriptome/Anopheles_sialome/links/CDD/anodar_apy-CDD.txt","MPP_CD73_N")</f>
        <v>MPP_CD73_N</v>
      </c>
      <c r="AY20" t="str">
        <f>HYPERLINK("http://www.ncbi.nlm.nih.gov/Structure/cdd/cddsrv.cgi?uid=cd07409&amp;version=v4.0","1E-107")</f>
        <v>1E-107</v>
      </c>
      <c r="AZ20" t="s">
        <v>2414</v>
      </c>
      <c r="BA20" s="2" t="str">
        <f>HYPERLINK("http://exon.niaid.nih.gov/transcriptome/Anopheles_sialome/links/KOG/anodar_apy-KOG.txt","5' nucleotidase")</f>
        <v>5' nucleotidase</v>
      </c>
      <c r="BB20" t="str">
        <f>HYPERLINK("http://www.ncbi.nlm.nih.gov/Structure/cdd/cddsrv.cgi?uid=KOG4419","9E-052")</f>
        <v>9E-052</v>
      </c>
      <c r="BC20" t="s">
        <v>2398</v>
      </c>
      <c r="BD20" t="str">
        <f>HYPERLINK("http://exon.niaid.nih.gov/transcriptome/Anopheles_sialome/links/KOG/anodar_apy-KOG.txt","KOG4419")</f>
        <v>KOG4419</v>
      </c>
      <c r="BE20" t="str">
        <f>HYPERLINK("http://exon.niaid.nih.gov/transcriptome/Anopheles_sialome/links/PFAM/anodar_apy-PFAM.txt","5_nucleotid_C")</f>
        <v>5_nucleotid_C</v>
      </c>
      <c r="BF20" t="str">
        <f>HYPERLINK("http://pfam.sanger.ac.uk/family?acc=PF02872","7E-032")</f>
        <v>7E-032</v>
      </c>
      <c r="BG20" s="2" t="str">
        <f>HYPERLINK("http://exon.niaid.nih.gov/transcriptome/Anopheles_sialome/links/SMART/anodar_apy-SMART.txt","PGA_cap")</f>
        <v>PGA_cap</v>
      </c>
      <c r="BH20" t="str">
        <f>HYPERLINK("http://smart.embl-heidelberg.de/smart/do_annotation.pl?DOMAIN=PGA_cap&amp;BLAST=DUMMY","3E-009")</f>
        <v>3E-009</v>
      </c>
      <c r="BI20" t="s">
        <v>128</v>
      </c>
      <c r="BJ20" s="2" t="s">
        <v>128</v>
      </c>
      <c r="BK20" t="s">
        <v>924</v>
      </c>
      <c r="BL20">
        <f>HYPERLINK("http://exon.niaid.nih.gov/transcriptome/Anopheles_sialome/links/cluster-b/anopheline-sialome-cds-pep-larger-orf25-50SimCLU9.txt", 9)</f>
        <v>9</v>
      </c>
      <c r="BM20">
        <f>HYPERLINK("http://exon.niaid.nih.gov/transcriptome/Anopheles_sialome/links/cluster-b/anopheline-sialome-cds-pep-larger-orf25-50SimCLTL9.txt", 35)</f>
        <v>35</v>
      </c>
      <c r="BN20">
        <f>HYPERLINK("http://exon.niaid.nih.gov/transcriptome/Anopheles_sialome/links/cluster-b/anopheline-sialome-cds-pep-larger-orf30-50SimCLU8.txt", 8)</f>
        <v>8</v>
      </c>
      <c r="BO20">
        <f>HYPERLINK("http://exon.niaid.nih.gov/transcriptome/Anopheles_sialome/links/cluster-b/anopheline-sialome-cds-pep-larger-orf30-50SimCLTL8.txt", 35)</f>
        <v>35</v>
      </c>
      <c r="BP20">
        <f>HYPERLINK("http://exon.niaid.nih.gov/transcriptome/Anopheles_sialome/links/cluster-b/anopheline-sialome-cds-pep-larger-orf35-50SimCLU9.txt", 9)</f>
        <v>9</v>
      </c>
      <c r="BQ20">
        <f>HYPERLINK("http://exon.niaid.nih.gov/transcriptome/Anopheles_sialome/links/cluster-b/anopheline-sialome-cds-pep-larger-orf35-50SimCLTL9.txt", 35)</f>
        <v>35</v>
      </c>
      <c r="BR20">
        <f>HYPERLINK("http://exon.niaid.nih.gov/transcriptome/Anopheles_sialome/links/cluster-b/anopheline-sialome-cds-pep-larger-orf40-50SimCLU8.txt", 8)</f>
        <v>8</v>
      </c>
      <c r="BS20">
        <f>HYPERLINK("http://exon.niaid.nih.gov/transcriptome/Anopheles_sialome/links/cluster-b/anopheline-sialome-cds-pep-larger-orf40-50SimCLTL8.txt", 35)</f>
        <v>35</v>
      </c>
      <c r="BT20">
        <f>HYPERLINK("http://exon.niaid.nih.gov/transcriptome/Anopheles_sialome/links/cluster-b/anopheline-sialome-cds-pep-larger-orf45-50SimCLU7.txt", 7)</f>
        <v>7</v>
      </c>
      <c r="BU20">
        <f>HYPERLINK("http://exon.niaid.nih.gov/transcriptome/Anopheles_sialome/links/cluster-b/anopheline-sialome-cds-pep-larger-orf45-50SimCLTL7.txt", 35)</f>
        <v>35</v>
      </c>
      <c r="BV20">
        <f>HYPERLINK("http://exon.niaid.nih.gov/transcriptome/Anopheles_sialome/links/cluster-b/anopheline-sialome-cds-pep-larger-orf50-50SimCLU7.txt", 7)</f>
        <v>7</v>
      </c>
      <c r="BW20">
        <f>HYPERLINK("http://exon.niaid.nih.gov/transcriptome/Anopheles_sialome/links/cluster-b/anopheline-sialome-cds-pep-larger-orf50-50SimCLTL7.txt", 35)</f>
        <v>35</v>
      </c>
      <c r="BX20">
        <f>HYPERLINK("http://exon.niaid.nih.gov/transcriptome/Anopheles_sialome/links/cluster-b/anopheline-sialome-cds-pep-larger-orf55-50SimCLU7.txt", 7)</f>
        <v>7</v>
      </c>
      <c r="BY20">
        <f>HYPERLINK("http://exon.niaid.nih.gov/transcriptome/Anopheles_sialome/links/cluster-b/anopheline-sialome-cds-pep-larger-orf55-50SimCLTL7.txt", 35)</f>
        <v>35</v>
      </c>
      <c r="BZ20">
        <f>HYPERLINK("http://exon.niaid.nih.gov/transcriptome/Anopheles_sialome/links/cluster-b/anopheline-sialome-cds-pep-larger-orf60-50SimCLU5.txt", 5)</f>
        <v>5</v>
      </c>
      <c r="CA20">
        <f>HYPERLINK("http://exon.niaid.nih.gov/transcriptome/Anopheles_sialome/links/cluster-b/anopheline-sialome-cds-pep-larger-orf60-50SimCLTL5.txt", 35)</f>
        <v>35</v>
      </c>
      <c r="CB20">
        <f>HYPERLINK("http://exon.niaid.nih.gov/transcriptome/Anopheles_sialome/links/cluster-b/anopheline-sialome-cds-pep-larger-orf65-50SimCLU3.txt", 3)</f>
        <v>3</v>
      </c>
      <c r="CC20">
        <f>HYPERLINK("http://exon.niaid.nih.gov/transcriptome/Anopheles_sialome/links/cluster-b/anopheline-sialome-cds-pep-larger-orf65-50SimCLTL3.txt", 35)</f>
        <v>35</v>
      </c>
      <c r="CD20">
        <f>HYPERLINK("http://exon.niaid.nih.gov/transcriptome/Anopheles_sialome/links/cluster-b/anopheline-sialome-cds-pep-larger-orf70-50SimCLU17.txt", 17)</f>
        <v>17</v>
      </c>
      <c r="CE20">
        <f>HYPERLINK("http://exon.niaid.nih.gov/transcriptome/Anopheles_sialome/links/cluster-b/anopheline-sialome-cds-pep-larger-orf70-50SimCLTL17.txt", 17)</f>
        <v>17</v>
      </c>
      <c r="CF20">
        <f>HYPERLINK("http://exon.niaid.nih.gov/transcriptome/Anopheles_sialome/links/cluster-b/anopheline-sialome-cds-pep-larger-orf75-50SimCLU12.txt", 12)</f>
        <v>12</v>
      </c>
      <c r="CG20">
        <f>HYPERLINK("http://exon.niaid.nih.gov/transcriptome/Anopheles_sialome/links/cluster-b/anopheline-sialome-cds-pep-larger-orf75-50SimCLTL12.txt", 17)</f>
        <v>17</v>
      </c>
      <c r="CH20">
        <f>HYPERLINK("http://exon.niaid.nih.gov/transcriptome/Anopheles_sialome/links/cluster-b/anopheline-sialome-cds-pep-larger-orf80-50SimCLU9.txt", 9)</f>
        <v>9</v>
      </c>
      <c r="CI20">
        <f>HYPERLINK("http://exon.niaid.nih.gov/transcriptome/Anopheles_sialome/links/cluster-b/anopheline-sialome-cds-pep-larger-orf80-50SimCLTL9.txt", 17)</f>
        <v>17</v>
      </c>
      <c r="CJ20">
        <f>HYPERLINK("http://exon.niaid.nih.gov/transcriptome/Anopheles_sialome/links/cluster-b/anopheline-sialome-cds-pep-larger-orf85-50SimCLU65.txt", 65)</f>
        <v>65</v>
      </c>
      <c r="CK20">
        <f>HYPERLINK("http://exon.niaid.nih.gov/transcriptome/Anopheles_sialome/links/cluster-b/anopheline-sialome-cds-pep-larger-orf85-50SimCLTL65.txt", 2)</f>
        <v>2</v>
      </c>
      <c r="CL20">
        <f>HYPERLINK("http://exon.niaid.nih.gov/transcriptome/Anopheles_sialome/links/cluster-b/anopheline-sialome-cds-pep-larger-orf90-50SimCLU63.txt", 63)</f>
        <v>63</v>
      </c>
      <c r="CM20">
        <f>HYPERLINK("http://exon.niaid.nih.gov/transcriptome/Anopheles_sialome/links/cluster-b/anopheline-sialome-cds-pep-larger-orf90-50SimCLTL63.txt", 2)</f>
        <v>2</v>
      </c>
      <c r="CN20">
        <f>HYPERLINK("http://exon.niaid.nih.gov/transcriptome/Anopheles_sialome/links/cluster-b/anopheline-sialome-cds-pep-larger-orf95-50SimCLU59.txt", 59)</f>
        <v>59</v>
      </c>
      <c r="CO20">
        <f>HYPERLINK("http://exon.niaid.nih.gov/transcriptome/Anopheles_sialome/links/cluster-b/anopheline-sialome-cds-pep-larger-orf95-50SimCLTL59.txt", 2)</f>
        <v>2</v>
      </c>
    </row>
    <row r="21" spans="1:93">
      <c r="A21" s="12" t="s">
        <v>3137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</row>
    <row r="22" spans="1:93">
      <c r="A22" s="2" t="str">
        <f>HYPERLINK("http://exon.niaid.nih.gov/transcriptome/Anopheles_sialome/links/cds/anoga_5nuc-cds.txt","anoga_5nuc")</f>
        <v>anoga_5nuc</v>
      </c>
      <c r="B22">
        <v>1713</v>
      </c>
      <c r="C22" t="s">
        <v>115</v>
      </c>
      <c r="D22" t="s">
        <v>4</v>
      </c>
      <c r="E22" t="s">
        <v>5</v>
      </c>
      <c r="F22" t="s">
        <v>1</v>
      </c>
      <c r="G22" t="str">
        <f>HYPERLINK("http://exon.niaid.nih.gov/transcriptome/Anopheles_sialome/links/pep/anoga_5nuc-pep.txt","anoga_5nuc")</f>
        <v>anoga_5nuc</v>
      </c>
      <c r="H22">
        <v>570</v>
      </c>
      <c r="I22">
        <v>0</v>
      </c>
      <c r="J22" s="3" t="str">
        <f>HYPERLINK("http://exon.niaid.nih.gov/transcriptome/Anopheles_sialome/links/Sigp/anoga_5nuc-SigP.txt","SIG")</f>
        <v>SIG</v>
      </c>
      <c r="K22" t="s">
        <v>708</v>
      </c>
      <c r="L22">
        <v>63.534999999999997</v>
      </c>
      <c r="M22">
        <v>6.56</v>
      </c>
      <c r="N22">
        <v>61.128999999999998</v>
      </c>
      <c r="O22">
        <v>6.55</v>
      </c>
      <c r="P22" t="s">
        <v>928</v>
      </c>
      <c r="Q22" s="3">
        <v>0</v>
      </c>
      <c r="R22" t="s">
        <v>128</v>
      </c>
      <c r="S22" t="s">
        <v>128</v>
      </c>
      <c r="T22" t="s">
        <v>128</v>
      </c>
      <c r="U22" t="s">
        <v>128</v>
      </c>
      <c r="V22" t="s">
        <v>128</v>
      </c>
      <c r="W22" s="3" t="str">
        <f>HYPERLINK("http://exon.niaid.nih.gov/transcriptome/Anopheles_sialome/links/netoglyc/anoga_5nuc-netoglyc.txt","0")</f>
        <v>0</v>
      </c>
      <c r="X22">
        <v>11.8</v>
      </c>
      <c r="Y22">
        <v>6.5</v>
      </c>
      <c r="Z22">
        <v>3.7</v>
      </c>
      <c r="AA22" t="s">
        <v>654</v>
      </c>
      <c r="AB22" t="s">
        <v>128</v>
      </c>
      <c r="AC22" s="2" t="str">
        <f>HYPERLINK("http://exon.niaid.nih.gov/transcriptome/Anopheles_sialome/links/DIPTERA/anoga_5nuc-DIPTERA.txt","AGAP011026-PA")</f>
        <v>AGAP011026-PA</v>
      </c>
      <c r="AD22" t="str">
        <f t="shared" ref="AD22:AD29" si="0">HYPERLINK("http://www.ncbi.nlm.nih.gov/sutils/blink.cgi?pid=55244308","0.0")</f>
        <v>0.0</v>
      </c>
      <c r="AE22" t="str">
        <f t="shared" ref="AE22:AE29" si="1">HYPERLINK("http://www.ncbi.nlm.nih.gov/protein/55244308","gi|55244308")</f>
        <v>gi|55244308</v>
      </c>
      <c r="AF22">
        <v>100</v>
      </c>
      <c r="AG22">
        <v>100</v>
      </c>
      <c r="AH22">
        <v>100</v>
      </c>
      <c r="AI22" t="s">
        <v>2285</v>
      </c>
      <c r="AJ22" s="2" t="s">
        <v>128</v>
      </c>
      <c r="AK22" t="s">
        <v>128</v>
      </c>
      <c r="AL22" t="s">
        <v>128</v>
      </c>
      <c r="AM22" t="s">
        <v>128</v>
      </c>
      <c r="AN22" t="s">
        <v>128</v>
      </c>
      <c r="AO22" t="s">
        <v>128</v>
      </c>
      <c r="AP22" t="s">
        <v>128</v>
      </c>
      <c r="AQ22" s="2" t="str">
        <f>HYPERLINK("http://exon.niaid.nih.gov/transcriptome/Anopheles_sialome/links/NR-LIGHT/anoga_5nuc-NR-LIGHT.txt","AGAP011026-PA")</f>
        <v>AGAP011026-PA</v>
      </c>
      <c r="AR22" t="str">
        <f t="shared" ref="AR22:AR29" si="2">HYPERLINK("http://www.ncbi.nlm.nih.gov/sutils/blink.cgi?pid=58377530","0.0")</f>
        <v>0.0</v>
      </c>
      <c r="AS22" t="str">
        <f t="shared" ref="AS22:AS29" si="3">HYPERLINK("http://www.ncbi.nlm.nih.gov/protein/58377530","gi|58377530")</f>
        <v>gi|58377530</v>
      </c>
      <c r="AT22">
        <v>100</v>
      </c>
      <c r="AU22">
        <v>100</v>
      </c>
      <c r="AV22">
        <v>100</v>
      </c>
      <c r="AW22" t="s">
        <v>2285</v>
      </c>
      <c r="AX22" s="2" t="str">
        <f>HYPERLINK("http://exon.niaid.nih.gov/transcriptome/Anopheles_sialome/links/CDD/anoga_5nuc-CDD.txt","MPP_CD73_N")</f>
        <v>MPP_CD73_N</v>
      </c>
      <c r="AY22" t="str">
        <f>HYPERLINK("http://www.ncbi.nlm.nih.gov/Structure/cdd/cddsrv.cgi?uid=cd07409&amp;version=v4.0","1E-105")</f>
        <v>1E-105</v>
      </c>
      <c r="AZ22" t="s">
        <v>2415</v>
      </c>
      <c r="BA22" s="2" t="str">
        <f>HYPERLINK("http://exon.niaid.nih.gov/transcriptome/Anopheles_sialome/links/KOG/anoga_5nuc-KOG.txt","5' nucleotidase")</f>
        <v>5' nucleotidase</v>
      </c>
      <c r="BB22" t="str">
        <f>HYPERLINK("http://www.ncbi.nlm.nih.gov/Structure/cdd/cddsrv.cgi?uid=KOG4419","1E-046")</f>
        <v>1E-046</v>
      </c>
      <c r="BC22" t="s">
        <v>2398</v>
      </c>
      <c r="BD22" t="str">
        <f>HYPERLINK("http://exon.niaid.nih.gov/transcriptome/Anopheles_sialome/links/KOG/anoga_5nuc-KOG.txt","KOG4419")</f>
        <v>KOG4419</v>
      </c>
      <c r="BE22" t="str">
        <f>HYPERLINK("http://exon.niaid.nih.gov/transcriptome/Anopheles_sialome/links/PFAM/anoga_5nuc-PFAM.txt","5_nucleotid_C")</f>
        <v>5_nucleotid_C</v>
      </c>
      <c r="BF22" t="str">
        <f>HYPERLINK("http://pfam.sanger.ac.uk/family?acc=PF02872","2E-031")</f>
        <v>2E-031</v>
      </c>
      <c r="BG22" s="2" t="str">
        <f>HYPERLINK("http://exon.niaid.nih.gov/transcriptome/Anopheles_sialome/links/SMART/anoga_5nuc-SMART.txt","PGA_cap")</f>
        <v>PGA_cap</v>
      </c>
      <c r="BH22" t="str">
        <f>HYPERLINK("http://smart.embl-heidelberg.de/smart/do_annotation.pl?DOMAIN=PGA_cap&amp;BLAST=DUMMY","1E-010")</f>
        <v>1E-010</v>
      </c>
      <c r="BI22" t="s">
        <v>128</v>
      </c>
      <c r="BJ22" s="2" t="s">
        <v>128</v>
      </c>
      <c r="BK22" t="s">
        <v>927</v>
      </c>
      <c r="BL22">
        <f>HYPERLINK("http://exon.niaid.nih.gov/transcriptome/Anopheles_sialome/links/cluster-b/anopheline-sialome-cds-pep-larger-orf25-50SimCLU9.txt", 9)</f>
        <v>9</v>
      </c>
      <c r="BM22">
        <f>HYPERLINK("http://exon.niaid.nih.gov/transcriptome/Anopheles_sialome/links/cluster-b/anopheline-sialome-cds-pep-larger-orf25-50SimCLTL9.txt", 35)</f>
        <v>35</v>
      </c>
      <c r="BN22">
        <f>HYPERLINK("http://exon.niaid.nih.gov/transcriptome/Anopheles_sialome/links/cluster-b/anopheline-sialome-cds-pep-larger-orf30-50SimCLU8.txt", 8)</f>
        <v>8</v>
      </c>
      <c r="BO22">
        <f>HYPERLINK("http://exon.niaid.nih.gov/transcriptome/Anopheles_sialome/links/cluster-b/anopheline-sialome-cds-pep-larger-orf30-50SimCLTL8.txt", 35)</f>
        <v>35</v>
      </c>
      <c r="BP22">
        <f>HYPERLINK("http://exon.niaid.nih.gov/transcriptome/Anopheles_sialome/links/cluster-b/anopheline-sialome-cds-pep-larger-orf35-50SimCLU9.txt", 9)</f>
        <v>9</v>
      </c>
      <c r="BQ22">
        <f>HYPERLINK("http://exon.niaid.nih.gov/transcriptome/Anopheles_sialome/links/cluster-b/anopheline-sialome-cds-pep-larger-orf35-50SimCLTL9.txt", 35)</f>
        <v>35</v>
      </c>
      <c r="BR22">
        <f>HYPERLINK("http://exon.niaid.nih.gov/transcriptome/Anopheles_sialome/links/cluster-b/anopheline-sialome-cds-pep-larger-orf40-50SimCLU8.txt", 8)</f>
        <v>8</v>
      </c>
      <c r="BS22">
        <f>HYPERLINK("http://exon.niaid.nih.gov/transcriptome/Anopheles_sialome/links/cluster-b/anopheline-sialome-cds-pep-larger-orf40-50SimCLTL8.txt", 35)</f>
        <v>35</v>
      </c>
      <c r="BT22">
        <f>HYPERLINK("http://exon.niaid.nih.gov/transcriptome/Anopheles_sialome/links/cluster-b/anopheline-sialome-cds-pep-larger-orf45-50SimCLU7.txt", 7)</f>
        <v>7</v>
      </c>
      <c r="BU22">
        <f>HYPERLINK("http://exon.niaid.nih.gov/transcriptome/Anopheles_sialome/links/cluster-b/anopheline-sialome-cds-pep-larger-orf45-50SimCLTL7.txt", 35)</f>
        <v>35</v>
      </c>
      <c r="BV22">
        <f>HYPERLINK("http://exon.niaid.nih.gov/transcriptome/Anopheles_sialome/links/cluster-b/anopheline-sialome-cds-pep-larger-orf50-50SimCLU7.txt", 7)</f>
        <v>7</v>
      </c>
      <c r="BW22">
        <f>HYPERLINK("http://exon.niaid.nih.gov/transcriptome/Anopheles_sialome/links/cluster-b/anopheline-sialome-cds-pep-larger-orf50-50SimCLTL7.txt", 35)</f>
        <v>35</v>
      </c>
      <c r="BX22">
        <f>HYPERLINK("http://exon.niaid.nih.gov/transcriptome/Anopheles_sialome/links/cluster-b/anopheline-sialome-cds-pep-larger-orf55-50SimCLU7.txt", 7)</f>
        <v>7</v>
      </c>
      <c r="BY22">
        <f>HYPERLINK("http://exon.niaid.nih.gov/transcriptome/Anopheles_sialome/links/cluster-b/anopheline-sialome-cds-pep-larger-orf55-50SimCLTL7.txt", 35)</f>
        <v>35</v>
      </c>
      <c r="BZ22">
        <f>HYPERLINK("http://exon.niaid.nih.gov/transcriptome/Anopheles_sialome/links/cluster-b/anopheline-sialome-cds-pep-larger-orf60-50SimCLU5.txt", 5)</f>
        <v>5</v>
      </c>
      <c r="CA22">
        <f>HYPERLINK("http://exon.niaid.nih.gov/transcriptome/Anopheles_sialome/links/cluster-b/anopheline-sialome-cds-pep-larger-orf60-50SimCLTL5.txt", 35)</f>
        <v>35</v>
      </c>
      <c r="CB22">
        <f>HYPERLINK("http://exon.niaid.nih.gov/transcriptome/Anopheles_sialome/links/cluster-b/anopheline-sialome-cds-pep-larger-orf65-50SimCLU3.txt", 3)</f>
        <v>3</v>
      </c>
      <c r="CC22">
        <f>HYPERLINK("http://exon.niaid.nih.gov/transcriptome/Anopheles_sialome/links/cluster-b/anopheline-sialome-cds-pep-larger-orf65-50SimCLTL3.txt", 35)</f>
        <v>35</v>
      </c>
      <c r="CD22">
        <f>HYPERLINK("http://exon.niaid.nih.gov/transcriptome/Anopheles_sialome/links/cluster-b/anopheline-sialome-cds-pep-larger-orf70-50SimCLU15.txt", 15)</f>
        <v>15</v>
      </c>
      <c r="CE22">
        <f>HYPERLINK("http://exon.niaid.nih.gov/transcriptome/Anopheles_sialome/links/cluster-b/anopheline-sialome-cds-pep-larger-orf70-50SimCLTL15.txt", 18)</f>
        <v>18</v>
      </c>
      <c r="CF22">
        <f>HYPERLINK("http://exon.niaid.nih.gov/transcriptome/Anopheles_sialome/links/cluster-b/anopheline-sialome-cds-pep-larger-orf75-50SimCLU9.txt", 9)</f>
        <v>9</v>
      </c>
      <c r="CG22">
        <f>HYPERLINK("http://exon.niaid.nih.gov/transcriptome/Anopheles_sialome/links/cluster-b/anopheline-sialome-cds-pep-larger-orf75-50SimCLTL9.txt", 18)</f>
        <v>18</v>
      </c>
      <c r="CH22">
        <f>HYPERLINK("http://exon.niaid.nih.gov/transcriptome/Anopheles_sialome/links/cluster-b/anopheline-sialome-cds-pep-larger-orf80-50SimCLU7.txt", 7)</f>
        <v>7</v>
      </c>
      <c r="CI22">
        <f>HYPERLINK("http://exon.niaid.nih.gov/transcriptome/Anopheles_sialome/links/cluster-b/anopheline-sialome-cds-pep-larger-orf80-50SimCLTL7.txt", 18)</f>
        <v>18</v>
      </c>
      <c r="CJ22">
        <f>HYPERLINK("http://exon.niaid.nih.gov/transcriptome/Anopheles_sialome/links/cluster-b/anopheline-sialome-cds-pep-larger-orf85-50SimCLU8.txt", 8)</f>
        <v>8</v>
      </c>
      <c r="CK22">
        <f>HYPERLINK("http://exon.niaid.nih.gov/transcriptome/Anopheles_sialome/links/cluster-b/anopheline-sialome-cds-pep-larger-orf85-50SimCLTL8.txt", 14)</f>
        <v>14</v>
      </c>
      <c r="CL22">
        <f>HYPERLINK("http://exon.niaid.nih.gov/transcriptome/Anopheles_sialome/links/cluster-b/anopheline-sialome-cds-pep-larger-orf90-50SimCLU9.txt", 9)</f>
        <v>9</v>
      </c>
      <c r="CM22">
        <f>HYPERLINK("http://exon.niaid.nih.gov/transcriptome/Anopheles_sialome/links/cluster-b/anopheline-sialome-cds-pep-larger-orf90-50SimCLTL9.txt", 8)</f>
        <v>8</v>
      </c>
      <c r="CN22">
        <f>HYPERLINK("http://exon.niaid.nih.gov/transcriptome/Anopheles_sialome/links/cluster-b/anopheline-sialome-cds-pep-larger-orf95-50SimCLU6.txt", 6)</f>
        <v>6</v>
      </c>
      <c r="CO22">
        <f>HYPERLINK("http://exon.niaid.nih.gov/transcriptome/Anopheles_sialome/links/cluster-b/anopheline-sialome-cds-pep-larger-orf95-50SimCLTL6.txt", 6)</f>
        <v>6</v>
      </c>
    </row>
    <row r="23" spans="1:93">
      <c r="A23" s="2" t="str">
        <f>HYPERLINK("http://exon.niaid.nih.gov/transcriptome/Anopheles_sialome/links/cds/anocol_5nuc-cds.txt","anocol_5nuc")</f>
        <v>anocol_5nuc</v>
      </c>
      <c r="B23">
        <v>1713</v>
      </c>
      <c r="C23" t="s">
        <v>116</v>
      </c>
      <c r="D23" t="s">
        <v>4</v>
      </c>
      <c r="E23" t="s">
        <v>5</v>
      </c>
      <c r="F23" t="s">
        <v>1</v>
      </c>
      <c r="G23" t="str">
        <f>HYPERLINK("http://exon.niaid.nih.gov/transcriptome/Anopheles_sialome/links/pep/anocol_5nuc-pep.txt","anocol_5nuc")</f>
        <v>anocol_5nuc</v>
      </c>
      <c r="H23">
        <v>570</v>
      </c>
      <c r="I23">
        <v>0</v>
      </c>
      <c r="J23" s="3" t="str">
        <f>HYPERLINK("http://exon.niaid.nih.gov/transcriptome/Anopheles_sialome/links/Sigp/anocol_5nuc-SigP.txt","SIG")</f>
        <v>SIG</v>
      </c>
      <c r="K23" t="s">
        <v>708</v>
      </c>
      <c r="L23">
        <v>63.594000000000001</v>
      </c>
      <c r="M23">
        <v>6.56</v>
      </c>
      <c r="N23">
        <v>61.186999999999998</v>
      </c>
      <c r="O23">
        <v>6.55</v>
      </c>
      <c r="P23" t="s">
        <v>928</v>
      </c>
      <c r="Q23" s="3">
        <v>0</v>
      </c>
      <c r="R23" t="s">
        <v>128</v>
      </c>
      <c r="S23" t="s">
        <v>128</v>
      </c>
      <c r="T23" t="s">
        <v>128</v>
      </c>
      <c r="U23" t="s">
        <v>128</v>
      </c>
      <c r="V23" t="s">
        <v>128</v>
      </c>
      <c r="W23" s="3" t="str">
        <f>HYPERLINK("http://exon.niaid.nih.gov/transcriptome/Anopheles_sialome/links/netoglyc/anocol_5nuc-netoglyc.txt","0")</f>
        <v>0</v>
      </c>
      <c r="X23">
        <v>11.9</v>
      </c>
      <c r="Y23">
        <v>6.5</v>
      </c>
      <c r="Z23">
        <v>3.7</v>
      </c>
      <c r="AA23" t="s">
        <v>654</v>
      </c>
      <c r="AB23" t="s">
        <v>128</v>
      </c>
      <c r="AC23" s="2" t="str">
        <f>HYPERLINK("http://exon.niaid.nih.gov/transcriptome/Anopheles_sialome/links/DIPTERA/anocol_5nuc-DIPTERA.txt","AGAP011026-PA")</f>
        <v>AGAP011026-PA</v>
      </c>
      <c r="AD23" t="str">
        <f t="shared" si="0"/>
        <v>0.0</v>
      </c>
      <c r="AE23" t="str">
        <f t="shared" si="1"/>
        <v>gi|55244308</v>
      </c>
      <c r="AF23">
        <v>99</v>
      </c>
      <c r="AG23">
        <v>99</v>
      </c>
      <c r="AH23">
        <v>100</v>
      </c>
      <c r="AI23" t="s">
        <v>2285</v>
      </c>
      <c r="AJ23" s="2" t="s">
        <v>128</v>
      </c>
      <c r="AK23" t="s">
        <v>128</v>
      </c>
      <c r="AL23" t="s">
        <v>128</v>
      </c>
      <c r="AM23" t="s">
        <v>128</v>
      </c>
      <c r="AN23" t="s">
        <v>128</v>
      </c>
      <c r="AO23" t="s">
        <v>128</v>
      </c>
      <c r="AP23" t="s">
        <v>128</v>
      </c>
      <c r="AQ23" s="2" t="str">
        <f>HYPERLINK("http://exon.niaid.nih.gov/transcriptome/Anopheles_sialome/links/NR-LIGHT/anocol_5nuc-NR-LIGHT.txt","AGAP011026-PA")</f>
        <v>AGAP011026-PA</v>
      </c>
      <c r="AR23" t="str">
        <f t="shared" si="2"/>
        <v>0.0</v>
      </c>
      <c r="AS23" t="str">
        <f t="shared" si="3"/>
        <v>gi|58377530</v>
      </c>
      <c r="AT23">
        <v>99</v>
      </c>
      <c r="AU23">
        <v>99</v>
      </c>
      <c r="AV23">
        <v>100</v>
      </c>
      <c r="AW23" t="s">
        <v>2285</v>
      </c>
      <c r="AX23" s="2" t="str">
        <f>HYPERLINK("http://exon.niaid.nih.gov/transcriptome/Anopheles_sialome/links/CDD/anocol_5nuc-CDD.txt","MPP_CD73_N")</f>
        <v>MPP_CD73_N</v>
      </c>
      <c r="AY23" t="str">
        <f>HYPERLINK("http://www.ncbi.nlm.nih.gov/Structure/cdd/cddsrv.cgi?uid=cd07409&amp;version=v4.0","1E-104")</f>
        <v>1E-104</v>
      </c>
      <c r="AZ23" t="s">
        <v>2416</v>
      </c>
      <c r="BA23" s="2" t="str">
        <f>HYPERLINK("http://exon.niaid.nih.gov/transcriptome/Anopheles_sialome/links/KOG/anocol_5nuc-KOG.txt","5' nucleotidase")</f>
        <v>5' nucleotidase</v>
      </c>
      <c r="BB23" t="str">
        <f>HYPERLINK("http://www.ncbi.nlm.nih.gov/Structure/cdd/cddsrv.cgi?uid=KOG4419","1E-046")</f>
        <v>1E-046</v>
      </c>
      <c r="BC23" t="s">
        <v>2398</v>
      </c>
      <c r="BD23" t="str">
        <f>HYPERLINK("http://exon.niaid.nih.gov/transcriptome/Anopheles_sialome/links/KOG/anocol_5nuc-KOG.txt","KOG4419")</f>
        <v>KOG4419</v>
      </c>
      <c r="BE23" t="str">
        <f>HYPERLINK("http://exon.niaid.nih.gov/transcriptome/Anopheles_sialome/links/PFAM/anocol_5nuc-PFAM.txt","5_nucleotid_C")</f>
        <v>5_nucleotid_C</v>
      </c>
      <c r="BF23" t="str">
        <f>HYPERLINK("http://pfam.sanger.ac.uk/family?acc=PF02872","5E-032")</f>
        <v>5E-032</v>
      </c>
      <c r="BG23" s="2" t="str">
        <f>HYPERLINK("http://exon.niaid.nih.gov/transcriptome/Anopheles_sialome/links/SMART/anocol_5nuc-SMART.txt","PGA_cap")</f>
        <v>PGA_cap</v>
      </c>
      <c r="BH23" t="str">
        <f>HYPERLINK("http://smart.embl-heidelberg.de/smart/do_annotation.pl?DOMAIN=PGA_cap&amp;BLAST=DUMMY","1E-010")</f>
        <v>1E-010</v>
      </c>
      <c r="BI23" t="s">
        <v>128</v>
      </c>
      <c r="BJ23" s="2" t="s">
        <v>128</v>
      </c>
      <c r="BK23" t="s">
        <v>929</v>
      </c>
      <c r="BL23">
        <f>HYPERLINK("http://exon.niaid.nih.gov/transcriptome/Anopheles_sialome/links/cluster-b/anopheline-sialome-cds-pep-larger-orf25-50SimCLU9.txt", 9)</f>
        <v>9</v>
      </c>
      <c r="BM23">
        <f>HYPERLINK("http://exon.niaid.nih.gov/transcriptome/Anopheles_sialome/links/cluster-b/anopheline-sialome-cds-pep-larger-orf25-50SimCLTL9.txt", 35)</f>
        <v>35</v>
      </c>
      <c r="BN23">
        <f>HYPERLINK("http://exon.niaid.nih.gov/transcriptome/Anopheles_sialome/links/cluster-b/anopheline-sialome-cds-pep-larger-orf30-50SimCLU8.txt", 8)</f>
        <v>8</v>
      </c>
      <c r="BO23">
        <f>HYPERLINK("http://exon.niaid.nih.gov/transcriptome/Anopheles_sialome/links/cluster-b/anopheline-sialome-cds-pep-larger-orf30-50SimCLTL8.txt", 35)</f>
        <v>35</v>
      </c>
      <c r="BP23">
        <f>HYPERLINK("http://exon.niaid.nih.gov/transcriptome/Anopheles_sialome/links/cluster-b/anopheline-sialome-cds-pep-larger-orf35-50SimCLU9.txt", 9)</f>
        <v>9</v>
      </c>
      <c r="BQ23">
        <f>HYPERLINK("http://exon.niaid.nih.gov/transcriptome/Anopheles_sialome/links/cluster-b/anopheline-sialome-cds-pep-larger-orf35-50SimCLTL9.txt", 35)</f>
        <v>35</v>
      </c>
      <c r="BR23">
        <f>HYPERLINK("http://exon.niaid.nih.gov/transcriptome/Anopheles_sialome/links/cluster-b/anopheline-sialome-cds-pep-larger-orf40-50SimCLU8.txt", 8)</f>
        <v>8</v>
      </c>
      <c r="BS23">
        <f>HYPERLINK("http://exon.niaid.nih.gov/transcriptome/Anopheles_sialome/links/cluster-b/anopheline-sialome-cds-pep-larger-orf40-50SimCLTL8.txt", 35)</f>
        <v>35</v>
      </c>
      <c r="BT23">
        <f>HYPERLINK("http://exon.niaid.nih.gov/transcriptome/Anopheles_sialome/links/cluster-b/anopheline-sialome-cds-pep-larger-orf45-50SimCLU7.txt", 7)</f>
        <v>7</v>
      </c>
      <c r="BU23">
        <f>HYPERLINK("http://exon.niaid.nih.gov/transcriptome/Anopheles_sialome/links/cluster-b/anopheline-sialome-cds-pep-larger-orf45-50SimCLTL7.txt", 35)</f>
        <v>35</v>
      </c>
      <c r="BV23">
        <f>HYPERLINK("http://exon.niaid.nih.gov/transcriptome/Anopheles_sialome/links/cluster-b/anopheline-sialome-cds-pep-larger-orf50-50SimCLU7.txt", 7)</f>
        <v>7</v>
      </c>
      <c r="BW23">
        <f>HYPERLINK("http://exon.niaid.nih.gov/transcriptome/Anopheles_sialome/links/cluster-b/anopheline-sialome-cds-pep-larger-orf50-50SimCLTL7.txt", 35)</f>
        <v>35</v>
      </c>
      <c r="BX23">
        <f>HYPERLINK("http://exon.niaid.nih.gov/transcriptome/Anopheles_sialome/links/cluster-b/anopheline-sialome-cds-pep-larger-orf55-50SimCLU7.txt", 7)</f>
        <v>7</v>
      </c>
      <c r="BY23">
        <f>HYPERLINK("http://exon.niaid.nih.gov/transcriptome/Anopheles_sialome/links/cluster-b/anopheline-sialome-cds-pep-larger-orf55-50SimCLTL7.txt", 35)</f>
        <v>35</v>
      </c>
      <c r="BZ23">
        <f>HYPERLINK("http://exon.niaid.nih.gov/transcriptome/Anopheles_sialome/links/cluster-b/anopheline-sialome-cds-pep-larger-orf60-50SimCLU5.txt", 5)</f>
        <v>5</v>
      </c>
      <c r="CA23">
        <f>HYPERLINK("http://exon.niaid.nih.gov/transcriptome/Anopheles_sialome/links/cluster-b/anopheline-sialome-cds-pep-larger-orf60-50SimCLTL5.txt", 35)</f>
        <v>35</v>
      </c>
      <c r="CB23">
        <f>HYPERLINK("http://exon.niaid.nih.gov/transcriptome/Anopheles_sialome/links/cluster-b/anopheline-sialome-cds-pep-larger-orf65-50SimCLU3.txt", 3)</f>
        <v>3</v>
      </c>
      <c r="CC23">
        <f>HYPERLINK("http://exon.niaid.nih.gov/transcriptome/Anopheles_sialome/links/cluster-b/anopheline-sialome-cds-pep-larger-orf65-50SimCLTL3.txt", 35)</f>
        <v>35</v>
      </c>
      <c r="CD23">
        <f>HYPERLINK("http://exon.niaid.nih.gov/transcriptome/Anopheles_sialome/links/cluster-b/anopheline-sialome-cds-pep-larger-orf70-50SimCLU15.txt", 15)</f>
        <v>15</v>
      </c>
      <c r="CE23">
        <f>HYPERLINK("http://exon.niaid.nih.gov/transcriptome/Anopheles_sialome/links/cluster-b/anopheline-sialome-cds-pep-larger-orf70-50SimCLTL15.txt", 18)</f>
        <v>18</v>
      </c>
      <c r="CF23">
        <f>HYPERLINK("http://exon.niaid.nih.gov/transcriptome/Anopheles_sialome/links/cluster-b/anopheline-sialome-cds-pep-larger-orf75-50SimCLU9.txt", 9)</f>
        <v>9</v>
      </c>
      <c r="CG23">
        <f>HYPERLINK("http://exon.niaid.nih.gov/transcriptome/Anopheles_sialome/links/cluster-b/anopheline-sialome-cds-pep-larger-orf75-50SimCLTL9.txt", 18)</f>
        <v>18</v>
      </c>
      <c r="CH23">
        <f>HYPERLINK("http://exon.niaid.nih.gov/transcriptome/Anopheles_sialome/links/cluster-b/anopheline-sialome-cds-pep-larger-orf80-50SimCLU7.txt", 7)</f>
        <v>7</v>
      </c>
      <c r="CI23">
        <f>HYPERLINK("http://exon.niaid.nih.gov/transcriptome/Anopheles_sialome/links/cluster-b/anopheline-sialome-cds-pep-larger-orf80-50SimCLTL7.txt", 18)</f>
        <v>18</v>
      </c>
      <c r="CJ23">
        <f>HYPERLINK("http://exon.niaid.nih.gov/transcriptome/Anopheles_sialome/links/cluster-b/anopheline-sialome-cds-pep-larger-orf85-50SimCLU8.txt", 8)</f>
        <v>8</v>
      </c>
      <c r="CK23">
        <f>HYPERLINK("http://exon.niaid.nih.gov/transcriptome/Anopheles_sialome/links/cluster-b/anopheline-sialome-cds-pep-larger-orf85-50SimCLTL8.txt", 14)</f>
        <v>14</v>
      </c>
      <c r="CL23">
        <f>HYPERLINK("http://exon.niaid.nih.gov/transcriptome/Anopheles_sialome/links/cluster-b/anopheline-sialome-cds-pep-larger-orf90-50SimCLU9.txt", 9)</f>
        <v>9</v>
      </c>
      <c r="CM23">
        <f>HYPERLINK("http://exon.niaid.nih.gov/transcriptome/Anopheles_sialome/links/cluster-b/anopheline-sialome-cds-pep-larger-orf90-50SimCLTL9.txt", 8)</f>
        <v>8</v>
      </c>
      <c r="CN23">
        <f>HYPERLINK("http://exon.niaid.nih.gov/transcriptome/Anopheles_sialome/links/cluster-b/anopheline-sialome-cds-pep-larger-orf95-50SimCLU6.txt", 6)</f>
        <v>6</v>
      </c>
      <c r="CO23">
        <f>HYPERLINK("http://exon.niaid.nih.gov/transcriptome/Anopheles_sialome/links/cluster-b/anopheline-sialome-cds-pep-larger-orf95-50SimCLTL6.txt", 6)</f>
        <v>6</v>
      </c>
    </row>
    <row r="24" spans="1:93">
      <c r="A24" s="2" t="str">
        <f>HYPERLINK("http://exon.niaid.nih.gov/transcriptome/Anopheles_sialome/links/cds/anoara_5nuc-cds.txt","anoara_5nuc")</f>
        <v>anoara_5nuc</v>
      </c>
      <c r="B24">
        <v>1713</v>
      </c>
      <c r="C24" t="s">
        <v>117</v>
      </c>
      <c r="D24" t="s">
        <v>4</v>
      </c>
      <c r="E24" t="s">
        <v>5</v>
      </c>
      <c r="F24" t="s">
        <v>1</v>
      </c>
      <c r="G24" t="str">
        <f>HYPERLINK("http://exon.niaid.nih.gov/transcriptome/Anopheles_sialome/links/pep/anoara_5nuc-pep.txt","anoara_5nuc")</f>
        <v>anoara_5nuc</v>
      </c>
      <c r="H24">
        <v>570</v>
      </c>
      <c r="I24">
        <v>0</v>
      </c>
      <c r="J24" s="3" t="str">
        <f>HYPERLINK("http://exon.niaid.nih.gov/transcriptome/Anopheles_sialome/links/Sigp/anoara_5nuc-SigP.txt","SIG")</f>
        <v>SIG</v>
      </c>
      <c r="K24" t="s">
        <v>708</v>
      </c>
      <c r="L24">
        <v>63.591999999999999</v>
      </c>
      <c r="M24">
        <v>6.72</v>
      </c>
      <c r="N24">
        <v>61.185000000000002</v>
      </c>
      <c r="O24">
        <v>6.73</v>
      </c>
      <c r="P24" t="s">
        <v>928</v>
      </c>
      <c r="Q24" s="3">
        <v>0</v>
      </c>
      <c r="R24" t="s">
        <v>128</v>
      </c>
      <c r="S24" t="s">
        <v>128</v>
      </c>
      <c r="T24" t="s">
        <v>128</v>
      </c>
      <c r="U24" t="s">
        <v>128</v>
      </c>
      <c r="V24" t="s">
        <v>128</v>
      </c>
      <c r="W24" s="3" t="str">
        <f>HYPERLINK("http://exon.niaid.nih.gov/transcriptome/Anopheles_sialome/links/netoglyc/anoara_5nuc-netoglyc.txt","0")</f>
        <v>0</v>
      </c>
      <c r="X24">
        <v>11.8</v>
      </c>
      <c r="Y24">
        <v>6.5</v>
      </c>
      <c r="Z24">
        <v>3.7</v>
      </c>
      <c r="AA24" t="s">
        <v>654</v>
      </c>
      <c r="AB24" t="s">
        <v>128</v>
      </c>
      <c r="AC24" s="2" t="str">
        <f>HYPERLINK("http://exon.niaid.nih.gov/transcriptome/Anopheles_sialome/links/DIPTERA/anoara_5nuc-DIPTERA.txt","AGAP011026-PA")</f>
        <v>AGAP011026-PA</v>
      </c>
      <c r="AD24" t="str">
        <f t="shared" si="0"/>
        <v>0.0</v>
      </c>
      <c r="AE24" t="str">
        <f t="shared" si="1"/>
        <v>gi|55244308</v>
      </c>
      <c r="AF24">
        <v>99</v>
      </c>
      <c r="AG24">
        <v>99</v>
      </c>
      <c r="AH24">
        <v>100</v>
      </c>
      <c r="AI24" t="s">
        <v>2285</v>
      </c>
      <c r="AJ24" s="2" t="s">
        <v>128</v>
      </c>
      <c r="AK24" t="s">
        <v>128</v>
      </c>
      <c r="AL24" t="s">
        <v>128</v>
      </c>
      <c r="AM24" t="s">
        <v>128</v>
      </c>
      <c r="AN24" t="s">
        <v>128</v>
      </c>
      <c r="AO24" t="s">
        <v>128</v>
      </c>
      <c r="AP24" t="s">
        <v>128</v>
      </c>
      <c r="AQ24" s="2" t="str">
        <f>HYPERLINK("http://exon.niaid.nih.gov/transcriptome/Anopheles_sialome/links/NR-LIGHT/anoara_5nuc-NR-LIGHT.txt","AGAP011026-PA")</f>
        <v>AGAP011026-PA</v>
      </c>
      <c r="AR24" t="str">
        <f t="shared" si="2"/>
        <v>0.0</v>
      </c>
      <c r="AS24" t="str">
        <f t="shared" si="3"/>
        <v>gi|58377530</v>
      </c>
      <c r="AT24">
        <v>99</v>
      </c>
      <c r="AU24">
        <v>99</v>
      </c>
      <c r="AV24">
        <v>100</v>
      </c>
      <c r="AW24" t="s">
        <v>2285</v>
      </c>
      <c r="AX24" s="2" t="str">
        <f>HYPERLINK("http://exon.niaid.nih.gov/transcriptome/Anopheles_sialome/links/CDD/anoara_5nuc-CDD.txt","MPP_CD73_N")</f>
        <v>MPP_CD73_N</v>
      </c>
      <c r="AY24" t="str">
        <f>HYPERLINK("http://www.ncbi.nlm.nih.gov/Structure/cdd/cddsrv.cgi?uid=cd07409&amp;version=v4.0","1E-104")</f>
        <v>1E-104</v>
      </c>
      <c r="AZ24" t="s">
        <v>2417</v>
      </c>
      <c r="BA24" s="2" t="str">
        <f>HYPERLINK("http://exon.niaid.nih.gov/transcriptome/Anopheles_sialome/links/KOG/anoara_5nuc-KOG.txt","5' nucleotidase")</f>
        <v>5' nucleotidase</v>
      </c>
      <c r="BB24" t="str">
        <f>HYPERLINK("http://www.ncbi.nlm.nih.gov/Structure/cdd/cddsrv.cgi?uid=KOG4419","2E-046")</f>
        <v>2E-046</v>
      </c>
      <c r="BC24" t="s">
        <v>2398</v>
      </c>
      <c r="BD24" t="str">
        <f>HYPERLINK("http://exon.niaid.nih.gov/transcriptome/Anopheles_sialome/links/KOG/anoara_5nuc-KOG.txt","KOG4419")</f>
        <v>KOG4419</v>
      </c>
      <c r="BE24" t="str">
        <f>HYPERLINK("http://exon.niaid.nih.gov/transcriptome/Anopheles_sialome/links/PFAM/anoara_5nuc-PFAM.txt","5_nucleotid_C")</f>
        <v>5_nucleotid_C</v>
      </c>
      <c r="BF24" t="str">
        <f>HYPERLINK("http://pfam.sanger.ac.uk/family?acc=PF02872","3E-031")</f>
        <v>3E-031</v>
      </c>
      <c r="BG24" s="2" t="str">
        <f>HYPERLINK("http://exon.niaid.nih.gov/transcriptome/Anopheles_sialome/links/SMART/anoara_5nuc-SMART.txt","PGA_cap")</f>
        <v>PGA_cap</v>
      </c>
      <c r="BH24" t="str">
        <f>HYPERLINK("http://smart.embl-heidelberg.de/smart/do_annotation.pl?DOMAIN=PGA_cap&amp;BLAST=DUMMY","2E-010")</f>
        <v>2E-010</v>
      </c>
      <c r="BI24" t="s">
        <v>128</v>
      </c>
      <c r="BJ24" s="2" t="s">
        <v>128</v>
      </c>
      <c r="BK24" t="s">
        <v>930</v>
      </c>
      <c r="BL24">
        <f>HYPERLINK("http://exon.niaid.nih.gov/transcriptome/Anopheles_sialome/links/cluster-b/anopheline-sialome-cds-pep-larger-orf25-50SimCLU9.txt", 9)</f>
        <v>9</v>
      </c>
      <c r="BM24">
        <f>HYPERLINK("http://exon.niaid.nih.gov/transcriptome/Anopheles_sialome/links/cluster-b/anopheline-sialome-cds-pep-larger-orf25-50SimCLTL9.txt", 35)</f>
        <v>35</v>
      </c>
      <c r="BN24">
        <f>HYPERLINK("http://exon.niaid.nih.gov/transcriptome/Anopheles_sialome/links/cluster-b/anopheline-sialome-cds-pep-larger-orf30-50SimCLU8.txt", 8)</f>
        <v>8</v>
      </c>
      <c r="BO24">
        <f>HYPERLINK("http://exon.niaid.nih.gov/transcriptome/Anopheles_sialome/links/cluster-b/anopheline-sialome-cds-pep-larger-orf30-50SimCLTL8.txt", 35)</f>
        <v>35</v>
      </c>
      <c r="BP24">
        <f>HYPERLINK("http://exon.niaid.nih.gov/transcriptome/Anopheles_sialome/links/cluster-b/anopheline-sialome-cds-pep-larger-orf35-50SimCLU9.txt", 9)</f>
        <v>9</v>
      </c>
      <c r="BQ24">
        <f>HYPERLINK("http://exon.niaid.nih.gov/transcriptome/Anopheles_sialome/links/cluster-b/anopheline-sialome-cds-pep-larger-orf35-50SimCLTL9.txt", 35)</f>
        <v>35</v>
      </c>
      <c r="BR24">
        <f>HYPERLINK("http://exon.niaid.nih.gov/transcriptome/Anopheles_sialome/links/cluster-b/anopheline-sialome-cds-pep-larger-orf40-50SimCLU8.txt", 8)</f>
        <v>8</v>
      </c>
      <c r="BS24">
        <f>HYPERLINK("http://exon.niaid.nih.gov/transcriptome/Anopheles_sialome/links/cluster-b/anopheline-sialome-cds-pep-larger-orf40-50SimCLTL8.txt", 35)</f>
        <v>35</v>
      </c>
      <c r="BT24">
        <f>HYPERLINK("http://exon.niaid.nih.gov/transcriptome/Anopheles_sialome/links/cluster-b/anopheline-sialome-cds-pep-larger-orf45-50SimCLU7.txt", 7)</f>
        <v>7</v>
      </c>
      <c r="BU24">
        <f>HYPERLINK("http://exon.niaid.nih.gov/transcriptome/Anopheles_sialome/links/cluster-b/anopheline-sialome-cds-pep-larger-orf45-50SimCLTL7.txt", 35)</f>
        <v>35</v>
      </c>
      <c r="BV24">
        <f>HYPERLINK("http://exon.niaid.nih.gov/transcriptome/Anopheles_sialome/links/cluster-b/anopheline-sialome-cds-pep-larger-orf50-50SimCLU7.txt", 7)</f>
        <v>7</v>
      </c>
      <c r="BW24">
        <f>HYPERLINK("http://exon.niaid.nih.gov/transcriptome/Anopheles_sialome/links/cluster-b/anopheline-sialome-cds-pep-larger-orf50-50SimCLTL7.txt", 35)</f>
        <v>35</v>
      </c>
      <c r="BX24">
        <f>HYPERLINK("http://exon.niaid.nih.gov/transcriptome/Anopheles_sialome/links/cluster-b/anopheline-sialome-cds-pep-larger-orf55-50SimCLU7.txt", 7)</f>
        <v>7</v>
      </c>
      <c r="BY24">
        <f>HYPERLINK("http://exon.niaid.nih.gov/transcriptome/Anopheles_sialome/links/cluster-b/anopheline-sialome-cds-pep-larger-orf55-50SimCLTL7.txt", 35)</f>
        <v>35</v>
      </c>
      <c r="BZ24">
        <f>HYPERLINK("http://exon.niaid.nih.gov/transcriptome/Anopheles_sialome/links/cluster-b/anopheline-sialome-cds-pep-larger-orf60-50SimCLU5.txt", 5)</f>
        <v>5</v>
      </c>
      <c r="CA24">
        <f>HYPERLINK("http://exon.niaid.nih.gov/transcriptome/Anopheles_sialome/links/cluster-b/anopheline-sialome-cds-pep-larger-orf60-50SimCLTL5.txt", 35)</f>
        <v>35</v>
      </c>
      <c r="CB24">
        <f>HYPERLINK("http://exon.niaid.nih.gov/transcriptome/Anopheles_sialome/links/cluster-b/anopheline-sialome-cds-pep-larger-orf65-50SimCLU3.txt", 3)</f>
        <v>3</v>
      </c>
      <c r="CC24">
        <f>HYPERLINK("http://exon.niaid.nih.gov/transcriptome/Anopheles_sialome/links/cluster-b/anopheline-sialome-cds-pep-larger-orf65-50SimCLTL3.txt", 35)</f>
        <v>35</v>
      </c>
      <c r="CD24">
        <f>HYPERLINK("http://exon.niaid.nih.gov/transcriptome/Anopheles_sialome/links/cluster-b/anopheline-sialome-cds-pep-larger-orf70-50SimCLU15.txt", 15)</f>
        <v>15</v>
      </c>
      <c r="CE24">
        <f>HYPERLINK("http://exon.niaid.nih.gov/transcriptome/Anopheles_sialome/links/cluster-b/anopheline-sialome-cds-pep-larger-orf70-50SimCLTL15.txt", 18)</f>
        <v>18</v>
      </c>
      <c r="CF24">
        <f>HYPERLINK("http://exon.niaid.nih.gov/transcriptome/Anopheles_sialome/links/cluster-b/anopheline-sialome-cds-pep-larger-orf75-50SimCLU9.txt", 9)</f>
        <v>9</v>
      </c>
      <c r="CG24">
        <f>HYPERLINK("http://exon.niaid.nih.gov/transcriptome/Anopheles_sialome/links/cluster-b/anopheline-sialome-cds-pep-larger-orf75-50SimCLTL9.txt", 18)</f>
        <v>18</v>
      </c>
      <c r="CH24">
        <f>HYPERLINK("http://exon.niaid.nih.gov/transcriptome/Anopheles_sialome/links/cluster-b/anopheline-sialome-cds-pep-larger-orf80-50SimCLU7.txt", 7)</f>
        <v>7</v>
      </c>
      <c r="CI24">
        <f>HYPERLINK("http://exon.niaid.nih.gov/transcriptome/Anopheles_sialome/links/cluster-b/anopheline-sialome-cds-pep-larger-orf80-50SimCLTL7.txt", 18)</f>
        <v>18</v>
      </c>
      <c r="CJ24">
        <f>HYPERLINK("http://exon.niaid.nih.gov/transcriptome/Anopheles_sialome/links/cluster-b/anopheline-sialome-cds-pep-larger-orf85-50SimCLU8.txt", 8)</f>
        <v>8</v>
      </c>
      <c r="CK24">
        <f>HYPERLINK("http://exon.niaid.nih.gov/transcriptome/Anopheles_sialome/links/cluster-b/anopheline-sialome-cds-pep-larger-orf85-50SimCLTL8.txt", 14)</f>
        <v>14</v>
      </c>
      <c r="CL24">
        <f>HYPERLINK("http://exon.niaid.nih.gov/transcriptome/Anopheles_sialome/links/cluster-b/anopheline-sialome-cds-pep-larger-orf90-50SimCLU9.txt", 9)</f>
        <v>9</v>
      </c>
      <c r="CM24">
        <f>HYPERLINK("http://exon.niaid.nih.gov/transcriptome/Anopheles_sialome/links/cluster-b/anopheline-sialome-cds-pep-larger-orf90-50SimCLTL9.txt", 8)</f>
        <v>8</v>
      </c>
      <c r="CN24">
        <f>HYPERLINK("http://exon.niaid.nih.gov/transcriptome/Anopheles_sialome/links/cluster-b/anopheline-sialome-cds-pep-larger-orf95-50SimCLU6.txt", 6)</f>
        <v>6</v>
      </c>
      <c r="CO24">
        <f>HYPERLINK("http://exon.niaid.nih.gov/transcriptome/Anopheles_sialome/links/cluster-b/anopheline-sialome-cds-pep-larger-orf95-50SimCLTL6.txt", 6)</f>
        <v>6</v>
      </c>
    </row>
    <row r="25" spans="1:93">
      <c r="A25" s="2" t="str">
        <f>HYPERLINK("http://exon.niaid.nih.gov/transcriptome/Anopheles_sialome/links/cds/anoqua_5nuc-cds.txt","anoqua_5nuc")</f>
        <v>anoqua_5nuc</v>
      </c>
      <c r="B25">
        <v>1713</v>
      </c>
      <c r="C25" t="s">
        <v>118</v>
      </c>
      <c r="D25" t="s">
        <v>4</v>
      </c>
      <c r="E25" t="s">
        <v>5</v>
      </c>
      <c r="F25" t="s">
        <v>1</v>
      </c>
      <c r="G25" t="str">
        <f>HYPERLINK("http://exon.niaid.nih.gov/transcriptome/Anopheles_sialome/links/pep/anoqua_5nuc-pep.txt","anoqua_5nuc")</f>
        <v>anoqua_5nuc</v>
      </c>
      <c r="H25">
        <v>570</v>
      </c>
      <c r="I25">
        <v>0</v>
      </c>
      <c r="J25" s="3" t="str">
        <f>HYPERLINK("http://exon.niaid.nih.gov/transcriptome/Anopheles_sialome/links/Sigp/anoqua_5nuc-SigP.txt","SIG")</f>
        <v>SIG</v>
      </c>
      <c r="K25" t="s">
        <v>708</v>
      </c>
      <c r="L25">
        <v>63.53</v>
      </c>
      <c r="M25">
        <v>6.72</v>
      </c>
      <c r="N25">
        <v>61.122999999999998</v>
      </c>
      <c r="O25">
        <v>6.73</v>
      </c>
      <c r="P25" t="s">
        <v>928</v>
      </c>
      <c r="Q25" s="3">
        <v>0</v>
      </c>
      <c r="R25" t="s">
        <v>128</v>
      </c>
      <c r="S25" t="s">
        <v>128</v>
      </c>
      <c r="T25" t="s">
        <v>128</v>
      </c>
      <c r="U25" t="s">
        <v>128</v>
      </c>
      <c r="V25" t="s">
        <v>128</v>
      </c>
      <c r="W25" s="3" t="str">
        <f>HYPERLINK("http://exon.niaid.nih.gov/transcriptome/Anopheles_sialome/links/netoglyc/anoqua_5nuc-netoglyc.txt","0")</f>
        <v>0</v>
      </c>
      <c r="X25">
        <v>11.8</v>
      </c>
      <c r="Y25">
        <v>6.5</v>
      </c>
      <c r="Z25">
        <v>3.7</v>
      </c>
      <c r="AA25" t="s">
        <v>654</v>
      </c>
      <c r="AB25" t="s">
        <v>128</v>
      </c>
      <c r="AC25" s="2" t="str">
        <f>HYPERLINK("http://exon.niaid.nih.gov/transcriptome/Anopheles_sialome/links/DIPTERA/anoqua_5nuc-DIPTERA.txt","AGAP011026-PA")</f>
        <v>AGAP011026-PA</v>
      </c>
      <c r="AD25" t="str">
        <f t="shared" si="0"/>
        <v>0.0</v>
      </c>
      <c r="AE25" t="str">
        <f t="shared" si="1"/>
        <v>gi|55244308</v>
      </c>
      <c r="AF25">
        <v>98</v>
      </c>
      <c r="AG25">
        <v>99</v>
      </c>
      <c r="AH25">
        <v>100</v>
      </c>
      <c r="AI25" t="s">
        <v>2285</v>
      </c>
      <c r="AJ25" s="2" t="s">
        <v>128</v>
      </c>
      <c r="AK25" t="s">
        <v>128</v>
      </c>
      <c r="AL25" t="s">
        <v>128</v>
      </c>
      <c r="AM25" t="s">
        <v>128</v>
      </c>
      <c r="AN25" t="s">
        <v>128</v>
      </c>
      <c r="AO25" t="s">
        <v>128</v>
      </c>
      <c r="AP25" t="s">
        <v>128</v>
      </c>
      <c r="AQ25" s="2" t="str">
        <f>HYPERLINK("http://exon.niaid.nih.gov/transcriptome/Anopheles_sialome/links/NR-LIGHT/anoqua_5nuc-NR-LIGHT.txt","AGAP011026-PA")</f>
        <v>AGAP011026-PA</v>
      </c>
      <c r="AR25" t="str">
        <f t="shared" si="2"/>
        <v>0.0</v>
      </c>
      <c r="AS25" t="str">
        <f t="shared" si="3"/>
        <v>gi|58377530</v>
      </c>
      <c r="AT25">
        <v>98</v>
      </c>
      <c r="AU25">
        <v>99</v>
      </c>
      <c r="AV25">
        <v>100</v>
      </c>
      <c r="AW25" t="s">
        <v>2285</v>
      </c>
      <c r="AX25" s="2" t="str">
        <f>HYPERLINK("http://exon.niaid.nih.gov/transcriptome/Anopheles_sialome/links/CDD/anoqua_5nuc-CDD.txt","MPP_CD73_N")</f>
        <v>MPP_CD73_N</v>
      </c>
      <c r="AY25" t="str">
        <f>HYPERLINK("http://www.ncbi.nlm.nih.gov/Structure/cdd/cddsrv.cgi?uid=cd07409&amp;version=v4.0","1E-103")</f>
        <v>1E-103</v>
      </c>
      <c r="AZ25" t="s">
        <v>2418</v>
      </c>
      <c r="BA25" s="2" t="str">
        <f>HYPERLINK("http://exon.niaid.nih.gov/transcriptome/Anopheles_sialome/links/KOG/anoqua_5nuc-KOG.txt","5' nucleotidase")</f>
        <v>5' nucleotidase</v>
      </c>
      <c r="BB25" t="str">
        <f>HYPERLINK("http://www.ncbi.nlm.nih.gov/Structure/cdd/cddsrv.cgi?uid=KOG4419","4E-047")</f>
        <v>4E-047</v>
      </c>
      <c r="BC25" t="s">
        <v>2398</v>
      </c>
      <c r="BD25" t="str">
        <f>HYPERLINK("http://exon.niaid.nih.gov/transcriptome/Anopheles_sialome/links/KOG/anoqua_5nuc-KOG.txt","KOG4419")</f>
        <v>KOG4419</v>
      </c>
      <c r="BE25" t="str">
        <f>HYPERLINK("http://exon.niaid.nih.gov/transcriptome/Anopheles_sialome/links/PFAM/anoqua_5nuc-PFAM.txt","5_nucleotid_C")</f>
        <v>5_nucleotid_C</v>
      </c>
      <c r="BF25" t="str">
        <f>HYPERLINK("http://pfam.sanger.ac.uk/family?acc=PF02872","2E-031")</f>
        <v>2E-031</v>
      </c>
      <c r="BG25" s="2" t="str">
        <f>HYPERLINK("http://exon.niaid.nih.gov/transcriptome/Anopheles_sialome/links/SMART/anoqua_5nuc-SMART.txt","PGA_cap")</f>
        <v>PGA_cap</v>
      </c>
      <c r="BH25" t="str">
        <f>HYPERLINK("http://smart.embl-heidelberg.de/smart/do_annotation.pl?DOMAIN=PGA_cap&amp;BLAST=DUMMY","2E-010")</f>
        <v>2E-010</v>
      </c>
      <c r="BI25" t="s">
        <v>128</v>
      </c>
      <c r="BJ25" s="2" t="s">
        <v>128</v>
      </c>
      <c r="BK25" t="s">
        <v>931</v>
      </c>
      <c r="BL25">
        <f>HYPERLINK("http://exon.niaid.nih.gov/transcriptome/Anopheles_sialome/links/cluster-b/anopheline-sialome-cds-pep-larger-orf25-50SimCLU9.txt", 9)</f>
        <v>9</v>
      </c>
      <c r="BM25">
        <f>HYPERLINK("http://exon.niaid.nih.gov/transcriptome/Anopheles_sialome/links/cluster-b/anopheline-sialome-cds-pep-larger-orf25-50SimCLTL9.txt", 35)</f>
        <v>35</v>
      </c>
      <c r="BN25">
        <f>HYPERLINK("http://exon.niaid.nih.gov/transcriptome/Anopheles_sialome/links/cluster-b/anopheline-sialome-cds-pep-larger-orf30-50SimCLU8.txt", 8)</f>
        <v>8</v>
      </c>
      <c r="BO25">
        <f>HYPERLINK("http://exon.niaid.nih.gov/transcriptome/Anopheles_sialome/links/cluster-b/anopheline-sialome-cds-pep-larger-orf30-50SimCLTL8.txt", 35)</f>
        <v>35</v>
      </c>
      <c r="BP25">
        <f>HYPERLINK("http://exon.niaid.nih.gov/transcriptome/Anopheles_sialome/links/cluster-b/anopheline-sialome-cds-pep-larger-orf35-50SimCLU9.txt", 9)</f>
        <v>9</v>
      </c>
      <c r="BQ25">
        <f>HYPERLINK("http://exon.niaid.nih.gov/transcriptome/Anopheles_sialome/links/cluster-b/anopheline-sialome-cds-pep-larger-orf35-50SimCLTL9.txt", 35)</f>
        <v>35</v>
      </c>
      <c r="BR25">
        <f>HYPERLINK("http://exon.niaid.nih.gov/transcriptome/Anopheles_sialome/links/cluster-b/anopheline-sialome-cds-pep-larger-orf40-50SimCLU8.txt", 8)</f>
        <v>8</v>
      </c>
      <c r="BS25">
        <f>HYPERLINK("http://exon.niaid.nih.gov/transcriptome/Anopheles_sialome/links/cluster-b/anopheline-sialome-cds-pep-larger-orf40-50SimCLTL8.txt", 35)</f>
        <v>35</v>
      </c>
      <c r="BT25">
        <f>HYPERLINK("http://exon.niaid.nih.gov/transcriptome/Anopheles_sialome/links/cluster-b/anopheline-sialome-cds-pep-larger-orf45-50SimCLU7.txt", 7)</f>
        <v>7</v>
      </c>
      <c r="BU25">
        <f>HYPERLINK("http://exon.niaid.nih.gov/transcriptome/Anopheles_sialome/links/cluster-b/anopheline-sialome-cds-pep-larger-orf45-50SimCLTL7.txt", 35)</f>
        <v>35</v>
      </c>
      <c r="BV25">
        <f>HYPERLINK("http://exon.niaid.nih.gov/transcriptome/Anopheles_sialome/links/cluster-b/anopheline-sialome-cds-pep-larger-orf50-50SimCLU7.txt", 7)</f>
        <v>7</v>
      </c>
      <c r="BW25">
        <f>HYPERLINK("http://exon.niaid.nih.gov/transcriptome/Anopheles_sialome/links/cluster-b/anopheline-sialome-cds-pep-larger-orf50-50SimCLTL7.txt", 35)</f>
        <v>35</v>
      </c>
      <c r="BX25">
        <f>HYPERLINK("http://exon.niaid.nih.gov/transcriptome/Anopheles_sialome/links/cluster-b/anopheline-sialome-cds-pep-larger-orf55-50SimCLU7.txt", 7)</f>
        <v>7</v>
      </c>
      <c r="BY25">
        <f>HYPERLINK("http://exon.niaid.nih.gov/transcriptome/Anopheles_sialome/links/cluster-b/anopheline-sialome-cds-pep-larger-orf55-50SimCLTL7.txt", 35)</f>
        <v>35</v>
      </c>
      <c r="BZ25">
        <f>HYPERLINK("http://exon.niaid.nih.gov/transcriptome/Anopheles_sialome/links/cluster-b/anopheline-sialome-cds-pep-larger-orf60-50SimCLU5.txt", 5)</f>
        <v>5</v>
      </c>
      <c r="CA25">
        <f>HYPERLINK("http://exon.niaid.nih.gov/transcriptome/Anopheles_sialome/links/cluster-b/anopheline-sialome-cds-pep-larger-orf60-50SimCLTL5.txt", 35)</f>
        <v>35</v>
      </c>
      <c r="CB25">
        <f>HYPERLINK("http://exon.niaid.nih.gov/transcriptome/Anopheles_sialome/links/cluster-b/anopheline-sialome-cds-pep-larger-orf65-50SimCLU3.txt", 3)</f>
        <v>3</v>
      </c>
      <c r="CC25">
        <f>HYPERLINK("http://exon.niaid.nih.gov/transcriptome/Anopheles_sialome/links/cluster-b/anopheline-sialome-cds-pep-larger-orf65-50SimCLTL3.txt", 35)</f>
        <v>35</v>
      </c>
      <c r="CD25">
        <f>HYPERLINK("http://exon.niaid.nih.gov/transcriptome/Anopheles_sialome/links/cluster-b/anopheline-sialome-cds-pep-larger-orf70-50SimCLU15.txt", 15)</f>
        <v>15</v>
      </c>
      <c r="CE25">
        <f>HYPERLINK("http://exon.niaid.nih.gov/transcriptome/Anopheles_sialome/links/cluster-b/anopheline-sialome-cds-pep-larger-orf70-50SimCLTL15.txt", 18)</f>
        <v>18</v>
      </c>
      <c r="CF25">
        <f>HYPERLINK("http://exon.niaid.nih.gov/transcriptome/Anopheles_sialome/links/cluster-b/anopheline-sialome-cds-pep-larger-orf75-50SimCLU9.txt", 9)</f>
        <v>9</v>
      </c>
      <c r="CG25">
        <f>HYPERLINK("http://exon.niaid.nih.gov/transcriptome/Anopheles_sialome/links/cluster-b/anopheline-sialome-cds-pep-larger-orf75-50SimCLTL9.txt", 18)</f>
        <v>18</v>
      </c>
      <c r="CH25">
        <f>HYPERLINK("http://exon.niaid.nih.gov/transcriptome/Anopheles_sialome/links/cluster-b/anopheline-sialome-cds-pep-larger-orf80-50SimCLU7.txt", 7)</f>
        <v>7</v>
      </c>
      <c r="CI25">
        <f>HYPERLINK("http://exon.niaid.nih.gov/transcriptome/Anopheles_sialome/links/cluster-b/anopheline-sialome-cds-pep-larger-orf80-50SimCLTL7.txt", 18)</f>
        <v>18</v>
      </c>
      <c r="CJ25">
        <f>HYPERLINK("http://exon.niaid.nih.gov/transcriptome/Anopheles_sialome/links/cluster-b/anopheline-sialome-cds-pep-larger-orf85-50SimCLU8.txt", 8)</f>
        <v>8</v>
      </c>
      <c r="CK25">
        <f>HYPERLINK("http://exon.niaid.nih.gov/transcriptome/Anopheles_sialome/links/cluster-b/anopheline-sialome-cds-pep-larger-orf85-50SimCLTL8.txt", 14)</f>
        <v>14</v>
      </c>
      <c r="CL25">
        <f>HYPERLINK("http://exon.niaid.nih.gov/transcriptome/Anopheles_sialome/links/cluster-b/anopheline-sialome-cds-pep-larger-orf90-50SimCLU9.txt", 9)</f>
        <v>9</v>
      </c>
      <c r="CM25">
        <f>HYPERLINK("http://exon.niaid.nih.gov/transcriptome/Anopheles_sialome/links/cluster-b/anopheline-sialome-cds-pep-larger-orf90-50SimCLTL9.txt", 8)</f>
        <v>8</v>
      </c>
      <c r="CN25">
        <f>HYPERLINK("http://exon.niaid.nih.gov/transcriptome/Anopheles_sialome/links/cluster-b/anopheline-sialome-cds-pep-larger-orf95-50SimCLU6.txt", 6)</f>
        <v>6</v>
      </c>
      <c r="CO25">
        <f>HYPERLINK("http://exon.niaid.nih.gov/transcriptome/Anopheles_sialome/links/cluster-b/anopheline-sialome-cds-pep-larger-orf95-50SimCLTL6.txt", 6)</f>
        <v>6</v>
      </c>
    </row>
    <row r="26" spans="1:93">
      <c r="A26" s="2" t="str">
        <f>HYPERLINK("http://exon.niaid.nih.gov/transcriptome/Anopheles_sialome/links/cds/anomer_5nuc-cds.txt","anomer_5nuc")</f>
        <v>anomer_5nuc</v>
      </c>
      <c r="B26">
        <v>1713</v>
      </c>
      <c r="C26" t="s">
        <v>119</v>
      </c>
      <c r="D26" t="s">
        <v>4</v>
      </c>
      <c r="E26" t="s">
        <v>5</v>
      </c>
      <c r="F26" t="s">
        <v>1</v>
      </c>
      <c r="G26" t="str">
        <f>HYPERLINK("http://exon.niaid.nih.gov/transcriptome/Anopheles_sialome/links/pep/anomer_5nuc-pep.txt","anomer_5nuc")</f>
        <v>anomer_5nuc</v>
      </c>
      <c r="H26">
        <v>570</v>
      </c>
      <c r="I26">
        <v>0</v>
      </c>
      <c r="J26" s="3" t="str">
        <f>HYPERLINK("http://exon.niaid.nih.gov/transcriptome/Anopheles_sialome/links/Sigp/anomer_5nuc-SigP.txt","SIG")</f>
        <v>SIG</v>
      </c>
      <c r="K26" t="s">
        <v>708</v>
      </c>
      <c r="L26">
        <v>63.578000000000003</v>
      </c>
      <c r="M26">
        <v>6.72</v>
      </c>
      <c r="N26">
        <v>61.170999999999999</v>
      </c>
      <c r="O26">
        <v>6.73</v>
      </c>
      <c r="P26" t="s">
        <v>928</v>
      </c>
      <c r="Q26" s="3">
        <v>0</v>
      </c>
      <c r="R26" t="s">
        <v>128</v>
      </c>
      <c r="S26" t="s">
        <v>128</v>
      </c>
      <c r="T26" t="s">
        <v>128</v>
      </c>
      <c r="U26" t="s">
        <v>128</v>
      </c>
      <c r="V26" t="s">
        <v>128</v>
      </c>
      <c r="W26" s="3" t="str">
        <f>HYPERLINK("http://exon.niaid.nih.gov/transcriptome/Anopheles_sialome/links/netoglyc/anomer_5nuc-netoglyc.txt","0")</f>
        <v>0</v>
      </c>
      <c r="X26">
        <v>11.8</v>
      </c>
      <c r="Y26">
        <v>6.5</v>
      </c>
      <c r="Z26">
        <v>3.7</v>
      </c>
      <c r="AA26" t="s">
        <v>654</v>
      </c>
      <c r="AB26" t="s">
        <v>128</v>
      </c>
      <c r="AC26" s="2" t="str">
        <f>HYPERLINK("http://exon.niaid.nih.gov/transcriptome/Anopheles_sialome/links/DIPTERA/anomer_5nuc-DIPTERA.txt","AGAP011026-PA")</f>
        <v>AGAP011026-PA</v>
      </c>
      <c r="AD26" t="str">
        <f t="shared" si="0"/>
        <v>0.0</v>
      </c>
      <c r="AE26" t="str">
        <f t="shared" si="1"/>
        <v>gi|55244308</v>
      </c>
      <c r="AF26">
        <v>99</v>
      </c>
      <c r="AG26">
        <v>99</v>
      </c>
      <c r="AH26">
        <v>100</v>
      </c>
      <c r="AI26" t="s">
        <v>2285</v>
      </c>
      <c r="AJ26" s="2" t="s">
        <v>128</v>
      </c>
      <c r="AK26" t="s">
        <v>128</v>
      </c>
      <c r="AL26" t="s">
        <v>128</v>
      </c>
      <c r="AM26" t="s">
        <v>128</v>
      </c>
      <c r="AN26" t="s">
        <v>128</v>
      </c>
      <c r="AO26" t="s">
        <v>128</v>
      </c>
      <c r="AP26" t="s">
        <v>128</v>
      </c>
      <c r="AQ26" s="2" t="str">
        <f>HYPERLINK("http://exon.niaid.nih.gov/transcriptome/Anopheles_sialome/links/NR-LIGHT/anomer_5nuc-NR-LIGHT.txt","AGAP011026-PA")</f>
        <v>AGAP011026-PA</v>
      </c>
      <c r="AR26" t="str">
        <f t="shared" si="2"/>
        <v>0.0</v>
      </c>
      <c r="AS26" t="str">
        <f t="shared" si="3"/>
        <v>gi|58377530</v>
      </c>
      <c r="AT26">
        <v>99</v>
      </c>
      <c r="AU26">
        <v>99</v>
      </c>
      <c r="AV26">
        <v>100</v>
      </c>
      <c r="AW26" t="s">
        <v>2285</v>
      </c>
      <c r="AX26" s="2" t="str">
        <f>HYPERLINK("http://exon.niaid.nih.gov/transcriptome/Anopheles_sialome/links/CDD/anomer_5nuc-CDD.txt","MPP_CD73_N")</f>
        <v>MPP_CD73_N</v>
      </c>
      <c r="AY26" t="str">
        <f>HYPERLINK("http://www.ncbi.nlm.nih.gov/Structure/cdd/cddsrv.cgi?uid=cd07409&amp;version=v4.0","1E-104")</f>
        <v>1E-104</v>
      </c>
      <c r="AZ26" t="s">
        <v>2419</v>
      </c>
      <c r="BA26" s="2" t="str">
        <f>HYPERLINK("http://exon.niaid.nih.gov/transcriptome/Anopheles_sialome/links/KOG/anomer_5nuc-KOG.txt","5' nucleotidase")</f>
        <v>5' nucleotidase</v>
      </c>
      <c r="BB26" t="str">
        <f>HYPERLINK("http://www.ncbi.nlm.nih.gov/Structure/cdd/cddsrv.cgi?uid=KOG4419","2E-046")</f>
        <v>2E-046</v>
      </c>
      <c r="BC26" t="s">
        <v>2398</v>
      </c>
      <c r="BD26" t="str">
        <f>HYPERLINK("http://exon.niaid.nih.gov/transcriptome/Anopheles_sialome/links/KOG/anomer_5nuc-KOG.txt","KOG4419")</f>
        <v>KOG4419</v>
      </c>
      <c r="BE26" t="str">
        <f>HYPERLINK("http://exon.niaid.nih.gov/transcriptome/Anopheles_sialome/links/PFAM/anomer_5nuc-PFAM.txt","5_nucleotid_C")</f>
        <v>5_nucleotid_C</v>
      </c>
      <c r="BF26" t="str">
        <f>HYPERLINK("http://pfam.sanger.ac.uk/family?acc=PF02872","2E-031")</f>
        <v>2E-031</v>
      </c>
      <c r="BG26" s="2" t="str">
        <f>HYPERLINK("http://exon.niaid.nih.gov/transcriptome/Anopheles_sialome/links/SMART/anomer_5nuc-SMART.txt","PGA_cap")</f>
        <v>PGA_cap</v>
      </c>
      <c r="BH26" t="str">
        <f>HYPERLINK("http://smart.embl-heidelberg.de/smart/do_annotation.pl?DOMAIN=PGA_cap&amp;BLAST=DUMMY","2E-010")</f>
        <v>2E-010</v>
      </c>
      <c r="BI26" t="s">
        <v>128</v>
      </c>
      <c r="BJ26" s="2" t="s">
        <v>128</v>
      </c>
      <c r="BK26" t="s">
        <v>932</v>
      </c>
      <c r="BL26">
        <f>HYPERLINK("http://exon.niaid.nih.gov/transcriptome/Anopheles_sialome/links/cluster-b/anopheline-sialome-cds-pep-larger-orf25-50SimCLU9.txt", 9)</f>
        <v>9</v>
      </c>
      <c r="BM26">
        <f>HYPERLINK("http://exon.niaid.nih.gov/transcriptome/Anopheles_sialome/links/cluster-b/anopheline-sialome-cds-pep-larger-orf25-50SimCLTL9.txt", 35)</f>
        <v>35</v>
      </c>
      <c r="BN26">
        <f>HYPERLINK("http://exon.niaid.nih.gov/transcriptome/Anopheles_sialome/links/cluster-b/anopheline-sialome-cds-pep-larger-orf30-50SimCLU8.txt", 8)</f>
        <v>8</v>
      </c>
      <c r="BO26">
        <f>HYPERLINK("http://exon.niaid.nih.gov/transcriptome/Anopheles_sialome/links/cluster-b/anopheline-sialome-cds-pep-larger-orf30-50SimCLTL8.txt", 35)</f>
        <v>35</v>
      </c>
      <c r="BP26">
        <f>HYPERLINK("http://exon.niaid.nih.gov/transcriptome/Anopheles_sialome/links/cluster-b/anopheline-sialome-cds-pep-larger-orf35-50SimCLU9.txt", 9)</f>
        <v>9</v>
      </c>
      <c r="BQ26">
        <f>HYPERLINK("http://exon.niaid.nih.gov/transcriptome/Anopheles_sialome/links/cluster-b/anopheline-sialome-cds-pep-larger-orf35-50SimCLTL9.txt", 35)</f>
        <v>35</v>
      </c>
      <c r="BR26">
        <f>HYPERLINK("http://exon.niaid.nih.gov/transcriptome/Anopheles_sialome/links/cluster-b/anopheline-sialome-cds-pep-larger-orf40-50SimCLU8.txt", 8)</f>
        <v>8</v>
      </c>
      <c r="BS26">
        <f>HYPERLINK("http://exon.niaid.nih.gov/transcriptome/Anopheles_sialome/links/cluster-b/anopheline-sialome-cds-pep-larger-orf40-50SimCLTL8.txt", 35)</f>
        <v>35</v>
      </c>
      <c r="BT26">
        <f>HYPERLINK("http://exon.niaid.nih.gov/transcriptome/Anopheles_sialome/links/cluster-b/anopheline-sialome-cds-pep-larger-orf45-50SimCLU7.txt", 7)</f>
        <v>7</v>
      </c>
      <c r="BU26">
        <f>HYPERLINK("http://exon.niaid.nih.gov/transcriptome/Anopheles_sialome/links/cluster-b/anopheline-sialome-cds-pep-larger-orf45-50SimCLTL7.txt", 35)</f>
        <v>35</v>
      </c>
      <c r="BV26">
        <f>HYPERLINK("http://exon.niaid.nih.gov/transcriptome/Anopheles_sialome/links/cluster-b/anopheline-sialome-cds-pep-larger-orf50-50SimCLU7.txt", 7)</f>
        <v>7</v>
      </c>
      <c r="BW26">
        <f>HYPERLINK("http://exon.niaid.nih.gov/transcriptome/Anopheles_sialome/links/cluster-b/anopheline-sialome-cds-pep-larger-orf50-50SimCLTL7.txt", 35)</f>
        <v>35</v>
      </c>
      <c r="BX26">
        <f>HYPERLINK("http://exon.niaid.nih.gov/transcriptome/Anopheles_sialome/links/cluster-b/anopheline-sialome-cds-pep-larger-orf55-50SimCLU7.txt", 7)</f>
        <v>7</v>
      </c>
      <c r="BY26">
        <f>HYPERLINK("http://exon.niaid.nih.gov/transcriptome/Anopheles_sialome/links/cluster-b/anopheline-sialome-cds-pep-larger-orf55-50SimCLTL7.txt", 35)</f>
        <v>35</v>
      </c>
      <c r="BZ26">
        <f>HYPERLINK("http://exon.niaid.nih.gov/transcriptome/Anopheles_sialome/links/cluster-b/anopheline-sialome-cds-pep-larger-orf60-50SimCLU5.txt", 5)</f>
        <v>5</v>
      </c>
      <c r="CA26">
        <f>HYPERLINK("http://exon.niaid.nih.gov/transcriptome/Anopheles_sialome/links/cluster-b/anopheline-sialome-cds-pep-larger-orf60-50SimCLTL5.txt", 35)</f>
        <v>35</v>
      </c>
      <c r="CB26">
        <f>HYPERLINK("http://exon.niaid.nih.gov/transcriptome/Anopheles_sialome/links/cluster-b/anopheline-sialome-cds-pep-larger-orf65-50SimCLU3.txt", 3)</f>
        <v>3</v>
      </c>
      <c r="CC26">
        <f>HYPERLINK("http://exon.niaid.nih.gov/transcriptome/Anopheles_sialome/links/cluster-b/anopheline-sialome-cds-pep-larger-orf65-50SimCLTL3.txt", 35)</f>
        <v>35</v>
      </c>
      <c r="CD26">
        <f>HYPERLINK("http://exon.niaid.nih.gov/transcriptome/Anopheles_sialome/links/cluster-b/anopheline-sialome-cds-pep-larger-orf70-50SimCLU15.txt", 15)</f>
        <v>15</v>
      </c>
      <c r="CE26">
        <f>HYPERLINK("http://exon.niaid.nih.gov/transcriptome/Anopheles_sialome/links/cluster-b/anopheline-sialome-cds-pep-larger-orf70-50SimCLTL15.txt", 18)</f>
        <v>18</v>
      </c>
      <c r="CF26">
        <f>HYPERLINK("http://exon.niaid.nih.gov/transcriptome/Anopheles_sialome/links/cluster-b/anopheline-sialome-cds-pep-larger-orf75-50SimCLU9.txt", 9)</f>
        <v>9</v>
      </c>
      <c r="CG26">
        <f>HYPERLINK("http://exon.niaid.nih.gov/transcriptome/Anopheles_sialome/links/cluster-b/anopheline-sialome-cds-pep-larger-orf75-50SimCLTL9.txt", 18)</f>
        <v>18</v>
      </c>
      <c r="CH26">
        <f>HYPERLINK("http://exon.niaid.nih.gov/transcriptome/Anopheles_sialome/links/cluster-b/anopheline-sialome-cds-pep-larger-orf80-50SimCLU7.txt", 7)</f>
        <v>7</v>
      </c>
      <c r="CI26">
        <f>HYPERLINK("http://exon.niaid.nih.gov/transcriptome/Anopheles_sialome/links/cluster-b/anopheline-sialome-cds-pep-larger-orf80-50SimCLTL7.txt", 18)</f>
        <v>18</v>
      </c>
      <c r="CJ26">
        <f>HYPERLINK("http://exon.niaid.nih.gov/transcriptome/Anopheles_sialome/links/cluster-b/anopheline-sialome-cds-pep-larger-orf85-50SimCLU8.txt", 8)</f>
        <v>8</v>
      </c>
      <c r="CK26">
        <f>HYPERLINK("http://exon.niaid.nih.gov/transcriptome/Anopheles_sialome/links/cluster-b/anopheline-sialome-cds-pep-larger-orf85-50SimCLTL8.txt", 14)</f>
        <v>14</v>
      </c>
      <c r="CL26">
        <f>HYPERLINK("http://exon.niaid.nih.gov/transcriptome/Anopheles_sialome/links/cluster-b/anopheline-sialome-cds-pep-larger-orf90-50SimCLU9.txt", 9)</f>
        <v>9</v>
      </c>
      <c r="CM26">
        <f>HYPERLINK("http://exon.niaid.nih.gov/transcriptome/Anopheles_sialome/links/cluster-b/anopheline-sialome-cds-pep-larger-orf90-50SimCLTL9.txt", 8)</f>
        <v>8</v>
      </c>
      <c r="CN26">
        <f>HYPERLINK("http://exon.niaid.nih.gov/transcriptome/Anopheles_sialome/links/cluster-b/anopheline-sialome-cds-pep-larger-orf95-50SimCLU6.txt", 6)</f>
        <v>6</v>
      </c>
      <c r="CO26">
        <f>HYPERLINK("http://exon.niaid.nih.gov/transcriptome/Anopheles_sialome/links/cluster-b/anopheline-sialome-cds-pep-larger-orf95-50SimCLTL6.txt", 6)</f>
        <v>6</v>
      </c>
    </row>
    <row r="27" spans="1:93">
      <c r="A27" s="2" t="str">
        <f>HYPERLINK("http://exon.niaid.nih.gov/transcriptome/Anopheles_sialome/links/cds/anomel_5nuc-cds.txt","anomel_5nuc")</f>
        <v>anomel_5nuc</v>
      </c>
      <c r="B27">
        <v>1713</v>
      </c>
      <c r="C27" t="s">
        <v>120</v>
      </c>
      <c r="D27" t="s">
        <v>4</v>
      </c>
      <c r="E27" t="s">
        <v>5</v>
      </c>
      <c r="F27" t="s">
        <v>1</v>
      </c>
      <c r="G27" t="str">
        <f>HYPERLINK("http://exon.niaid.nih.gov/transcriptome/Anopheles_sialome/links/pep/anomel_5nuc-pep.txt","anomel_5nuc")</f>
        <v>anomel_5nuc</v>
      </c>
      <c r="H27">
        <v>570</v>
      </c>
      <c r="I27">
        <v>0</v>
      </c>
      <c r="J27" s="3" t="str">
        <f>HYPERLINK("http://exon.niaid.nih.gov/transcriptome/Anopheles_sialome/links/Sigp/anomel_5nuc-SigP.txt","SIG")</f>
        <v>SIG</v>
      </c>
      <c r="K27" t="s">
        <v>708</v>
      </c>
      <c r="L27">
        <v>63.573999999999998</v>
      </c>
      <c r="M27">
        <v>6.55</v>
      </c>
      <c r="N27">
        <v>61.167000000000002</v>
      </c>
      <c r="O27">
        <v>6.55</v>
      </c>
      <c r="P27" t="s">
        <v>928</v>
      </c>
      <c r="Q27" s="3">
        <v>0</v>
      </c>
      <c r="R27" t="s">
        <v>128</v>
      </c>
      <c r="S27" t="s">
        <v>128</v>
      </c>
      <c r="T27" t="s">
        <v>128</v>
      </c>
      <c r="U27" t="s">
        <v>128</v>
      </c>
      <c r="V27" t="s">
        <v>128</v>
      </c>
      <c r="W27" s="3" t="str">
        <f>HYPERLINK("http://exon.niaid.nih.gov/transcriptome/Anopheles_sialome/links/netoglyc/anomel_5nuc-netoglyc.txt","0")</f>
        <v>0</v>
      </c>
      <c r="X27">
        <v>11.9</v>
      </c>
      <c r="Y27">
        <v>6.5</v>
      </c>
      <c r="Z27">
        <v>3.7</v>
      </c>
      <c r="AA27" t="s">
        <v>654</v>
      </c>
      <c r="AB27" t="s">
        <v>128</v>
      </c>
      <c r="AC27" s="2" t="str">
        <f>HYPERLINK("http://exon.niaid.nih.gov/transcriptome/Anopheles_sialome/links/DIPTERA/anomel_5nuc-DIPTERA.txt","AGAP011026-PA")</f>
        <v>AGAP011026-PA</v>
      </c>
      <c r="AD27" t="str">
        <f t="shared" si="0"/>
        <v>0.0</v>
      </c>
      <c r="AE27" t="str">
        <f t="shared" si="1"/>
        <v>gi|55244308</v>
      </c>
      <c r="AF27">
        <v>98</v>
      </c>
      <c r="AG27">
        <v>99</v>
      </c>
      <c r="AH27">
        <v>100</v>
      </c>
      <c r="AI27" t="s">
        <v>2285</v>
      </c>
      <c r="AJ27" s="2" t="s">
        <v>128</v>
      </c>
      <c r="AK27" t="s">
        <v>128</v>
      </c>
      <c r="AL27" t="s">
        <v>128</v>
      </c>
      <c r="AM27" t="s">
        <v>128</v>
      </c>
      <c r="AN27" t="s">
        <v>128</v>
      </c>
      <c r="AO27" t="s">
        <v>128</v>
      </c>
      <c r="AP27" t="s">
        <v>128</v>
      </c>
      <c r="AQ27" s="2" t="str">
        <f>HYPERLINK("http://exon.niaid.nih.gov/transcriptome/Anopheles_sialome/links/NR-LIGHT/anomel_5nuc-NR-LIGHT.txt","AGAP011026-PA")</f>
        <v>AGAP011026-PA</v>
      </c>
      <c r="AR27" t="str">
        <f t="shared" si="2"/>
        <v>0.0</v>
      </c>
      <c r="AS27" t="str">
        <f t="shared" si="3"/>
        <v>gi|58377530</v>
      </c>
      <c r="AT27">
        <v>98</v>
      </c>
      <c r="AU27">
        <v>99</v>
      </c>
      <c r="AV27">
        <v>100</v>
      </c>
      <c r="AW27" t="s">
        <v>2285</v>
      </c>
      <c r="AX27" s="2" t="str">
        <f>HYPERLINK("http://exon.niaid.nih.gov/transcriptome/Anopheles_sialome/links/CDD/anomel_5nuc-CDD.txt","MPP_CD73_N")</f>
        <v>MPP_CD73_N</v>
      </c>
      <c r="AY27" t="str">
        <f>HYPERLINK("http://www.ncbi.nlm.nih.gov/Structure/cdd/cddsrv.cgi?uid=cd07409&amp;version=v4.0","1E-103")</f>
        <v>1E-103</v>
      </c>
      <c r="AZ27" t="s">
        <v>2420</v>
      </c>
      <c r="BA27" s="2" t="str">
        <f>HYPERLINK("http://exon.niaid.nih.gov/transcriptome/Anopheles_sialome/links/KOG/anomel_5nuc-KOG.txt","5' nucleotidase")</f>
        <v>5' nucleotidase</v>
      </c>
      <c r="BB27" t="str">
        <f>HYPERLINK("http://www.ncbi.nlm.nih.gov/Structure/cdd/cddsrv.cgi?uid=KOG4419","7E-047")</f>
        <v>7E-047</v>
      </c>
      <c r="BC27" t="s">
        <v>2398</v>
      </c>
      <c r="BD27" t="str">
        <f>HYPERLINK("http://exon.niaid.nih.gov/transcriptome/Anopheles_sialome/links/KOG/anomel_5nuc-KOG.txt","KOG4419")</f>
        <v>KOG4419</v>
      </c>
      <c r="BE27" t="str">
        <f>HYPERLINK("http://exon.niaid.nih.gov/transcriptome/Anopheles_sialome/links/PFAM/anomel_5nuc-PFAM.txt","5_nucleotid_C")</f>
        <v>5_nucleotid_C</v>
      </c>
      <c r="BF27" t="str">
        <f>HYPERLINK("http://pfam.sanger.ac.uk/family?acc=PF02872","8E-032")</f>
        <v>8E-032</v>
      </c>
      <c r="BG27" s="2" t="str">
        <f>HYPERLINK("http://exon.niaid.nih.gov/transcriptome/Anopheles_sialome/links/SMART/anomel_5nuc-SMART.txt","PGA_cap")</f>
        <v>PGA_cap</v>
      </c>
      <c r="BH27" t="str">
        <f>HYPERLINK("http://smart.embl-heidelberg.de/smart/do_annotation.pl?DOMAIN=PGA_cap&amp;BLAST=DUMMY","2E-010")</f>
        <v>2E-010</v>
      </c>
      <c r="BI27" t="s">
        <v>128</v>
      </c>
      <c r="BJ27" s="2" t="s">
        <v>128</v>
      </c>
      <c r="BK27" t="s">
        <v>933</v>
      </c>
      <c r="BL27">
        <f>HYPERLINK("http://exon.niaid.nih.gov/transcriptome/Anopheles_sialome/links/cluster-b/anopheline-sialome-cds-pep-larger-orf25-50SimCLU9.txt", 9)</f>
        <v>9</v>
      </c>
      <c r="BM27">
        <f>HYPERLINK("http://exon.niaid.nih.gov/transcriptome/Anopheles_sialome/links/cluster-b/anopheline-sialome-cds-pep-larger-orf25-50SimCLTL9.txt", 35)</f>
        <v>35</v>
      </c>
      <c r="BN27">
        <f>HYPERLINK("http://exon.niaid.nih.gov/transcriptome/Anopheles_sialome/links/cluster-b/anopheline-sialome-cds-pep-larger-orf30-50SimCLU8.txt", 8)</f>
        <v>8</v>
      </c>
      <c r="BO27">
        <f>HYPERLINK("http://exon.niaid.nih.gov/transcriptome/Anopheles_sialome/links/cluster-b/anopheline-sialome-cds-pep-larger-orf30-50SimCLTL8.txt", 35)</f>
        <v>35</v>
      </c>
      <c r="BP27">
        <f>HYPERLINK("http://exon.niaid.nih.gov/transcriptome/Anopheles_sialome/links/cluster-b/anopheline-sialome-cds-pep-larger-orf35-50SimCLU9.txt", 9)</f>
        <v>9</v>
      </c>
      <c r="BQ27">
        <f>HYPERLINK("http://exon.niaid.nih.gov/transcriptome/Anopheles_sialome/links/cluster-b/anopheline-sialome-cds-pep-larger-orf35-50SimCLTL9.txt", 35)</f>
        <v>35</v>
      </c>
      <c r="BR27">
        <f>HYPERLINK("http://exon.niaid.nih.gov/transcriptome/Anopheles_sialome/links/cluster-b/anopheline-sialome-cds-pep-larger-orf40-50SimCLU8.txt", 8)</f>
        <v>8</v>
      </c>
      <c r="BS27">
        <f>HYPERLINK("http://exon.niaid.nih.gov/transcriptome/Anopheles_sialome/links/cluster-b/anopheline-sialome-cds-pep-larger-orf40-50SimCLTL8.txt", 35)</f>
        <v>35</v>
      </c>
      <c r="BT27">
        <f>HYPERLINK("http://exon.niaid.nih.gov/transcriptome/Anopheles_sialome/links/cluster-b/anopheline-sialome-cds-pep-larger-orf45-50SimCLU7.txt", 7)</f>
        <v>7</v>
      </c>
      <c r="BU27">
        <f>HYPERLINK("http://exon.niaid.nih.gov/transcriptome/Anopheles_sialome/links/cluster-b/anopheline-sialome-cds-pep-larger-orf45-50SimCLTL7.txt", 35)</f>
        <v>35</v>
      </c>
      <c r="BV27">
        <f>HYPERLINK("http://exon.niaid.nih.gov/transcriptome/Anopheles_sialome/links/cluster-b/anopheline-sialome-cds-pep-larger-orf50-50SimCLU7.txt", 7)</f>
        <v>7</v>
      </c>
      <c r="BW27">
        <f>HYPERLINK("http://exon.niaid.nih.gov/transcriptome/Anopheles_sialome/links/cluster-b/anopheline-sialome-cds-pep-larger-orf50-50SimCLTL7.txt", 35)</f>
        <v>35</v>
      </c>
      <c r="BX27">
        <f>HYPERLINK("http://exon.niaid.nih.gov/transcriptome/Anopheles_sialome/links/cluster-b/anopheline-sialome-cds-pep-larger-orf55-50SimCLU7.txt", 7)</f>
        <v>7</v>
      </c>
      <c r="BY27">
        <f>HYPERLINK("http://exon.niaid.nih.gov/transcriptome/Anopheles_sialome/links/cluster-b/anopheline-sialome-cds-pep-larger-orf55-50SimCLTL7.txt", 35)</f>
        <v>35</v>
      </c>
      <c r="BZ27">
        <f>HYPERLINK("http://exon.niaid.nih.gov/transcriptome/Anopheles_sialome/links/cluster-b/anopheline-sialome-cds-pep-larger-orf60-50SimCLU5.txt", 5)</f>
        <v>5</v>
      </c>
      <c r="CA27">
        <f>HYPERLINK("http://exon.niaid.nih.gov/transcriptome/Anopheles_sialome/links/cluster-b/anopheline-sialome-cds-pep-larger-orf60-50SimCLTL5.txt", 35)</f>
        <v>35</v>
      </c>
      <c r="CB27">
        <f>HYPERLINK("http://exon.niaid.nih.gov/transcriptome/Anopheles_sialome/links/cluster-b/anopheline-sialome-cds-pep-larger-orf65-50SimCLU3.txt", 3)</f>
        <v>3</v>
      </c>
      <c r="CC27">
        <f>HYPERLINK("http://exon.niaid.nih.gov/transcriptome/Anopheles_sialome/links/cluster-b/anopheline-sialome-cds-pep-larger-orf65-50SimCLTL3.txt", 35)</f>
        <v>35</v>
      </c>
      <c r="CD27">
        <f>HYPERLINK("http://exon.niaid.nih.gov/transcriptome/Anopheles_sialome/links/cluster-b/anopheline-sialome-cds-pep-larger-orf70-50SimCLU15.txt", 15)</f>
        <v>15</v>
      </c>
      <c r="CE27">
        <f>HYPERLINK("http://exon.niaid.nih.gov/transcriptome/Anopheles_sialome/links/cluster-b/anopheline-sialome-cds-pep-larger-orf70-50SimCLTL15.txt", 18)</f>
        <v>18</v>
      </c>
      <c r="CF27">
        <f>HYPERLINK("http://exon.niaid.nih.gov/transcriptome/Anopheles_sialome/links/cluster-b/anopheline-sialome-cds-pep-larger-orf75-50SimCLU9.txt", 9)</f>
        <v>9</v>
      </c>
      <c r="CG27">
        <f>HYPERLINK("http://exon.niaid.nih.gov/transcriptome/Anopheles_sialome/links/cluster-b/anopheline-sialome-cds-pep-larger-orf75-50SimCLTL9.txt", 18)</f>
        <v>18</v>
      </c>
      <c r="CH27">
        <f>HYPERLINK("http://exon.niaid.nih.gov/transcriptome/Anopheles_sialome/links/cluster-b/anopheline-sialome-cds-pep-larger-orf80-50SimCLU7.txt", 7)</f>
        <v>7</v>
      </c>
      <c r="CI27">
        <f>HYPERLINK("http://exon.niaid.nih.gov/transcriptome/Anopheles_sialome/links/cluster-b/anopheline-sialome-cds-pep-larger-orf80-50SimCLTL7.txt", 18)</f>
        <v>18</v>
      </c>
      <c r="CJ27">
        <f>HYPERLINK("http://exon.niaid.nih.gov/transcriptome/Anopheles_sialome/links/cluster-b/anopheline-sialome-cds-pep-larger-orf85-50SimCLU8.txt", 8)</f>
        <v>8</v>
      </c>
      <c r="CK27">
        <f>HYPERLINK("http://exon.niaid.nih.gov/transcriptome/Anopheles_sialome/links/cluster-b/anopheline-sialome-cds-pep-larger-orf85-50SimCLTL8.txt", 14)</f>
        <v>14</v>
      </c>
      <c r="CL27">
        <f>HYPERLINK("http://exon.niaid.nih.gov/transcriptome/Anopheles_sialome/links/cluster-b/anopheline-sialome-cds-pep-larger-orf90-50SimCLU9.txt", 9)</f>
        <v>9</v>
      </c>
      <c r="CM27">
        <f>HYPERLINK("http://exon.niaid.nih.gov/transcriptome/Anopheles_sialome/links/cluster-b/anopheline-sialome-cds-pep-larger-orf90-50SimCLTL9.txt", 8)</f>
        <v>8</v>
      </c>
      <c r="CN27">
        <f>HYPERLINK("http://exon.niaid.nih.gov/transcriptome/Anopheles_sialome/links/cluster-b/anopheline-sialome-cds-pep-larger-orf95-50SimCLU6.txt", 6)</f>
        <v>6</v>
      </c>
      <c r="CO27">
        <f>HYPERLINK("http://exon.niaid.nih.gov/transcriptome/Anopheles_sialome/links/cluster-b/anopheline-sialome-cds-pep-larger-orf95-50SimCLTL6.txt", 6)</f>
        <v>6</v>
      </c>
    </row>
    <row r="28" spans="1:93">
      <c r="A28" s="2" t="str">
        <f>HYPERLINK("http://exon.niaid.nih.gov/transcriptome/Anopheles_sialome/links/cds/anochris_5nuc-cds.txt","anochris_5nuc")</f>
        <v>anochris_5nuc</v>
      </c>
      <c r="B28">
        <v>1713</v>
      </c>
      <c r="C28" t="s">
        <v>121</v>
      </c>
      <c r="D28" t="s">
        <v>4</v>
      </c>
      <c r="E28" t="s">
        <v>5</v>
      </c>
      <c r="F28" t="s">
        <v>1</v>
      </c>
      <c r="G28" t="str">
        <f>HYPERLINK("http://exon.niaid.nih.gov/transcriptome/Anopheles_sialome/links/pep/anochris_5nuc-pep.txt","anochris_5nuc")</f>
        <v>anochris_5nuc</v>
      </c>
      <c r="H28">
        <v>570</v>
      </c>
      <c r="I28">
        <v>0</v>
      </c>
      <c r="J28" s="3" t="str">
        <f>HYPERLINK("http://exon.niaid.nih.gov/transcriptome/Anopheles_sialome/links/Sigp/anochris_5nuc-SigP.txt","SIG")</f>
        <v>SIG</v>
      </c>
      <c r="K28" t="s">
        <v>708</v>
      </c>
      <c r="L28">
        <v>63.796999999999997</v>
      </c>
      <c r="M28">
        <v>6.9</v>
      </c>
      <c r="N28">
        <v>61.328000000000003</v>
      </c>
      <c r="O28">
        <v>6.7</v>
      </c>
      <c r="P28" t="s">
        <v>687</v>
      </c>
      <c r="Q28" s="3">
        <v>0</v>
      </c>
      <c r="R28" t="s">
        <v>128</v>
      </c>
      <c r="S28" t="s">
        <v>128</v>
      </c>
      <c r="T28" t="s">
        <v>128</v>
      </c>
      <c r="U28" t="s">
        <v>128</v>
      </c>
      <c r="V28" t="s">
        <v>128</v>
      </c>
      <c r="W28" s="3" t="str">
        <f>HYPERLINK("http://exon.niaid.nih.gov/transcriptome/Anopheles_sialome/links/netoglyc/anochris_5nuc-netoglyc.txt","0")</f>
        <v>0</v>
      </c>
      <c r="X28">
        <v>11.6</v>
      </c>
      <c r="Y28">
        <v>6.5</v>
      </c>
      <c r="Z28">
        <v>3.3</v>
      </c>
      <c r="AA28" t="s">
        <v>654</v>
      </c>
      <c r="AB28" t="s">
        <v>128</v>
      </c>
      <c r="AC28" s="2" t="str">
        <f>HYPERLINK("http://exon.niaid.nih.gov/transcriptome/Anopheles_sialome/links/DIPTERA/anochris_5nuc-DIPTERA.txt","AGAP011026-PA")</f>
        <v>AGAP011026-PA</v>
      </c>
      <c r="AD28" t="str">
        <f t="shared" si="0"/>
        <v>0.0</v>
      </c>
      <c r="AE28" t="str">
        <f t="shared" si="1"/>
        <v>gi|55244308</v>
      </c>
      <c r="AF28">
        <v>90</v>
      </c>
      <c r="AG28">
        <v>93</v>
      </c>
      <c r="AH28">
        <v>100</v>
      </c>
      <c r="AI28" t="s">
        <v>2285</v>
      </c>
      <c r="AJ28" s="2" t="s">
        <v>128</v>
      </c>
      <c r="AK28" t="s">
        <v>128</v>
      </c>
      <c r="AL28" t="s">
        <v>128</v>
      </c>
      <c r="AM28" t="s">
        <v>128</v>
      </c>
      <c r="AN28" t="s">
        <v>128</v>
      </c>
      <c r="AO28" t="s">
        <v>128</v>
      </c>
      <c r="AP28" t="s">
        <v>128</v>
      </c>
      <c r="AQ28" s="2" t="str">
        <f>HYPERLINK("http://exon.niaid.nih.gov/transcriptome/Anopheles_sialome/links/NR-LIGHT/anochris_5nuc-NR-LIGHT.txt","AGAP011026-PA")</f>
        <v>AGAP011026-PA</v>
      </c>
      <c r="AR28" t="str">
        <f t="shared" si="2"/>
        <v>0.0</v>
      </c>
      <c r="AS28" t="str">
        <f t="shared" si="3"/>
        <v>gi|58377530</v>
      </c>
      <c r="AT28">
        <v>90</v>
      </c>
      <c r="AU28">
        <v>93</v>
      </c>
      <c r="AV28">
        <v>100</v>
      </c>
      <c r="AW28" t="s">
        <v>2285</v>
      </c>
      <c r="AX28" s="2" t="str">
        <f>HYPERLINK("http://exon.niaid.nih.gov/transcriptome/Anopheles_sialome/links/CDD/anochris_5nuc-CDD.txt","MPP_CD73_N")</f>
        <v>MPP_CD73_N</v>
      </c>
      <c r="AY28" t="str">
        <f>HYPERLINK("http://www.ncbi.nlm.nih.gov/Structure/cdd/cddsrv.cgi?uid=cd07409&amp;version=v4.0","1E-104")</f>
        <v>1E-104</v>
      </c>
      <c r="AZ28" t="s">
        <v>2421</v>
      </c>
      <c r="BA28" s="2" t="str">
        <f>HYPERLINK("http://exon.niaid.nih.gov/transcriptome/Anopheles_sialome/links/KOG/anochris_5nuc-KOG.txt","5' nucleotidase")</f>
        <v>5' nucleotidase</v>
      </c>
      <c r="BB28" t="str">
        <f>HYPERLINK("http://www.ncbi.nlm.nih.gov/Structure/cdd/cddsrv.cgi?uid=KOG4419","9E-044")</f>
        <v>9E-044</v>
      </c>
      <c r="BC28" t="s">
        <v>2398</v>
      </c>
      <c r="BD28" t="str">
        <f>HYPERLINK("http://exon.niaid.nih.gov/transcriptome/Anopheles_sialome/links/KOG/anochris_5nuc-KOG.txt","KOG4419")</f>
        <v>KOG4419</v>
      </c>
      <c r="BE28" t="str">
        <f>HYPERLINK("http://exon.niaid.nih.gov/transcriptome/Anopheles_sialome/links/PFAM/anochris_5nuc-PFAM.txt","5_nucleotid_C")</f>
        <v>5_nucleotid_C</v>
      </c>
      <c r="BF28" t="str">
        <f>HYPERLINK("http://pfam.sanger.ac.uk/family?acc=PF02872","1E-032")</f>
        <v>1E-032</v>
      </c>
      <c r="BG28" s="2" t="str">
        <f>HYPERLINK("http://exon.niaid.nih.gov/transcriptome/Anopheles_sialome/links/SMART/anochris_5nuc-SMART.txt","PGA_cap")</f>
        <v>PGA_cap</v>
      </c>
      <c r="BH28" t="str">
        <f>HYPERLINK("http://smart.embl-heidelberg.de/smart/do_annotation.pl?DOMAIN=PGA_cap&amp;BLAST=DUMMY","4E-011")</f>
        <v>4E-011</v>
      </c>
      <c r="BI28" t="s">
        <v>128</v>
      </c>
      <c r="BJ28" s="2" t="s">
        <v>128</v>
      </c>
      <c r="BK28" t="s">
        <v>934</v>
      </c>
      <c r="BL28">
        <f>HYPERLINK("http://exon.niaid.nih.gov/transcriptome/Anopheles_sialome/links/cluster-b/anopheline-sialome-cds-pep-larger-orf25-50SimCLU9.txt", 9)</f>
        <v>9</v>
      </c>
      <c r="BM28">
        <f>HYPERLINK("http://exon.niaid.nih.gov/transcriptome/Anopheles_sialome/links/cluster-b/anopheline-sialome-cds-pep-larger-orf25-50SimCLTL9.txt", 35)</f>
        <v>35</v>
      </c>
      <c r="BN28">
        <f>HYPERLINK("http://exon.niaid.nih.gov/transcriptome/Anopheles_sialome/links/cluster-b/anopheline-sialome-cds-pep-larger-orf30-50SimCLU8.txt", 8)</f>
        <v>8</v>
      </c>
      <c r="BO28">
        <f>HYPERLINK("http://exon.niaid.nih.gov/transcriptome/Anopheles_sialome/links/cluster-b/anopheline-sialome-cds-pep-larger-orf30-50SimCLTL8.txt", 35)</f>
        <v>35</v>
      </c>
      <c r="BP28">
        <f>HYPERLINK("http://exon.niaid.nih.gov/transcriptome/Anopheles_sialome/links/cluster-b/anopheline-sialome-cds-pep-larger-orf35-50SimCLU9.txt", 9)</f>
        <v>9</v>
      </c>
      <c r="BQ28">
        <f>HYPERLINK("http://exon.niaid.nih.gov/transcriptome/Anopheles_sialome/links/cluster-b/anopheline-sialome-cds-pep-larger-orf35-50SimCLTL9.txt", 35)</f>
        <v>35</v>
      </c>
      <c r="BR28">
        <f>HYPERLINK("http://exon.niaid.nih.gov/transcriptome/Anopheles_sialome/links/cluster-b/anopheline-sialome-cds-pep-larger-orf40-50SimCLU8.txt", 8)</f>
        <v>8</v>
      </c>
      <c r="BS28">
        <f>HYPERLINK("http://exon.niaid.nih.gov/transcriptome/Anopheles_sialome/links/cluster-b/anopheline-sialome-cds-pep-larger-orf40-50SimCLTL8.txt", 35)</f>
        <v>35</v>
      </c>
      <c r="BT28">
        <f>HYPERLINK("http://exon.niaid.nih.gov/transcriptome/Anopheles_sialome/links/cluster-b/anopheline-sialome-cds-pep-larger-orf45-50SimCLU7.txt", 7)</f>
        <v>7</v>
      </c>
      <c r="BU28">
        <f>HYPERLINK("http://exon.niaid.nih.gov/transcriptome/Anopheles_sialome/links/cluster-b/anopheline-sialome-cds-pep-larger-orf45-50SimCLTL7.txt", 35)</f>
        <v>35</v>
      </c>
      <c r="BV28">
        <f>HYPERLINK("http://exon.niaid.nih.gov/transcriptome/Anopheles_sialome/links/cluster-b/anopheline-sialome-cds-pep-larger-orf50-50SimCLU7.txt", 7)</f>
        <v>7</v>
      </c>
      <c r="BW28">
        <f>HYPERLINK("http://exon.niaid.nih.gov/transcriptome/Anopheles_sialome/links/cluster-b/anopheline-sialome-cds-pep-larger-orf50-50SimCLTL7.txt", 35)</f>
        <v>35</v>
      </c>
      <c r="BX28">
        <f>HYPERLINK("http://exon.niaid.nih.gov/transcriptome/Anopheles_sialome/links/cluster-b/anopheline-sialome-cds-pep-larger-orf55-50SimCLU7.txt", 7)</f>
        <v>7</v>
      </c>
      <c r="BY28">
        <f>HYPERLINK("http://exon.niaid.nih.gov/transcriptome/Anopheles_sialome/links/cluster-b/anopheline-sialome-cds-pep-larger-orf55-50SimCLTL7.txt", 35)</f>
        <v>35</v>
      </c>
      <c r="BZ28">
        <f>HYPERLINK("http://exon.niaid.nih.gov/transcriptome/Anopheles_sialome/links/cluster-b/anopheline-sialome-cds-pep-larger-orf60-50SimCLU5.txt", 5)</f>
        <v>5</v>
      </c>
      <c r="CA28">
        <f>HYPERLINK("http://exon.niaid.nih.gov/transcriptome/Anopheles_sialome/links/cluster-b/anopheline-sialome-cds-pep-larger-orf60-50SimCLTL5.txt", 35)</f>
        <v>35</v>
      </c>
      <c r="CB28">
        <f>HYPERLINK("http://exon.niaid.nih.gov/transcriptome/Anopheles_sialome/links/cluster-b/anopheline-sialome-cds-pep-larger-orf65-50SimCLU3.txt", 3)</f>
        <v>3</v>
      </c>
      <c r="CC28">
        <f>HYPERLINK("http://exon.niaid.nih.gov/transcriptome/Anopheles_sialome/links/cluster-b/anopheline-sialome-cds-pep-larger-orf65-50SimCLTL3.txt", 35)</f>
        <v>35</v>
      </c>
      <c r="CD28">
        <f>HYPERLINK("http://exon.niaid.nih.gov/transcriptome/Anopheles_sialome/links/cluster-b/anopheline-sialome-cds-pep-larger-orf70-50SimCLU15.txt", 15)</f>
        <v>15</v>
      </c>
      <c r="CE28">
        <f>HYPERLINK("http://exon.niaid.nih.gov/transcriptome/Anopheles_sialome/links/cluster-b/anopheline-sialome-cds-pep-larger-orf70-50SimCLTL15.txt", 18)</f>
        <v>18</v>
      </c>
      <c r="CF28">
        <f>HYPERLINK("http://exon.niaid.nih.gov/transcriptome/Anopheles_sialome/links/cluster-b/anopheline-sialome-cds-pep-larger-orf75-50SimCLU9.txt", 9)</f>
        <v>9</v>
      </c>
      <c r="CG28">
        <f>HYPERLINK("http://exon.niaid.nih.gov/transcriptome/Anopheles_sialome/links/cluster-b/anopheline-sialome-cds-pep-larger-orf75-50SimCLTL9.txt", 18)</f>
        <v>18</v>
      </c>
      <c r="CH28">
        <f>HYPERLINK("http://exon.niaid.nih.gov/transcriptome/Anopheles_sialome/links/cluster-b/anopheline-sialome-cds-pep-larger-orf80-50SimCLU7.txt", 7)</f>
        <v>7</v>
      </c>
      <c r="CI28">
        <f>HYPERLINK("http://exon.niaid.nih.gov/transcriptome/Anopheles_sialome/links/cluster-b/anopheline-sialome-cds-pep-larger-orf80-50SimCLTL7.txt", 18)</f>
        <v>18</v>
      </c>
      <c r="CJ28">
        <f>HYPERLINK("http://exon.niaid.nih.gov/transcriptome/Anopheles_sialome/links/cluster-b/anopheline-sialome-cds-pep-larger-orf85-50SimCLU8.txt", 8)</f>
        <v>8</v>
      </c>
      <c r="CK28">
        <f>HYPERLINK("http://exon.niaid.nih.gov/transcriptome/Anopheles_sialome/links/cluster-b/anopheline-sialome-cds-pep-larger-orf85-50SimCLTL8.txt", 14)</f>
        <v>14</v>
      </c>
      <c r="CL28">
        <f>HYPERLINK("http://exon.niaid.nih.gov/transcriptome/Anopheles_sialome/links/cluster-b/anopheline-sialome-cds-pep-larger-orf90-50SimCLU9.txt", 9)</f>
        <v>9</v>
      </c>
      <c r="CM28">
        <f>HYPERLINK("http://exon.niaid.nih.gov/transcriptome/Anopheles_sialome/links/cluster-b/anopheline-sialome-cds-pep-larger-orf90-50SimCLTL9.txt", 8)</f>
        <v>8</v>
      </c>
      <c r="CN28">
        <v>127</v>
      </c>
      <c r="CO28">
        <v>1</v>
      </c>
    </row>
    <row r="29" spans="1:93">
      <c r="A29" s="2" t="str">
        <f>HYPERLINK("http://exon.niaid.nih.gov/transcriptome/Anopheles_sialome/links/cds/anoepi_5nuc-cds.txt","anoepi_5nuc")</f>
        <v>anoepi_5nuc</v>
      </c>
      <c r="B29">
        <v>1728</v>
      </c>
      <c r="C29" t="s">
        <v>122</v>
      </c>
      <c r="D29" t="s">
        <v>4</v>
      </c>
      <c r="E29" t="s">
        <v>5</v>
      </c>
      <c r="F29" t="s">
        <v>1</v>
      </c>
      <c r="G29" t="str">
        <f>HYPERLINK("http://exon.niaid.nih.gov/transcriptome/Anopheles_sialome/links/pep/anoepi_5nuc-pep.txt","anoepi_5nuc")</f>
        <v>anoepi_5nuc</v>
      </c>
      <c r="H29">
        <v>575</v>
      </c>
      <c r="I29">
        <v>0</v>
      </c>
      <c r="J29" s="3" t="str">
        <f>HYPERLINK("http://exon.niaid.nih.gov/transcriptome/Anopheles_sialome/links/Sigp/anoepi_5nuc-SigP.txt","SIG")</f>
        <v>SIG</v>
      </c>
      <c r="K29" t="s">
        <v>834</v>
      </c>
      <c r="L29">
        <v>63.7</v>
      </c>
      <c r="M29">
        <v>7.22</v>
      </c>
      <c r="N29">
        <v>60.746000000000002</v>
      </c>
      <c r="O29">
        <v>6.72</v>
      </c>
      <c r="P29" t="s">
        <v>928</v>
      </c>
      <c r="Q29" s="3">
        <v>0</v>
      </c>
      <c r="R29" t="s">
        <v>128</v>
      </c>
      <c r="S29" t="s">
        <v>128</v>
      </c>
      <c r="T29" t="s">
        <v>128</v>
      </c>
      <c r="U29" t="s">
        <v>128</v>
      </c>
      <c r="V29" t="s">
        <v>128</v>
      </c>
      <c r="W29" s="3" t="str">
        <f>HYPERLINK("http://exon.niaid.nih.gov/transcriptome/Anopheles_sialome/links/netoglyc/anoepi_5nuc-netoglyc.txt","0")</f>
        <v>0</v>
      </c>
      <c r="X29">
        <v>11.7</v>
      </c>
      <c r="Y29">
        <v>6.4</v>
      </c>
      <c r="Z29">
        <v>3.7</v>
      </c>
      <c r="AA29" t="s">
        <v>654</v>
      </c>
      <c r="AB29" t="s">
        <v>128</v>
      </c>
      <c r="AC29" s="2" t="str">
        <f>HYPERLINK("http://exon.niaid.nih.gov/transcriptome/Anopheles_sialome/links/DIPTERA/anoepi_5nuc-DIPTERA.txt","AGAP011026-PA")</f>
        <v>AGAP011026-PA</v>
      </c>
      <c r="AD29" t="str">
        <f t="shared" si="0"/>
        <v>0.0</v>
      </c>
      <c r="AE29" t="str">
        <f t="shared" si="1"/>
        <v>gi|55244308</v>
      </c>
      <c r="AF29">
        <v>83</v>
      </c>
      <c r="AG29">
        <v>91</v>
      </c>
      <c r="AH29">
        <v>99</v>
      </c>
      <c r="AI29" t="s">
        <v>2285</v>
      </c>
      <c r="AJ29" s="2" t="s">
        <v>128</v>
      </c>
      <c r="AK29" t="s">
        <v>128</v>
      </c>
      <c r="AL29" t="s">
        <v>128</v>
      </c>
      <c r="AM29" t="s">
        <v>128</v>
      </c>
      <c r="AN29" t="s">
        <v>128</v>
      </c>
      <c r="AO29" t="s">
        <v>128</v>
      </c>
      <c r="AP29" t="s">
        <v>128</v>
      </c>
      <c r="AQ29" s="2" t="str">
        <f>HYPERLINK("http://exon.niaid.nih.gov/transcriptome/Anopheles_sialome/links/NR-LIGHT/anoepi_5nuc-NR-LIGHT.txt","AGAP011026-PA")</f>
        <v>AGAP011026-PA</v>
      </c>
      <c r="AR29" t="str">
        <f t="shared" si="2"/>
        <v>0.0</v>
      </c>
      <c r="AS29" t="str">
        <f t="shared" si="3"/>
        <v>gi|58377530</v>
      </c>
      <c r="AT29">
        <v>83</v>
      </c>
      <c r="AU29">
        <v>91</v>
      </c>
      <c r="AV29">
        <v>99</v>
      </c>
      <c r="AW29" t="s">
        <v>2285</v>
      </c>
      <c r="AX29" s="2" t="str">
        <f>HYPERLINK("http://exon.niaid.nih.gov/transcriptome/Anopheles_sialome/links/CDD/anoepi_5nuc-CDD.txt","MPP_CD73_N")</f>
        <v>MPP_CD73_N</v>
      </c>
      <c r="AY29" t="str">
        <f>HYPERLINK("http://www.ncbi.nlm.nih.gov/Structure/cdd/cddsrv.cgi?uid=cd07409&amp;version=v4.0","1E-104")</f>
        <v>1E-104</v>
      </c>
      <c r="AZ29" t="s">
        <v>2422</v>
      </c>
      <c r="BA29" s="2" t="str">
        <f>HYPERLINK("http://exon.niaid.nih.gov/transcriptome/Anopheles_sialome/links/KOG/anoepi_5nuc-KOG.txt","5' nucleotidase")</f>
        <v>5' nucleotidase</v>
      </c>
      <c r="BB29" t="str">
        <f>HYPERLINK("http://www.ncbi.nlm.nih.gov/Structure/cdd/cddsrv.cgi?uid=KOG4419","6E-048")</f>
        <v>6E-048</v>
      </c>
      <c r="BC29" t="s">
        <v>2398</v>
      </c>
      <c r="BD29" t="str">
        <f>HYPERLINK("http://exon.niaid.nih.gov/transcriptome/Anopheles_sialome/links/KOG/anoepi_5nuc-KOG.txt","KOG4419")</f>
        <v>KOG4419</v>
      </c>
      <c r="BE29" t="str">
        <f>HYPERLINK("http://exon.niaid.nih.gov/transcriptome/Anopheles_sialome/links/PFAM/anoepi_5nuc-PFAM.txt","5_nucleotid_C")</f>
        <v>5_nucleotid_C</v>
      </c>
      <c r="BF29" t="str">
        <f>HYPERLINK("http://pfam.sanger.ac.uk/family?acc=PF02872","2E-030")</f>
        <v>2E-030</v>
      </c>
      <c r="BG29" s="2" t="str">
        <f>HYPERLINK("http://exon.niaid.nih.gov/transcriptome/Anopheles_sialome/links/SMART/anoepi_5nuc-SMART.txt","PGA_cap")</f>
        <v>PGA_cap</v>
      </c>
      <c r="BH29" t="str">
        <f>HYPERLINK("http://smart.embl-heidelberg.de/smart/do_annotation.pl?DOMAIN=PGA_cap&amp;BLAST=DUMMY","3E-009")</f>
        <v>3E-009</v>
      </c>
      <c r="BI29" t="str">
        <f>HYPERLINK("http://exon.niaid.nih.gov/transcriptome/Anopheles_sialome/links/TICK-BLOCKS/anoepi_5nuc-TICK-BLOCKS.txt","SG1_full |SG1_stringent_pattern |")</f>
        <v>SG1_full |SG1_stringent_pattern |</v>
      </c>
      <c r="BJ29" s="2" t="s">
        <v>2423</v>
      </c>
      <c r="BK29" t="s">
        <v>935</v>
      </c>
      <c r="BL29">
        <f>HYPERLINK("http://exon.niaid.nih.gov/transcriptome/Anopheles_sialome/links/cluster-b/anopheline-sialome-cds-pep-larger-orf25-50SimCLU9.txt", 9)</f>
        <v>9</v>
      </c>
      <c r="BM29">
        <f>HYPERLINK("http://exon.niaid.nih.gov/transcriptome/Anopheles_sialome/links/cluster-b/anopheline-sialome-cds-pep-larger-orf25-50SimCLTL9.txt", 35)</f>
        <v>35</v>
      </c>
      <c r="BN29">
        <f>HYPERLINK("http://exon.niaid.nih.gov/transcriptome/Anopheles_sialome/links/cluster-b/anopheline-sialome-cds-pep-larger-orf30-50SimCLU8.txt", 8)</f>
        <v>8</v>
      </c>
      <c r="BO29">
        <f>HYPERLINK("http://exon.niaid.nih.gov/transcriptome/Anopheles_sialome/links/cluster-b/anopheline-sialome-cds-pep-larger-orf30-50SimCLTL8.txt", 35)</f>
        <v>35</v>
      </c>
      <c r="BP29">
        <f>HYPERLINK("http://exon.niaid.nih.gov/transcriptome/Anopheles_sialome/links/cluster-b/anopheline-sialome-cds-pep-larger-orf35-50SimCLU9.txt", 9)</f>
        <v>9</v>
      </c>
      <c r="BQ29">
        <f>HYPERLINK("http://exon.niaid.nih.gov/transcriptome/Anopheles_sialome/links/cluster-b/anopheline-sialome-cds-pep-larger-orf35-50SimCLTL9.txt", 35)</f>
        <v>35</v>
      </c>
      <c r="BR29">
        <f>HYPERLINK("http://exon.niaid.nih.gov/transcriptome/Anopheles_sialome/links/cluster-b/anopheline-sialome-cds-pep-larger-orf40-50SimCLU8.txt", 8)</f>
        <v>8</v>
      </c>
      <c r="BS29">
        <f>HYPERLINK("http://exon.niaid.nih.gov/transcriptome/Anopheles_sialome/links/cluster-b/anopheline-sialome-cds-pep-larger-orf40-50SimCLTL8.txt", 35)</f>
        <v>35</v>
      </c>
      <c r="BT29">
        <f>HYPERLINK("http://exon.niaid.nih.gov/transcriptome/Anopheles_sialome/links/cluster-b/anopheline-sialome-cds-pep-larger-orf45-50SimCLU7.txt", 7)</f>
        <v>7</v>
      </c>
      <c r="BU29">
        <f>HYPERLINK("http://exon.niaid.nih.gov/transcriptome/Anopheles_sialome/links/cluster-b/anopheline-sialome-cds-pep-larger-orf45-50SimCLTL7.txt", 35)</f>
        <v>35</v>
      </c>
      <c r="BV29">
        <f>HYPERLINK("http://exon.niaid.nih.gov/transcriptome/Anopheles_sialome/links/cluster-b/anopheline-sialome-cds-pep-larger-orf50-50SimCLU7.txt", 7)</f>
        <v>7</v>
      </c>
      <c r="BW29">
        <f>HYPERLINK("http://exon.niaid.nih.gov/transcriptome/Anopheles_sialome/links/cluster-b/anopheline-sialome-cds-pep-larger-orf50-50SimCLTL7.txt", 35)</f>
        <v>35</v>
      </c>
      <c r="BX29">
        <f>HYPERLINK("http://exon.niaid.nih.gov/transcriptome/Anopheles_sialome/links/cluster-b/anopheline-sialome-cds-pep-larger-orf55-50SimCLU7.txt", 7)</f>
        <v>7</v>
      </c>
      <c r="BY29">
        <f>HYPERLINK("http://exon.niaid.nih.gov/transcriptome/Anopheles_sialome/links/cluster-b/anopheline-sialome-cds-pep-larger-orf55-50SimCLTL7.txt", 35)</f>
        <v>35</v>
      </c>
      <c r="BZ29">
        <f>HYPERLINK("http://exon.niaid.nih.gov/transcriptome/Anopheles_sialome/links/cluster-b/anopheline-sialome-cds-pep-larger-orf60-50SimCLU5.txt", 5)</f>
        <v>5</v>
      </c>
      <c r="CA29">
        <f>HYPERLINK("http://exon.niaid.nih.gov/transcriptome/Anopheles_sialome/links/cluster-b/anopheline-sialome-cds-pep-larger-orf60-50SimCLTL5.txt", 35)</f>
        <v>35</v>
      </c>
      <c r="CB29">
        <f>HYPERLINK("http://exon.niaid.nih.gov/transcriptome/Anopheles_sialome/links/cluster-b/anopheline-sialome-cds-pep-larger-orf65-50SimCLU3.txt", 3)</f>
        <v>3</v>
      </c>
      <c r="CC29">
        <f>HYPERLINK("http://exon.niaid.nih.gov/transcriptome/Anopheles_sialome/links/cluster-b/anopheline-sialome-cds-pep-larger-orf65-50SimCLTL3.txt", 35)</f>
        <v>35</v>
      </c>
      <c r="CD29">
        <f>HYPERLINK("http://exon.niaid.nih.gov/transcriptome/Anopheles_sialome/links/cluster-b/anopheline-sialome-cds-pep-larger-orf70-50SimCLU15.txt", 15)</f>
        <v>15</v>
      </c>
      <c r="CE29">
        <f>HYPERLINK("http://exon.niaid.nih.gov/transcriptome/Anopheles_sialome/links/cluster-b/anopheline-sialome-cds-pep-larger-orf70-50SimCLTL15.txt", 18)</f>
        <v>18</v>
      </c>
      <c r="CF29">
        <f>HYPERLINK("http://exon.niaid.nih.gov/transcriptome/Anopheles_sialome/links/cluster-b/anopheline-sialome-cds-pep-larger-orf75-50SimCLU9.txt", 9)</f>
        <v>9</v>
      </c>
      <c r="CG29">
        <f>HYPERLINK("http://exon.niaid.nih.gov/transcriptome/Anopheles_sialome/links/cluster-b/anopheline-sialome-cds-pep-larger-orf75-50SimCLTL9.txt", 18)</f>
        <v>18</v>
      </c>
      <c r="CH29">
        <f>HYPERLINK("http://exon.niaid.nih.gov/transcriptome/Anopheles_sialome/links/cluster-b/anopheline-sialome-cds-pep-larger-orf80-50SimCLU7.txt", 7)</f>
        <v>7</v>
      </c>
      <c r="CI29">
        <f>HYPERLINK("http://exon.niaid.nih.gov/transcriptome/Anopheles_sialome/links/cluster-b/anopheline-sialome-cds-pep-larger-orf80-50SimCLTL7.txt", 18)</f>
        <v>18</v>
      </c>
      <c r="CJ29">
        <f>HYPERLINK("http://exon.niaid.nih.gov/transcriptome/Anopheles_sialome/links/cluster-b/anopheline-sialome-cds-pep-larger-orf85-50SimCLU8.txt", 8)</f>
        <v>8</v>
      </c>
      <c r="CK29">
        <f>HYPERLINK("http://exon.niaid.nih.gov/transcriptome/Anopheles_sialome/links/cluster-b/anopheline-sialome-cds-pep-larger-orf85-50SimCLTL8.txt", 14)</f>
        <v>14</v>
      </c>
      <c r="CL29">
        <f>HYPERLINK("http://exon.niaid.nih.gov/transcriptome/Anopheles_sialome/links/cluster-b/anopheline-sialome-cds-pep-larger-orf90-50SimCLU9.txt", 9)</f>
        <v>9</v>
      </c>
      <c r="CM29">
        <f>HYPERLINK("http://exon.niaid.nih.gov/transcriptome/Anopheles_sialome/links/cluster-b/anopheline-sialome-cds-pep-larger-orf90-50SimCLTL9.txt", 8)</f>
        <v>8</v>
      </c>
      <c r="CN29">
        <v>128</v>
      </c>
      <c r="CO29">
        <v>1</v>
      </c>
    </row>
    <row r="30" spans="1:93">
      <c r="A30" s="2" t="str">
        <f>HYPERLINK("http://exon.niaid.nih.gov/transcriptome/Anopheles_sialome/links/cds/anofun_5nuc-cds.txt","anofun_5nuc")</f>
        <v>anofun_5nuc</v>
      </c>
      <c r="B30">
        <v>1731</v>
      </c>
      <c r="C30" t="s">
        <v>123</v>
      </c>
      <c r="D30" t="s">
        <v>4</v>
      </c>
      <c r="E30" t="s">
        <v>5</v>
      </c>
      <c r="F30" t="s">
        <v>1</v>
      </c>
      <c r="G30" t="str">
        <f>HYPERLINK("http://exon.niaid.nih.gov/transcriptome/Anopheles_sialome/links/pep/anofun_5nuc-pep.txt","anofun_5nuc")</f>
        <v>anofun_5nuc</v>
      </c>
      <c r="H30">
        <v>576</v>
      </c>
      <c r="I30">
        <v>0</v>
      </c>
      <c r="J30" s="3" t="str">
        <f>HYPERLINK("http://exon.niaid.nih.gov/transcriptome/Anopheles_sialome/links/Sigp/anofun_5nuc-SigP.txt","SIG")</f>
        <v>SIG</v>
      </c>
      <c r="K30" t="s">
        <v>834</v>
      </c>
      <c r="L30">
        <v>65.198999999999998</v>
      </c>
      <c r="M30">
        <v>6.79</v>
      </c>
      <c r="N30">
        <v>61.991</v>
      </c>
      <c r="O30">
        <v>6.79</v>
      </c>
      <c r="P30" t="s">
        <v>937</v>
      </c>
      <c r="Q30" s="3">
        <v>0</v>
      </c>
      <c r="R30" t="s">
        <v>128</v>
      </c>
      <c r="S30" t="s">
        <v>128</v>
      </c>
      <c r="T30" t="s">
        <v>128</v>
      </c>
      <c r="U30" t="s">
        <v>128</v>
      </c>
      <c r="V30" t="s">
        <v>128</v>
      </c>
      <c r="W30" s="3" t="str">
        <f>HYPERLINK("http://exon.niaid.nih.gov/transcriptome/Anopheles_sialome/links/netoglyc/anofun_5nuc-netoglyc.txt","0")</f>
        <v>0</v>
      </c>
      <c r="X30">
        <v>12.2</v>
      </c>
      <c r="Y30">
        <v>6.3</v>
      </c>
      <c r="Z30">
        <v>3.5</v>
      </c>
      <c r="AA30" t="s">
        <v>654</v>
      </c>
      <c r="AB30" t="s">
        <v>128</v>
      </c>
      <c r="AC30" s="2" t="str">
        <f>HYPERLINK("http://exon.niaid.nih.gov/transcriptome/Anopheles_sialome/links/DIPTERA/anofun_5nuc-DIPTERA.txt","salivary apyrase")</f>
        <v>salivary apyrase</v>
      </c>
      <c r="AD30" t="str">
        <f t="shared" ref="AD30:AD35" si="4">HYPERLINK("http://www.ncbi.nlm.nih.gov/sutils/blink.cgi?pid=27372911","0.0")</f>
        <v>0.0</v>
      </c>
      <c r="AE30" t="str">
        <f t="shared" ref="AE30:AE35" si="5">HYPERLINK("http://www.ncbi.nlm.nih.gov/protein/27372911","gi|27372911")</f>
        <v>gi|27372911</v>
      </c>
      <c r="AF30">
        <v>79</v>
      </c>
      <c r="AG30">
        <v>88</v>
      </c>
      <c r="AH30">
        <v>98</v>
      </c>
      <c r="AI30" t="s">
        <v>2271</v>
      </c>
      <c r="AJ30" s="2" t="s">
        <v>128</v>
      </c>
      <c r="AK30" t="s">
        <v>128</v>
      </c>
      <c r="AL30" t="s">
        <v>128</v>
      </c>
      <c r="AM30" t="s">
        <v>128</v>
      </c>
      <c r="AN30" t="s">
        <v>128</v>
      </c>
      <c r="AO30" t="s">
        <v>128</v>
      </c>
      <c r="AP30" t="s">
        <v>128</v>
      </c>
      <c r="AQ30" s="2" t="str">
        <f>HYPERLINK("http://exon.niaid.nih.gov/transcriptome/Anopheles_sialome/links/NR-LIGHT/anofun_5nuc-NR-LIGHT.txt","salivary apyrase")</f>
        <v>salivary apyrase</v>
      </c>
      <c r="AR30" t="str">
        <f t="shared" ref="AR30:AR35" si="6">HYPERLINK("http://www.ncbi.nlm.nih.gov/sutils/blink.cgi?pid=27372911","0.0")</f>
        <v>0.0</v>
      </c>
      <c r="AS30" t="str">
        <f t="shared" ref="AS30:AS35" si="7">HYPERLINK("http://www.ncbi.nlm.nih.gov/protein/27372911","gi|27372911")</f>
        <v>gi|27372911</v>
      </c>
      <c r="AT30">
        <v>79</v>
      </c>
      <c r="AU30">
        <v>88</v>
      </c>
      <c r="AV30">
        <v>98</v>
      </c>
      <c r="AW30" t="s">
        <v>2271</v>
      </c>
      <c r="AX30" s="2" t="str">
        <f>HYPERLINK("http://exon.niaid.nih.gov/transcriptome/Anopheles_sialome/links/CDD/anofun_5nuc-CDD.txt","MPP_CD73_N")</f>
        <v>MPP_CD73_N</v>
      </c>
      <c r="AY30" t="str">
        <f>HYPERLINK("http://www.ncbi.nlm.nih.gov/Structure/cdd/cddsrv.cgi?uid=cd07409&amp;version=v4.0","1E-104")</f>
        <v>1E-104</v>
      </c>
      <c r="AZ30" t="s">
        <v>2424</v>
      </c>
      <c r="BA30" s="2" t="str">
        <f>HYPERLINK("http://exon.niaid.nih.gov/transcriptome/Anopheles_sialome/links/KOG/anofun_5nuc-KOG.txt","5' nucleotidase")</f>
        <v>5' nucleotidase</v>
      </c>
      <c r="BB30" t="str">
        <f>HYPERLINK("http://www.ncbi.nlm.nih.gov/Structure/cdd/cddsrv.cgi?uid=KOG4419","9E-048")</f>
        <v>9E-048</v>
      </c>
      <c r="BC30" t="s">
        <v>2398</v>
      </c>
      <c r="BD30" t="str">
        <f>HYPERLINK("http://exon.niaid.nih.gov/transcriptome/Anopheles_sialome/links/KOG/anofun_5nuc-KOG.txt","KOG4419")</f>
        <v>KOG4419</v>
      </c>
      <c r="BE30" t="str">
        <f>HYPERLINK("http://exon.niaid.nih.gov/transcriptome/Anopheles_sialome/links/PFAM/anofun_5nuc-PFAM.txt","5_nucleotid_C")</f>
        <v>5_nucleotid_C</v>
      </c>
      <c r="BF30" t="str">
        <f>HYPERLINK("http://pfam.sanger.ac.uk/family?acc=PF02872","1E-030")</f>
        <v>1E-030</v>
      </c>
      <c r="BG30" s="2" t="str">
        <f>HYPERLINK("http://exon.niaid.nih.gov/transcriptome/Anopheles_sialome/links/SMART/anofun_5nuc-SMART.txt","PGA_cap")</f>
        <v>PGA_cap</v>
      </c>
      <c r="BH30" t="str">
        <f>HYPERLINK("http://smart.embl-heidelberg.de/smart/do_annotation.pl?DOMAIN=PGA_cap&amp;BLAST=DUMMY","1E-011")</f>
        <v>1E-011</v>
      </c>
      <c r="BI30" t="s">
        <v>128</v>
      </c>
      <c r="BJ30" s="2" t="s">
        <v>128</v>
      </c>
      <c r="BK30" t="s">
        <v>936</v>
      </c>
      <c r="BL30">
        <f>HYPERLINK("http://exon.niaid.nih.gov/transcriptome/Anopheles_sialome/links/cluster-b/anopheline-sialome-cds-pep-larger-orf25-50SimCLU9.txt", 9)</f>
        <v>9</v>
      </c>
      <c r="BM30">
        <f>HYPERLINK("http://exon.niaid.nih.gov/transcriptome/Anopheles_sialome/links/cluster-b/anopheline-sialome-cds-pep-larger-orf25-50SimCLTL9.txt", 35)</f>
        <v>35</v>
      </c>
      <c r="BN30">
        <f>HYPERLINK("http://exon.niaid.nih.gov/transcriptome/Anopheles_sialome/links/cluster-b/anopheline-sialome-cds-pep-larger-orf30-50SimCLU8.txt", 8)</f>
        <v>8</v>
      </c>
      <c r="BO30">
        <f>HYPERLINK("http://exon.niaid.nih.gov/transcriptome/Anopheles_sialome/links/cluster-b/anopheline-sialome-cds-pep-larger-orf30-50SimCLTL8.txt", 35)</f>
        <v>35</v>
      </c>
      <c r="BP30">
        <f>HYPERLINK("http://exon.niaid.nih.gov/transcriptome/Anopheles_sialome/links/cluster-b/anopheline-sialome-cds-pep-larger-orf35-50SimCLU9.txt", 9)</f>
        <v>9</v>
      </c>
      <c r="BQ30">
        <f>HYPERLINK("http://exon.niaid.nih.gov/transcriptome/Anopheles_sialome/links/cluster-b/anopheline-sialome-cds-pep-larger-orf35-50SimCLTL9.txt", 35)</f>
        <v>35</v>
      </c>
      <c r="BR30">
        <f>HYPERLINK("http://exon.niaid.nih.gov/transcriptome/Anopheles_sialome/links/cluster-b/anopheline-sialome-cds-pep-larger-orf40-50SimCLU8.txt", 8)</f>
        <v>8</v>
      </c>
      <c r="BS30">
        <f>HYPERLINK("http://exon.niaid.nih.gov/transcriptome/Anopheles_sialome/links/cluster-b/anopheline-sialome-cds-pep-larger-orf40-50SimCLTL8.txt", 35)</f>
        <v>35</v>
      </c>
      <c r="BT30">
        <f>HYPERLINK("http://exon.niaid.nih.gov/transcriptome/Anopheles_sialome/links/cluster-b/anopheline-sialome-cds-pep-larger-orf45-50SimCLU7.txt", 7)</f>
        <v>7</v>
      </c>
      <c r="BU30">
        <f>HYPERLINK("http://exon.niaid.nih.gov/transcriptome/Anopheles_sialome/links/cluster-b/anopheline-sialome-cds-pep-larger-orf45-50SimCLTL7.txt", 35)</f>
        <v>35</v>
      </c>
      <c r="BV30">
        <f>HYPERLINK("http://exon.niaid.nih.gov/transcriptome/Anopheles_sialome/links/cluster-b/anopheline-sialome-cds-pep-larger-orf50-50SimCLU7.txt", 7)</f>
        <v>7</v>
      </c>
      <c r="BW30">
        <f>HYPERLINK("http://exon.niaid.nih.gov/transcriptome/Anopheles_sialome/links/cluster-b/anopheline-sialome-cds-pep-larger-orf50-50SimCLTL7.txt", 35)</f>
        <v>35</v>
      </c>
      <c r="BX30">
        <f>HYPERLINK("http://exon.niaid.nih.gov/transcriptome/Anopheles_sialome/links/cluster-b/anopheline-sialome-cds-pep-larger-orf55-50SimCLU7.txt", 7)</f>
        <v>7</v>
      </c>
      <c r="BY30">
        <f>HYPERLINK("http://exon.niaid.nih.gov/transcriptome/Anopheles_sialome/links/cluster-b/anopheline-sialome-cds-pep-larger-orf55-50SimCLTL7.txt", 35)</f>
        <v>35</v>
      </c>
      <c r="BZ30">
        <f>HYPERLINK("http://exon.niaid.nih.gov/transcriptome/Anopheles_sialome/links/cluster-b/anopheline-sialome-cds-pep-larger-orf60-50SimCLU5.txt", 5)</f>
        <v>5</v>
      </c>
      <c r="CA30">
        <f>HYPERLINK("http://exon.niaid.nih.gov/transcriptome/Anopheles_sialome/links/cluster-b/anopheline-sialome-cds-pep-larger-orf60-50SimCLTL5.txt", 35)</f>
        <v>35</v>
      </c>
      <c r="CB30">
        <f>HYPERLINK("http://exon.niaid.nih.gov/transcriptome/Anopheles_sialome/links/cluster-b/anopheline-sialome-cds-pep-larger-orf65-50SimCLU3.txt", 3)</f>
        <v>3</v>
      </c>
      <c r="CC30">
        <f>HYPERLINK("http://exon.niaid.nih.gov/transcriptome/Anopheles_sialome/links/cluster-b/anopheline-sialome-cds-pep-larger-orf65-50SimCLTL3.txt", 35)</f>
        <v>35</v>
      </c>
      <c r="CD30">
        <f>HYPERLINK("http://exon.niaid.nih.gov/transcriptome/Anopheles_sialome/links/cluster-b/anopheline-sialome-cds-pep-larger-orf70-50SimCLU15.txt", 15)</f>
        <v>15</v>
      </c>
      <c r="CE30">
        <f>HYPERLINK("http://exon.niaid.nih.gov/transcriptome/Anopheles_sialome/links/cluster-b/anopheline-sialome-cds-pep-larger-orf70-50SimCLTL15.txt", 18)</f>
        <v>18</v>
      </c>
      <c r="CF30">
        <f>HYPERLINK("http://exon.niaid.nih.gov/transcriptome/Anopheles_sialome/links/cluster-b/anopheline-sialome-cds-pep-larger-orf75-50SimCLU9.txt", 9)</f>
        <v>9</v>
      </c>
      <c r="CG30">
        <f>HYPERLINK("http://exon.niaid.nih.gov/transcriptome/Anopheles_sialome/links/cluster-b/anopheline-sialome-cds-pep-larger-orf75-50SimCLTL9.txt", 18)</f>
        <v>18</v>
      </c>
      <c r="CH30">
        <f>HYPERLINK("http://exon.niaid.nih.gov/transcriptome/Anopheles_sialome/links/cluster-b/anopheline-sialome-cds-pep-larger-orf80-50SimCLU7.txt", 7)</f>
        <v>7</v>
      </c>
      <c r="CI30">
        <f>HYPERLINK("http://exon.niaid.nih.gov/transcriptome/Anopheles_sialome/links/cluster-b/anopheline-sialome-cds-pep-larger-orf80-50SimCLTL7.txt", 18)</f>
        <v>18</v>
      </c>
      <c r="CJ30">
        <f>HYPERLINK("http://exon.niaid.nih.gov/transcriptome/Anopheles_sialome/links/cluster-b/anopheline-sialome-cds-pep-larger-orf85-50SimCLU8.txt", 8)</f>
        <v>8</v>
      </c>
      <c r="CK30">
        <f>HYPERLINK("http://exon.niaid.nih.gov/transcriptome/Anopheles_sialome/links/cluster-b/anopheline-sialome-cds-pep-larger-orf85-50SimCLTL8.txt", 14)</f>
        <v>14</v>
      </c>
      <c r="CL30">
        <f>HYPERLINK("http://exon.niaid.nih.gov/transcriptome/Anopheles_sialome/links/cluster-b/anopheline-sialome-cds-pep-larger-orf90-50SimCLU54.txt", 54)</f>
        <v>54</v>
      </c>
      <c r="CM30">
        <f>HYPERLINK("http://exon.niaid.nih.gov/transcriptome/Anopheles_sialome/links/cluster-b/anopheline-sialome-cds-pep-larger-orf90-50SimCLTL54.txt", 3)</f>
        <v>3</v>
      </c>
      <c r="CN30">
        <v>129</v>
      </c>
      <c r="CO30">
        <v>1</v>
      </c>
    </row>
    <row r="31" spans="1:93">
      <c r="A31" s="2" t="str">
        <f>HYPERLINK("http://exon.niaid.nih.gov/transcriptome/Anopheles_sialome/links/cds/anomin_5nuc-cds.txt","anomin_5nuc")</f>
        <v>anomin_5nuc</v>
      </c>
      <c r="B31">
        <v>1731</v>
      </c>
      <c r="C31" t="s">
        <v>124</v>
      </c>
      <c r="D31" t="s">
        <v>4</v>
      </c>
      <c r="E31" t="s">
        <v>5</v>
      </c>
      <c r="F31" t="s">
        <v>1</v>
      </c>
      <c r="G31" t="str">
        <f>HYPERLINK("http://exon.niaid.nih.gov/transcriptome/Anopheles_sialome/links/pep/anomin_5nuc-pep.txt","anomin_5nuc")</f>
        <v>anomin_5nuc</v>
      </c>
      <c r="H31">
        <v>576</v>
      </c>
      <c r="I31">
        <v>1</v>
      </c>
      <c r="J31" s="3" t="str">
        <f>HYPERLINK("http://exon.niaid.nih.gov/transcriptome/Anopheles_sialome/links/Sigp/anomin_5nuc-SigP.txt","SIG")</f>
        <v>SIG</v>
      </c>
      <c r="K31" t="s">
        <v>834</v>
      </c>
      <c r="L31">
        <v>64.893000000000001</v>
      </c>
      <c r="M31">
        <v>8.56</v>
      </c>
      <c r="N31">
        <v>61.567</v>
      </c>
      <c r="O31">
        <v>8.5299999999999994</v>
      </c>
      <c r="P31" t="s">
        <v>939</v>
      </c>
      <c r="Q31" s="3">
        <v>0</v>
      </c>
      <c r="R31" t="s">
        <v>128</v>
      </c>
      <c r="S31" t="s">
        <v>128</v>
      </c>
      <c r="T31" t="s">
        <v>128</v>
      </c>
      <c r="U31" t="s">
        <v>128</v>
      </c>
      <c r="V31" t="s">
        <v>128</v>
      </c>
      <c r="W31" s="3" t="str">
        <f>HYPERLINK("http://exon.niaid.nih.gov/transcriptome/Anopheles_sialome/links/netoglyc/anomin_5nuc-netoglyc.txt","0")</f>
        <v>0</v>
      </c>
      <c r="X31">
        <v>11.8</v>
      </c>
      <c r="Y31">
        <v>6.6</v>
      </c>
      <c r="Z31">
        <v>3.8</v>
      </c>
      <c r="AA31" t="s">
        <v>654</v>
      </c>
      <c r="AB31" t="s">
        <v>128</v>
      </c>
      <c r="AC31" s="2" t="str">
        <f>HYPERLINK("http://exon.niaid.nih.gov/transcriptome/Anopheles_sialome/links/DIPTERA/anomin_5nuc-DIPTERA.txt","salivary apyrase")</f>
        <v>salivary apyrase</v>
      </c>
      <c r="AD31" t="str">
        <f t="shared" si="4"/>
        <v>0.0</v>
      </c>
      <c r="AE31" t="str">
        <f t="shared" si="5"/>
        <v>gi|27372911</v>
      </c>
      <c r="AF31">
        <v>80</v>
      </c>
      <c r="AG31">
        <v>90</v>
      </c>
      <c r="AH31">
        <v>99</v>
      </c>
      <c r="AI31" t="s">
        <v>2271</v>
      </c>
      <c r="AJ31" s="2" t="s">
        <v>128</v>
      </c>
      <c r="AK31" t="s">
        <v>128</v>
      </c>
      <c r="AL31" t="s">
        <v>128</v>
      </c>
      <c r="AM31" t="s">
        <v>128</v>
      </c>
      <c r="AN31" t="s">
        <v>128</v>
      </c>
      <c r="AO31" t="s">
        <v>128</v>
      </c>
      <c r="AP31" t="s">
        <v>128</v>
      </c>
      <c r="AQ31" s="2" t="str">
        <f>HYPERLINK("http://exon.niaid.nih.gov/transcriptome/Anopheles_sialome/links/NR-LIGHT/anomin_5nuc-NR-LIGHT.txt","salivary apyrase")</f>
        <v>salivary apyrase</v>
      </c>
      <c r="AR31" t="str">
        <f t="shared" si="6"/>
        <v>0.0</v>
      </c>
      <c r="AS31" t="str">
        <f t="shared" si="7"/>
        <v>gi|27372911</v>
      </c>
      <c r="AT31">
        <v>80</v>
      </c>
      <c r="AU31">
        <v>90</v>
      </c>
      <c r="AV31">
        <v>99</v>
      </c>
      <c r="AW31" t="s">
        <v>2271</v>
      </c>
      <c r="AX31" s="2" t="str">
        <f>HYPERLINK("http://exon.niaid.nih.gov/transcriptome/Anopheles_sialome/links/CDD/anomin_5nuc-CDD.txt","MPP_CD73_N")</f>
        <v>MPP_CD73_N</v>
      </c>
      <c r="AY31" t="str">
        <f>HYPERLINK("http://www.ncbi.nlm.nih.gov/Structure/cdd/cddsrv.cgi?uid=cd07409&amp;version=v4.0","1E-106")</f>
        <v>1E-106</v>
      </c>
      <c r="AZ31" t="s">
        <v>2425</v>
      </c>
      <c r="BA31" s="2" t="str">
        <f>HYPERLINK("http://exon.niaid.nih.gov/transcriptome/Anopheles_sialome/links/KOG/anomin_5nuc-KOG.txt","5' nucleotidase")</f>
        <v>5' nucleotidase</v>
      </c>
      <c r="BB31" t="str">
        <f>HYPERLINK("http://www.ncbi.nlm.nih.gov/Structure/cdd/cddsrv.cgi?uid=KOG4419","4E-047")</f>
        <v>4E-047</v>
      </c>
      <c r="BC31" t="s">
        <v>2398</v>
      </c>
      <c r="BD31" t="str">
        <f>HYPERLINK("http://exon.niaid.nih.gov/transcriptome/Anopheles_sialome/links/KOG/anomin_5nuc-KOG.txt","KOG4419")</f>
        <v>KOG4419</v>
      </c>
      <c r="BE31" t="str">
        <f>HYPERLINK("http://exon.niaid.nih.gov/transcriptome/Anopheles_sialome/links/PFAM/anomin_5nuc-PFAM.txt","5_nucleotid_C")</f>
        <v>5_nucleotid_C</v>
      </c>
      <c r="BF31" t="str">
        <f>HYPERLINK("http://pfam.sanger.ac.uk/family?acc=PF02872","5E-028")</f>
        <v>5E-028</v>
      </c>
      <c r="BG31" s="2" t="str">
        <f>HYPERLINK("http://exon.niaid.nih.gov/transcriptome/Anopheles_sialome/links/SMART/anomin_5nuc-SMART.txt","PGA_cap")</f>
        <v>PGA_cap</v>
      </c>
      <c r="BH31" t="str">
        <f>HYPERLINK("http://smart.embl-heidelberg.de/smart/do_annotation.pl?DOMAIN=PGA_cap&amp;BLAST=DUMMY","6E-012")</f>
        <v>6E-012</v>
      </c>
      <c r="BI31" t="s">
        <v>128</v>
      </c>
      <c r="BJ31" s="2" t="s">
        <v>128</v>
      </c>
      <c r="BK31" t="s">
        <v>938</v>
      </c>
      <c r="BL31">
        <f>HYPERLINK("http://exon.niaid.nih.gov/transcriptome/Anopheles_sialome/links/cluster-b/anopheline-sialome-cds-pep-larger-orf25-50SimCLU9.txt", 9)</f>
        <v>9</v>
      </c>
      <c r="BM31">
        <f>HYPERLINK("http://exon.niaid.nih.gov/transcriptome/Anopheles_sialome/links/cluster-b/anopheline-sialome-cds-pep-larger-orf25-50SimCLTL9.txt", 35)</f>
        <v>35</v>
      </c>
      <c r="BN31">
        <f>HYPERLINK("http://exon.niaid.nih.gov/transcriptome/Anopheles_sialome/links/cluster-b/anopheline-sialome-cds-pep-larger-orf30-50SimCLU8.txt", 8)</f>
        <v>8</v>
      </c>
      <c r="BO31">
        <f>HYPERLINK("http://exon.niaid.nih.gov/transcriptome/Anopheles_sialome/links/cluster-b/anopheline-sialome-cds-pep-larger-orf30-50SimCLTL8.txt", 35)</f>
        <v>35</v>
      </c>
      <c r="BP31">
        <f>HYPERLINK("http://exon.niaid.nih.gov/transcriptome/Anopheles_sialome/links/cluster-b/anopheline-sialome-cds-pep-larger-orf35-50SimCLU9.txt", 9)</f>
        <v>9</v>
      </c>
      <c r="BQ31">
        <f>HYPERLINK("http://exon.niaid.nih.gov/transcriptome/Anopheles_sialome/links/cluster-b/anopheline-sialome-cds-pep-larger-orf35-50SimCLTL9.txt", 35)</f>
        <v>35</v>
      </c>
      <c r="BR31">
        <f>HYPERLINK("http://exon.niaid.nih.gov/transcriptome/Anopheles_sialome/links/cluster-b/anopheline-sialome-cds-pep-larger-orf40-50SimCLU8.txt", 8)</f>
        <v>8</v>
      </c>
      <c r="BS31">
        <f>HYPERLINK("http://exon.niaid.nih.gov/transcriptome/Anopheles_sialome/links/cluster-b/anopheline-sialome-cds-pep-larger-orf40-50SimCLTL8.txt", 35)</f>
        <v>35</v>
      </c>
      <c r="BT31">
        <f>HYPERLINK("http://exon.niaid.nih.gov/transcriptome/Anopheles_sialome/links/cluster-b/anopheline-sialome-cds-pep-larger-orf45-50SimCLU7.txt", 7)</f>
        <v>7</v>
      </c>
      <c r="BU31">
        <f>HYPERLINK("http://exon.niaid.nih.gov/transcriptome/Anopheles_sialome/links/cluster-b/anopheline-sialome-cds-pep-larger-orf45-50SimCLTL7.txt", 35)</f>
        <v>35</v>
      </c>
      <c r="BV31">
        <f>HYPERLINK("http://exon.niaid.nih.gov/transcriptome/Anopheles_sialome/links/cluster-b/anopheline-sialome-cds-pep-larger-orf50-50SimCLU7.txt", 7)</f>
        <v>7</v>
      </c>
      <c r="BW31">
        <f>HYPERLINK("http://exon.niaid.nih.gov/transcriptome/Anopheles_sialome/links/cluster-b/anopheline-sialome-cds-pep-larger-orf50-50SimCLTL7.txt", 35)</f>
        <v>35</v>
      </c>
      <c r="BX31">
        <f>HYPERLINK("http://exon.niaid.nih.gov/transcriptome/Anopheles_sialome/links/cluster-b/anopheline-sialome-cds-pep-larger-orf55-50SimCLU7.txt", 7)</f>
        <v>7</v>
      </c>
      <c r="BY31">
        <f>HYPERLINK("http://exon.niaid.nih.gov/transcriptome/Anopheles_sialome/links/cluster-b/anopheline-sialome-cds-pep-larger-orf55-50SimCLTL7.txt", 35)</f>
        <v>35</v>
      </c>
      <c r="BZ31">
        <f>HYPERLINK("http://exon.niaid.nih.gov/transcriptome/Anopheles_sialome/links/cluster-b/anopheline-sialome-cds-pep-larger-orf60-50SimCLU5.txt", 5)</f>
        <v>5</v>
      </c>
      <c r="CA31">
        <f>HYPERLINK("http://exon.niaid.nih.gov/transcriptome/Anopheles_sialome/links/cluster-b/anopheline-sialome-cds-pep-larger-orf60-50SimCLTL5.txt", 35)</f>
        <v>35</v>
      </c>
      <c r="CB31">
        <f>HYPERLINK("http://exon.niaid.nih.gov/transcriptome/Anopheles_sialome/links/cluster-b/anopheline-sialome-cds-pep-larger-orf65-50SimCLU3.txt", 3)</f>
        <v>3</v>
      </c>
      <c r="CC31">
        <f>HYPERLINK("http://exon.niaid.nih.gov/transcriptome/Anopheles_sialome/links/cluster-b/anopheline-sialome-cds-pep-larger-orf65-50SimCLTL3.txt", 35)</f>
        <v>35</v>
      </c>
      <c r="CD31">
        <f>HYPERLINK("http://exon.niaid.nih.gov/transcriptome/Anopheles_sialome/links/cluster-b/anopheline-sialome-cds-pep-larger-orf70-50SimCLU15.txt", 15)</f>
        <v>15</v>
      </c>
      <c r="CE31">
        <f>HYPERLINK("http://exon.niaid.nih.gov/transcriptome/Anopheles_sialome/links/cluster-b/anopheline-sialome-cds-pep-larger-orf70-50SimCLTL15.txt", 18)</f>
        <v>18</v>
      </c>
      <c r="CF31">
        <f>HYPERLINK("http://exon.niaid.nih.gov/transcriptome/Anopheles_sialome/links/cluster-b/anopheline-sialome-cds-pep-larger-orf75-50SimCLU9.txt", 9)</f>
        <v>9</v>
      </c>
      <c r="CG31">
        <f>HYPERLINK("http://exon.niaid.nih.gov/transcriptome/Anopheles_sialome/links/cluster-b/anopheline-sialome-cds-pep-larger-orf75-50SimCLTL9.txt", 18)</f>
        <v>18</v>
      </c>
      <c r="CH31">
        <f>HYPERLINK("http://exon.niaid.nih.gov/transcriptome/Anopheles_sialome/links/cluster-b/anopheline-sialome-cds-pep-larger-orf80-50SimCLU7.txt", 7)</f>
        <v>7</v>
      </c>
      <c r="CI31">
        <f>HYPERLINK("http://exon.niaid.nih.gov/transcriptome/Anopheles_sialome/links/cluster-b/anopheline-sialome-cds-pep-larger-orf80-50SimCLTL7.txt", 18)</f>
        <v>18</v>
      </c>
      <c r="CJ31">
        <f>HYPERLINK("http://exon.niaid.nih.gov/transcriptome/Anopheles_sialome/links/cluster-b/anopheline-sialome-cds-pep-larger-orf85-50SimCLU8.txt", 8)</f>
        <v>8</v>
      </c>
      <c r="CK31">
        <f>HYPERLINK("http://exon.niaid.nih.gov/transcriptome/Anopheles_sialome/links/cluster-b/anopheline-sialome-cds-pep-larger-orf85-50SimCLTL8.txt", 14)</f>
        <v>14</v>
      </c>
      <c r="CL31">
        <f>HYPERLINK("http://exon.niaid.nih.gov/transcriptome/Anopheles_sialome/links/cluster-b/anopheline-sialome-cds-pep-larger-orf90-50SimCLU54.txt", 54)</f>
        <v>54</v>
      </c>
      <c r="CM31">
        <f>HYPERLINK("http://exon.niaid.nih.gov/transcriptome/Anopheles_sialome/links/cluster-b/anopheline-sialome-cds-pep-larger-orf90-50SimCLTL54.txt", 3)</f>
        <v>3</v>
      </c>
      <c r="CN31">
        <v>130</v>
      </c>
      <c r="CO31">
        <v>1</v>
      </c>
    </row>
    <row r="32" spans="1:93">
      <c r="A32" s="2" t="str">
        <f>HYPERLINK("http://exon.niaid.nih.gov/transcriptome/Anopheles_sialome/links/cds/anocul_5nuc-cds.txt","anocul_5nuc")</f>
        <v>anocul_5nuc</v>
      </c>
      <c r="B32">
        <v>1731</v>
      </c>
      <c r="C32" t="s">
        <v>125</v>
      </c>
      <c r="D32" t="s">
        <v>7</v>
      </c>
      <c r="E32" t="s">
        <v>5</v>
      </c>
      <c r="F32" t="s">
        <v>1</v>
      </c>
      <c r="G32" t="str">
        <f>HYPERLINK("http://exon.niaid.nih.gov/transcriptome/Anopheles_sialome/links/pep/anocul_5nuc-pep.txt","anocul_5nuc")</f>
        <v>anocul_5nuc</v>
      </c>
      <c r="H32">
        <v>576</v>
      </c>
      <c r="I32">
        <v>0</v>
      </c>
      <c r="J32" s="3" t="str">
        <f>HYPERLINK("http://exon.niaid.nih.gov/transcriptome/Anopheles_sialome/links/Sigp/anocul_5nuc-SigP.txt","SIG")</f>
        <v>SIG</v>
      </c>
      <c r="K32" t="s">
        <v>834</v>
      </c>
      <c r="L32">
        <v>64.632999999999996</v>
      </c>
      <c r="M32">
        <v>8.31</v>
      </c>
      <c r="N32">
        <v>61.405999999999999</v>
      </c>
      <c r="O32">
        <v>8.41</v>
      </c>
      <c r="P32" t="s">
        <v>941</v>
      </c>
      <c r="Q32" s="3">
        <v>0</v>
      </c>
      <c r="R32" t="s">
        <v>128</v>
      </c>
      <c r="S32" t="s">
        <v>128</v>
      </c>
      <c r="T32" t="s">
        <v>128</v>
      </c>
      <c r="U32" t="s">
        <v>128</v>
      </c>
      <c r="V32" t="s">
        <v>128</v>
      </c>
      <c r="W32" s="3" t="str">
        <f>HYPERLINK("http://exon.niaid.nih.gov/transcriptome/Anopheles_sialome/links/netoglyc/anocul_5nuc-netoglyc.txt","0")</f>
        <v>0</v>
      </c>
      <c r="X32">
        <v>12</v>
      </c>
      <c r="Y32">
        <v>6.6</v>
      </c>
      <c r="Z32">
        <v>3.3</v>
      </c>
      <c r="AA32" t="s">
        <v>654</v>
      </c>
      <c r="AB32" t="s">
        <v>128</v>
      </c>
      <c r="AC32" s="2" t="str">
        <f>HYPERLINK("http://exon.niaid.nih.gov/transcriptome/Anopheles_sialome/links/DIPTERA/anocul_5nuc-DIPTERA.txt","salivary apyrase")</f>
        <v>salivary apyrase</v>
      </c>
      <c r="AD32" t="str">
        <f t="shared" si="4"/>
        <v>0.0</v>
      </c>
      <c r="AE32" t="str">
        <f t="shared" si="5"/>
        <v>gi|27372911</v>
      </c>
      <c r="AF32">
        <v>78</v>
      </c>
      <c r="AG32">
        <v>88</v>
      </c>
      <c r="AH32">
        <v>98</v>
      </c>
      <c r="AI32" t="s">
        <v>2271</v>
      </c>
      <c r="AJ32" s="2" t="s">
        <v>128</v>
      </c>
      <c r="AK32" t="s">
        <v>128</v>
      </c>
      <c r="AL32" t="s">
        <v>128</v>
      </c>
      <c r="AM32" t="s">
        <v>128</v>
      </c>
      <c r="AN32" t="s">
        <v>128</v>
      </c>
      <c r="AO32" t="s">
        <v>128</v>
      </c>
      <c r="AP32" t="s">
        <v>128</v>
      </c>
      <c r="AQ32" s="2" t="str">
        <f>HYPERLINK("http://exon.niaid.nih.gov/transcriptome/Anopheles_sialome/links/NR-LIGHT/anocul_5nuc-NR-LIGHT.txt","salivary apyrase")</f>
        <v>salivary apyrase</v>
      </c>
      <c r="AR32" t="str">
        <f t="shared" si="6"/>
        <v>0.0</v>
      </c>
      <c r="AS32" t="str">
        <f t="shared" si="7"/>
        <v>gi|27372911</v>
      </c>
      <c r="AT32">
        <v>78</v>
      </c>
      <c r="AU32">
        <v>88</v>
      </c>
      <c r="AV32">
        <v>98</v>
      </c>
      <c r="AW32" t="s">
        <v>2271</v>
      </c>
      <c r="AX32" s="2" t="str">
        <f>HYPERLINK("http://exon.niaid.nih.gov/transcriptome/Anopheles_sialome/links/CDD/anocul_5nuc-CDD.txt","MPP_CD73_N")</f>
        <v>MPP_CD73_N</v>
      </c>
      <c r="AY32" t="str">
        <f>HYPERLINK("http://www.ncbi.nlm.nih.gov/Structure/cdd/cddsrv.cgi?uid=cd07409&amp;version=v4.0","1E-103")</f>
        <v>1E-103</v>
      </c>
      <c r="AZ32" t="s">
        <v>2426</v>
      </c>
      <c r="BA32" s="2" t="str">
        <f>HYPERLINK("http://exon.niaid.nih.gov/transcriptome/Anopheles_sialome/links/KOG/anocul_5nuc-KOG.txt","5' nucleotidase")</f>
        <v>5' nucleotidase</v>
      </c>
      <c r="BB32" t="str">
        <f>HYPERLINK("http://www.ncbi.nlm.nih.gov/Structure/cdd/cddsrv.cgi?uid=KOG4419","9E-048")</f>
        <v>9E-048</v>
      </c>
      <c r="BC32" t="s">
        <v>2398</v>
      </c>
      <c r="BD32" t="str">
        <f>HYPERLINK("http://exon.niaid.nih.gov/transcriptome/Anopheles_sialome/links/KOG/anocul_5nuc-KOG.txt","KOG4419")</f>
        <v>KOG4419</v>
      </c>
      <c r="BE32" t="str">
        <f>HYPERLINK("http://exon.niaid.nih.gov/transcriptome/Anopheles_sialome/links/PFAM/anocul_5nuc-PFAM.txt","5_nucleotid_C")</f>
        <v>5_nucleotid_C</v>
      </c>
      <c r="BF32" t="str">
        <f>HYPERLINK("http://pfam.sanger.ac.uk/family?acc=PF02872","5E-030")</f>
        <v>5E-030</v>
      </c>
      <c r="BG32" s="2" t="str">
        <f>HYPERLINK("http://exon.niaid.nih.gov/transcriptome/Anopheles_sialome/links/SMART/anocul_5nuc-SMART.txt","PGA_cap")</f>
        <v>PGA_cap</v>
      </c>
      <c r="BH32" t="str">
        <f>HYPERLINK("http://smart.embl-heidelberg.de/smart/do_annotation.pl?DOMAIN=PGA_cap&amp;BLAST=DUMMY","1E-012")</f>
        <v>1E-012</v>
      </c>
      <c r="BI32" t="s">
        <v>128</v>
      </c>
      <c r="BJ32" s="2" t="s">
        <v>128</v>
      </c>
      <c r="BK32" t="s">
        <v>940</v>
      </c>
      <c r="BL32">
        <f>HYPERLINK("http://exon.niaid.nih.gov/transcriptome/Anopheles_sialome/links/cluster-b/anopheline-sialome-cds-pep-larger-orf25-50SimCLU9.txt", 9)</f>
        <v>9</v>
      </c>
      <c r="BM32">
        <f>HYPERLINK("http://exon.niaid.nih.gov/transcriptome/Anopheles_sialome/links/cluster-b/anopheline-sialome-cds-pep-larger-orf25-50SimCLTL9.txt", 35)</f>
        <v>35</v>
      </c>
      <c r="BN32">
        <f>HYPERLINK("http://exon.niaid.nih.gov/transcriptome/Anopheles_sialome/links/cluster-b/anopheline-sialome-cds-pep-larger-orf30-50SimCLU8.txt", 8)</f>
        <v>8</v>
      </c>
      <c r="BO32">
        <f>HYPERLINK("http://exon.niaid.nih.gov/transcriptome/Anopheles_sialome/links/cluster-b/anopheline-sialome-cds-pep-larger-orf30-50SimCLTL8.txt", 35)</f>
        <v>35</v>
      </c>
      <c r="BP32">
        <f>HYPERLINK("http://exon.niaid.nih.gov/transcriptome/Anopheles_sialome/links/cluster-b/anopheline-sialome-cds-pep-larger-orf35-50SimCLU9.txt", 9)</f>
        <v>9</v>
      </c>
      <c r="BQ32">
        <f>HYPERLINK("http://exon.niaid.nih.gov/transcriptome/Anopheles_sialome/links/cluster-b/anopheline-sialome-cds-pep-larger-orf35-50SimCLTL9.txt", 35)</f>
        <v>35</v>
      </c>
      <c r="BR32">
        <f>HYPERLINK("http://exon.niaid.nih.gov/transcriptome/Anopheles_sialome/links/cluster-b/anopheline-sialome-cds-pep-larger-orf40-50SimCLU8.txt", 8)</f>
        <v>8</v>
      </c>
      <c r="BS32">
        <f>HYPERLINK("http://exon.niaid.nih.gov/transcriptome/Anopheles_sialome/links/cluster-b/anopheline-sialome-cds-pep-larger-orf40-50SimCLTL8.txt", 35)</f>
        <v>35</v>
      </c>
      <c r="BT32">
        <f>HYPERLINK("http://exon.niaid.nih.gov/transcriptome/Anopheles_sialome/links/cluster-b/anopheline-sialome-cds-pep-larger-orf45-50SimCLU7.txt", 7)</f>
        <v>7</v>
      </c>
      <c r="BU32">
        <f>HYPERLINK("http://exon.niaid.nih.gov/transcriptome/Anopheles_sialome/links/cluster-b/anopheline-sialome-cds-pep-larger-orf45-50SimCLTL7.txt", 35)</f>
        <v>35</v>
      </c>
      <c r="BV32">
        <f>HYPERLINK("http://exon.niaid.nih.gov/transcriptome/Anopheles_sialome/links/cluster-b/anopheline-sialome-cds-pep-larger-orf50-50SimCLU7.txt", 7)</f>
        <v>7</v>
      </c>
      <c r="BW32">
        <f>HYPERLINK("http://exon.niaid.nih.gov/transcriptome/Anopheles_sialome/links/cluster-b/anopheline-sialome-cds-pep-larger-orf50-50SimCLTL7.txt", 35)</f>
        <v>35</v>
      </c>
      <c r="BX32">
        <f>HYPERLINK("http://exon.niaid.nih.gov/transcriptome/Anopheles_sialome/links/cluster-b/anopheline-sialome-cds-pep-larger-orf55-50SimCLU7.txt", 7)</f>
        <v>7</v>
      </c>
      <c r="BY32">
        <f>HYPERLINK("http://exon.niaid.nih.gov/transcriptome/Anopheles_sialome/links/cluster-b/anopheline-sialome-cds-pep-larger-orf55-50SimCLTL7.txt", 35)</f>
        <v>35</v>
      </c>
      <c r="BZ32">
        <f>HYPERLINK("http://exon.niaid.nih.gov/transcriptome/Anopheles_sialome/links/cluster-b/anopheline-sialome-cds-pep-larger-orf60-50SimCLU5.txt", 5)</f>
        <v>5</v>
      </c>
      <c r="CA32">
        <f>HYPERLINK("http://exon.niaid.nih.gov/transcriptome/Anopheles_sialome/links/cluster-b/anopheline-sialome-cds-pep-larger-orf60-50SimCLTL5.txt", 35)</f>
        <v>35</v>
      </c>
      <c r="CB32">
        <f>HYPERLINK("http://exon.niaid.nih.gov/transcriptome/Anopheles_sialome/links/cluster-b/anopheline-sialome-cds-pep-larger-orf65-50SimCLU3.txt", 3)</f>
        <v>3</v>
      </c>
      <c r="CC32">
        <f>HYPERLINK("http://exon.niaid.nih.gov/transcriptome/Anopheles_sialome/links/cluster-b/anopheline-sialome-cds-pep-larger-orf65-50SimCLTL3.txt", 35)</f>
        <v>35</v>
      </c>
      <c r="CD32">
        <f>HYPERLINK("http://exon.niaid.nih.gov/transcriptome/Anopheles_sialome/links/cluster-b/anopheline-sialome-cds-pep-larger-orf70-50SimCLU15.txt", 15)</f>
        <v>15</v>
      </c>
      <c r="CE32">
        <f>HYPERLINK("http://exon.niaid.nih.gov/transcriptome/Anopheles_sialome/links/cluster-b/anopheline-sialome-cds-pep-larger-orf70-50SimCLTL15.txt", 18)</f>
        <v>18</v>
      </c>
      <c r="CF32">
        <f>HYPERLINK("http://exon.niaid.nih.gov/transcriptome/Anopheles_sialome/links/cluster-b/anopheline-sialome-cds-pep-larger-orf75-50SimCLU9.txt", 9)</f>
        <v>9</v>
      </c>
      <c r="CG32">
        <f>HYPERLINK("http://exon.niaid.nih.gov/transcriptome/Anopheles_sialome/links/cluster-b/anopheline-sialome-cds-pep-larger-orf75-50SimCLTL9.txt", 18)</f>
        <v>18</v>
      </c>
      <c r="CH32">
        <f>HYPERLINK("http://exon.niaid.nih.gov/transcriptome/Anopheles_sialome/links/cluster-b/anopheline-sialome-cds-pep-larger-orf80-50SimCLU7.txt", 7)</f>
        <v>7</v>
      </c>
      <c r="CI32">
        <f>HYPERLINK("http://exon.niaid.nih.gov/transcriptome/Anopheles_sialome/links/cluster-b/anopheline-sialome-cds-pep-larger-orf80-50SimCLTL7.txt", 18)</f>
        <v>18</v>
      </c>
      <c r="CJ32">
        <f>HYPERLINK("http://exon.niaid.nih.gov/transcriptome/Anopheles_sialome/links/cluster-b/anopheline-sialome-cds-pep-larger-orf85-50SimCLU8.txt", 8)</f>
        <v>8</v>
      </c>
      <c r="CK32">
        <f>HYPERLINK("http://exon.niaid.nih.gov/transcriptome/Anopheles_sialome/links/cluster-b/anopheline-sialome-cds-pep-larger-orf85-50SimCLTL8.txt", 14)</f>
        <v>14</v>
      </c>
      <c r="CL32">
        <f>HYPERLINK("http://exon.niaid.nih.gov/transcriptome/Anopheles_sialome/links/cluster-b/anopheline-sialome-cds-pep-larger-orf90-50SimCLU54.txt", 54)</f>
        <v>54</v>
      </c>
      <c r="CM32">
        <f>HYPERLINK("http://exon.niaid.nih.gov/transcriptome/Anopheles_sialome/links/cluster-b/anopheline-sialome-cds-pep-larger-orf90-50SimCLTL54.txt", 3)</f>
        <v>3</v>
      </c>
      <c r="CN32">
        <v>131</v>
      </c>
      <c r="CO32">
        <v>1</v>
      </c>
    </row>
    <row r="33" spans="1:93">
      <c r="A33" s="2" t="str">
        <f>HYPERLINK("http://exon.niaid.nih.gov/transcriptome/Anopheles_sialome/links/cds/anoste_5nuc-cds.txt","anoste_5nuc")</f>
        <v>anoste_5nuc</v>
      </c>
      <c r="B33">
        <v>1728</v>
      </c>
      <c r="C33" t="s">
        <v>126</v>
      </c>
      <c r="D33" t="s">
        <v>4</v>
      </c>
      <c r="E33" t="s">
        <v>5</v>
      </c>
      <c r="F33" t="s">
        <v>1</v>
      </c>
      <c r="G33" t="str">
        <f>HYPERLINK("http://exon.niaid.nih.gov/transcriptome/Anopheles_sialome/links/pep/anoste_5nuc-pep.txt","anoste_5nuc")</f>
        <v>anoste_5nuc</v>
      </c>
      <c r="H33">
        <v>575</v>
      </c>
      <c r="I33">
        <v>1</v>
      </c>
      <c r="J33" s="3" t="str">
        <f>HYPERLINK("http://exon.niaid.nih.gov/transcriptome/Anopheles_sialome/links/Sigp/anoste_5nuc-SigP.txt","SIG")</f>
        <v>SIG</v>
      </c>
      <c r="K33" t="s">
        <v>834</v>
      </c>
      <c r="L33">
        <v>64.314999999999998</v>
      </c>
      <c r="M33">
        <v>6.99</v>
      </c>
      <c r="N33">
        <v>61.314</v>
      </c>
      <c r="O33">
        <v>6.53</v>
      </c>
      <c r="P33" t="s">
        <v>943</v>
      </c>
      <c r="Q33" s="3">
        <v>0</v>
      </c>
      <c r="R33" t="s">
        <v>128</v>
      </c>
      <c r="S33" t="s">
        <v>128</v>
      </c>
      <c r="T33" t="s">
        <v>128</v>
      </c>
      <c r="U33" t="s">
        <v>128</v>
      </c>
      <c r="V33" t="s">
        <v>128</v>
      </c>
      <c r="W33" s="3" t="str">
        <f>HYPERLINK("http://exon.niaid.nih.gov/transcriptome/Anopheles_sialome/links/netoglyc/anoste_5nuc-netoglyc.txt","0")</f>
        <v>0</v>
      </c>
      <c r="X33">
        <v>11.7</v>
      </c>
      <c r="Y33">
        <v>6.4</v>
      </c>
      <c r="Z33">
        <v>3.7</v>
      </c>
      <c r="AA33" t="s">
        <v>654</v>
      </c>
      <c r="AB33" t="s">
        <v>128</v>
      </c>
      <c r="AC33" s="2" t="str">
        <f>HYPERLINK("http://exon.niaid.nih.gov/transcriptome/Anopheles_sialome/links/DIPTERA/anoste_5nuc-DIPTERA.txt","salivary apyrase")</f>
        <v>salivary apyrase</v>
      </c>
      <c r="AD33" t="str">
        <f t="shared" si="4"/>
        <v>0.0</v>
      </c>
      <c r="AE33" t="str">
        <f t="shared" si="5"/>
        <v>gi|27372911</v>
      </c>
      <c r="AF33">
        <v>98</v>
      </c>
      <c r="AG33">
        <v>99</v>
      </c>
      <c r="AH33">
        <v>100</v>
      </c>
      <c r="AI33" t="s">
        <v>2271</v>
      </c>
      <c r="AJ33" s="2" t="s">
        <v>128</v>
      </c>
      <c r="AK33" t="s">
        <v>128</v>
      </c>
      <c r="AL33" t="s">
        <v>128</v>
      </c>
      <c r="AM33" t="s">
        <v>128</v>
      </c>
      <c r="AN33" t="s">
        <v>128</v>
      </c>
      <c r="AO33" t="s">
        <v>128</v>
      </c>
      <c r="AP33" t="s">
        <v>128</v>
      </c>
      <c r="AQ33" s="2" t="str">
        <f>HYPERLINK("http://exon.niaid.nih.gov/transcriptome/Anopheles_sialome/links/NR-LIGHT/anoste_5nuc-NR-LIGHT.txt","salivary apyrase")</f>
        <v>salivary apyrase</v>
      </c>
      <c r="AR33" t="str">
        <f t="shared" si="6"/>
        <v>0.0</v>
      </c>
      <c r="AS33" t="str">
        <f t="shared" si="7"/>
        <v>gi|27372911</v>
      </c>
      <c r="AT33">
        <v>98</v>
      </c>
      <c r="AU33">
        <v>99</v>
      </c>
      <c r="AV33">
        <v>100</v>
      </c>
      <c r="AW33" t="s">
        <v>2271</v>
      </c>
      <c r="AX33" s="2" t="str">
        <f>HYPERLINK("http://exon.niaid.nih.gov/transcriptome/Anopheles_sialome/links/CDD/anoste_5nuc-CDD.txt","MPP_CD73_N")</f>
        <v>MPP_CD73_N</v>
      </c>
      <c r="AY33" t="str">
        <f>HYPERLINK("http://www.ncbi.nlm.nih.gov/Structure/cdd/cddsrv.cgi?uid=cd07409&amp;version=v4.0","1E-103")</f>
        <v>1E-103</v>
      </c>
      <c r="AZ33" t="s">
        <v>2427</v>
      </c>
      <c r="BA33" s="2" t="str">
        <f>HYPERLINK("http://exon.niaid.nih.gov/transcriptome/Anopheles_sialome/links/KOG/anoste_5nuc-KOG.txt","5' nucleotidase")</f>
        <v>5' nucleotidase</v>
      </c>
      <c r="BB33" t="str">
        <f>HYPERLINK("http://www.ncbi.nlm.nih.gov/Structure/cdd/cddsrv.cgi?uid=KOG4419","3E-047")</f>
        <v>3E-047</v>
      </c>
      <c r="BC33" t="s">
        <v>2398</v>
      </c>
      <c r="BD33" t="str">
        <f>HYPERLINK("http://exon.niaid.nih.gov/transcriptome/Anopheles_sialome/links/KOG/anoste_5nuc-KOG.txt","KOG4419")</f>
        <v>KOG4419</v>
      </c>
      <c r="BE33" t="str">
        <f>HYPERLINK("http://exon.niaid.nih.gov/transcriptome/Anopheles_sialome/links/PFAM/anoste_5nuc-PFAM.txt","5_nucleotid_C")</f>
        <v>5_nucleotid_C</v>
      </c>
      <c r="BF33" t="str">
        <f>HYPERLINK("http://pfam.sanger.ac.uk/family?acc=PF02872","3E-029")</f>
        <v>3E-029</v>
      </c>
      <c r="BG33" s="2" t="str">
        <f>HYPERLINK("http://exon.niaid.nih.gov/transcriptome/Anopheles_sialome/links/SMART/anoste_5nuc-SMART.txt","PGA_cap")</f>
        <v>PGA_cap</v>
      </c>
      <c r="BH33" t="str">
        <f>HYPERLINK("http://smart.embl-heidelberg.de/smart/do_annotation.pl?DOMAIN=PGA_cap&amp;BLAST=DUMMY","2E-011")</f>
        <v>2E-011</v>
      </c>
      <c r="BI33" t="s">
        <v>128</v>
      </c>
      <c r="BJ33" s="2" t="s">
        <v>128</v>
      </c>
      <c r="BK33" t="s">
        <v>942</v>
      </c>
      <c r="BL33">
        <f>HYPERLINK("http://exon.niaid.nih.gov/transcriptome/Anopheles_sialome/links/cluster-b/anopheline-sialome-cds-pep-larger-orf25-50SimCLU9.txt", 9)</f>
        <v>9</v>
      </c>
      <c r="BM33">
        <f>HYPERLINK("http://exon.niaid.nih.gov/transcriptome/Anopheles_sialome/links/cluster-b/anopheline-sialome-cds-pep-larger-orf25-50SimCLTL9.txt", 35)</f>
        <v>35</v>
      </c>
      <c r="BN33">
        <f>HYPERLINK("http://exon.niaid.nih.gov/transcriptome/Anopheles_sialome/links/cluster-b/anopheline-sialome-cds-pep-larger-orf30-50SimCLU8.txt", 8)</f>
        <v>8</v>
      </c>
      <c r="BO33">
        <f>HYPERLINK("http://exon.niaid.nih.gov/transcriptome/Anopheles_sialome/links/cluster-b/anopheline-sialome-cds-pep-larger-orf30-50SimCLTL8.txt", 35)</f>
        <v>35</v>
      </c>
      <c r="BP33">
        <f>HYPERLINK("http://exon.niaid.nih.gov/transcriptome/Anopheles_sialome/links/cluster-b/anopheline-sialome-cds-pep-larger-orf35-50SimCLU9.txt", 9)</f>
        <v>9</v>
      </c>
      <c r="BQ33">
        <f>HYPERLINK("http://exon.niaid.nih.gov/transcriptome/Anopheles_sialome/links/cluster-b/anopheline-sialome-cds-pep-larger-orf35-50SimCLTL9.txt", 35)</f>
        <v>35</v>
      </c>
      <c r="BR33">
        <f>HYPERLINK("http://exon.niaid.nih.gov/transcriptome/Anopheles_sialome/links/cluster-b/anopheline-sialome-cds-pep-larger-orf40-50SimCLU8.txt", 8)</f>
        <v>8</v>
      </c>
      <c r="BS33">
        <f>HYPERLINK("http://exon.niaid.nih.gov/transcriptome/Anopheles_sialome/links/cluster-b/anopheline-sialome-cds-pep-larger-orf40-50SimCLTL8.txt", 35)</f>
        <v>35</v>
      </c>
      <c r="BT33">
        <f>HYPERLINK("http://exon.niaid.nih.gov/transcriptome/Anopheles_sialome/links/cluster-b/anopheline-sialome-cds-pep-larger-orf45-50SimCLU7.txt", 7)</f>
        <v>7</v>
      </c>
      <c r="BU33">
        <f>HYPERLINK("http://exon.niaid.nih.gov/transcriptome/Anopheles_sialome/links/cluster-b/anopheline-sialome-cds-pep-larger-orf45-50SimCLTL7.txt", 35)</f>
        <v>35</v>
      </c>
      <c r="BV33">
        <f>HYPERLINK("http://exon.niaid.nih.gov/transcriptome/Anopheles_sialome/links/cluster-b/anopheline-sialome-cds-pep-larger-orf50-50SimCLU7.txt", 7)</f>
        <v>7</v>
      </c>
      <c r="BW33">
        <f>HYPERLINK("http://exon.niaid.nih.gov/transcriptome/Anopheles_sialome/links/cluster-b/anopheline-sialome-cds-pep-larger-orf50-50SimCLTL7.txt", 35)</f>
        <v>35</v>
      </c>
      <c r="BX33">
        <f>HYPERLINK("http://exon.niaid.nih.gov/transcriptome/Anopheles_sialome/links/cluster-b/anopheline-sialome-cds-pep-larger-orf55-50SimCLU7.txt", 7)</f>
        <v>7</v>
      </c>
      <c r="BY33">
        <f>HYPERLINK("http://exon.niaid.nih.gov/transcriptome/Anopheles_sialome/links/cluster-b/anopheline-sialome-cds-pep-larger-orf55-50SimCLTL7.txt", 35)</f>
        <v>35</v>
      </c>
      <c r="BZ33">
        <f>HYPERLINK("http://exon.niaid.nih.gov/transcriptome/Anopheles_sialome/links/cluster-b/anopheline-sialome-cds-pep-larger-orf60-50SimCLU5.txt", 5)</f>
        <v>5</v>
      </c>
      <c r="CA33">
        <f>HYPERLINK("http://exon.niaid.nih.gov/transcriptome/Anopheles_sialome/links/cluster-b/anopheline-sialome-cds-pep-larger-orf60-50SimCLTL5.txt", 35)</f>
        <v>35</v>
      </c>
      <c r="CB33">
        <f>HYPERLINK("http://exon.niaid.nih.gov/transcriptome/Anopheles_sialome/links/cluster-b/anopheline-sialome-cds-pep-larger-orf65-50SimCLU3.txt", 3)</f>
        <v>3</v>
      </c>
      <c r="CC33">
        <f>HYPERLINK("http://exon.niaid.nih.gov/transcriptome/Anopheles_sialome/links/cluster-b/anopheline-sialome-cds-pep-larger-orf65-50SimCLTL3.txt", 35)</f>
        <v>35</v>
      </c>
      <c r="CD33">
        <f>HYPERLINK("http://exon.niaid.nih.gov/transcriptome/Anopheles_sialome/links/cluster-b/anopheline-sialome-cds-pep-larger-orf70-50SimCLU15.txt", 15)</f>
        <v>15</v>
      </c>
      <c r="CE33">
        <f>HYPERLINK("http://exon.niaid.nih.gov/transcriptome/Anopheles_sialome/links/cluster-b/anopheline-sialome-cds-pep-larger-orf70-50SimCLTL15.txt", 18)</f>
        <v>18</v>
      </c>
      <c r="CF33">
        <f>HYPERLINK("http://exon.niaid.nih.gov/transcriptome/Anopheles_sialome/links/cluster-b/anopheline-sialome-cds-pep-larger-orf75-50SimCLU9.txt", 9)</f>
        <v>9</v>
      </c>
      <c r="CG33">
        <f>HYPERLINK("http://exon.niaid.nih.gov/transcriptome/Anopheles_sialome/links/cluster-b/anopheline-sialome-cds-pep-larger-orf75-50SimCLTL9.txt", 18)</f>
        <v>18</v>
      </c>
      <c r="CH33">
        <f>HYPERLINK("http://exon.niaid.nih.gov/transcriptome/Anopheles_sialome/links/cluster-b/anopheline-sialome-cds-pep-larger-orf80-50SimCLU7.txt", 7)</f>
        <v>7</v>
      </c>
      <c r="CI33">
        <f>HYPERLINK("http://exon.niaid.nih.gov/transcriptome/Anopheles_sialome/links/cluster-b/anopheline-sialome-cds-pep-larger-orf80-50SimCLTL7.txt", 18)</f>
        <v>18</v>
      </c>
      <c r="CJ33">
        <f>HYPERLINK("http://exon.niaid.nih.gov/transcriptome/Anopheles_sialome/links/cluster-b/anopheline-sialome-cds-pep-larger-orf85-50SimCLU8.txt", 8)</f>
        <v>8</v>
      </c>
      <c r="CK33">
        <f>HYPERLINK("http://exon.niaid.nih.gov/transcriptome/Anopheles_sialome/links/cluster-b/anopheline-sialome-cds-pep-larger-orf85-50SimCLTL8.txt", 14)</f>
        <v>14</v>
      </c>
      <c r="CL33">
        <v>141</v>
      </c>
      <c r="CM33">
        <v>1</v>
      </c>
      <c r="CN33">
        <v>132</v>
      </c>
      <c r="CO33">
        <v>1</v>
      </c>
    </row>
    <row r="34" spans="1:93">
      <c r="A34" s="2" t="str">
        <f>HYPERLINK("http://exon.niaid.nih.gov/transcriptome/Anopheles_sialome/links/cds/anofar_5nuc-cds.txt","anofar_5nuc")</f>
        <v>anofar_5nuc</v>
      </c>
      <c r="B34">
        <v>1725</v>
      </c>
      <c r="C34" t="s">
        <v>127</v>
      </c>
      <c r="D34" t="s">
        <v>4</v>
      </c>
      <c r="E34" t="s">
        <v>5</v>
      </c>
      <c r="F34" t="s">
        <v>128</v>
      </c>
      <c r="G34" t="str">
        <f>HYPERLINK("http://exon.niaid.nih.gov/transcriptome/Anopheles_sialome/links/pep/anofar_5nuc-pep.txt","anofar_5nuc")</f>
        <v>anofar_5nuc</v>
      </c>
      <c r="H34">
        <v>576</v>
      </c>
      <c r="I34">
        <v>1</v>
      </c>
      <c r="J34" s="3" t="str">
        <f>HYPERLINK("http://exon.niaid.nih.gov/transcriptome/Anopheles_sialome/links/Sigp/anofar_5nuc-SigP.txt","SIG")</f>
        <v>SIG</v>
      </c>
      <c r="K34" t="s">
        <v>945</v>
      </c>
      <c r="L34">
        <v>64.263000000000005</v>
      </c>
      <c r="M34">
        <v>6.77</v>
      </c>
      <c r="N34">
        <v>61.14</v>
      </c>
      <c r="O34">
        <v>6.5</v>
      </c>
      <c r="P34" t="s">
        <v>806</v>
      </c>
      <c r="Q34" s="3">
        <v>0</v>
      </c>
      <c r="R34" t="s">
        <v>128</v>
      </c>
      <c r="S34" t="s">
        <v>128</v>
      </c>
      <c r="T34" t="s">
        <v>128</v>
      </c>
      <c r="U34" t="s">
        <v>128</v>
      </c>
      <c r="V34" t="s">
        <v>128</v>
      </c>
      <c r="W34" s="3" t="str">
        <f>HYPERLINK("http://exon.niaid.nih.gov/transcriptome/Anopheles_sialome/links/netoglyc/anofar_5nuc-netoglyc.txt","0")</f>
        <v>0</v>
      </c>
      <c r="X34">
        <v>12.5</v>
      </c>
      <c r="Y34">
        <v>6.4</v>
      </c>
      <c r="Z34">
        <v>4.2</v>
      </c>
      <c r="AA34" t="s">
        <v>654</v>
      </c>
      <c r="AB34" t="s">
        <v>128</v>
      </c>
      <c r="AC34" s="2" t="str">
        <f>HYPERLINK("http://exon.niaid.nih.gov/transcriptome/Anopheles_sialome/links/DIPTERA/anofar_5nuc-DIPTERA.txt","salivary apyrase")</f>
        <v>salivary apyrase</v>
      </c>
      <c r="AD34" t="str">
        <f t="shared" si="4"/>
        <v>0.0</v>
      </c>
      <c r="AE34" t="str">
        <f t="shared" si="5"/>
        <v>gi|27372911</v>
      </c>
      <c r="AF34">
        <v>78</v>
      </c>
      <c r="AG34">
        <v>87</v>
      </c>
      <c r="AH34">
        <v>98</v>
      </c>
      <c r="AI34" t="s">
        <v>2271</v>
      </c>
      <c r="AJ34" s="2" t="s">
        <v>128</v>
      </c>
      <c r="AK34" t="s">
        <v>128</v>
      </c>
      <c r="AL34" t="s">
        <v>128</v>
      </c>
      <c r="AM34" t="s">
        <v>128</v>
      </c>
      <c r="AN34" t="s">
        <v>128</v>
      </c>
      <c r="AO34" t="s">
        <v>128</v>
      </c>
      <c r="AP34" t="s">
        <v>128</v>
      </c>
      <c r="AQ34" s="2" t="str">
        <f>HYPERLINK("http://exon.niaid.nih.gov/transcriptome/Anopheles_sialome/links/NR-LIGHT/anofar_5nuc-NR-LIGHT.txt","salivary apyrase")</f>
        <v>salivary apyrase</v>
      </c>
      <c r="AR34" t="str">
        <f t="shared" si="6"/>
        <v>0.0</v>
      </c>
      <c r="AS34" t="str">
        <f t="shared" si="7"/>
        <v>gi|27372911</v>
      </c>
      <c r="AT34">
        <v>78</v>
      </c>
      <c r="AU34">
        <v>87</v>
      </c>
      <c r="AV34">
        <v>98</v>
      </c>
      <c r="AW34" t="s">
        <v>2271</v>
      </c>
      <c r="AX34" s="2" t="str">
        <f>HYPERLINK("http://exon.niaid.nih.gov/transcriptome/Anopheles_sialome/links/CDD/anofar_5nuc-CDD.txt","MPP_CD73_N")</f>
        <v>MPP_CD73_N</v>
      </c>
      <c r="AY34" t="str">
        <f>HYPERLINK("http://www.ncbi.nlm.nih.gov/Structure/cdd/cddsrv.cgi?uid=cd07409&amp;version=v4.0","1E-103")</f>
        <v>1E-103</v>
      </c>
      <c r="AZ34" t="s">
        <v>2428</v>
      </c>
      <c r="BA34" s="2" t="str">
        <f>HYPERLINK("http://exon.niaid.nih.gov/transcriptome/Anopheles_sialome/links/KOG/anofar_5nuc-KOG.txt","5' nucleotidase")</f>
        <v>5' nucleotidase</v>
      </c>
      <c r="BB34" t="str">
        <f>HYPERLINK("http://www.ncbi.nlm.nih.gov/Structure/cdd/cddsrv.cgi?uid=KOG4419","9E-047")</f>
        <v>9E-047</v>
      </c>
      <c r="BC34" t="s">
        <v>2398</v>
      </c>
      <c r="BD34" t="str">
        <f>HYPERLINK("http://exon.niaid.nih.gov/transcriptome/Anopheles_sialome/links/KOG/anofar_5nuc-KOG.txt","KOG4419")</f>
        <v>KOG4419</v>
      </c>
      <c r="BE34" t="str">
        <f>HYPERLINK("http://exon.niaid.nih.gov/transcriptome/Anopheles_sialome/links/PFAM/anofar_5nuc-PFAM.txt","5_nucleotid_C")</f>
        <v>5_nucleotid_C</v>
      </c>
      <c r="BF34" t="str">
        <f>HYPERLINK("http://pfam.sanger.ac.uk/family?acc=PF02872","2E-031")</f>
        <v>2E-031</v>
      </c>
      <c r="BG34" s="2" t="str">
        <f>HYPERLINK("http://exon.niaid.nih.gov/transcriptome/Anopheles_sialome/links/SMART/anofar_5nuc-SMART.txt","PGA_cap")</f>
        <v>PGA_cap</v>
      </c>
      <c r="BH34" t="str">
        <f>HYPERLINK("http://smart.embl-heidelberg.de/smart/do_annotation.pl?DOMAIN=PGA_cap&amp;BLAST=DUMMY","1E-011")</f>
        <v>1E-011</v>
      </c>
      <c r="BI34" t="s">
        <v>128</v>
      </c>
      <c r="BJ34" s="2" t="s">
        <v>128</v>
      </c>
      <c r="BK34" t="s">
        <v>944</v>
      </c>
      <c r="BL34">
        <f>HYPERLINK("http://exon.niaid.nih.gov/transcriptome/Anopheles_sialome/links/cluster-b/anopheline-sialome-cds-pep-larger-orf25-50SimCLU9.txt", 9)</f>
        <v>9</v>
      </c>
      <c r="BM34">
        <f>HYPERLINK("http://exon.niaid.nih.gov/transcriptome/Anopheles_sialome/links/cluster-b/anopheline-sialome-cds-pep-larger-orf25-50SimCLTL9.txt", 35)</f>
        <v>35</v>
      </c>
      <c r="BN34">
        <f>HYPERLINK("http://exon.niaid.nih.gov/transcriptome/Anopheles_sialome/links/cluster-b/anopheline-sialome-cds-pep-larger-orf30-50SimCLU8.txt", 8)</f>
        <v>8</v>
      </c>
      <c r="BO34">
        <f>HYPERLINK("http://exon.niaid.nih.gov/transcriptome/Anopheles_sialome/links/cluster-b/anopheline-sialome-cds-pep-larger-orf30-50SimCLTL8.txt", 35)</f>
        <v>35</v>
      </c>
      <c r="BP34">
        <f>HYPERLINK("http://exon.niaid.nih.gov/transcriptome/Anopheles_sialome/links/cluster-b/anopheline-sialome-cds-pep-larger-orf35-50SimCLU9.txt", 9)</f>
        <v>9</v>
      </c>
      <c r="BQ34">
        <f>HYPERLINK("http://exon.niaid.nih.gov/transcriptome/Anopheles_sialome/links/cluster-b/anopheline-sialome-cds-pep-larger-orf35-50SimCLTL9.txt", 35)</f>
        <v>35</v>
      </c>
      <c r="BR34">
        <f>HYPERLINK("http://exon.niaid.nih.gov/transcriptome/Anopheles_sialome/links/cluster-b/anopheline-sialome-cds-pep-larger-orf40-50SimCLU8.txt", 8)</f>
        <v>8</v>
      </c>
      <c r="BS34">
        <f>HYPERLINK("http://exon.niaid.nih.gov/transcriptome/Anopheles_sialome/links/cluster-b/anopheline-sialome-cds-pep-larger-orf40-50SimCLTL8.txt", 35)</f>
        <v>35</v>
      </c>
      <c r="BT34">
        <f>HYPERLINK("http://exon.niaid.nih.gov/transcriptome/Anopheles_sialome/links/cluster-b/anopheline-sialome-cds-pep-larger-orf45-50SimCLU7.txt", 7)</f>
        <v>7</v>
      </c>
      <c r="BU34">
        <f>HYPERLINK("http://exon.niaid.nih.gov/transcriptome/Anopheles_sialome/links/cluster-b/anopheline-sialome-cds-pep-larger-orf45-50SimCLTL7.txt", 35)</f>
        <v>35</v>
      </c>
      <c r="BV34">
        <f>HYPERLINK("http://exon.niaid.nih.gov/transcriptome/Anopheles_sialome/links/cluster-b/anopheline-sialome-cds-pep-larger-orf50-50SimCLU7.txt", 7)</f>
        <v>7</v>
      </c>
      <c r="BW34">
        <f>HYPERLINK("http://exon.niaid.nih.gov/transcriptome/Anopheles_sialome/links/cluster-b/anopheline-sialome-cds-pep-larger-orf50-50SimCLTL7.txt", 35)</f>
        <v>35</v>
      </c>
      <c r="BX34">
        <f>HYPERLINK("http://exon.niaid.nih.gov/transcriptome/Anopheles_sialome/links/cluster-b/anopheline-sialome-cds-pep-larger-orf55-50SimCLU7.txt", 7)</f>
        <v>7</v>
      </c>
      <c r="BY34">
        <f>HYPERLINK("http://exon.niaid.nih.gov/transcriptome/Anopheles_sialome/links/cluster-b/anopheline-sialome-cds-pep-larger-orf55-50SimCLTL7.txt", 35)</f>
        <v>35</v>
      </c>
      <c r="BZ34">
        <f>HYPERLINK("http://exon.niaid.nih.gov/transcriptome/Anopheles_sialome/links/cluster-b/anopheline-sialome-cds-pep-larger-orf60-50SimCLU5.txt", 5)</f>
        <v>5</v>
      </c>
      <c r="CA34">
        <f>HYPERLINK("http://exon.niaid.nih.gov/transcriptome/Anopheles_sialome/links/cluster-b/anopheline-sialome-cds-pep-larger-orf60-50SimCLTL5.txt", 35)</f>
        <v>35</v>
      </c>
      <c r="CB34">
        <f>HYPERLINK("http://exon.niaid.nih.gov/transcriptome/Anopheles_sialome/links/cluster-b/anopheline-sialome-cds-pep-larger-orf65-50SimCLU3.txt", 3)</f>
        <v>3</v>
      </c>
      <c r="CC34">
        <f>HYPERLINK("http://exon.niaid.nih.gov/transcriptome/Anopheles_sialome/links/cluster-b/anopheline-sialome-cds-pep-larger-orf65-50SimCLTL3.txt", 35)</f>
        <v>35</v>
      </c>
      <c r="CD34">
        <f>HYPERLINK("http://exon.niaid.nih.gov/transcriptome/Anopheles_sialome/links/cluster-b/anopheline-sialome-cds-pep-larger-orf70-50SimCLU15.txt", 15)</f>
        <v>15</v>
      </c>
      <c r="CE34">
        <f>HYPERLINK("http://exon.niaid.nih.gov/transcriptome/Anopheles_sialome/links/cluster-b/anopheline-sialome-cds-pep-larger-orf70-50SimCLTL15.txt", 18)</f>
        <v>18</v>
      </c>
      <c r="CF34">
        <f>HYPERLINK("http://exon.niaid.nih.gov/transcriptome/Anopheles_sialome/links/cluster-b/anopheline-sialome-cds-pep-larger-orf75-50SimCLU9.txt", 9)</f>
        <v>9</v>
      </c>
      <c r="CG34">
        <f>HYPERLINK("http://exon.niaid.nih.gov/transcriptome/Anopheles_sialome/links/cluster-b/anopheline-sialome-cds-pep-larger-orf75-50SimCLTL9.txt", 18)</f>
        <v>18</v>
      </c>
      <c r="CH34">
        <f>HYPERLINK("http://exon.niaid.nih.gov/transcriptome/Anopheles_sialome/links/cluster-b/anopheline-sialome-cds-pep-larger-orf80-50SimCLU7.txt", 7)</f>
        <v>7</v>
      </c>
      <c r="CI34">
        <f>HYPERLINK("http://exon.niaid.nih.gov/transcriptome/Anopheles_sialome/links/cluster-b/anopheline-sialome-cds-pep-larger-orf80-50SimCLTL7.txt", 18)</f>
        <v>18</v>
      </c>
      <c r="CJ34">
        <f>HYPERLINK("http://exon.niaid.nih.gov/transcriptome/Anopheles_sialome/links/cluster-b/anopheline-sialome-cds-pep-larger-orf85-50SimCLU8.txt", 8)</f>
        <v>8</v>
      </c>
      <c r="CK34">
        <f>HYPERLINK("http://exon.niaid.nih.gov/transcriptome/Anopheles_sialome/links/cluster-b/anopheline-sialome-cds-pep-larger-orf85-50SimCLTL8.txt", 14)</f>
        <v>14</v>
      </c>
      <c r="CL34">
        <v>142</v>
      </c>
      <c r="CM34">
        <v>1</v>
      </c>
      <c r="CN34">
        <v>133</v>
      </c>
      <c r="CO34">
        <v>1</v>
      </c>
    </row>
    <row r="35" spans="1:93">
      <c r="A35" s="2" t="str">
        <f>HYPERLINK("http://exon.niaid.nih.gov/transcriptome/Anopheles_sialome/links/cds/anodir_5nuc-cds.txt","anodir_5nuc")</f>
        <v>anodir_5nuc</v>
      </c>
      <c r="B35">
        <v>1719</v>
      </c>
      <c r="C35" t="s">
        <v>129</v>
      </c>
      <c r="D35" t="s">
        <v>7</v>
      </c>
      <c r="E35" t="s">
        <v>5</v>
      </c>
      <c r="F35" t="s">
        <v>1</v>
      </c>
      <c r="G35" t="str">
        <f>HYPERLINK("http://exon.niaid.nih.gov/transcriptome/Anopheles_sialome/links/pep/anodir_5nuc-pep.txt","anodir_5nuc")</f>
        <v>anodir_5nuc</v>
      </c>
      <c r="H35">
        <v>572</v>
      </c>
      <c r="I35">
        <v>2</v>
      </c>
      <c r="J35" s="3" t="str">
        <f>HYPERLINK("http://exon.niaid.nih.gov/transcriptome/Anopheles_sialome/links/Sigp/anodir_5nuc-SigP.txt","SIG")</f>
        <v>SIG</v>
      </c>
      <c r="K35" t="s">
        <v>787</v>
      </c>
      <c r="L35">
        <v>63.683</v>
      </c>
      <c r="M35">
        <v>7.96</v>
      </c>
      <c r="N35">
        <v>61.057000000000002</v>
      </c>
      <c r="O35">
        <v>7.38</v>
      </c>
      <c r="P35" t="s">
        <v>947</v>
      </c>
      <c r="Q35" s="3">
        <v>0</v>
      </c>
      <c r="R35" t="s">
        <v>128</v>
      </c>
      <c r="S35" t="s">
        <v>128</v>
      </c>
      <c r="T35" t="s">
        <v>128</v>
      </c>
      <c r="U35" t="s">
        <v>128</v>
      </c>
      <c r="V35" t="s">
        <v>128</v>
      </c>
      <c r="W35" s="3" t="str">
        <f>HYPERLINK("http://exon.niaid.nih.gov/transcriptome/Anopheles_sialome/links/netoglyc/anodir_5nuc-netoglyc.txt","0")</f>
        <v>0</v>
      </c>
      <c r="X35">
        <v>10.8</v>
      </c>
      <c r="Y35">
        <v>7.2</v>
      </c>
      <c r="Z35">
        <v>4.4000000000000004</v>
      </c>
      <c r="AA35" t="s">
        <v>654</v>
      </c>
      <c r="AB35" t="s">
        <v>128</v>
      </c>
      <c r="AC35" s="2" t="str">
        <f>HYPERLINK("http://exon.niaid.nih.gov/transcriptome/Anopheles_sialome/links/DIPTERA/anodir_5nuc-DIPTERA.txt","salivary apyrase")</f>
        <v>salivary apyrase</v>
      </c>
      <c r="AD35" t="str">
        <f t="shared" si="4"/>
        <v>0.0</v>
      </c>
      <c r="AE35" t="str">
        <f t="shared" si="5"/>
        <v>gi|27372911</v>
      </c>
      <c r="AF35">
        <v>76</v>
      </c>
      <c r="AG35">
        <v>87</v>
      </c>
      <c r="AH35">
        <v>98</v>
      </c>
      <c r="AI35" t="s">
        <v>2271</v>
      </c>
      <c r="AJ35" s="2" t="s">
        <v>128</v>
      </c>
      <c r="AK35" t="s">
        <v>128</v>
      </c>
      <c r="AL35" t="s">
        <v>128</v>
      </c>
      <c r="AM35" t="s">
        <v>128</v>
      </c>
      <c r="AN35" t="s">
        <v>128</v>
      </c>
      <c r="AO35" t="s">
        <v>128</v>
      </c>
      <c r="AP35" t="s">
        <v>128</v>
      </c>
      <c r="AQ35" s="2" t="str">
        <f>HYPERLINK("http://exon.niaid.nih.gov/transcriptome/Anopheles_sialome/links/NR-LIGHT/anodir_5nuc-NR-LIGHT.txt","salivary apyrase")</f>
        <v>salivary apyrase</v>
      </c>
      <c r="AR35" t="str">
        <f t="shared" si="6"/>
        <v>0.0</v>
      </c>
      <c r="AS35" t="str">
        <f t="shared" si="7"/>
        <v>gi|27372911</v>
      </c>
      <c r="AT35">
        <v>76</v>
      </c>
      <c r="AU35">
        <v>87</v>
      </c>
      <c r="AV35">
        <v>98</v>
      </c>
      <c r="AW35" t="s">
        <v>2271</v>
      </c>
      <c r="AX35" s="2" t="str">
        <f>HYPERLINK("http://exon.niaid.nih.gov/transcriptome/Anopheles_sialome/links/CDD/anodir_5nuc-CDD.txt","MPP_CD73_N")</f>
        <v>MPP_CD73_N</v>
      </c>
      <c r="AY35" t="str">
        <f>HYPERLINK("http://www.ncbi.nlm.nih.gov/Structure/cdd/cddsrv.cgi?uid=cd07409&amp;version=v4.0","1E-103")</f>
        <v>1E-103</v>
      </c>
      <c r="AZ35" t="s">
        <v>2429</v>
      </c>
      <c r="BA35" s="2" t="str">
        <f>HYPERLINK("http://exon.niaid.nih.gov/transcriptome/Anopheles_sialome/links/KOG/anodir_5nuc-KOG.txt","5' nucleotidase")</f>
        <v>5' nucleotidase</v>
      </c>
      <c r="BB35" t="str">
        <f>HYPERLINK("http://www.ncbi.nlm.nih.gov/Structure/cdd/cddsrv.cgi?uid=KOG4419","4E-047")</f>
        <v>4E-047</v>
      </c>
      <c r="BC35" t="s">
        <v>2398</v>
      </c>
      <c r="BD35" t="str">
        <f>HYPERLINK("http://exon.niaid.nih.gov/transcriptome/Anopheles_sialome/links/KOG/anodir_5nuc-KOG.txt","KOG4419")</f>
        <v>KOG4419</v>
      </c>
      <c r="BE35" t="str">
        <f>HYPERLINK("http://exon.niaid.nih.gov/transcriptome/Anopheles_sialome/links/PFAM/anodir_5nuc-PFAM.txt","5_nucleotid_C")</f>
        <v>5_nucleotid_C</v>
      </c>
      <c r="BF35" t="str">
        <f>HYPERLINK("http://pfam.sanger.ac.uk/family?acc=PF02872","4E-030")</f>
        <v>4E-030</v>
      </c>
      <c r="BG35" s="2" t="str">
        <f>HYPERLINK("http://exon.niaid.nih.gov/transcriptome/Anopheles_sialome/links/SMART/anodir_5nuc-SMART.txt","PGA_cap")</f>
        <v>PGA_cap</v>
      </c>
      <c r="BH35" t="str">
        <f>HYPERLINK("http://smart.embl-heidelberg.de/smart/do_annotation.pl?DOMAIN=PGA_cap&amp;BLAST=DUMMY","4E-012")</f>
        <v>4E-012</v>
      </c>
      <c r="BI35" t="s">
        <v>128</v>
      </c>
      <c r="BJ35" s="2" t="s">
        <v>128</v>
      </c>
      <c r="BK35" t="s">
        <v>946</v>
      </c>
      <c r="BL35">
        <f>HYPERLINK("http://exon.niaid.nih.gov/transcriptome/Anopheles_sialome/links/cluster-b/anopheline-sialome-cds-pep-larger-orf25-50SimCLU9.txt", 9)</f>
        <v>9</v>
      </c>
      <c r="BM35">
        <f>HYPERLINK("http://exon.niaid.nih.gov/transcriptome/Anopheles_sialome/links/cluster-b/anopheline-sialome-cds-pep-larger-orf25-50SimCLTL9.txt", 35)</f>
        <v>35</v>
      </c>
      <c r="BN35">
        <f>HYPERLINK("http://exon.niaid.nih.gov/transcriptome/Anopheles_sialome/links/cluster-b/anopheline-sialome-cds-pep-larger-orf30-50SimCLU8.txt", 8)</f>
        <v>8</v>
      </c>
      <c r="BO35">
        <f>HYPERLINK("http://exon.niaid.nih.gov/transcriptome/Anopheles_sialome/links/cluster-b/anopheline-sialome-cds-pep-larger-orf30-50SimCLTL8.txt", 35)</f>
        <v>35</v>
      </c>
      <c r="BP35">
        <f>HYPERLINK("http://exon.niaid.nih.gov/transcriptome/Anopheles_sialome/links/cluster-b/anopheline-sialome-cds-pep-larger-orf35-50SimCLU9.txt", 9)</f>
        <v>9</v>
      </c>
      <c r="BQ35">
        <f>HYPERLINK("http://exon.niaid.nih.gov/transcriptome/Anopheles_sialome/links/cluster-b/anopheline-sialome-cds-pep-larger-orf35-50SimCLTL9.txt", 35)</f>
        <v>35</v>
      </c>
      <c r="BR35">
        <f>HYPERLINK("http://exon.niaid.nih.gov/transcriptome/Anopheles_sialome/links/cluster-b/anopheline-sialome-cds-pep-larger-orf40-50SimCLU8.txt", 8)</f>
        <v>8</v>
      </c>
      <c r="BS35">
        <f>HYPERLINK("http://exon.niaid.nih.gov/transcriptome/Anopheles_sialome/links/cluster-b/anopheline-sialome-cds-pep-larger-orf40-50SimCLTL8.txt", 35)</f>
        <v>35</v>
      </c>
      <c r="BT35">
        <f>HYPERLINK("http://exon.niaid.nih.gov/transcriptome/Anopheles_sialome/links/cluster-b/anopheline-sialome-cds-pep-larger-orf45-50SimCLU7.txt", 7)</f>
        <v>7</v>
      </c>
      <c r="BU35">
        <f>HYPERLINK("http://exon.niaid.nih.gov/transcriptome/Anopheles_sialome/links/cluster-b/anopheline-sialome-cds-pep-larger-orf45-50SimCLTL7.txt", 35)</f>
        <v>35</v>
      </c>
      <c r="BV35">
        <f>HYPERLINK("http://exon.niaid.nih.gov/transcriptome/Anopheles_sialome/links/cluster-b/anopheline-sialome-cds-pep-larger-orf50-50SimCLU7.txt", 7)</f>
        <v>7</v>
      </c>
      <c r="BW35">
        <f>HYPERLINK("http://exon.niaid.nih.gov/transcriptome/Anopheles_sialome/links/cluster-b/anopheline-sialome-cds-pep-larger-orf50-50SimCLTL7.txt", 35)</f>
        <v>35</v>
      </c>
      <c r="BX35">
        <f>HYPERLINK("http://exon.niaid.nih.gov/transcriptome/Anopheles_sialome/links/cluster-b/anopheline-sialome-cds-pep-larger-orf55-50SimCLU7.txt", 7)</f>
        <v>7</v>
      </c>
      <c r="BY35">
        <f>HYPERLINK("http://exon.niaid.nih.gov/transcriptome/Anopheles_sialome/links/cluster-b/anopheline-sialome-cds-pep-larger-orf55-50SimCLTL7.txt", 35)</f>
        <v>35</v>
      </c>
      <c r="BZ35">
        <f>HYPERLINK("http://exon.niaid.nih.gov/transcriptome/Anopheles_sialome/links/cluster-b/anopheline-sialome-cds-pep-larger-orf60-50SimCLU5.txt", 5)</f>
        <v>5</v>
      </c>
      <c r="CA35">
        <f>HYPERLINK("http://exon.niaid.nih.gov/transcriptome/Anopheles_sialome/links/cluster-b/anopheline-sialome-cds-pep-larger-orf60-50SimCLTL5.txt", 35)</f>
        <v>35</v>
      </c>
      <c r="CB35">
        <f>HYPERLINK("http://exon.niaid.nih.gov/transcriptome/Anopheles_sialome/links/cluster-b/anopheline-sialome-cds-pep-larger-orf65-50SimCLU3.txt", 3)</f>
        <v>3</v>
      </c>
      <c r="CC35">
        <f>HYPERLINK("http://exon.niaid.nih.gov/transcriptome/Anopheles_sialome/links/cluster-b/anopheline-sialome-cds-pep-larger-orf65-50SimCLTL3.txt", 35)</f>
        <v>35</v>
      </c>
      <c r="CD35">
        <f>HYPERLINK("http://exon.niaid.nih.gov/transcriptome/Anopheles_sialome/links/cluster-b/anopheline-sialome-cds-pep-larger-orf70-50SimCLU15.txt", 15)</f>
        <v>15</v>
      </c>
      <c r="CE35">
        <f>HYPERLINK("http://exon.niaid.nih.gov/transcriptome/Anopheles_sialome/links/cluster-b/anopheline-sialome-cds-pep-larger-orf70-50SimCLTL15.txt", 18)</f>
        <v>18</v>
      </c>
      <c r="CF35">
        <f>HYPERLINK("http://exon.niaid.nih.gov/transcriptome/Anopheles_sialome/links/cluster-b/anopheline-sialome-cds-pep-larger-orf75-50SimCLU9.txt", 9)</f>
        <v>9</v>
      </c>
      <c r="CG35">
        <f>HYPERLINK("http://exon.niaid.nih.gov/transcriptome/Anopheles_sialome/links/cluster-b/anopheline-sialome-cds-pep-larger-orf75-50SimCLTL9.txt", 18)</f>
        <v>18</v>
      </c>
      <c r="CH35">
        <f>HYPERLINK("http://exon.niaid.nih.gov/transcriptome/Anopheles_sialome/links/cluster-b/anopheline-sialome-cds-pep-larger-orf80-50SimCLU7.txt", 7)</f>
        <v>7</v>
      </c>
      <c r="CI35">
        <f>HYPERLINK("http://exon.niaid.nih.gov/transcriptome/Anopheles_sialome/links/cluster-b/anopheline-sialome-cds-pep-larger-orf80-50SimCLTL7.txt", 18)</f>
        <v>18</v>
      </c>
      <c r="CJ35">
        <f>HYPERLINK("http://exon.niaid.nih.gov/transcriptome/Anopheles_sialome/links/cluster-b/anopheline-sialome-cds-pep-larger-orf85-50SimCLU8.txt", 8)</f>
        <v>8</v>
      </c>
      <c r="CK35">
        <f>HYPERLINK("http://exon.niaid.nih.gov/transcriptome/Anopheles_sialome/links/cluster-b/anopheline-sialome-cds-pep-larger-orf85-50SimCLTL8.txt", 14)</f>
        <v>14</v>
      </c>
      <c r="CL35">
        <v>143</v>
      </c>
      <c r="CM35">
        <v>1</v>
      </c>
      <c r="CN35">
        <v>134</v>
      </c>
      <c r="CO35">
        <v>1</v>
      </c>
    </row>
    <row r="36" spans="1:93">
      <c r="A36" s="2" t="str">
        <f>HYPERLINK("http://exon.niaid.nih.gov/transcriptome/Anopheles_sialome/links/cds/anoatro_5nuc-cds.txt","anoatro_5nuc")</f>
        <v>anoatro_5nuc</v>
      </c>
      <c r="B36">
        <v>1725</v>
      </c>
      <c r="C36" t="s">
        <v>130</v>
      </c>
      <c r="D36" t="s">
        <v>4</v>
      </c>
      <c r="E36" t="s">
        <v>5</v>
      </c>
      <c r="F36" t="s">
        <v>1</v>
      </c>
      <c r="G36" t="str">
        <f>HYPERLINK("http://exon.niaid.nih.gov/transcriptome/Anopheles_sialome/links/pep/anoatro_5nuc-pep.txt","anoatro_5nuc")</f>
        <v>anoatro_5nuc</v>
      </c>
      <c r="H36">
        <v>574</v>
      </c>
      <c r="I36">
        <v>0</v>
      </c>
      <c r="J36" s="3" t="str">
        <f>HYPERLINK("http://exon.niaid.nih.gov/transcriptome/Anopheles_sialome/links/Sigp/anoatro_5nuc-SigP.txt","SIG")</f>
        <v>SIG</v>
      </c>
      <c r="K36" t="s">
        <v>949</v>
      </c>
      <c r="L36">
        <v>64.094999999999999</v>
      </c>
      <c r="M36">
        <v>8.85</v>
      </c>
      <c r="N36">
        <v>60.978999999999999</v>
      </c>
      <c r="O36">
        <v>8.89</v>
      </c>
      <c r="P36" t="s">
        <v>950</v>
      </c>
      <c r="Q36" s="3">
        <v>0</v>
      </c>
      <c r="R36" t="s">
        <v>128</v>
      </c>
      <c r="S36" t="s">
        <v>128</v>
      </c>
      <c r="T36" t="s">
        <v>128</v>
      </c>
      <c r="U36" t="s">
        <v>128</v>
      </c>
      <c r="V36" t="s">
        <v>128</v>
      </c>
      <c r="W36" s="3" t="str">
        <f>HYPERLINK("http://exon.niaid.nih.gov/transcriptome/Anopheles_sialome/links/netoglyc/anoatro_5nuc-netoglyc.txt","1")</f>
        <v>1</v>
      </c>
      <c r="X36">
        <v>11.8</v>
      </c>
      <c r="Y36">
        <v>6.4</v>
      </c>
      <c r="Z36">
        <v>4</v>
      </c>
      <c r="AA36" t="s">
        <v>654</v>
      </c>
      <c r="AB36" t="s">
        <v>128</v>
      </c>
      <c r="AC36" s="2" t="str">
        <f>HYPERLINK("http://exon.niaid.nih.gov/transcriptome/Anopheles_sialome/links/DIPTERA/anoatro_5nuc-DIPTERA.txt","AGAP011026-PA-like protein")</f>
        <v>AGAP011026-PA-like protein</v>
      </c>
      <c r="AD36" t="str">
        <f>HYPERLINK("http://www.ncbi.nlm.nih.gov/sutils/blink.cgi?pid=668458917","0.0")</f>
        <v>0.0</v>
      </c>
      <c r="AE36" t="str">
        <f>HYPERLINK("http://www.ncbi.nlm.nih.gov/protein/668458917","gi|668458917")</f>
        <v>gi|668458917</v>
      </c>
      <c r="AF36">
        <v>92</v>
      </c>
      <c r="AG36">
        <v>96</v>
      </c>
      <c r="AH36">
        <v>97</v>
      </c>
      <c r="AI36" t="s">
        <v>2277</v>
      </c>
      <c r="AJ36" s="2" t="str">
        <f>HYPERLINK("http://exon.niaid.nih.gov/transcriptome/Anopheles_sialome/links/CULICOMORPHA/anoatro_5nuc-CULICOMORPHA.txt","AGAP011026-PA-like protein")</f>
        <v>AGAP011026-PA-like protein</v>
      </c>
      <c r="AK36" t="str">
        <f>HYPERLINK("http://www.ncbi.nlm.nih.gov/sutils/blink.cgi?pid=668458917","0.0")</f>
        <v>0.0</v>
      </c>
      <c r="AL36" t="str">
        <f>HYPERLINK("http://www.ncbi.nlm.nih.gov/protein/668458917","gi|668458917")</f>
        <v>gi|668458917</v>
      </c>
      <c r="AM36">
        <v>92</v>
      </c>
      <c r="AN36">
        <v>96</v>
      </c>
      <c r="AO36">
        <v>97</v>
      </c>
      <c r="AP36" t="s">
        <v>2277</v>
      </c>
      <c r="AQ36" s="2" t="str">
        <f>HYPERLINK("http://exon.niaid.nih.gov/transcriptome/Anopheles_sialome/links/NR-LIGHT/anoatro_5nuc-NR-LIGHT.txt","AGAP011026-PA-like protein")</f>
        <v>AGAP011026-PA-like protein</v>
      </c>
      <c r="AR36" t="str">
        <f>HYPERLINK("http://www.ncbi.nlm.nih.gov/sutils/blink.cgi?pid=668458917","0.0")</f>
        <v>0.0</v>
      </c>
      <c r="AS36" t="str">
        <f>HYPERLINK("http://www.ncbi.nlm.nih.gov/protein/668458917","gi|668458917")</f>
        <v>gi|668458917</v>
      </c>
      <c r="AT36">
        <v>92</v>
      </c>
      <c r="AU36">
        <v>96</v>
      </c>
      <c r="AV36">
        <v>97</v>
      </c>
      <c r="AW36" t="s">
        <v>2277</v>
      </c>
      <c r="AX36" s="2" t="str">
        <f>HYPERLINK("http://exon.niaid.nih.gov/transcriptome/Anopheles_sialome/links/CDD/anoatro_5nuc-CDD.txt","MPP_CD73_N")</f>
        <v>MPP_CD73_N</v>
      </c>
      <c r="AY36" t="str">
        <f>HYPERLINK("http://www.ncbi.nlm.nih.gov/Structure/cdd/cddsrv.cgi?uid=cd07409&amp;version=v4.0","1E-107")</f>
        <v>1E-107</v>
      </c>
      <c r="AZ36" t="s">
        <v>2430</v>
      </c>
      <c r="BA36" s="2" t="str">
        <f>HYPERLINK("http://exon.niaid.nih.gov/transcriptome/Anopheles_sialome/links/KOG/anoatro_5nuc-KOG.txt","5' nucleotidase")</f>
        <v>5' nucleotidase</v>
      </c>
      <c r="BB36" t="str">
        <f>HYPERLINK("http://www.ncbi.nlm.nih.gov/Structure/cdd/cddsrv.cgi?uid=KOG4419","9E-051")</f>
        <v>9E-051</v>
      </c>
      <c r="BC36" t="s">
        <v>2398</v>
      </c>
      <c r="BD36" t="str">
        <f>HYPERLINK("http://exon.niaid.nih.gov/transcriptome/Anopheles_sialome/links/KOG/anoatro_5nuc-KOG.txt","KOG4419")</f>
        <v>KOG4419</v>
      </c>
      <c r="BE36" t="str">
        <f>HYPERLINK("http://exon.niaid.nih.gov/transcriptome/Anopheles_sialome/links/PFAM/anoatro_5nuc-PFAM.txt","5_nucleotid_C")</f>
        <v>5_nucleotid_C</v>
      </c>
      <c r="BF36" t="str">
        <f>HYPERLINK("http://pfam.sanger.ac.uk/family?acc=PF02872","2E-031")</f>
        <v>2E-031</v>
      </c>
      <c r="BG36" s="2" t="str">
        <f>HYPERLINK("http://exon.niaid.nih.gov/transcriptome/Anopheles_sialome/links/SMART/anoatro_5nuc-SMART.txt","PGA_cap")</f>
        <v>PGA_cap</v>
      </c>
      <c r="BH36" t="str">
        <f>HYPERLINK("http://smart.embl-heidelberg.de/smart/do_annotation.pl?DOMAIN=PGA_cap&amp;BLAST=DUMMY","1E-010")</f>
        <v>1E-010</v>
      </c>
      <c r="BI36" t="str">
        <f>HYPERLINK("http://exon.niaid.nih.gov/transcriptome/Anopheles_sialome/links/TICK-BLOCKS/anoatro_5nuc-TICK-BLOCKS.txt","SG1_stringent_pattern |")</f>
        <v>SG1_stringent_pattern |</v>
      </c>
      <c r="BJ36" s="2" t="s">
        <v>128</v>
      </c>
      <c r="BK36" t="s">
        <v>948</v>
      </c>
      <c r="BL36">
        <f>HYPERLINK("http://exon.niaid.nih.gov/transcriptome/Anopheles_sialome/links/cluster-b/anopheline-sialome-cds-pep-larger-orf25-50SimCLU9.txt", 9)</f>
        <v>9</v>
      </c>
      <c r="BM36">
        <f>HYPERLINK("http://exon.niaid.nih.gov/transcriptome/Anopheles_sialome/links/cluster-b/anopheline-sialome-cds-pep-larger-orf25-50SimCLTL9.txt", 35)</f>
        <v>35</v>
      </c>
      <c r="BN36">
        <f>HYPERLINK("http://exon.niaid.nih.gov/transcriptome/Anopheles_sialome/links/cluster-b/anopheline-sialome-cds-pep-larger-orf30-50SimCLU8.txt", 8)</f>
        <v>8</v>
      </c>
      <c r="BO36">
        <f>HYPERLINK("http://exon.niaid.nih.gov/transcriptome/Anopheles_sialome/links/cluster-b/anopheline-sialome-cds-pep-larger-orf30-50SimCLTL8.txt", 35)</f>
        <v>35</v>
      </c>
      <c r="BP36">
        <f>HYPERLINK("http://exon.niaid.nih.gov/transcriptome/Anopheles_sialome/links/cluster-b/anopheline-sialome-cds-pep-larger-orf35-50SimCLU9.txt", 9)</f>
        <v>9</v>
      </c>
      <c r="BQ36">
        <f>HYPERLINK("http://exon.niaid.nih.gov/transcriptome/Anopheles_sialome/links/cluster-b/anopheline-sialome-cds-pep-larger-orf35-50SimCLTL9.txt", 35)</f>
        <v>35</v>
      </c>
      <c r="BR36">
        <f>HYPERLINK("http://exon.niaid.nih.gov/transcriptome/Anopheles_sialome/links/cluster-b/anopheline-sialome-cds-pep-larger-orf40-50SimCLU8.txt", 8)</f>
        <v>8</v>
      </c>
      <c r="BS36">
        <f>HYPERLINK("http://exon.niaid.nih.gov/transcriptome/Anopheles_sialome/links/cluster-b/anopheline-sialome-cds-pep-larger-orf40-50SimCLTL8.txt", 35)</f>
        <v>35</v>
      </c>
      <c r="BT36">
        <f>HYPERLINK("http://exon.niaid.nih.gov/transcriptome/Anopheles_sialome/links/cluster-b/anopheline-sialome-cds-pep-larger-orf45-50SimCLU7.txt", 7)</f>
        <v>7</v>
      </c>
      <c r="BU36">
        <f>HYPERLINK("http://exon.niaid.nih.gov/transcriptome/Anopheles_sialome/links/cluster-b/anopheline-sialome-cds-pep-larger-orf45-50SimCLTL7.txt", 35)</f>
        <v>35</v>
      </c>
      <c r="BV36">
        <f>HYPERLINK("http://exon.niaid.nih.gov/transcriptome/Anopheles_sialome/links/cluster-b/anopheline-sialome-cds-pep-larger-orf50-50SimCLU7.txt", 7)</f>
        <v>7</v>
      </c>
      <c r="BW36">
        <f>HYPERLINK("http://exon.niaid.nih.gov/transcriptome/Anopheles_sialome/links/cluster-b/anopheline-sialome-cds-pep-larger-orf50-50SimCLTL7.txt", 35)</f>
        <v>35</v>
      </c>
      <c r="BX36">
        <f>HYPERLINK("http://exon.niaid.nih.gov/transcriptome/Anopheles_sialome/links/cluster-b/anopheline-sialome-cds-pep-larger-orf55-50SimCLU7.txt", 7)</f>
        <v>7</v>
      </c>
      <c r="BY36">
        <f>HYPERLINK("http://exon.niaid.nih.gov/transcriptome/Anopheles_sialome/links/cluster-b/anopheline-sialome-cds-pep-larger-orf55-50SimCLTL7.txt", 35)</f>
        <v>35</v>
      </c>
      <c r="BZ36">
        <f>HYPERLINK("http://exon.niaid.nih.gov/transcriptome/Anopheles_sialome/links/cluster-b/anopheline-sialome-cds-pep-larger-orf60-50SimCLU5.txt", 5)</f>
        <v>5</v>
      </c>
      <c r="CA36">
        <f>HYPERLINK("http://exon.niaid.nih.gov/transcriptome/Anopheles_sialome/links/cluster-b/anopheline-sialome-cds-pep-larger-orf60-50SimCLTL5.txt", 35)</f>
        <v>35</v>
      </c>
      <c r="CB36">
        <f>HYPERLINK("http://exon.niaid.nih.gov/transcriptome/Anopheles_sialome/links/cluster-b/anopheline-sialome-cds-pep-larger-orf65-50SimCLU3.txt", 3)</f>
        <v>3</v>
      </c>
      <c r="CC36">
        <f>HYPERLINK("http://exon.niaid.nih.gov/transcriptome/Anopheles_sialome/links/cluster-b/anopheline-sialome-cds-pep-larger-orf65-50SimCLTL3.txt", 35)</f>
        <v>35</v>
      </c>
      <c r="CD36">
        <f>HYPERLINK("http://exon.niaid.nih.gov/transcriptome/Anopheles_sialome/links/cluster-b/anopheline-sialome-cds-pep-larger-orf70-50SimCLU15.txt", 15)</f>
        <v>15</v>
      </c>
      <c r="CE36">
        <f>HYPERLINK("http://exon.niaid.nih.gov/transcriptome/Anopheles_sialome/links/cluster-b/anopheline-sialome-cds-pep-larger-orf70-50SimCLTL15.txt", 18)</f>
        <v>18</v>
      </c>
      <c r="CF36">
        <f>HYPERLINK("http://exon.niaid.nih.gov/transcriptome/Anopheles_sialome/links/cluster-b/anopheline-sialome-cds-pep-larger-orf75-50SimCLU9.txt", 9)</f>
        <v>9</v>
      </c>
      <c r="CG36">
        <f>HYPERLINK("http://exon.niaid.nih.gov/transcriptome/Anopheles_sialome/links/cluster-b/anopheline-sialome-cds-pep-larger-orf75-50SimCLTL9.txt", 18)</f>
        <v>18</v>
      </c>
      <c r="CH36">
        <f>HYPERLINK("http://exon.niaid.nih.gov/transcriptome/Anopheles_sialome/links/cluster-b/anopheline-sialome-cds-pep-larger-orf80-50SimCLU7.txt", 7)</f>
        <v>7</v>
      </c>
      <c r="CI36">
        <f>HYPERLINK("http://exon.niaid.nih.gov/transcriptome/Anopheles_sialome/links/cluster-b/anopheline-sialome-cds-pep-larger-orf80-50SimCLTL7.txt", 18)</f>
        <v>18</v>
      </c>
      <c r="CJ36">
        <f>HYPERLINK("http://exon.niaid.nih.gov/transcriptome/Anopheles_sialome/links/cluster-b/anopheline-sialome-cds-pep-larger-orf85-50SimCLU66.txt", 66)</f>
        <v>66</v>
      </c>
      <c r="CK36">
        <f>HYPERLINK("http://exon.niaid.nih.gov/transcriptome/Anopheles_sialome/links/cluster-b/anopheline-sialome-cds-pep-larger-orf85-50SimCLTL66.txt", 2)</f>
        <v>2</v>
      </c>
      <c r="CL36">
        <f>HYPERLINK("http://exon.niaid.nih.gov/transcriptome/Anopheles_sialome/links/cluster-b/anopheline-sialome-cds-pep-larger-orf90-50SimCLU64.txt", 64)</f>
        <v>64</v>
      </c>
      <c r="CM36">
        <f>HYPERLINK("http://exon.niaid.nih.gov/transcriptome/Anopheles_sialome/links/cluster-b/anopheline-sialome-cds-pep-larger-orf90-50SimCLTL64.txt", 2)</f>
        <v>2</v>
      </c>
      <c r="CN36">
        <v>135</v>
      </c>
      <c r="CO36">
        <v>1</v>
      </c>
    </row>
    <row r="37" spans="1:93">
      <c r="A37" s="2" t="str">
        <f>HYPERLINK("http://exon.niaid.nih.gov/transcriptome/Anopheles_sialome/links/cds/anosin_5nuc-cds.txt","anosin_5nuc")</f>
        <v>anosin_5nuc</v>
      </c>
      <c r="B37">
        <v>1713</v>
      </c>
      <c r="C37" t="s">
        <v>131</v>
      </c>
      <c r="D37" t="s">
        <v>4</v>
      </c>
      <c r="E37" t="s">
        <v>5</v>
      </c>
      <c r="F37" t="s">
        <v>1</v>
      </c>
      <c r="G37" t="str">
        <f>HYPERLINK("http://exon.niaid.nih.gov/transcriptome/Anopheles_sialome/links/pep/anosin_5nuc-pep.txt","anosin_5nuc")</f>
        <v>anosin_5nuc</v>
      </c>
      <c r="H37">
        <v>570</v>
      </c>
      <c r="I37">
        <v>0</v>
      </c>
      <c r="J37" s="3" t="str">
        <f>HYPERLINK("http://exon.niaid.nih.gov/transcriptome/Anopheles_sialome/links/Sigp/anosin_5nuc-SigP.txt","SIG")</f>
        <v>SIG</v>
      </c>
      <c r="K37" t="s">
        <v>787</v>
      </c>
      <c r="L37">
        <v>63.838999999999999</v>
      </c>
      <c r="M37">
        <v>8.5299999999999994</v>
      </c>
      <c r="N37">
        <v>61.005000000000003</v>
      </c>
      <c r="O37">
        <v>8.5399999999999991</v>
      </c>
      <c r="P37" t="s">
        <v>952</v>
      </c>
      <c r="Q37" s="3">
        <v>0</v>
      </c>
      <c r="R37" t="s">
        <v>128</v>
      </c>
      <c r="S37" t="s">
        <v>128</v>
      </c>
      <c r="T37" t="s">
        <v>128</v>
      </c>
      <c r="U37" t="s">
        <v>128</v>
      </c>
      <c r="V37" t="s">
        <v>128</v>
      </c>
      <c r="W37" s="3" t="str">
        <f>HYPERLINK("http://exon.niaid.nih.gov/transcriptome/Anopheles_sialome/links/netoglyc/anosin_5nuc-netoglyc.txt","0")</f>
        <v>0</v>
      </c>
      <c r="X37">
        <v>11.1</v>
      </c>
      <c r="Y37">
        <v>7</v>
      </c>
      <c r="Z37">
        <v>3.9</v>
      </c>
      <c r="AA37" t="s">
        <v>654</v>
      </c>
      <c r="AB37" t="s">
        <v>128</v>
      </c>
      <c r="AC37" s="2" t="str">
        <f>HYPERLINK("http://exon.niaid.nih.gov/transcriptome/Anopheles_sialome/links/DIPTERA/anosin_5nuc-DIPTERA.txt","AGAP011026-PA-like protein")</f>
        <v>AGAP011026-PA-like protein</v>
      </c>
      <c r="AD37" t="str">
        <f>HYPERLINK("http://www.ncbi.nlm.nih.gov/sutils/blink.cgi?pid=668458917","0.0")</f>
        <v>0.0</v>
      </c>
      <c r="AE37" t="str">
        <f>HYPERLINK("http://www.ncbi.nlm.nih.gov/protein/668458917","gi|668458917")</f>
        <v>gi|668458917</v>
      </c>
      <c r="AF37">
        <v>98</v>
      </c>
      <c r="AG37">
        <v>98</v>
      </c>
      <c r="AH37">
        <v>100</v>
      </c>
      <c r="AI37" t="s">
        <v>2277</v>
      </c>
      <c r="AJ37" s="2" t="str">
        <f>HYPERLINK("http://exon.niaid.nih.gov/transcriptome/Anopheles_sialome/links/CULICOMORPHA/anosin_5nuc-CULICOMORPHA.txt","AGAP011026-PA-like protein")</f>
        <v>AGAP011026-PA-like protein</v>
      </c>
      <c r="AK37" t="str">
        <f>HYPERLINK("http://www.ncbi.nlm.nih.gov/sutils/blink.cgi?pid=668458917","0.0")</f>
        <v>0.0</v>
      </c>
      <c r="AL37" t="str">
        <f>HYPERLINK("http://www.ncbi.nlm.nih.gov/protein/668458917","gi|668458917")</f>
        <v>gi|668458917</v>
      </c>
      <c r="AM37">
        <v>98</v>
      </c>
      <c r="AN37">
        <v>98</v>
      </c>
      <c r="AO37">
        <v>100</v>
      </c>
      <c r="AP37" t="s">
        <v>2277</v>
      </c>
      <c r="AQ37" s="2" t="str">
        <f>HYPERLINK("http://exon.niaid.nih.gov/transcriptome/Anopheles_sialome/links/NR-LIGHT/anosin_5nuc-NR-LIGHT.txt","AGAP011026-PA-like protein")</f>
        <v>AGAP011026-PA-like protein</v>
      </c>
      <c r="AR37" t="str">
        <f>HYPERLINK("http://www.ncbi.nlm.nih.gov/sutils/blink.cgi?pid=668458917","0.0")</f>
        <v>0.0</v>
      </c>
      <c r="AS37" t="str">
        <f>HYPERLINK("http://www.ncbi.nlm.nih.gov/protein/668458917","gi|668458917")</f>
        <v>gi|668458917</v>
      </c>
      <c r="AT37">
        <v>98</v>
      </c>
      <c r="AU37">
        <v>98</v>
      </c>
      <c r="AV37">
        <v>100</v>
      </c>
      <c r="AW37" t="s">
        <v>2277</v>
      </c>
      <c r="AX37" s="2" t="str">
        <f>HYPERLINK("http://exon.niaid.nih.gov/transcriptome/Anopheles_sialome/links/CDD/anosin_5nuc-CDD.txt","MPP_CD73_N")</f>
        <v>MPP_CD73_N</v>
      </c>
      <c r="AY37" t="str">
        <f>HYPERLINK("http://www.ncbi.nlm.nih.gov/Structure/cdd/cddsrv.cgi?uid=cd07409&amp;version=v4.0","1E-108")</f>
        <v>1E-108</v>
      </c>
      <c r="AZ37" t="s">
        <v>2431</v>
      </c>
      <c r="BA37" s="2" t="str">
        <f>HYPERLINK("http://exon.niaid.nih.gov/transcriptome/Anopheles_sialome/links/KOG/anosin_5nuc-KOG.txt","5' nucleotidase")</f>
        <v>5' nucleotidase</v>
      </c>
      <c r="BB37" t="str">
        <f>HYPERLINK("http://www.ncbi.nlm.nih.gov/Structure/cdd/cddsrv.cgi?uid=KOG4419","1E-049")</f>
        <v>1E-049</v>
      </c>
      <c r="BC37" t="s">
        <v>2398</v>
      </c>
      <c r="BD37" t="str">
        <f>HYPERLINK("http://exon.niaid.nih.gov/transcriptome/Anopheles_sialome/links/KOG/anosin_5nuc-KOG.txt","KOG4419")</f>
        <v>KOG4419</v>
      </c>
      <c r="BE37" t="str">
        <f>HYPERLINK("http://exon.niaid.nih.gov/transcriptome/Anopheles_sialome/links/PFAM/anosin_5nuc-PFAM.txt","5_nucleotid_C")</f>
        <v>5_nucleotid_C</v>
      </c>
      <c r="BF37" t="str">
        <f>HYPERLINK("http://pfam.sanger.ac.uk/family?acc=PF02872","3E-032")</f>
        <v>3E-032</v>
      </c>
      <c r="BG37" s="2" t="str">
        <f>HYPERLINK("http://exon.niaid.nih.gov/transcriptome/Anopheles_sialome/links/SMART/anosin_5nuc-SMART.txt","PGA_cap")</f>
        <v>PGA_cap</v>
      </c>
      <c r="BH37" t="str">
        <f>HYPERLINK("http://smart.embl-heidelberg.de/smart/do_annotation.pl?DOMAIN=PGA_cap&amp;BLAST=DUMMY","1E-009")</f>
        <v>1E-009</v>
      </c>
      <c r="BI37" t="str">
        <f>HYPERLINK("http://exon.niaid.nih.gov/transcriptome/Anopheles_sialome/links/TICK-BLOCKS/anosin_5nuc-TICK-BLOCKS.txt","SG1_stringent_pattern |")</f>
        <v>SG1_stringent_pattern |</v>
      </c>
      <c r="BJ37" s="2" t="s">
        <v>128</v>
      </c>
      <c r="BK37" t="s">
        <v>951</v>
      </c>
      <c r="BL37">
        <f>HYPERLINK("http://exon.niaid.nih.gov/transcriptome/Anopheles_sialome/links/cluster-b/anopheline-sialome-cds-pep-larger-orf25-50SimCLU9.txt", 9)</f>
        <v>9</v>
      </c>
      <c r="BM37">
        <f>HYPERLINK("http://exon.niaid.nih.gov/transcriptome/Anopheles_sialome/links/cluster-b/anopheline-sialome-cds-pep-larger-orf25-50SimCLTL9.txt", 35)</f>
        <v>35</v>
      </c>
      <c r="BN37">
        <f>HYPERLINK("http://exon.niaid.nih.gov/transcriptome/Anopheles_sialome/links/cluster-b/anopheline-sialome-cds-pep-larger-orf30-50SimCLU8.txt", 8)</f>
        <v>8</v>
      </c>
      <c r="BO37">
        <f>HYPERLINK("http://exon.niaid.nih.gov/transcriptome/Anopheles_sialome/links/cluster-b/anopheline-sialome-cds-pep-larger-orf30-50SimCLTL8.txt", 35)</f>
        <v>35</v>
      </c>
      <c r="BP37">
        <f>HYPERLINK("http://exon.niaid.nih.gov/transcriptome/Anopheles_sialome/links/cluster-b/anopheline-sialome-cds-pep-larger-orf35-50SimCLU9.txt", 9)</f>
        <v>9</v>
      </c>
      <c r="BQ37">
        <f>HYPERLINK("http://exon.niaid.nih.gov/transcriptome/Anopheles_sialome/links/cluster-b/anopheline-sialome-cds-pep-larger-orf35-50SimCLTL9.txt", 35)</f>
        <v>35</v>
      </c>
      <c r="BR37">
        <f>HYPERLINK("http://exon.niaid.nih.gov/transcriptome/Anopheles_sialome/links/cluster-b/anopheline-sialome-cds-pep-larger-orf40-50SimCLU8.txt", 8)</f>
        <v>8</v>
      </c>
      <c r="BS37">
        <f>HYPERLINK("http://exon.niaid.nih.gov/transcriptome/Anopheles_sialome/links/cluster-b/anopheline-sialome-cds-pep-larger-orf40-50SimCLTL8.txt", 35)</f>
        <v>35</v>
      </c>
      <c r="BT37">
        <f>HYPERLINK("http://exon.niaid.nih.gov/transcriptome/Anopheles_sialome/links/cluster-b/anopheline-sialome-cds-pep-larger-orf45-50SimCLU7.txt", 7)</f>
        <v>7</v>
      </c>
      <c r="BU37">
        <f>HYPERLINK("http://exon.niaid.nih.gov/transcriptome/Anopheles_sialome/links/cluster-b/anopheline-sialome-cds-pep-larger-orf45-50SimCLTL7.txt", 35)</f>
        <v>35</v>
      </c>
      <c r="BV37">
        <f>HYPERLINK("http://exon.niaid.nih.gov/transcriptome/Anopheles_sialome/links/cluster-b/anopheline-sialome-cds-pep-larger-orf50-50SimCLU7.txt", 7)</f>
        <v>7</v>
      </c>
      <c r="BW37">
        <f>HYPERLINK("http://exon.niaid.nih.gov/transcriptome/Anopheles_sialome/links/cluster-b/anopheline-sialome-cds-pep-larger-orf50-50SimCLTL7.txt", 35)</f>
        <v>35</v>
      </c>
      <c r="BX37">
        <f>HYPERLINK("http://exon.niaid.nih.gov/transcriptome/Anopheles_sialome/links/cluster-b/anopheline-sialome-cds-pep-larger-orf55-50SimCLU7.txt", 7)</f>
        <v>7</v>
      </c>
      <c r="BY37">
        <f>HYPERLINK("http://exon.niaid.nih.gov/transcriptome/Anopheles_sialome/links/cluster-b/anopheline-sialome-cds-pep-larger-orf55-50SimCLTL7.txt", 35)</f>
        <v>35</v>
      </c>
      <c r="BZ37">
        <f>HYPERLINK("http://exon.niaid.nih.gov/transcriptome/Anopheles_sialome/links/cluster-b/anopheline-sialome-cds-pep-larger-orf60-50SimCLU5.txt", 5)</f>
        <v>5</v>
      </c>
      <c r="CA37">
        <f>HYPERLINK("http://exon.niaid.nih.gov/transcriptome/Anopheles_sialome/links/cluster-b/anopheline-sialome-cds-pep-larger-orf60-50SimCLTL5.txt", 35)</f>
        <v>35</v>
      </c>
      <c r="CB37">
        <f>HYPERLINK("http://exon.niaid.nih.gov/transcriptome/Anopheles_sialome/links/cluster-b/anopheline-sialome-cds-pep-larger-orf65-50SimCLU3.txt", 3)</f>
        <v>3</v>
      </c>
      <c r="CC37">
        <f>HYPERLINK("http://exon.niaid.nih.gov/transcriptome/Anopheles_sialome/links/cluster-b/anopheline-sialome-cds-pep-larger-orf65-50SimCLTL3.txt", 35)</f>
        <v>35</v>
      </c>
      <c r="CD37">
        <f>HYPERLINK("http://exon.niaid.nih.gov/transcriptome/Anopheles_sialome/links/cluster-b/anopheline-sialome-cds-pep-larger-orf70-50SimCLU15.txt", 15)</f>
        <v>15</v>
      </c>
      <c r="CE37">
        <f>HYPERLINK("http://exon.niaid.nih.gov/transcriptome/Anopheles_sialome/links/cluster-b/anopheline-sialome-cds-pep-larger-orf70-50SimCLTL15.txt", 18)</f>
        <v>18</v>
      </c>
      <c r="CF37">
        <f>HYPERLINK("http://exon.niaid.nih.gov/transcriptome/Anopheles_sialome/links/cluster-b/anopheline-sialome-cds-pep-larger-orf75-50SimCLU9.txt", 9)</f>
        <v>9</v>
      </c>
      <c r="CG37">
        <f>HYPERLINK("http://exon.niaid.nih.gov/transcriptome/Anopheles_sialome/links/cluster-b/anopheline-sialome-cds-pep-larger-orf75-50SimCLTL9.txt", 18)</f>
        <v>18</v>
      </c>
      <c r="CH37">
        <f>HYPERLINK("http://exon.niaid.nih.gov/transcriptome/Anopheles_sialome/links/cluster-b/anopheline-sialome-cds-pep-larger-orf80-50SimCLU7.txt", 7)</f>
        <v>7</v>
      </c>
      <c r="CI37">
        <f>HYPERLINK("http://exon.niaid.nih.gov/transcriptome/Anopheles_sialome/links/cluster-b/anopheline-sialome-cds-pep-larger-orf80-50SimCLTL7.txt", 18)</f>
        <v>18</v>
      </c>
      <c r="CJ37">
        <f>HYPERLINK("http://exon.niaid.nih.gov/transcriptome/Anopheles_sialome/links/cluster-b/anopheline-sialome-cds-pep-larger-orf85-50SimCLU66.txt", 66)</f>
        <v>66</v>
      </c>
      <c r="CK37">
        <f>HYPERLINK("http://exon.niaid.nih.gov/transcriptome/Anopheles_sialome/links/cluster-b/anopheline-sialome-cds-pep-larger-orf85-50SimCLTL66.txt", 2)</f>
        <v>2</v>
      </c>
      <c r="CL37">
        <f>HYPERLINK("http://exon.niaid.nih.gov/transcriptome/Anopheles_sialome/links/cluster-b/anopheline-sialome-cds-pep-larger-orf90-50SimCLU64.txt", 64)</f>
        <v>64</v>
      </c>
      <c r="CM37">
        <f>HYPERLINK("http://exon.niaid.nih.gov/transcriptome/Anopheles_sialome/links/cluster-b/anopheline-sialome-cds-pep-larger-orf90-50SimCLTL64.txt", 2)</f>
        <v>2</v>
      </c>
      <c r="CN37">
        <v>136</v>
      </c>
      <c r="CO37">
        <v>1</v>
      </c>
    </row>
    <row r="38" spans="1:93">
      <c r="A38" s="2" t="str">
        <f>HYPERLINK("http://exon.niaid.nih.gov/transcriptome/Anopheles_sialome/links/cds/anoalb_5nuc-cds.txt","anoalb_5nuc")</f>
        <v>anoalb_5nuc</v>
      </c>
      <c r="B38">
        <v>1707</v>
      </c>
      <c r="C38" t="s">
        <v>132</v>
      </c>
      <c r="D38" t="s">
        <v>7</v>
      </c>
      <c r="E38" t="s">
        <v>5</v>
      </c>
      <c r="F38" t="s">
        <v>1</v>
      </c>
      <c r="G38" t="str">
        <f>HYPERLINK("http://exon.niaid.nih.gov/transcriptome/Anopheles_sialome/links/pep/anoalb_5nuc-pep.txt","anoalb_5nuc")</f>
        <v>anoalb_5nuc</v>
      </c>
      <c r="H38">
        <v>568</v>
      </c>
      <c r="I38">
        <v>0</v>
      </c>
      <c r="J38" s="3" t="str">
        <f>HYPERLINK("http://exon.niaid.nih.gov/transcriptome/Anopheles_sialome/links/Sigp/anoalb_5nuc-SigP.txt","SIG")</f>
        <v>SIG</v>
      </c>
      <c r="K38" t="s">
        <v>787</v>
      </c>
      <c r="L38">
        <v>63.252000000000002</v>
      </c>
      <c r="M38">
        <v>8.98</v>
      </c>
      <c r="N38">
        <v>60.628</v>
      </c>
      <c r="O38">
        <v>8.98</v>
      </c>
      <c r="P38" t="s">
        <v>709</v>
      </c>
      <c r="Q38" s="3">
        <v>0</v>
      </c>
      <c r="R38" t="s">
        <v>128</v>
      </c>
      <c r="S38" t="s">
        <v>128</v>
      </c>
      <c r="T38" t="s">
        <v>128</v>
      </c>
      <c r="U38" t="s">
        <v>128</v>
      </c>
      <c r="V38" t="s">
        <v>128</v>
      </c>
      <c r="W38" s="3" t="str">
        <f>HYPERLINK("http://exon.niaid.nih.gov/transcriptome/Anopheles_sialome/links/netoglyc/anoalb_5nuc-netoglyc.txt","1")</f>
        <v>1</v>
      </c>
      <c r="X38">
        <v>13.2</v>
      </c>
      <c r="Y38">
        <v>6.2</v>
      </c>
      <c r="Z38">
        <v>3.9</v>
      </c>
      <c r="AA38" t="s">
        <v>654</v>
      </c>
      <c r="AB38" t="s">
        <v>128</v>
      </c>
      <c r="AC38" s="2" t="str">
        <f>HYPERLINK("http://exon.niaid.nih.gov/transcriptome/Anopheles_sialome/links/DIPTERA/anoalb_5nuc-DIPTERA.txt","apyrase")</f>
        <v>apyrase</v>
      </c>
      <c r="AD38" t="str">
        <f>HYPERLINK("http://www.ncbi.nlm.nih.gov/sutils/blink.cgi?pid=568252812","0.0")</f>
        <v>0.0</v>
      </c>
      <c r="AE38" t="str">
        <f>HYPERLINK("http://www.ncbi.nlm.nih.gov/protein/568252812","gi|568252812")</f>
        <v>gi|568252812</v>
      </c>
      <c r="AF38">
        <v>95</v>
      </c>
      <c r="AG38">
        <v>98</v>
      </c>
      <c r="AH38">
        <v>100</v>
      </c>
      <c r="AI38" t="s">
        <v>2283</v>
      </c>
      <c r="AJ38" s="2" t="str">
        <f>HYPERLINK("http://exon.niaid.nih.gov/transcriptome/Anopheles_sialome/links/CULICOMORPHA/anoalb_5nuc-CULICOMORPHA.txt","apyrase")</f>
        <v>apyrase</v>
      </c>
      <c r="AK38" t="str">
        <f>HYPERLINK("http://www.ncbi.nlm.nih.gov/sutils/blink.cgi?pid=568252812","0.0")</f>
        <v>0.0</v>
      </c>
      <c r="AL38" t="str">
        <f>HYPERLINK("http://www.ncbi.nlm.nih.gov/protein/568252812","gi|568252812")</f>
        <v>gi|568252812</v>
      </c>
      <c r="AM38">
        <v>95</v>
      </c>
      <c r="AN38">
        <v>98</v>
      </c>
      <c r="AO38">
        <v>100</v>
      </c>
      <c r="AP38" t="s">
        <v>2283</v>
      </c>
      <c r="AQ38" s="2" t="str">
        <f>HYPERLINK("http://exon.niaid.nih.gov/transcriptome/Anopheles_sialome/links/NR-LIGHT/anoalb_5nuc-NR-LIGHT.txt","apyrase")</f>
        <v>apyrase</v>
      </c>
      <c r="AR38" t="str">
        <f>HYPERLINK("http://www.ncbi.nlm.nih.gov/sutils/blink.cgi?pid=568252812","0.0")</f>
        <v>0.0</v>
      </c>
      <c r="AS38" t="str">
        <f>HYPERLINK("http://www.ncbi.nlm.nih.gov/protein/568252812","gi|568252812")</f>
        <v>gi|568252812</v>
      </c>
      <c r="AT38">
        <v>95</v>
      </c>
      <c r="AU38">
        <v>98</v>
      </c>
      <c r="AV38">
        <v>100</v>
      </c>
      <c r="AW38" t="s">
        <v>2283</v>
      </c>
      <c r="AX38" s="2" t="str">
        <f>HYPERLINK("http://exon.niaid.nih.gov/transcriptome/Anopheles_sialome/links/CDD/anoalb_5nuc-CDD.txt","MPP_CD73_N")</f>
        <v>MPP_CD73_N</v>
      </c>
      <c r="AY38" t="str">
        <f>HYPERLINK("http://www.ncbi.nlm.nih.gov/Structure/cdd/cddsrv.cgi?uid=cd07409&amp;version=v4.0","1E-108")</f>
        <v>1E-108</v>
      </c>
      <c r="AZ38" t="s">
        <v>2432</v>
      </c>
      <c r="BA38" s="2" t="str">
        <f>HYPERLINK("http://exon.niaid.nih.gov/transcriptome/Anopheles_sialome/links/KOG/anoalb_5nuc-KOG.txt","5' nucleotidase")</f>
        <v>5' nucleotidase</v>
      </c>
      <c r="BB38" t="str">
        <f>HYPERLINK("http://www.ncbi.nlm.nih.gov/Structure/cdd/cddsrv.cgi?uid=KOG4419","5E-042")</f>
        <v>5E-042</v>
      </c>
      <c r="BC38" t="s">
        <v>2398</v>
      </c>
      <c r="BD38" t="str">
        <f>HYPERLINK("http://exon.niaid.nih.gov/transcriptome/Anopheles_sialome/links/KOG/anoalb_5nuc-KOG.txt","KOG4419")</f>
        <v>KOG4419</v>
      </c>
      <c r="BE38" t="str">
        <f>HYPERLINK("http://exon.niaid.nih.gov/transcriptome/Anopheles_sialome/links/PFAM/anoalb_5nuc-PFAM.txt","5_nucleotid_C")</f>
        <v>5_nucleotid_C</v>
      </c>
      <c r="BF38" t="str">
        <f>HYPERLINK("http://pfam.sanger.ac.uk/family?acc=PF02872","3E-030")</f>
        <v>3E-030</v>
      </c>
      <c r="BG38" s="2" t="str">
        <f>HYPERLINK("http://exon.niaid.nih.gov/transcriptome/Anopheles_sialome/links/SMART/anoalb_5nuc-SMART.txt","PGA_cap")</f>
        <v>PGA_cap</v>
      </c>
      <c r="BH38" t="str">
        <f>HYPERLINK("http://smart.embl-heidelberg.de/smart/do_annotation.pl?DOMAIN=PGA_cap&amp;BLAST=DUMMY","1E-011")</f>
        <v>1E-011</v>
      </c>
      <c r="BI38" t="str">
        <f>HYPERLINK("http://exon.niaid.nih.gov/transcriptome/Anopheles_sialome/links/TICK-BLOCKS/anoalb_5nuc-TICK-BLOCKS.txt","SG1_stringent_pattern |")</f>
        <v>SG1_stringent_pattern |</v>
      </c>
      <c r="BJ38" s="2" t="s">
        <v>128</v>
      </c>
      <c r="BK38" t="s">
        <v>953</v>
      </c>
      <c r="BL38">
        <f>HYPERLINK("http://exon.niaid.nih.gov/transcriptome/Anopheles_sialome/links/cluster-b/anopheline-sialome-cds-pep-larger-orf25-50SimCLU9.txt", 9)</f>
        <v>9</v>
      </c>
      <c r="BM38">
        <f>HYPERLINK("http://exon.niaid.nih.gov/transcriptome/Anopheles_sialome/links/cluster-b/anopheline-sialome-cds-pep-larger-orf25-50SimCLTL9.txt", 35)</f>
        <v>35</v>
      </c>
      <c r="BN38">
        <f>HYPERLINK("http://exon.niaid.nih.gov/transcriptome/Anopheles_sialome/links/cluster-b/anopheline-sialome-cds-pep-larger-orf30-50SimCLU8.txt", 8)</f>
        <v>8</v>
      </c>
      <c r="BO38">
        <f>HYPERLINK("http://exon.niaid.nih.gov/transcriptome/Anopheles_sialome/links/cluster-b/anopheline-sialome-cds-pep-larger-orf30-50SimCLTL8.txt", 35)</f>
        <v>35</v>
      </c>
      <c r="BP38">
        <f>HYPERLINK("http://exon.niaid.nih.gov/transcriptome/Anopheles_sialome/links/cluster-b/anopheline-sialome-cds-pep-larger-orf35-50SimCLU9.txt", 9)</f>
        <v>9</v>
      </c>
      <c r="BQ38">
        <f>HYPERLINK("http://exon.niaid.nih.gov/transcriptome/Anopheles_sialome/links/cluster-b/anopheline-sialome-cds-pep-larger-orf35-50SimCLTL9.txt", 35)</f>
        <v>35</v>
      </c>
      <c r="BR38">
        <f>HYPERLINK("http://exon.niaid.nih.gov/transcriptome/Anopheles_sialome/links/cluster-b/anopheline-sialome-cds-pep-larger-orf40-50SimCLU8.txt", 8)</f>
        <v>8</v>
      </c>
      <c r="BS38">
        <f>HYPERLINK("http://exon.niaid.nih.gov/transcriptome/Anopheles_sialome/links/cluster-b/anopheline-sialome-cds-pep-larger-orf40-50SimCLTL8.txt", 35)</f>
        <v>35</v>
      </c>
      <c r="BT38">
        <f>HYPERLINK("http://exon.niaid.nih.gov/transcriptome/Anopheles_sialome/links/cluster-b/anopheline-sialome-cds-pep-larger-orf45-50SimCLU7.txt", 7)</f>
        <v>7</v>
      </c>
      <c r="BU38">
        <f>HYPERLINK("http://exon.niaid.nih.gov/transcriptome/Anopheles_sialome/links/cluster-b/anopheline-sialome-cds-pep-larger-orf45-50SimCLTL7.txt", 35)</f>
        <v>35</v>
      </c>
      <c r="BV38">
        <f>HYPERLINK("http://exon.niaid.nih.gov/transcriptome/Anopheles_sialome/links/cluster-b/anopheline-sialome-cds-pep-larger-orf50-50SimCLU7.txt", 7)</f>
        <v>7</v>
      </c>
      <c r="BW38">
        <f>HYPERLINK("http://exon.niaid.nih.gov/transcriptome/Anopheles_sialome/links/cluster-b/anopheline-sialome-cds-pep-larger-orf50-50SimCLTL7.txt", 35)</f>
        <v>35</v>
      </c>
      <c r="BX38">
        <f>HYPERLINK("http://exon.niaid.nih.gov/transcriptome/Anopheles_sialome/links/cluster-b/anopheline-sialome-cds-pep-larger-orf55-50SimCLU7.txt", 7)</f>
        <v>7</v>
      </c>
      <c r="BY38">
        <f>HYPERLINK("http://exon.niaid.nih.gov/transcriptome/Anopheles_sialome/links/cluster-b/anopheline-sialome-cds-pep-larger-orf55-50SimCLTL7.txt", 35)</f>
        <v>35</v>
      </c>
      <c r="BZ38">
        <f>HYPERLINK("http://exon.niaid.nih.gov/transcriptome/Anopheles_sialome/links/cluster-b/anopheline-sialome-cds-pep-larger-orf60-50SimCLU5.txt", 5)</f>
        <v>5</v>
      </c>
      <c r="CA38">
        <f>HYPERLINK("http://exon.niaid.nih.gov/transcriptome/Anopheles_sialome/links/cluster-b/anopheline-sialome-cds-pep-larger-orf60-50SimCLTL5.txt", 35)</f>
        <v>35</v>
      </c>
      <c r="CB38">
        <f>HYPERLINK("http://exon.niaid.nih.gov/transcriptome/Anopheles_sialome/links/cluster-b/anopheline-sialome-cds-pep-larger-orf65-50SimCLU3.txt", 3)</f>
        <v>3</v>
      </c>
      <c r="CC38">
        <f>HYPERLINK("http://exon.niaid.nih.gov/transcriptome/Anopheles_sialome/links/cluster-b/anopheline-sialome-cds-pep-larger-orf65-50SimCLTL3.txt", 35)</f>
        <v>35</v>
      </c>
      <c r="CD38">
        <f>HYPERLINK("http://exon.niaid.nih.gov/transcriptome/Anopheles_sialome/links/cluster-b/anopheline-sialome-cds-pep-larger-orf70-50SimCLU15.txt", 15)</f>
        <v>15</v>
      </c>
      <c r="CE38">
        <f>HYPERLINK("http://exon.niaid.nih.gov/transcriptome/Anopheles_sialome/links/cluster-b/anopheline-sialome-cds-pep-larger-orf70-50SimCLTL15.txt", 18)</f>
        <v>18</v>
      </c>
      <c r="CF38">
        <f>HYPERLINK("http://exon.niaid.nih.gov/transcriptome/Anopheles_sialome/links/cluster-b/anopheline-sialome-cds-pep-larger-orf75-50SimCLU9.txt", 9)</f>
        <v>9</v>
      </c>
      <c r="CG38">
        <f>HYPERLINK("http://exon.niaid.nih.gov/transcriptome/Anopheles_sialome/links/cluster-b/anopheline-sialome-cds-pep-larger-orf75-50SimCLTL9.txt", 18)</f>
        <v>18</v>
      </c>
      <c r="CH38">
        <f>HYPERLINK("http://exon.niaid.nih.gov/transcriptome/Anopheles_sialome/links/cluster-b/anopheline-sialome-cds-pep-larger-orf80-50SimCLU7.txt", 7)</f>
        <v>7</v>
      </c>
      <c r="CI38">
        <f>HYPERLINK("http://exon.niaid.nih.gov/transcriptome/Anopheles_sialome/links/cluster-b/anopheline-sialome-cds-pep-larger-orf80-50SimCLTL7.txt", 18)</f>
        <v>18</v>
      </c>
      <c r="CJ38">
        <f>HYPERLINK("http://exon.niaid.nih.gov/transcriptome/Anopheles_sialome/links/cluster-b/anopheline-sialome-cds-pep-larger-orf85-50SimCLU67.txt", 67)</f>
        <v>67</v>
      </c>
      <c r="CK38">
        <f>HYPERLINK("http://exon.niaid.nih.gov/transcriptome/Anopheles_sialome/links/cluster-b/anopheline-sialome-cds-pep-larger-orf85-50SimCLTL67.txt", 2)</f>
        <v>2</v>
      </c>
      <c r="CL38">
        <f>HYPERLINK("http://exon.niaid.nih.gov/transcriptome/Anopheles_sialome/links/cluster-b/anopheline-sialome-cds-pep-larger-orf90-50SimCLU65.txt", 65)</f>
        <v>65</v>
      </c>
      <c r="CM38">
        <f>HYPERLINK("http://exon.niaid.nih.gov/transcriptome/Anopheles_sialome/links/cluster-b/anopheline-sialome-cds-pep-larger-orf90-50SimCLTL65.txt", 2)</f>
        <v>2</v>
      </c>
      <c r="CN38">
        <f>HYPERLINK("http://exon.niaid.nih.gov/transcriptome/Anopheles_sialome/links/cluster-b/anopheline-sialome-cds-pep-larger-orf95-50SimCLU60.txt", 60)</f>
        <v>60</v>
      </c>
      <c r="CO38">
        <f>HYPERLINK("http://exon.niaid.nih.gov/transcriptome/Anopheles_sialome/links/cluster-b/anopheline-sialome-cds-pep-larger-orf95-50SimCLTL60.txt", 2)</f>
        <v>2</v>
      </c>
    </row>
    <row r="39" spans="1:93">
      <c r="A39" s="2" t="str">
        <f>HYPERLINK("http://exon.niaid.nih.gov/transcriptome/Anopheles_sialome/links/cds/anodar_5nuc-cds.txt","anodar_5nuc")</f>
        <v>anodar_5nuc</v>
      </c>
      <c r="B39">
        <v>1704</v>
      </c>
      <c r="C39" t="s">
        <v>133</v>
      </c>
      <c r="D39" t="s">
        <v>4</v>
      </c>
      <c r="E39" t="s">
        <v>5</v>
      </c>
      <c r="F39" t="s">
        <v>1</v>
      </c>
      <c r="G39" t="str">
        <f>HYPERLINK("http://exon.niaid.nih.gov/transcriptome/Anopheles_sialome/links/pep/anodar_5nuc-pep.txt","anodar_5nuc")</f>
        <v>anodar_5nuc</v>
      </c>
      <c r="H39">
        <v>567</v>
      </c>
      <c r="I39">
        <v>1</v>
      </c>
      <c r="J39" s="3" t="str">
        <f>HYPERLINK("http://exon.niaid.nih.gov/transcriptome/Anopheles_sialome/links/Sigp/anodar_5nuc-SigP.txt","SIG")</f>
        <v>SIG</v>
      </c>
      <c r="K39" t="s">
        <v>715</v>
      </c>
      <c r="L39">
        <v>63.256</v>
      </c>
      <c r="M39">
        <v>8.8000000000000007</v>
      </c>
      <c r="N39">
        <v>60.662999999999997</v>
      </c>
      <c r="O39">
        <v>8.84</v>
      </c>
      <c r="P39" t="s">
        <v>955</v>
      </c>
      <c r="Q39" s="3">
        <v>0</v>
      </c>
      <c r="R39" t="s">
        <v>128</v>
      </c>
      <c r="S39" t="s">
        <v>128</v>
      </c>
      <c r="T39" t="s">
        <v>128</v>
      </c>
      <c r="U39" t="s">
        <v>128</v>
      </c>
      <c r="V39" t="s">
        <v>128</v>
      </c>
      <c r="W39" s="3" t="str">
        <f>HYPERLINK("http://exon.niaid.nih.gov/transcriptome/Anopheles_sialome/links/netoglyc/anodar_5nuc-netoglyc.txt","1")</f>
        <v>1</v>
      </c>
      <c r="X39">
        <v>13.6</v>
      </c>
      <c r="Y39">
        <v>6</v>
      </c>
      <c r="Z39">
        <v>4.0999999999999996</v>
      </c>
      <c r="AA39" t="s">
        <v>654</v>
      </c>
      <c r="AB39" t="s">
        <v>128</v>
      </c>
      <c r="AC39" s="2" t="str">
        <f>HYPERLINK("http://exon.niaid.nih.gov/transcriptome/Anopheles_sialome/links/DIPTERA/anodar_5nuc-DIPTERA.txt","apyrase")</f>
        <v>apyrase</v>
      </c>
      <c r="AD39" t="str">
        <f>HYPERLINK("http://www.ncbi.nlm.nih.gov/sutils/blink.cgi?pid=568251644","0.0")</f>
        <v>0.0</v>
      </c>
      <c r="AE39" t="str">
        <f>HYPERLINK("http://www.ncbi.nlm.nih.gov/protein/568251644","gi|568251644")</f>
        <v>gi|568251644</v>
      </c>
      <c r="AF39">
        <v>100</v>
      </c>
      <c r="AG39">
        <v>100</v>
      </c>
      <c r="AH39">
        <v>100</v>
      </c>
      <c r="AI39" t="s">
        <v>2283</v>
      </c>
      <c r="AJ39" s="2" t="str">
        <f>HYPERLINK("http://exon.niaid.nih.gov/transcriptome/Anopheles_sialome/links/CULICOMORPHA/anodar_5nuc-CULICOMORPHA.txt","apyrase")</f>
        <v>apyrase</v>
      </c>
      <c r="AK39" t="str">
        <f>HYPERLINK("http://www.ncbi.nlm.nih.gov/sutils/blink.cgi?pid=568251644","0.0")</f>
        <v>0.0</v>
      </c>
      <c r="AL39" t="str">
        <f>HYPERLINK("http://www.ncbi.nlm.nih.gov/protein/568251644","gi|568251644")</f>
        <v>gi|568251644</v>
      </c>
      <c r="AM39">
        <v>100</v>
      </c>
      <c r="AN39">
        <v>100</v>
      </c>
      <c r="AO39">
        <v>100</v>
      </c>
      <c r="AP39" t="s">
        <v>2283</v>
      </c>
      <c r="AQ39" s="2" t="str">
        <f>HYPERLINK("http://exon.niaid.nih.gov/transcriptome/Anopheles_sialome/links/NR-LIGHT/anodar_5nuc-NR-LIGHT.txt","apyrase")</f>
        <v>apyrase</v>
      </c>
      <c r="AR39" t="str">
        <f>HYPERLINK("http://www.ncbi.nlm.nih.gov/sutils/blink.cgi?pid=568251644","0.0")</f>
        <v>0.0</v>
      </c>
      <c r="AS39" t="str">
        <f>HYPERLINK("http://www.ncbi.nlm.nih.gov/protein/568251644","gi|568251644")</f>
        <v>gi|568251644</v>
      </c>
      <c r="AT39">
        <v>100</v>
      </c>
      <c r="AU39">
        <v>100</v>
      </c>
      <c r="AV39">
        <v>100</v>
      </c>
      <c r="AW39" t="s">
        <v>2283</v>
      </c>
      <c r="AX39" s="2" t="str">
        <f>HYPERLINK("http://exon.niaid.nih.gov/transcriptome/Anopheles_sialome/links/CDD/anodar_5nuc-CDD.txt","MPP_CD73_N")</f>
        <v>MPP_CD73_N</v>
      </c>
      <c r="AY39" t="str">
        <f>HYPERLINK("http://www.ncbi.nlm.nih.gov/Structure/cdd/cddsrv.cgi?uid=cd07409&amp;version=v4.0","1E-107")</f>
        <v>1E-107</v>
      </c>
      <c r="AZ39" t="s">
        <v>2433</v>
      </c>
      <c r="BA39" s="2" t="str">
        <f>HYPERLINK("http://exon.niaid.nih.gov/transcriptome/Anopheles_sialome/links/KOG/anodar_5nuc-KOG.txt","5' nucleotidase")</f>
        <v>5' nucleotidase</v>
      </c>
      <c r="BB39" t="str">
        <f>HYPERLINK("http://www.ncbi.nlm.nih.gov/Structure/cdd/cddsrv.cgi?uid=KOG4419","2E-042")</f>
        <v>2E-042</v>
      </c>
      <c r="BC39" t="s">
        <v>2398</v>
      </c>
      <c r="BD39" t="str">
        <f>HYPERLINK("http://exon.niaid.nih.gov/transcriptome/Anopheles_sialome/links/KOG/anodar_5nuc-KOG.txt","KOG4419")</f>
        <v>KOG4419</v>
      </c>
      <c r="BE39" t="str">
        <f>HYPERLINK("http://exon.niaid.nih.gov/transcriptome/Anopheles_sialome/links/PFAM/anodar_5nuc-PFAM.txt","5_nucleotid_C")</f>
        <v>5_nucleotid_C</v>
      </c>
      <c r="BF39" t="str">
        <f>HYPERLINK("http://pfam.sanger.ac.uk/family?acc=PF02872","2E-030")</f>
        <v>2E-030</v>
      </c>
      <c r="BG39" s="2" t="str">
        <f>HYPERLINK("http://exon.niaid.nih.gov/transcriptome/Anopheles_sialome/links/SMART/anodar_5nuc-SMART.txt","PGA_cap")</f>
        <v>PGA_cap</v>
      </c>
      <c r="BH39" t="str">
        <f>HYPERLINK("http://smart.embl-heidelberg.de/smart/do_annotation.pl?DOMAIN=PGA_cap&amp;BLAST=DUMMY","6E-010")</f>
        <v>6E-010</v>
      </c>
      <c r="BI39" t="str">
        <f>HYPERLINK("http://exon.niaid.nih.gov/transcriptome/Anopheles_sialome/links/TICK-BLOCKS/anodar_5nuc-TICK-BLOCKS.txt","SG1_stringent_pattern |")</f>
        <v>SG1_stringent_pattern |</v>
      </c>
      <c r="BJ39" s="2" t="s">
        <v>128</v>
      </c>
      <c r="BK39" t="s">
        <v>954</v>
      </c>
      <c r="BL39">
        <f>HYPERLINK("http://exon.niaid.nih.gov/transcriptome/Anopheles_sialome/links/cluster-b/anopheline-sialome-cds-pep-larger-orf25-50SimCLU9.txt", 9)</f>
        <v>9</v>
      </c>
      <c r="BM39">
        <f>HYPERLINK("http://exon.niaid.nih.gov/transcriptome/Anopheles_sialome/links/cluster-b/anopheline-sialome-cds-pep-larger-orf25-50SimCLTL9.txt", 35)</f>
        <v>35</v>
      </c>
      <c r="BN39">
        <f>HYPERLINK("http://exon.niaid.nih.gov/transcriptome/Anopheles_sialome/links/cluster-b/anopheline-sialome-cds-pep-larger-orf30-50SimCLU8.txt", 8)</f>
        <v>8</v>
      </c>
      <c r="BO39">
        <f>HYPERLINK("http://exon.niaid.nih.gov/transcriptome/Anopheles_sialome/links/cluster-b/anopheline-sialome-cds-pep-larger-orf30-50SimCLTL8.txt", 35)</f>
        <v>35</v>
      </c>
      <c r="BP39">
        <f>HYPERLINK("http://exon.niaid.nih.gov/transcriptome/Anopheles_sialome/links/cluster-b/anopheline-sialome-cds-pep-larger-orf35-50SimCLU9.txt", 9)</f>
        <v>9</v>
      </c>
      <c r="BQ39">
        <f>HYPERLINK("http://exon.niaid.nih.gov/transcriptome/Anopheles_sialome/links/cluster-b/anopheline-sialome-cds-pep-larger-orf35-50SimCLTL9.txt", 35)</f>
        <v>35</v>
      </c>
      <c r="BR39">
        <f>HYPERLINK("http://exon.niaid.nih.gov/transcriptome/Anopheles_sialome/links/cluster-b/anopheline-sialome-cds-pep-larger-orf40-50SimCLU8.txt", 8)</f>
        <v>8</v>
      </c>
      <c r="BS39">
        <f>HYPERLINK("http://exon.niaid.nih.gov/transcriptome/Anopheles_sialome/links/cluster-b/anopheline-sialome-cds-pep-larger-orf40-50SimCLTL8.txt", 35)</f>
        <v>35</v>
      </c>
      <c r="BT39">
        <f>HYPERLINK("http://exon.niaid.nih.gov/transcriptome/Anopheles_sialome/links/cluster-b/anopheline-sialome-cds-pep-larger-orf45-50SimCLU7.txt", 7)</f>
        <v>7</v>
      </c>
      <c r="BU39">
        <f>HYPERLINK("http://exon.niaid.nih.gov/transcriptome/Anopheles_sialome/links/cluster-b/anopheline-sialome-cds-pep-larger-orf45-50SimCLTL7.txt", 35)</f>
        <v>35</v>
      </c>
      <c r="BV39">
        <f>HYPERLINK("http://exon.niaid.nih.gov/transcriptome/Anopheles_sialome/links/cluster-b/anopheline-sialome-cds-pep-larger-orf50-50SimCLU7.txt", 7)</f>
        <v>7</v>
      </c>
      <c r="BW39">
        <f>HYPERLINK("http://exon.niaid.nih.gov/transcriptome/Anopheles_sialome/links/cluster-b/anopheline-sialome-cds-pep-larger-orf50-50SimCLTL7.txt", 35)</f>
        <v>35</v>
      </c>
      <c r="BX39">
        <f>HYPERLINK("http://exon.niaid.nih.gov/transcriptome/Anopheles_sialome/links/cluster-b/anopheline-sialome-cds-pep-larger-orf55-50SimCLU7.txt", 7)</f>
        <v>7</v>
      </c>
      <c r="BY39">
        <f>HYPERLINK("http://exon.niaid.nih.gov/transcriptome/Anopheles_sialome/links/cluster-b/anopheline-sialome-cds-pep-larger-orf55-50SimCLTL7.txt", 35)</f>
        <v>35</v>
      </c>
      <c r="BZ39">
        <f>HYPERLINK("http://exon.niaid.nih.gov/transcriptome/Anopheles_sialome/links/cluster-b/anopheline-sialome-cds-pep-larger-orf60-50SimCLU5.txt", 5)</f>
        <v>5</v>
      </c>
      <c r="CA39">
        <f>HYPERLINK("http://exon.niaid.nih.gov/transcriptome/Anopheles_sialome/links/cluster-b/anopheline-sialome-cds-pep-larger-orf60-50SimCLTL5.txt", 35)</f>
        <v>35</v>
      </c>
      <c r="CB39">
        <f>HYPERLINK("http://exon.niaid.nih.gov/transcriptome/Anopheles_sialome/links/cluster-b/anopheline-sialome-cds-pep-larger-orf65-50SimCLU3.txt", 3)</f>
        <v>3</v>
      </c>
      <c r="CC39">
        <f>HYPERLINK("http://exon.niaid.nih.gov/transcriptome/Anopheles_sialome/links/cluster-b/anopheline-sialome-cds-pep-larger-orf65-50SimCLTL3.txt", 35)</f>
        <v>35</v>
      </c>
      <c r="CD39">
        <f>HYPERLINK("http://exon.niaid.nih.gov/transcriptome/Anopheles_sialome/links/cluster-b/anopheline-sialome-cds-pep-larger-orf70-50SimCLU15.txt", 15)</f>
        <v>15</v>
      </c>
      <c r="CE39">
        <f>HYPERLINK("http://exon.niaid.nih.gov/transcriptome/Anopheles_sialome/links/cluster-b/anopheline-sialome-cds-pep-larger-orf70-50SimCLTL15.txt", 18)</f>
        <v>18</v>
      </c>
      <c r="CF39">
        <f>HYPERLINK("http://exon.niaid.nih.gov/transcriptome/Anopheles_sialome/links/cluster-b/anopheline-sialome-cds-pep-larger-orf75-50SimCLU9.txt", 9)</f>
        <v>9</v>
      </c>
      <c r="CG39">
        <f>HYPERLINK("http://exon.niaid.nih.gov/transcriptome/Anopheles_sialome/links/cluster-b/anopheline-sialome-cds-pep-larger-orf75-50SimCLTL9.txt", 18)</f>
        <v>18</v>
      </c>
      <c r="CH39">
        <f>HYPERLINK("http://exon.niaid.nih.gov/transcriptome/Anopheles_sialome/links/cluster-b/anopheline-sialome-cds-pep-larger-orf80-50SimCLU7.txt", 7)</f>
        <v>7</v>
      </c>
      <c r="CI39">
        <f>HYPERLINK("http://exon.niaid.nih.gov/transcriptome/Anopheles_sialome/links/cluster-b/anopheline-sialome-cds-pep-larger-orf80-50SimCLTL7.txt", 18)</f>
        <v>18</v>
      </c>
      <c r="CJ39">
        <f>HYPERLINK("http://exon.niaid.nih.gov/transcriptome/Anopheles_sialome/links/cluster-b/anopheline-sialome-cds-pep-larger-orf85-50SimCLU67.txt", 67)</f>
        <v>67</v>
      </c>
      <c r="CK39">
        <f>HYPERLINK("http://exon.niaid.nih.gov/transcriptome/Anopheles_sialome/links/cluster-b/anopheline-sialome-cds-pep-larger-orf85-50SimCLTL67.txt", 2)</f>
        <v>2</v>
      </c>
      <c r="CL39">
        <f>HYPERLINK("http://exon.niaid.nih.gov/transcriptome/Anopheles_sialome/links/cluster-b/anopheline-sialome-cds-pep-larger-orf90-50SimCLU65.txt", 65)</f>
        <v>65</v>
      </c>
      <c r="CM39">
        <f>HYPERLINK("http://exon.niaid.nih.gov/transcriptome/Anopheles_sialome/links/cluster-b/anopheline-sialome-cds-pep-larger-orf90-50SimCLTL65.txt", 2)</f>
        <v>2</v>
      </c>
      <c r="CN39">
        <f>HYPERLINK("http://exon.niaid.nih.gov/transcriptome/Anopheles_sialome/links/cluster-b/anopheline-sialome-cds-pep-larger-orf95-50SimCLU60.txt", 60)</f>
        <v>60</v>
      </c>
      <c r="CO39">
        <f>HYPERLINK("http://exon.niaid.nih.gov/transcriptome/Anopheles_sialome/links/cluster-b/anopheline-sialome-cds-pep-larger-orf95-50SimCLTL60.txt", 2)</f>
        <v>2</v>
      </c>
    </row>
    <row r="40" spans="1:93">
      <c r="A40" s="14" t="s">
        <v>3140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</row>
    <row r="41" spans="1:93">
      <c r="A41" s="2" t="str">
        <f>HYPERLINK("http://exon.niaid.nih.gov/transcriptome/Anopheles_sialome/links/cds/anoga_epoxy_hydrolase-cds.txt","anoga_epoxy_hydrolase")</f>
        <v>anoga_epoxy_hydrolase</v>
      </c>
      <c r="B41">
        <v>1194</v>
      </c>
      <c r="C41" t="s">
        <v>223</v>
      </c>
      <c r="D41" t="s">
        <v>4</v>
      </c>
      <c r="E41" t="s">
        <v>5</v>
      </c>
      <c r="F41" t="s">
        <v>1</v>
      </c>
      <c r="G41" t="str">
        <f>HYPERLINK("http://exon.niaid.nih.gov/transcriptome/Anopheles_sialome/links/pep/anoga_epoxy_hydrolase-pep.txt","anoga_epoxy_hydrolase")</f>
        <v>anoga_epoxy_hydrolase</v>
      </c>
      <c r="H41">
        <v>397</v>
      </c>
      <c r="I41">
        <v>1</v>
      </c>
      <c r="J41" s="3" t="str">
        <f>HYPERLINK("http://exon.niaid.nih.gov/transcriptome/Anopheles_sialome/links/Sigp/anoga_epoxy_hydrolase-SigP.txt","SIG")</f>
        <v>SIG</v>
      </c>
      <c r="K41" t="s">
        <v>1220</v>
      </c>
      <c r="L41">
        <v>45.265000000000001</v>
      </c>
      <c r="M41">
        <v>7.99</v>
      </c>
      <c r="N41">
        <v>40.83</v>
      </c>
      <c r="O41">
        <v>6.8</v>
      </c>
      <c r="P41" t="s">
        <v>1221</v>
      </c>
      <c r="Q41" s="3">
        <v>0</v>
      </c>
      <c r="R41" t="s">
        <v>128</v>
      </c>
      <c r="S41" t="s">
        <v>128</v>
      </c>
      <c r="T41" t="s">
        <v>128</v>
      </c>
      <c r="U41" t="s">
        <v>128</v>
      </c>
      <c r="V41" t="s">
        <v>128</v>
      </c>
      <c r="W41" s="3" t="str">
        <f>HYPERLINK("http://exon.niaid.nih.gov/transcriptome/Anopheles_sialome/links/netoglyc/anoga_epoxy_hydrolase-netoglyc.txt","0")</f>
        <v>0</v>
      </c>
      <c r="X41">
        <v>8.6</v>
      </c>
      <c r="Y41">
        <v>6.8</v>
      </c>
      <c r="Z41">
        <v>6</v>
      </c>
      <c r="AA41" t="s">
        <v>654</v>
      </c>
      <c r="AB41" t="s">
        <v>1222</v>
      </c>
      <c r="AC41" s="2" t="str">
        <f>HYPERLINK("http://exon.niaid.nih.gov/transcriptome/Anopheles_sialome/links/DIPTERA/anoga_epoxy_hydrolase-DIPTERA.txt","AGAP011970-PA, partial")</f>
        <v>AGAP011970-PA, partial</v>
      </c>
      <c r="AD41" t="str">
        <f t="shared" ref="AD41:AD46" si="8">HYPERLINK("http://www.ncbi.nlm.nih.gov/sutils/blink.cgi?pid=157013288","0.0")</f>
        <v>0.0</v>
      </c>
      <c r="AE41" t="str">
        <f t="shared" ref="AE41:AE42" si="9">HYPERLINK("http://www.ncbi.nlm.nih.gov/protein/157013288","gi|157013288")</f>
        <v>gi|157013288</v>
      </c>
      <c r="AF41">
        <v>100</v>
      </c>
      <c r="AG41">
        <v>100</v>
      </c>
      <c r="AH41">
        <v>98</v>
      </c>
      <c r="AI41" t="s">
        <v>2285</v>
      </c>
      <c r="AJ41" s="2" t="str">
        <f>HYPERLINK("http://exon.niaid.nih.gov/transcriptome/Anopheles_sialome/links/CULICOMORPHA/anoga_epoxy_hydrolase-CULICOMORPHA.txt","AGAP011970-PA, partial")</f>
        <v>AGAP011970-PA, partial</v>
      </c>
      <c r="AK41" t="str">
        <f t="shared" ref="AK41:AK46" si="10">HYPERLINK("http://www.ncbi.nlm.nih.gov/sutils/blink.cgi?pid=157013288","0.0")</f>
        <v>0.0</v>
      </c>
      <c r="AL41" t="str">
        <f t="shared" ref="AL41:AL42" si="11">HYPERLINK("http://www.ncbi.nlm.nih.gov/protein/157013288","gi|157013288")</f>
        <v>gi|157013288</v>
      </c>
      <c r="AM41">
        <v>100</v>
      </c>
      <c r="AN41">
        <v>100</v>
      </c>
      <c r="AO41">
        <v>98</v>
      </c>
      <c r="AP41" t="s">
        <v>2285</v>
      </c>
      <c r="AQ41" s="2" t="str">
        <f>HYPERLINK("http://exon.niaid.nih.gov/transcriptome/Anopheles_sialome/links/NR-LIGHT/anoga_epoxy_hydrolase-NR-LIGHT.txt","AGAP011970-PA")</f>
        <v>AGAP011970-PA</v>
      </c>
      <c r="AR41" t="str">
        <f t="shared" ref="AR41:AR46" si="12">HYPERLINK("http://www.ncbi.nlm.nih.gov/sutils/blink.cgi?pid=158300702","0.0")</f>
        <v>0.0</v>
      </c>
      <c r="AS41" t="str">
        <f t="shared" ref="AS41:AS42" si="13">HYPERLINK("http://www.ncbi.nlm.nih.gov/protein/158300702","gi|158300702")</f>
        <v>gi|158300702</v>
      </c>
      <c r="AT41">
        <v>100</v>
      </c>
      <c r="AU41">
        <v>100</v>
      </c>
      <c r="AV41">
        <v>98</v>
      </c>
      <c r="AW41" t="s">
        <v>2285</v>
      </c>
      <c r="AX41" s="2" t="str">
        <f>HYPERLINK("http://exon.niaid.nih.gov/transcriptome/Anopheles_sialome/links/CDD/anoga_epoxy_hydrolase-CDD.txt","MhpC")</f>
        <v>MhpC</v>
      </c>
      <c r="AY41" t="str">
        <f>HYPERLINK("http://www.ncbi.nlm.nih.gov/Structure/cdd/cddsrv.cgi?uid=COG0596&amp;version=v4.0","3E-021")</f>
        <v>3E-021</v>
      </c>
      <c r="AZ41" t="s">
        <v>2598</v>
      </c>
      <c r="BA41" s="2" t="str">
        <f>HYPERLINK("http://exon.niaid.nih.gov/transcriptome/Anopheles_sialome/links/KOG/anoga_epoxy_hydrolase-KOG.txt","Soluble epoxide hydrolase")</f>
        <v>Soluble epoxide hydrolase</v>
      </c>
      <c r="BB41" t="str">
        <f>HYPERLINK("http://www.ncbi.nlm.nih.gov/Structure/cdd/cddsrv.cgi?uid=KOG4178","1E-035")</f>
        <v>1E-035</v>
      </c>
      <c r="BC41" t="s">
        <v>2298</v>
      </c>
      <c r="BD41" t="str">
        <f>HYPERLINK("http://exon.niaid.nih.gov/transcriptome/Anopheles_sialome/links/KOG/anoga_epoxy_hydrolase-KOG.txt","KOG4178")</f>
        <v>KOG4178</v>
      </c>
      <c r="BE41" t="str">
        <f>HYPERLINK("http://exon.niaid.nih.gov/transcriptome/Anopheles_sialome/links/PFAM/anoga_epoxy_hydrolase-PFAM.txt","Abhydrolase_6")</f>
        <v>Abhydrolase_6</v>
      </c>
      <c r="BF41" t="str">
        <f>HYPERLINK("http://pfam.sanger.ac.uk/family?acc=PF12697","7E-021")</f>
        <v>7E-021</v>
      </c>
      <c r="BG41" s="2" t="str">
        <f>HYPERLINK("http://exon.niaid.nih.gov/transcriptome/Anopheles_sialome/links/SMART/anoga_epoxy_hydrolase-SMART.txt","PKS_TE")</f>
        <v>PKS_TE</v>
      </c>
      <c r="BH41" t="str">
        <f>HYPERLINK("http://smart.embl-heidelberg.de/smart/do_annotation.pl?DOMAIN=PKS_TE&amp;BLAST=DUMMY","0.15")</f>
        <v>0.15</v>
      </c>
      <c r="BI41" t="s">
        <v>128</v>
      </c>
      <c r="BJ41" s="2" t="s">
        <v>128</v>
      </c>
      <c r="BK41" t="s">
        <v>1219</v>
      </c>
      <c r="BL41">
        <f>HYPERLINK("http://exon.niaid.nih.gov/transcriptome/Anopheles_sialome/links/cluster-b/anopheline-sialome-cds-pep-larger-orf25-50SimCLU14.txt", 14)</f>
        <v>14</v>
      </c>
      <c r="BM41">
        <f>HYPERLINK("http://exon.niaid.nih.gov/transcriptome/Anopheles_sialome/links/cluster-b/anopheline-sialome-cds-pep-larger-orf25-50SimCLTL14.txt", 18)</f>
        <v>18</v>
      </c>
      <c r="BN41">
        <f>HYPERLINK("http://exon.niaid.nih.gov/transcriptome/Anopheles_sialome/links/cluster-b/anopheline-sialome-cds-pep-larger-orf30-50SimCLU14.txt", 14)</f>
        <v>14</v>
      </c>
      <c r="BO41">
        <f>HYPERLINK("http://exon.niaid.nih.gov/transcriptome/Anopheles_sialome/links/cluster-b/anopheline-sialome-cds-pep-larger-orf30-50SimCLTL14.txt", 18)</f>
        <v>18</v>
      </c>
      <c r="BP41">
        <f>HYPERLINK("http://exon.niaid.nih.gov/transcriptome/Anopheles_sialome/links/cluster-b/anopheline-sialome-cds-pep-larger-orf35-50SimCLU16.txt", 16)</f>
        <v>16</v>
      </c>
      <c r="BQ41">
        <f>HYPERLINK("http://exon.niaid.nih.gov/transcriptome/Anopheles_sialome/links/cluster-b/anopheline-sialome-cds-pep-larger-orf35-50SimCLTL16.txt", 18)</f>
        <v>18</v>
      </c>
      <c r="BR41">
        <f>HYPERLINK("http://exon.niaid.nih.gov/transcriptome/Anopheles_sialome/links/cluster-b/anopheline-sialome-cds-pep-larger-orf40-50SimCLU19.txt", 19)</f>
        <v>19</v>
      </c>
      <c r="BS41">
        <f>HYPERLINK("http://exon.niaid.nih.gov/transcriptome/Anopheles_sialome/links/cluster-b/anopheline-sialome-cds-pep-larger-orf40-50SimCLTL19.txt", 18)</f>
        <v>18</v>
      </c>
      <c r="BT41">
        <f>HYPERLINK("http://exon.niaid.nih.gov/transcriptome/Anopheles_sialome/links/cluster-b/anopheline-sialome-cds-pep-larger-orf45-50SimCLU20.txt", 20)</f>
        <v>20</v>
      </c>
      <c r="BU41">
        <f>HYPERLINK("http://exon.niaid.nih.gov/transcriptome/Anopheles_sialome/links/cluster-b/anopheline-sialome-cds-pep-larger-orf45-50SimCLTL20.txt", 18)</f>
        <v>18</v>
      </c>
      <c r="BV41">
        <f>HYPERLINK("http://exon.niaid.nih.gov/transcriptome/Anopheles_sialome/links/cluster-b/anopheline-sialome-cds-pep-larger-orf50-50SimCLU19.txt", 19)</f>
        <v>19</v>
      </c>
      <c r="BW41">
        <f>HYPERLINK("http://exon.niaid.nih.gov/transcriptome/Anopheles_sialome/links/cluster-b/anopheline-sialome-cds-pep-larger-orf50-50SimCLTL19.txt", 18)</f>
        <v>18</v>
      </c>
      <c r="BX41">
        <f>HYPERLINK("http://exon.niaid.nih.gov/transcriptome/Anopheles_sialome/links/cluster-b/anopheline-sialome-cds-pep-larger-orf55-50SimCLU20.txt", 20)</f>
        <v>20</v>
      </c>
      <c r="BY41">
        <f>HYPERLINK("http://exon.niaid.nih.gov/transcriptome/Anopheles_sialome/links/cluster-b/anopheline-sialome-cds-pep-larger-orf55-50SimCLTL20.txt", 18)</f>
        <v>18</v>
      </c>
      <c r="BZ41">
        <f>HYPERLINK("http://exon.niaid.nih.gov/transcriptome/Anopheles_sialome/links/cluster-b/anopheline-sialome-cds-pep-larger-orf60-50SimCLU19.txt", 19)</f>
        <v>19</v>
      </c>
      <c r="CA41">
        <f>HYPERLINK("http://exon.niaid.nih.gov/transcriptome/Anopheles_sialome/links/cluster-b/anopheline-sialome-cds-pep-larger-orf60-50SimCLTL19.txt", 18)</f>
        <v>18</v>
      </c>
      <c r="CB41">
        <f>HYPERLINK("http://exon.niaid.nih.gov/transcriptome/Anopheles_sialome/links/cluster-b/anopheline-sialome-cds-pep-larger-orf65-50SimCLU15.txt", 15)</f>
        <v>15</v>
      </c>
      <c r="CC41">
        <f>HYPERLINK("http://exon.niaid.nih.gov/transcriptome/Anopheles_sialome/links/cluster-b/anopheline-sialome-cds-pep-larger-orf65-50SimCLTL15.txt", 18)</f>
        <v>18</v>
      </c>
      <c r="CD41">
        <f>HYPERLINK("http://exon.niaid.nih.gov/transcriptome/Anopheles_sialome/links/cluster-b/anopheline-sialome-cds-pep-larger-orf70-50SimCLU18.txt", 18)</f>
        <v>18</v>
      </c>
      <c r="CE41">
        <f>HYPERLINK("http://exon.niaid.nih.gov/transcriptome/Anopheles_sialome/links/cluster-b/anopheline-sialome-cds-pep-larger-orf70-50SimCLTL18.txt", 17)</f>
        <v>17</v>
      </c>
      <c r="CF41">
        <f>HYPERLINK("http://exon.niaid.nih.gov/transcriptome/Anopheles_sialome/links/cluster-b/anopheline-sialome-cds-pep-larger-orf75-50SimCLU19.txt", 19)</f>
        <v>19</v>
      </c>
      <c r="CG41">
        <f>HYPERLINK("http://exon.niaid.nih.gov/transcriptome/Anopheles_sialome/links/cluster-b/anopheline-sialome-cds-pep-larger-orf75-50SimCLTL19.txt", 15)</f>
        <v>15</v>
      </c>
      <c r="CH41">
        <f>HYPERLINK("http://exon.niaid.nih.gov/transcriptome/Anopheles_sialome/links/cluster-b/anopheline-sialome-cds-pep-larger-orf80-50SimCLU24.txt", 24)</f>
        <v>24</v>
      </c>
      <c r="CI41">
        <f>HYPERLINK("http://exon.niaid.nih.gov/transcriptome/Anopheles_sialome/links/cluster-b/anopheline-sialome-cds-pep-larger-orf80-50SimCLTL24.txt", 11)</f>
        <v>11</v>
      </c>
      <c r="CJ41">
        <f>HYPERLINK("http://exon.niaid.nih.gov/transcriptome/Anopheles_sialome/links/cluster-b/anopheline-sialome-cds-pep-larger-orf85-50SimCLU23.txt", 23)</f>
        <v>23</v>
      </c>
      <c r="CK41">
        <f>HYPERLINK("http://exon.niaid.nih.gov/transcriptome/Anopheles_sialome/links/cluster-b/anopheline-sialome-cds-pep-larger-orf85-50SimCLTL23.txt", 7)</f>
        <v>7</v>
      </c>
      <c r="CL41">
        <f>HYPERLINK("http://exon.niaid.nih.gov/transcriptome/Anopheles_sialome/links/cluster-b/anopheline-sialome-cds-pep-larger-orf90-50SimCLU22.txt", 22)</f>
        <v>22</v>
      </c>
      <c r="CM41">
        <f>HYPERLINK("http://exon.niaid.nih.gov/transcriptome/Anopheles_sialome/links/cluster-b/anopheline-sialome-cds-pep-larger-orf90-50SimCLTL22.txt", 6)</f>
        <v>6</v>
      </c>
      <c r="CN41">
        <f>HYPERLINK("http://exon.niaid.nih.gov/transcriptome/Anopheles_sialome/links/cluster-b/anopheline-sialome-cds-pep-larger-orf95-50SimCLU35.txt", 35)</f>
        <v>35</v>
      </c>
      <c r="CO41">
        <f>HYPERLINK("http://exon.niaid.nih.gov/transcriptome/Anopheles_sialome/links/cluster-b/anopheline-sialome-cds-pep-larger-orf95-50SimCLTL35.txt", 5)</f>
        <v>5</v>
      </c>
    </row>
    <row r="42" spans="1:93">
      <c r="A42" s="2" t="str">
        <f>HYPERLINK("http://exon.niaid.nih.gov/transcriptome/Anopheles_sialome/links/cds/anocol_epoxy_hydrolase-cds.txt","anocol_epoxy_hydrolase")</f>
        <v>anocol_epoxy_hydrolase</v>
      </c>
      <c r="B42">
        <v>1194</v>
      </c>
      <c r="C42" t="s">
        <v>224</v>
      </c>
      <c r="D42" t="s">
        <v>4</v>
      </c>
      <c r="E42" t="s">
        <v>5</v>
      </c>
      <c r="F42" t="s">
        <v>1</v>
      </c>
      <c r="G42" t="str">
        <f>HYPERLINK("http://exon.niaid.nih.gov/transcriptome/Anopheles_sialome/links/pep/anocol_epoxy_hydrolase-pep.txt","anocol_epoxy_hydrolase")</f>
        <v>anocol_epoxy_hydrolase</v>
      </c>
      <c r="H42">
        <v>397</v>
      </c>
      <c r="I42">
        <v>1</v>
      </c>
      <c r="J42" s="3" t="str">
        <f>HYPERLINK("http://exon.niaid.nih.gov/transcriptome/Anopheles_sialome/links/Sigp/anocol_epoxy_hydrolase-SigP.txt","SIG")</f>
        <v>SIG</v>
      </c>
      <c r="K42" t="s">
        <v>1220</v>
      </c>
      <c r="L42">
        <v>45.34</v>
      </c>
      <c r="M42">
        <v>8.24</v>
      </c>
      <c r="N42">
        <v>40.850999999999999</v>
      </c>
      <c r="O42">
        <v>7.05</v>
      </c>
      <c r="P42" t="s">
        <v>1224</v>
      </c>
      <c r="Q42" s="3">
        <v>0</v>
      </c>
      <c r="R42" t="s">
        <v>128</v>
      </c>
      <c r="S42" t="s">
        <v>128</v>
      </c>
      <c r="T42" t="s">
        <v>128</v>
      </c>
      <c r="U42" t="s">
        <v>128</v>
      </c>
      <c r="V42" t="s">
        <v>128</v>
      </c>
      <c r="W42" s="3" t="str">
        <f>HYPERLINK("http://exon.niaid.nih.gov/transcriptome/Anopheles_sialome/links/netoglyc/anocol_epoxy_hydrolase-netoglyc.txt","0")</f>
        <v>0</v>
      </c>
      <c r="X42">
        <v>8.6</v>
      </c>
      <c r="Y42">
        <v>6.8</v>
      </c>
      <c r="Z42">
        <v>6.3</v>
      </c>
      <c r="AA42" t="s">
        <v>654</v>
      </c>
      <c r="AB42" t="s">
        <v>1225</v>
      </c>
      <c r="AC42" s="2" t="str">
        <f>HYPERLINK("http://exon.niaid.nih.gov/transcriptome/Anopheles_sialome/links/DIPTERA/anocol_epoxy_hydrolase-DIPTERA.txt","AGAP011970-PA, partial")</f>
        <v>AGAP011970-PA, partial</v>
      </c>
      <c r="AD42" t="str">
        <f t="shared" si="8"/>
        <v>0.0</v>
      </c>
      <c r="AE42" t="str">
        <f t="shared" si="9"/>
        <v>gi|157013288</v>
      </c>
      <c r="AF42">
        <v>96</v>
      </c>
      <c r="AG42">
        <v>97</v>
      </c>
      <c r="AH42">
        <v>98</v>
      </c>
      <c r="AI42" t="s">
        <v>2285</v>
      </c>
      <c r="AJ42" s="2" t="str">
        <f>HYPERLINK("http://exon.niaid.nih.gov/transcriptome/Anopheles_sialome/links/CULICOMORPHA/anocol_epoxy_hydrolase-CULICOMORPHA.txt","AGAP011970-PA, partial")</f>
        <v>AGAP011970-PA, partial</v>
      </c>
      <c r="AK42" t="str">
        <f t="shared" si="10"/>
        <v>0.0</v>
      </c>
      <c r="AL42" t="str">
        <f t="shared" si="11"/>
        <v>gi|157013288</v>
      </c>
      <c r="AM42">
        <v>96</v>
      </c>
      <c r="AN42">
        <v>97</v>
      </c>
      <c r="AO42">
        <v>98</v>
      </c>
      <c r="AP42" t="s">
        <v>2285</v>
      </c>
      <c r="AQ42" s="2" t="str">
        <f>HYPERLINK("http://exon.niaid.nih.gov/transcriptome/Anopheles_sialome/links/NR-LIGHT/anocol_epoxy_hydrolase-NR-LIGHT.txt","AGAP011970-PA")</f>
        <v>AGAP011970-PA</v>
      </c>
      <c r="AR42" t="str">
        <f t="shared" si="12"/>
        <v>0.0</v>
      </c>
      <c r="AS42" t="str">
        <f t="shared" si="13"/>
        <v>gi|158300702</v>
      </c>
      <c r="AT42">
        <v>96</v>
      </c>
      <c r="AU42">
        <v>97</v>
      </c>
      <c r="AV42">
        <v>98</v>
      </c>
      <c r="AW42" t="s">
        <v>2285</v>
      </c>
      <c r="AX42" s="2" t="str">
        <f>HYPERLINK("http://exon.niaid.nih.gov/transcriptome/Anopheles_sialome/links/CDD/anocol_epoxy_hydrolase-CDD.txt","MhpC")</f>
        <v>MhpC</v>
      </c>
      <c r="AY42" t="str">
        <f>HYPERLINK("http://www.ncbi.nlm.nih.gov/Structure/cdd/cddsrv.cgi?uid=COG0596&amp;version=v4.0","3E-020")</f>
        <v>3E-020</v>
      </c>
      <c r="AZ42" t="s">
        <v>2599</v>
      </c>
      <c r="BA42" s="2" t="str">
        <f>HYPERLINK("http://exon.niaid.nih.gov/transcriptome/Anopheles_sialome/links/KOG/anocol_epoxy_hydrolase-KOG.txt","Soluble epoxide hydrolase")</f>
        <v>Soluble epoxide hydrolase</v>
      </c>
      <c r="BB42" t="str">
        <f>HYPERLINK("http://www.ncbi.nlm.nih.gov/Structure/cdd/cddsrv.cgi?uid=KOG4178","4E-033")</f>
        <v>4E-033</v>
      </c>
      <c r="BC42" t="s">
        <v>2298</v>
      </c>
      <c r="BD42" t="str">
        <f>HYPERLINK("http://exon.niaid.nih.gov/transcriptome/Anopheles_sialome/links/KOG/anocol_epoxy_hydrolase-KOG.txt","KOG4178")</f>
        <v>KOG4178</v>
      </c>
      <c r="BE42" t="str">
        <f>HYPERLINK("http://exon.niaid.nih.gov/transcriptome/Anopheles_sialome/links/PFAM/anocol_epoxy_hydrolase-PFAM.txt","Abhydrolase_6")</f>
        <v>Abhydrolase_6</v>
      </c>
      <c r="BF42" t="str">
        <f>HYPERLINK("http://pfam.sanger.ac.uk/family?acc=PF12697","5E-019")</f>
        <v>5E-019</v>
      </c>
      <c r="BG42" s="2" t="str">
        <f>HYPERLINK("http://exon.niaid.nih.gov/transcriptome/Anopheles_sialome/links/SMART/anocol_epoxy_hydrolase-SMART.txt","PKS_TE")</f>
        <v>PKS_TE</v>
      </c>
      <c r="BH42" t="str">
        <f>HYPERLINK("http://smart.embl-heidelberg.de/smart/do_annotation.pl?DOMAIN=PKS_TE&amp;BLAST=DUMMY","0.14")</f>
        <v>0.14</v>
      </c>
      <c r="BI42" t="s">
        <v>128</v>
      </c>
      <c r="BJ42" s="2" t="s">
        <v>128</v>
      </c>
      <c r="BK42" t="s">
        <v>1223</v>
      </c>
      <c r="BL42">
        <f>HYPERLINK("http://exon.niaid.nih.gov/transcriptome/Anopheles_sialome/links/cluster-b/anopheline-sialome-cds-pep-larger-orf25-50SimCLU14.txt", 14)</f>
        <v>14</v>
      </c>
      <c r="BM42">
        <f>HYPERLINK("http://exon.niaid.nih.gov/transcriptome/Anopheles_sialome/links/cluster-b/anopheline-sialome-cds-pep-larger-orf25-50SimCLTL14.txt", 18)</f>
        <v>18</v>
      </c>
      <c r="BN42">
        <f>HYPERLINK("http://exon.niaid.nih.gov/transcriptome/Anopheles_sialome/links/cluster-b/anopheline-sialome-cds-pep-larger-orf30-50SimCLU14.txt", 14)</f>
        <v>14</v>
      </c>
      <c r="BO42">
        <f>HYPERLINK("http://exon.niaid.nih.gov/transcriptome/Anopheles_sialome/links/cluster-b/anopheline-sialome-cds-pep-larger-orf30-50SimCLTL14.txt", 18)</f>
        <v>18</v>
      </c>
      <c r="BP42">
        <f>HYPERLINK("http://exon.niaid.nih.gov/transcriptome/Anopheles_sialome/links/cluster-b/anopheline-sialome-cds-pep-larger-orf35-50SimCLU16.txt", 16)</f>
        <v>16</v>
      </c>
      <c r="BQ42">
        <f>HYPERLINK("http://exon.niaid.nih.gov/transcriptome/Anopheles_sialome/links/cluster-b/anopheline-sialome-cds-pep-larger-orf35-50SimCLTL16.txt", 18)</f>
        <v>18</v>
      </c>
      <c r="BR42">
        <f>HYPERLINK("http://exon.niaid.nih.gov/transcriptome/Anopheles_sialome/links/cluster-b/anopheline-sialome-cds-pep-larger-orf40-50SimCLU19.txt", 19)</f>
        <v>19</v>
      </c>
      <c r="BS42">
        <f>HYPERLINK("http://exon.niaid.nih.gov/transcriptome/Anopheles_sialome/links/cluster-b/anopheline-sialome-cds-pep-larger-orf40-50SimCLTL19.txt", 18)</f>
        <v>18</v>
      </c>
      <c r="BT42">
        <f>HYPERLINK("http://exon.niaid.nih.gov/transcriptome/Anopheles_sialome/links/cluster-b/anopheline-sialome-cds-pep-larger-orf45-50SimCLU20.txt", 20)</f>
        <v>20</v>
      </c>
      <c r="BU42">
        <f>HYPERLINK("http://exon.niaid.nih.gov/transcriptome/Anopheles_sialome/links/cluster-b/anopheline-sialome-cds-pep-larger-orf45-50SimCLTL20.txt", 18)</f>
        <v>18</v>
      </c>
      <c r="BV42">
        <f>HYPERLINK("http://exon.niaid.nih.gov/transcriptome/Anopheles_sialome/links/cluster-b/anopheline-sialome-cds-pep-larger-orf50-50SimCLU19.txt", 19)</f>
        <v>19</v>
      </c>
      <c r="BW42">
        <f>HYPERLINK("http://exon.niaid.nih.gov/transcriptome/Anopheles_sialome/links/cluster-b/anopheline-sialome-cds-pep-larger-orf50-50SimCLTL19.txt", 18)</f>
        <v>18</v>
      </c>
      <c r="BX42">
        <f>HYPERLINK("http://exon.niaid.nih.gov/transcriptome/Anopheles_sialome/links/cluster-b/anopheline-sialome-cds-pep-larger-orf55-50SimCLU20.txt", 20)</f>
        <v>20</v>
      </c>
      <c r="BY42">
        <f>HYPERLINK("http://exon.niaid.nih.gov/transcriptome/Anopheles_sialome/links/cluster-b/anopheline-sialome-cds-pep-larger-orf55-50SimCLTL20.txt", 18)</f>
        <v>18</v>
      </c>
      <c r="BZ42">
        <f>HYPERLINK("http://exon.niaid.nih.gov/transcriptome/Anopheles_sialome/links/cluster-b/anopheline-sialome-cds-pep-larger-orf60-50SimCLU19.txt", 19)</f>
        <v>19</v>
      </c>
      <c r="CA42">
        <f>HYPERLINK("http://exon.niaid.nih.gov/transcriptome/Anopheles_sialome/links/cluster-b/anopheline-sialome-cds-pep-larger-orf60-50SimCLTL19.txt", 18)</f>
        <v>18</v>
      </c>
      <c r="CB42">
        <f>HYPERLINK("http://exon.niaid.nih.gov/transcriptome/Anopheles_sialome/links/cluster-b/anopheline-sialome-cds-pep-larger-orf65-50SimCLU15.txt", 15)</f>
        <v>15</v>
      </c>
      <c r="CC42">
        <f>HYPERLINK("http://exon.niaid.nih.gov/transcriptome/Anopheles_sialome/links/cluster-b/anopheline-sialome-cds-pep-larger-orf65-50SimCLTL15.txt", 18)</f>
        <v>18</v>
      </c>
      <c r="CD42">
        <f>HYPERLINK("http://exon.niaid.nih.gov/transcriptome/Anopheles_sialome/links/cluster-b/anopheline-sialome-cds-pep-larger-orf70-50SimCLU18.txt", 18)</f>
        <v>18</v>
      </c>
      <c r="CE42">
        <f>HYPERLINK("http://exon.niaid.nih.gov/transcriptome/Anopheles_sialome/links/cluster-b/anopheline-sialome-cds-pep-larger-orf70-50SimCLTL18.txt", 17)</f>
        <v>17</v>
      </c>
      <c r="CF42">
        <f>HYPERLINK("http://exon.niaid.nih.gov/transcriptome/Anopheles_sialome/links/cluster-b/anopheline-sialome-cds-pep-larger-orf75-50SimCLU19.txt", 19)</f>
        <v>19</v>
      </c>
      <c r="CG42">
        <f>HYPERLINK("http://exon.niaid.nih.gov/transcriptome/Anopheles_sialome/links/cluster-b/anopheline-sialome-cds-pep-larger-orf75-50SimCLTL19.txt", 15)</f>
        <v>15</v>
      </c>
      <c r="CH42">
        <f>HYPERLINK("http://exon.niaid.nih.gov/transcriptome/Anopheles_sialome/links/cluster-b/anopheline-sialome-cds-pep-larger-orf80-50SimCLU24.txt", 24)</f>
        <v>24</v>
      </c>
      <c r="CI42">
        <f>HYPERLINK("http://exon.niaid.nih.gov/transcriptome/Anopheles_sialome/links/cluster-b/anopheline-sialome-cds-pep-larger-orf80-50SimCLTL24.txt", 11)</f>
        <v>11</v>
      </c>
      <c r="CJ42">
        <f>HYPERLINK("http://exon.niaid.nih.gov/transcriptome/Anopheles_sialome/links/cluster-b/anopheline-sialome-cds-pep-larger-orf85-50SimCLU23.txt", 23)</f>
        <v>23</v>
      </c>
      <c r="CK42">
        <f>HYPERLINK("http://exon.niaid.nih.gov/transcriptome/Anopheles_sialome/links/cluster-b/anopheline-sialome-cds-pep-larger-orf85-50SimCLTL23.txt", 7)</f>
        <v>7</v>
      </c>
      <c r="CL42">
        <f>HYPERLINK("http://exon.niaid.nih.gov/transcriptome/Anopheles_sialome/links/cluster-b/anopheline-sialome-cds-pep-larger-orf90-50SimCLU22.txt", 22)</f>
        <v>22</v>
      </c>
      <c r="CM42">
        <f>HYPERLINK("http://exon.niaid.nih.gov/transcriptome/Anopheles_sialome/links/cluster-b/anopheline-sialome-cds-pep-larger-orf90-50SimCLTL22.txt", 6)</f>
        <v>6</v>
      </c>
      <c r="CN42">
        <f>HYPERLINK("http://exon.niaid.nih.gov/transcriptome/Anopheles_sialome/links/cluster-b/anopheline-sialome-cds-pep-larger-orf95-50SimCLU35.txt", 35)</f>
        <v>35</v>
      </c>
      <c r="CO42">
        <f>HYPERLINK("http://exon.niaid.nih.gov/transcriptome/Anopheles_sialome/links/cluster-b/anopheline-sialome-cds-pep-larger-orf95-50SimCLTL35.txt", 5)</f>
        <v>5</v>
      </c>
    </row>
    <row r="43" spans="1:93">
      <c r="A43" s="2" t="str">
        <f>HYPERLINK("http://exon.niaid.nih.gov/transcriptome/Anopheles_sialome/links/cds/anoara_epoxy_hydrolase-cds.txt","anoara_epoxy_hydrolase")</f>
        <v>anoara_epoxy_hydrolase</v>
      </c>
      <c r="B43">
        <v>1194</v>
      </c>
      <c r="C43" t="s">
        <v>225</v>
      </c>
      <c r="D43" t="s">
        <v>7</v>
      </c>
      <c r="E43" t="s">
        <v>5</v>
      </c>
      <c r="F43" t="s">
        <v>1</v>
      </c>
      <c r="G43" t="str">
        <f>HYPERLINK("http://exon.niaid.nih.gov/transcriptome/Anopheles_sialome/links/pep/anoara_epoxy_hydrolase-pep.txt","anoara_epoxy_hydrolase")</f>
        <v>anoara_epoxy_hydrolase</v>
      </c>
      <c r="H43">
        <v>397</v>
      </c>
      <c r="I43">
        <v>1</v>
      </c>
      <c r="J43" s="3" t="str">
        <f>HYPERLINK("http://exon.niaid.nih.gov/transcriptome/Anopheles_sialome/links/Sigp/anoara_epoxy_hydrolase-SigP.txt","SIG")</f>
        <v>SIG</v>
      </c>
      <c r="K43" t="s">
        <v>1220</v>
      </c>
      <c r="L43">
        <v>45.274999999999999</v>
      </c>
      <c r="M43">
        <v>7.99</v>
      </c>
      <c r="N43">
        <v>40.83</v>
      </c>
      <c r="O43">
        <v>6.8</v>
      </c>
      <c r="P43" t="s">
        <v>1221</v>
      </c>
      <c r="Q43" s="3">
        <v>0</v>
      </c>
      <c r="R43" t="s">
        <v>128</v>
      </c>
      <c r="S43" t="s">
        <v>128</v>
      </c>
      <c r="T43" t="s">
        <v>128</v>
      </c>
      <c r="U43" t="s">
        <v>128</v>
      </c>
      <c r="V43" t="s">
        <v>128</v>
      </c>
      <c r="W43" s="3" t="str">
        <f>HYPERLINK("http://exon.niaid.nih.gov/transcriptome/Anopheles_sialome/links/netoglyc/anoara_epoxy_hydrolase-netoglyc.txt","0")</f>
        <v>0</v>
      </c>
      <c r="X43">
        <v>8.6</v>
      </c>
      <c r="Y43">
        <v>6.8</v>
      </c>
      <c r="Z43">
        <v>6</v>
      </c>
      <c r="AA43" t="s">
        <v>654</v>
      </c>
      <c r="AB43" t="s">
        <v>1222</v>
      </c>
      <c r="AC43" s="2" t="str">
        <f>HYPERLINK("http://exon.niaid.nih.gov/transcriptome/Anopheles_sialome/links/DIPTERA/anoara_epoxy_hydrolase-DIPTERA.txt","AGAP011970-PA, partial")</f>
        <v>AGAP011970-PA, partial</v>
      </c>
      <c r="AD43" t="str">
        <f t="shared" si="8"/>
        <v>0.0</v>
      </c>
      <c r="AE43" t="str">
        <f>HYPERLINK("http://www.ncbi.nlm.nih.gov/protein/157013288","gi|157013288")</f>
        <v>gi|157013288</v>
      </c>
      <c r="AF43">
        <v>100</v>
      </c>
      <c r="AG43">
        <v>100</v>
      </c>
      <c r="AH43">
        <v>98</v>
      </c>
      <c r="AI43" t="s">
        <v>2285</v>
      </c>
      <c r="AJ43" s="2" t="str">
        <f>HYPERLINK("http://exon.niaid.nih.gov/transcriptome/Anopheles_sialome/links/CULICOMORPHA/anoara_epoxy_hydrolase-CULICOMORPHA.txt","AGAP011970-PA, partial")</f>
        <v>AGAP011970-PA, partial</v>
      </c>
      <c r="AK43" t="str">
        <f t="shared" si="10"/>
        <v>0.0</v>
      </c>
      <c r="AL43" t="str">
        <f>HYPERLINK("http://www.ncbi.nlm.nih.gov/protein/157013288","gi|157013288")</f>
        <v>gi|157013288</v>
      </c>
      <c r="AM43">
        <v>100</v>
      </c>
      <c r="AN43">
        <v>100</v>
      </c>
      <c r="AO43">
        <v>98</v>
      </c>
      <c r="AP43" t="s">
        <v>2285</v>
      </c>
      <c r="AQ43" s="2" t="str">
        <f>HYPERLINK("http://exon.niaid.nih.gov/transcriptome/Anopheles_sialome/links/NR-LIGHT/anoara_epoxy_hydrolase-NR-LIGHT.txt","AGAP011970-PA")</f>
        <v>AGAP011970-PA</v>
      </c>
      <c r="AR43" t="str">
        <f t="shared" si="12"/>
        <v>0.0</v>
      </c>
      <c r="AS43" t="str">
        <f>HYPERLINK("http://www.ncbi.nlm.nih.gov/protein/158300702","gi|158300702")</f>
        <v>gi|158300702</v>
      </c>
      <c r="AT43">
        <v>100</v>
      </c>
      <c r="AU43">
        <v>100</v>
      </c>
      <c r="AV43">
        <v>98</v>
      </c>
      <c r="AW43" t="s">
        <v>2285</v>
      </c>
      <c r="AX43" s="2" t="str">
        <f>HYPERLINK("http://exon.niaid.nih.gov/transcriptome/Anopheles_sialome/links/CDD/anoara_epoxy_hydrolase-CDD.txt","MhpC")</f>
        <v>MhpC</v>
      </c>
      <c r="AY43" t="str">
        <f>HYPERLINK("http://www.ncbi.nlm.nih.gov/Structure/cdd/cddsrv.cgi?uid=COG0596&amp;version=v4.0","3E-021")</f>
        <v>3E-021</v>
      </c>
      <c r="AZ43" t="s">
        <v>2598</v>
      </c>
      <c r="BA43" s="2" t="str">
        <f>HYPERLINK("http://exon.niaid.nih.gov/transcriptome/Anopheles_sialome/links/KOG/anoara_epoxy_hydrolase-KOG.txt","Soluble epoxide hydrolase")</f>
        <v>Soluble epoxide hydrolase</v>
      </c>
      <c r="BB43" t="str">
        <f>HYPERLINK("http://www.ncbi.nlm.nih.gov/Structure/cdd/cddsrv.cgi?uid=KOG4178","1E-035")</f>
        <v>1E-035</v>
      </c>
      <c r="BC43" t="s">
        <v>2298</v>
      </c>
      <c r="BD43" t="str">
        <f>HYPERLINK("http://exon.niaid.nih.gov/transcriptome/Anopheles_sialome/links/KOG/anoara_epoxy_hydrolase-KOG.txt","KOG4178")</f>
        <v>KOG4178</v>
      </c>
      <c r="BE43" t="str">
        <f>HYPERLINK("http://exon.niaid.nih.gov/transcriptome/Anopheles_sialome/links/PFAM/anoara_epoxy_hydrolase-PFAM.txt","Abhydrolase_6")</f>
        <v>Abhydrolase_6</v>
      </c>
      <c r="BF43" t="str">
        <f>HYPERLINK("http://pfam.sanger.ac.uk/family?acc=PF12697","7E-021")</f>
        <v>7E-021</v>
      </c>
      <c r="BG43" s="2" t="str">
        <f>HYPERLINK("http://exon.niaid.nih.gov/transcriptome/Anopheles_sialome/links/SMART/anoara_epoxy_hydrolase-SMART.txt","PKS_TE")</f>
        <v>PKS_TE</v>
      </c>
      <c r="BH43" t="str">
        <f>HYPERLINK("http://smart.embl-heidelberg.de/smart/do_annotation.pl?DOMAIN=PKS_TE&amp;BLAST=DUMMY","0.15")</f>
        <v>0.15</v>
      </c>
      <c r="BI43" t="s">
        <v>128</v>
      </c>
      <c r="BJ43" s="2" t="s">
        <v>128</v>
      </c>
      <c r="BK43" t="s">
        <v>1226</v>
      </c>
      <c r="BL43">
        <f>HYPERLINK("http://exon.niaid.nih.gov/transcriptome/Anopheles_sialome/links/cluster-b/anopheline-sialome-cds-pep-larger-orf25-50SimCLU14.txt", 14)</f>
        <v>14</v>
      </c>
      <c r="BM43">
        <f>HYPERLINK("http://exon.niaid.nih.gov/transcriptome/Anopheles_sialome/links/cluster-b/anopheline-sialome-cds-pep-larger-orf25-50SimCLTL14.txt", 18)</f>
        <v>18</v>
      </c>
      <c r="BN43">
        <f>HYPERLINK("http://exon.niaid.nih.gov/transcriptome/Anopheles_sialome/links/cluster-b/anopheline-sialome-cds-pep-larger-orf30-50SimCLU14.txt", 14)</f>
        <v>14</v>
      </c>
      <c r="BO43">
        <f>HYPERLINK("http://exon.niaid.nih.gov/transcriptome/Anopheles_sialome/links/cluster-b/anopheline-sialome-cds-pep-larger-orf30-50SimCLTL14.txt", 18)</f>
        <v>18</v>
      </c>
      <c r="BP43">
        <f>HYPERLINK("http://exon.niaid.nih.gov/transcriptome/Anopheles_sialome/links/cluster-b/anopheline-sialome-cds-pep-larger-orf35-50SimCLU16.txt", 16)</f>
        <v>16</v>
      </c>
      <c r="BQ43">
        <f>HYPERLINK("http://exon.niaid.nih.gov/transcriptome/Anopheles_sialome/links/cluster-b/anopheline-sialome-cds-pep-larger-orf35-50SimCLTL16.txt", 18)</f>
        <v>18</v>
      </c>
      <c r="BR43">
        <f>HYPERLINK("http://exon.niaid.nih.gov/transcriptome/Anopheles_sialome/links/cluster-b/anopheline-sialome-cds-pep-larger-orf40-50SimCLU19.txt", 19)</f>
        <v>19</v>
      </c>
      <c r="BS43">
        <f>HYPERLINK("http://exon.niaid.nih.gov/transcriptome/Anopheles_sialome/links/cluster-b/anopheline-sialome-cds-pep-larger-orf40-50SimCLTL19.txt", 18)</f>
        <v>18</v>
      </c>
      <c r="BT43">
        <f>HYPERLINK("http://exon.niaid.nih.gov/transcriptome/Anopheles_sialome/links/cluster-b/anopheline-sialome-cds-pep-larger-orf45-50SimCLU20.txt", 20)</f>
        <v>20</v>
      </c>
      <c r="BU43">
        <f>HYPERLINK("http://exon.niaid.nih.gov/transcriptome/Anopheles_sialome/links/cluster-b/anopheline-sialome-cds-pep-larger-orf45-50SimCLTL20.txt", 18)</f>
        <v>18</v>
      </c>
      <c r="BV43">
        <f>HYPERLINK("http://exon.niaid.nih.gov/transcriptome/Anopheles_sialome/links/cluster-b/anopheline-sialome-cds-pep-larger-orf50-50SimCLU19.txt", 19)</f>
        <v>19</v>
      </c>
      <c r="BW43">
        <f>HYPERLINK("http://exon.niaid.nih.gov/transcriptome/Anopheles_sialome/links/cluster-b/anopheline-sialome-cds-pep-larger-orf50-50SimCLTL19.txt", 18)</f>
        <v>18</v>
      </c>
      <c r="BX43">
        <f>HYPERLINK("http://exon.niaid.nih.gov/transcriptome/Anopheles_sialome/links/cluster-b/anopheline-sialome-cds-pep-larger-orf55-50SimCLU20.txt", 20)</f>
        <v>20</v>
      </c>
      <c r="BY43">
        <f>HYPERLINK("http://exon.niaid.nih.gov/transcriptome/Anopheles_sialome/links/cluster-b/anopheline-sialome-cds-pep-larger-orf55-50SimCLTL20.txt", 18)</f>
        <v>18</v>
      </c>
      <c r="BZ43">
        <f>HYPERLINK("http://exon.niaid.nih.gov/transcriptome/Anopheles_sialome/links/cluster-b/anopheline-sialome-cds-pep-larger-orf60-50SimCLU19.txt", 19)</f>
        <v>19</v>
      </c>
      <c r="CA43">
        <f>HYPERLINK("http://exon.niaid.nih.gov/transcriptome/Anopheles_sialome/links/cluster-b/anopheline-sialome-cds-pep-larger-orf60-50SimCLTL19.txt", 18)</f>
        <v>18</v>
      </c>
      <c r="CB43">
        <f>HYPERLINK("http://exon.niaid.nih.gov/transcriptome/Anopheles_sialome/links/cluster-b/anopheline-sialome-cds-pep-larger-orf65-50SimCLU15.txt", 15)</f>
        <v>15</v>
      </c>
      <c r="CC43">
        <f>HYPERLINK("http://exon.niaid.nih.gov/transcriptome/Anopheles_sialome/links/cluster-b/anopheline-sialome-cds-pep-larger-orf65-50SimCLTL15.txt", 18)</f>
        <v>18</v>
      </c>
      <c r="CD43">
        <f>HYPERLINK("http://exon.niaid.nih.gov/transcriptome/Anopheles_sialome/links/cluster-b/anopheline-sialome-cds-pep-larger-orf70-50SimCLU18.txt", 18)</f>
        <v>18</v>
      </c>
      <c r="CE43">
        <f>HYPERLINK("http://exon.niaid.nih.gov/transcriptome/Anopheles_sialome/links/cluster-b/anopheline-sialome-cds-pep-larger-orf70-50SimCLTL18.txt", 17)</f>
        <v>17</v>
      </c>
      <c r="CF43">
        <f>HYPERLINK("http://exon.niaid.nih.gov/transcriptome/Anopheles_sialome/links/cluster-b/anopheline-sialome-cds-pep-larger-orf75-50SimCLU19.txt", 19)</f>
        <v>19</v>
      </c>
      <c r="CG43">
        <f>HYPERLINK("http://exon.niaid.nih.gov/transcriptome/Anopheles_sialome/links/cluster-b/anopheline-sialome-cds-pep-larger-orf75-50SimCLTL19.txt", 15)</f>
        <v>15</v>
      </c>
      <c r="CH43">
        <f>HYPERLINK("http://exon.niaid.nih.gov/transcriptome/Anopheles_sialome/links/cluster-b/anopheline-sialome-cds-pep-larger-orf80-50SimCLU24.txt", 24)</f>
        <v>24</v>
      </c>
      <c r="CI43">
        <f>HYPERLINK("http://exon.niaid.nih.gov/transcriptome/Anopheles_sialome/links/cluster-b/anopheline-sialome-cds-pep-larger-orf80-50SimCLTL24.txt", 11)</f>
        <v>11</v>
      </c>
      <c r="CJ43">
        <f>HYPERLINK("http://exon.niaid.nih.gov/transcriptome/Anopheles_sialome/links/cluster-b/anopheline-sialome-cds-pep-larger-orf85-50SimCLU23.txt", 23)</f>
        <v>23</v>
      </c>
      <c r="CK43">
        <f>HYPERLINK("http://exon.niaid.nih.gov/transcriptome/Anopheles_sialome/links/cluster-b/anopheline-sialome-cds-pep-larger-orf85-50SimCLTL23.txt", 7)</f>
        <v>7</v>
      </c>
      <c r="CL43">
        <f>HYPERLINK("http://exon.niaid.nih.gov/transcriptome/Anopheles_sialome/links/cluster-b/anopheline-sialome-cds-pep-larger-orf90-50SimCLU22.txt", 22)</f>
        <v>22</v>
      </c>
      <c r="CM43">
        <f>HYPERLINK("http://exon.niaid.nih.gov/transcriptome/Anopheles_sialome/links/cluster-b/anopheline-sialome-cds-pep-larger-orf90-50SimCLTL22.txt", 6)</f>
        <v>6</v>
      </c>
      <c r="CN43">
        <f>HYPERLINK("http://exon.niaid.nih.gov/transcriptome/Anopheles_sialome/links/cluster-b/anopheline-sialome-cds-pep-larger-orf95-50SimCLU35.txt", 35)</f>
        <v>35</v>
      </c>
      <c r="CO43">
        <f>HYPERLINK("http://exon.niaid.nih.gov/transcriptome/Anopheles_sialome/links/cluster-b/anopheline-sialome-cds-pep-larger-orf95-50SimCLTL35.txt", 5)</f>
        <v>5</v>
      </c>
    </row>
    <row r="44" spans="1:93">
      <c r="A44" s="2" t="str">
        <f>HYPERLINK("http://exon.niaid.nih.gov/transcriptome/Anopheles_sialome/links/cds/anoqua_epoxy_hydrolase-cds.txt","anoqua_epoxy_hydrolase")</f>
        <v>anoqua_epoxy_hydrolase</v>
      </c>
      <c r="B44">
        <v>1194</v>
      </c>
      <c r="C44" t="s">
        <v>226</v>
      </c>
      <c r="D44" t="s">
        <v>4</v>
      </c>
      <c r="E44" t="s">
        <v>5</v>
      </c>
      <c r="F44" t="s">
        <v>1</v>
      </c>
      <c r="G44" t="str">
        <f>HYPERLINK("http://exon.niaid.nih.gov/transcriptome/Anopheles_sialome/links/pep/anoqua_epoxy_hydrolase-pep.txt","anoqua_epoxy_hydrolase")</f>
        <v>anoqua_epoxy_hydrolase</v>
      </c>
      <c r="H44">
        <v>397</v>
      </c>
      <c r="I44">
        <v>1</v>
      </c>
      <c r="J44" s="3" t="str">
        <f>HYPERLINK("http://exon.niaid.nih.gov/transcriptome/Anopheles_sialome/links/Sigp/anoqua_epoxy_hydrolase-SigP.txt","SIG")</f>
        <v>SIG</v>
      </c>
      <c r="K44" t="s">
        <v>949</v>
      </c>
      <c r="L44">
        <v>45.345999999999997</v>
      </c>
      <c r="M44">
        <v>7.98</v>
      </c>
      <c r="N44">
        <v>42</v>
      </c>
      <c r="O44">
        <v>6.91</v>
      </c>
      <c r="P44" t="s">
        <v>1228</v>
      </c>
      <c r="Q44" s="3">
        <v>0</v>
      </c>
      <c r="R44" t="s">
        <v>128</v>
      </c>
      <c r="S44" t="s">
        <v>128</v>
      </c>
      <c r="T44" t="s">
        <v>128</v>
      </c>
      <c r="U44" t="s">
        <v>128</v>
      </c>
      <c r="V44" t="s">
        <v>128</v>
      </c>
      <c r="W44" s="3" t="str">
        <f>HYPERLINK("http://exon.niaid.nih.gov/transcriptome/Anopheles_sialome/links/netoglyc/anoqua_epoxy_hydrolase-netoglyc.txt","0")</f>
        <v>0</v>
      </c>
      <c r="X44">
        <v>8.6</v>
      </c>
      <c r="Y44">
        <v>6.3</v>
      </c>
      <c r="Z44">
        <v>6.3</v>
      </c>
      <c r="AA44" t="s">
        <v>654</v>
      </c>
      <c r="AB44" t="s">
        <v>1229</v>
      </c>
      <c r="AC44" s="2" t="str">
        <f>HYPERLINK("http://exon.niaid.nih.gov/transcriptome/Anopheles_sialome/links/DIPTERA/anoqua_epoxy_hydrolase-DIPTERA.txt","AGAP011970-PA, partial")</f>
        <v>AGAP011970-PA, partial</v>
      </c>
      <c r="AD44" t="str">
        <f t="shared" si="8"/>
        <v>0.0</v>
      </c>
      <c r="AE44" t="str">
        <f t="shared" ref="AE44:AE54" si="14">HYPERLINK("http://www.ncbi.nlm.nih.gov/protein/157013288","gi|157013288")</f>
        <v>gi|157013288</v>
      </c>
      <c r="AF44">
        <v>95</v>
      </c>
      <c r="AG44">
        <v>96</v>
      </c>
      <c r="AH44">
        <v>98</v>
      </c>
      <c r="AI44" t="s">
        <v>2285</v>
      </c>
      <c r="AJ44" s="2" t="str">
        <f>HYPERLINK("http://exon.niaid.nih.gov/transcriptome/Anopheles_sialome/links/CULICOMORPHA/anoqua_epoxy_hydrolase-CULICOMORPHA.txt","AGAP011970-PA, partial")</f>
        <v>AGAP011970-PA, partial</v>
      </c>
      <c r="AK44" t="str">
        <f t="shared" si="10"/>
        <v>0.0</v>
      </c>
      <c r="AL44" t="str">
        <f t="shared" ref="AL44:AL54" si="15">HYPERLINK("http://www.ncbi.nlm.nih.gov/protein/157013288","gi|157013288")</f>
        <v>gi|157013288</v>
      </c>
      <c r="AM44">
        <v>95</v>
      </c>
      <c r="AN44">
        <v>96</v>
      </c>
      <c r="AO44">
        <v>98</v>
      </c>
      <c r="AP44" t="s">
        <v>2285</v>
      </c>
      <c r="AQ44" s="2" t="str">
        <f>HYPERLINK("http://exon.niaid.nih.gov/transcriptome/Anopheles_sialome/links/NR-LIGHT/anoqua_epoxy_hydrolase-NR-LIGHT.txt","AGAP011970-PA")</f>
        <v>AGAP011970-PA</v>
      </c>
      <c r="AR44" t="str">
        <f t="shared" si="12"/>
        <v>0.0</v>
      </c>
      <c r="AS44" t="str">
        <f t="shared" ref="AS44:AS54" si="16">HYPERLINK("http://www.ncbi.nlm.nih.gov/protein/158300702","gi|158300702")</f>
        <v>gi|158300702</v>
      </c>
      <c r="AT44">
        <v>95</v>
      </c>
      <c r="AU44">
        <v>96</v>
      </c>
      <c r="AV44">
        <v>98</v>
      </c>
      <c r="AW44" t="s">
        <v>2285</v>
      </c>
      <c r="AX44" s="2" t="str">
        <f>HYPERLINK("http://exon.niaid.nih.gov/transcriptome/Anopheles_sialome/links/CDD/anoqua_epoxy_hydrolase-CDD.txt","MhpC")</f>
        <v>MhpC</v>
      </c>
      <c r="AY44" t="str">
        <f>HYPERLINK("http://www.ncbi.nlm.nih.gov/Structure/cdd/cddsrv.cgi?uid=COG0596&amp;version=v4.0","4E-022")</f>
        <v>4E-022</v>
      </c>
      <c r="AZ44" t="s">
        <v>2600</v>
      </c>
      <c r="BA44" s="2" t="str">
        <f>HYPERLINK("http://exon.niaid.nih.gov/transcriptome/Anopheles_sialome/links/KOG/anoqua_epoxy_hydrolase-KOG.txt","Soluble epoxide hydrolase")</f>
        <v>Soluble epoxide hydrolase</v>
      </c>
      <c r="BB44" t="str">
        <f>HYPERLINK("http://www.ncbi.nlm.nih.gov/Structure/cdd/cddsrv.cgi?uid=KOG4178","2E-037")</f>
        <v>2E-037</v>
      </c>
      <c r="BC44" t="s">
        <v>2298</v>
      </c>
      <c r="BD44" t="str">
        <f>HYPERLINK("http://exon.niaid.nih.gov/transcriptome/Anopheles_sialome/links/KOG/anoqua_epoxy_hydrolase-KOG.txt","KOG4178")</f>
        <v>KOG4178</v>
      </c>
      <c r="BE44" t="str">
        <f>HYPERLINK("http://exon.niaid.nih.gov/transcriptome/Anopheles_sialome/links/PFAM/anoqua_epoxy_hydrolase-PFAM.txt","Abhydrolase_6")</f>
        <v>Abhydrolase_6</v>
      </c>
      <c r="BF44" t="str">
        <f>HYPERLINK("http://pfam.sanger.ac.uk/family?acc=PF12697","9E-021")</f>
        <v>9E-021</v>
      </c>
      <c r="BG44" s="2" t="str">
        <f>HYPERLINK("http://exon.niaid.nih.gov/transcriptome/Anopheles_sialome/links/SMART/anoqua_epoxy_hydrolase-SMART.txt","PKS_TE")</f>
        <v>PKS_TE</v>
      </c>
      <c r="BH44" t="str">
        <f>HYPERLINK("http://smart.embl-heidelberg.de/smart/do_annotation.pl?DOMAIN=PKS_TE&amp;BLAST=DUMMY","0.14")</f>
        <v>0.14</v>
      </c>
      <c r="BI44" t="s">
        <v>128</v>
      </c>
      <c r="BJ44" s="2" t="s">
        <v>128</v>
      </c>
      <c r="BK44" t="s">
        <v>1227</v>
      </c>
      <c r="BL44">
        <f>HYPERLINK("http://exon.niaid.nih.gov/transcriptome/Anopheles_sialome/links/cluster-b/anopheline-sialome-cds-pep-larger-orf25-50SimCLU14.txt", 14)</f>
        <v>14</v>
      </c>
      <c r="BM44">
        <f>HYPERLINK("http://exon.niaid.nih.gov/transcriptome/Anopheles_sialome/links/cluster-b/anopheline-sialome-cds-pep-larger-orf25-50SimCLTL14.txt", 18)</f>
        <v>18</v>
      </c>
      <c r="BN44">
        <f>HYPERLINK("http://exon.niaid.nih.gov/transcriptome/Anopheles_sialome/links/cluster-b/anopheline-sialome-cds-pep-larger-orf30-50SimCLU14.txt", 14)</f>
        <v>14</v>
      </c>
      <c r="BO44">
        <f>HYPERLINK("http://exon.niaid.nih.gov/transcriptome/Anopheles_sialome/links/cluster-b/anopheline-sialome-cds-pep-larger-orf30-50SimCLTL14.txt", 18)</f>
        <v>18</v>
      </c>
      <c r="BP44">
        <f>HYPERLINK("http://exon.niaid.nih.gov/transcriptome/Anopheles_sialome/links/cluster-b/anopheline-sialome-cds-pep-larger-orf35-50SimCLU16.txt", 16)</f>
        <v>16</v>
      </c>
      <c r="BQ44">
        <f>HYPERLINK("http://exon.niaid.nih.gov/transcriptome/Anopheles_sialome/links/cluster-b/anopheline-sialome-cds-pep-larger-orf35-50SimCLTL16.txt", 18)</f>
        <v>18</v>
      </c>
      <c r="BR44">
        <f>HYPERLINK("http://exon.niaid.nih.gov/transcriptome/Anopheles_sialome/links/cluster-b/anopheline-sialome-cds-pep-larger-orf40-50SimCLU19.txt", 19)</f>
        <v>19</v>
      </c>
      <c r="BS44">
        <f>HYPERLINK("http://exon.niaid.nih.gov/transcriptome/Anopheles_sialome/links/cluster-b/anopheline-sialome-cds-pep-larger-orf40-50SimCLTL19.txt", 18)</f>
        <v>18</v>
      </c>
      <c r="BT44">
        <f>HYPERLINK("http://exon.niaid.nih.gov/transcriptome/Anopheles_sialome/links/cluster-b/anopheline-sialome-cds-pep-larger-orf45-50SimCLU20.txt", 20)</f>
        <v>20</v>
      </c>
      <c r="BU44">
        <f>HYPERLINK("http://exon.niaid.nih.gov/transcriptome/Anopheles_sialome/links/cluster-b/anopheline-sialome-cds-pep-larger-orf45-50SimCLTL20.txt", 18)</f>
        <v>18</v>
      </c>
      <c r="BV44">
        <f>HYPERLINK("http://exon.niaid.nih.gov/transcriptome/Anopheles_sialome/links/cluster-b/anopheline-sialome-cds-pep-larger-orf50-50SimCLU19.txt", 19)</f>
        <v>19</v>
      </c>
      <c r="BW44">
        <f>HYPERLINK("http://exon.niaid.nih.gov/transcriptome/Anopheles_sialome/links/cluster-b/anopheline-sialome-cds-pep-larger-orf50-50SimCLTL19.txt", 18)</f>
        <v>18</v>
      </c>
      <c r="BX44">
        <f>HYPERLINK("http://exon.niaid.nih.gov/transcriptome/Anopheles_sialome/links/cluster-b/anopheline-sialome-cds-pep-larger-orf55-50SimCLU20.txt", 20)</f>
        <v>20</v>
      </c>
      <c r="BY44">
        <f>HYPERLINK("http://exon.niaid.nih.gov/transcriptome/Anopheles_sialome/links/cluster-b/anopheline-sialome-cds-pep-larger-orf55-50SimCLTL20.txt", 18)</f>
        <v>18</v>
      </c>
      <c r="BZ44">
        <f>HYPERLINK("http://exon.niaid.nih.gov/transcriptome/Anopheles_sialome/links/cluster-b/anopheline-sialome-cds-pep-larger-orf60-50SimCLU19.txt", 19)</f>
        <v>19</v>
      </c>
      <c r="CA44">
        <f>HYPERLINK("http://exon.niaid.nih.gov/transcriptome/Anopheles_sialome/links/cluster-b/anopheline-sialome-cds-pep-larger-orf60-50SimCLTL19.txt", 18)</f>
        <v>18</v>
      </c>
      <c r="CB44">
        <f>HYPERLINK("http://exon.niaid.nih.gov/transcriptome/Anopheles_sialome/links/cluster-b/anopheline-sialome-cds-pep-larger-orf65-50SimCLU15.txt", 15)</f>
        <v>15</v>
      </c>
      <c r="CC44">
        <f>HYPERLINK("http://exon.niaid.nih.gov/transcriptome/Anopheles_sialome/links/cluster-b/anopheline-sialome-cds-pep-larger-orf65-50SimCLTL15.txt", 18)</f>
        <v>18</v>
      </c>
      <c r="CD44">
        <f>HYPERLINK("http://exon.niaid.nih.gov/transcriptome/Anopheles_sialome/links/cluster-b/anopheline-sialome-cds-pep-larger-orf70-50SimCLU18.txt", 18)</f>
        <v>18</v>
      </c>
      <c r="CE44">
        <f>HYPERLINK("http://exon.niaid.nih.gov/transcriptome/Anopheles_sialome/links/cluster-b/anopheline-sialome-cds-pep-larger-orf70-50SimCLTL18.txt", 17)</f>
        <v>17</v>
      </c>
      <c r="CF44">
        <f>HYPERLINK("http://exon.niaid.nih.gov/transcriptome/Anopheles_sialome/links/cluster-b/anopheline-sialome-cds-pep-larger-orf75-50SimCLU19.txt", 19)</f>
        <v>19</v>
      </c>
      <c r="CG44">
        <f>HYPERLINK("http://exon.niaid.nih.gov/transcriptome/Anopheles_sialome/links/cluster-b/anopheline-sialome-cds-pep-larger-orf75-50SimCLTL19.txt", 15)</f>
        <v>15</v>
      </c>
      <c r="CH44">
        <f>HYPERLINK("http://exon.niaid.nih.gov/transcriptome/Anopheles_sialome/links/cluster-b/anopheline-sialome-cds-pep-larger-orf80-50SimCLU24.txt", 24)</f>
        <v>24</v>
      </c>
      <c r="CI44">
        <f>HYPERLINK("http://exon.niaid.nih.gov/transcriptome/Anopheles_sialome/links/cluster-b/anopheline-sialome-cds-pep-larger-orf80-50SimCLTL24.txt", 11)</f>
        <v>11</v>
      </c>
      <c r="CJ44">
        <f>HYPERLINK("http://exon.niaid.nih.gov/transcriptome/Anopheles_sialome/links/cluster-b/anopheline-sialome-cds-pep-larger-orf85-50SimCLU23.txt", 23)</f>
        <v>23</v>
      </c>
      <c r="CK44">
        <f>HYPERLINK("http://exon.niaid.nih.gov/transcriptome/Anopheles_sialome/links/cluster-b/anopheline-sialome-cds-pep-larger-orf85-50SimCLTL23.txt", 7)</f>
        <v>7</v>
      </c>
      <c r="CL44">
        <f>HYPERLINK("http://exon.niaid.nih.gov/transcriptome/Anopheles_sialome/links/cluster-b/anopheline-sialome-cds-pep-larger-orf90-50SimCLU22.txt", 22)</f>
        <v>22</v>
      </c>
      <c r="CM44">
        <f>HYPERLINK("http://exon.niaid.nih.gov/transcriptome/Anopheles_sialome/links/cluster-b/anopheline-sialome-cds-pep-larger-orf90-50SimCLTL22.txt", 6)</f>
        <v>6</v>
      </c>
      <c r="CN44">
        <f>HYPERLINK("http://exon.niaid.nih.gov/transcriptome/Anopheles_sialome/links/cluster-b/anopheline-sialome-cds-pep-larger-orf95-50SimCLU35.txt", 35)</f>
        <v>35</v>
      </c>
      <c r="CO44">
        <f>HYPERLINK("http://exon.niaid.nih.gov/transcriptome/Anopheles_sialome/links/cluster-b/anopheline-sialome-cds-pep-larger-orf95-50SimCLTL35.txt", 5)</f>
        <v>5</v>
      </c>
    </row>
    <row r="45" spans="1:93">
      <c r="A45" s="2" t="str">
        <f>HYPERLINK("http://exon.niaid.nih.gov/transcriptome/Anopheles_sialome/links/cds/anomer_epoxy_hydrolase-cds.txt","anomer_epoxy_hydrolase")</f>
        <v>anomer_epoxy_hydrolase</v>
      </c>
      <c r="B45">
        <v>1194</v>
      </c>
      <c r="C45" t="s">
        <v>227</v>
      </c>
      <c r="D45" t="s">
        <v>4</v>
      </c>
      <c r="E45" t="s">
        <v>5</v>
      </c>
      <c r="F45" t="s">
        <v>1</v>
      </c>
      <c r="G45" t="str">
        <f>HYPERLINK("http://exon.niaid.nih.gov/transcriptome/Anopheles_sialome/links/pep/anomer_epoxy_hydrolase-pep.txt","anomer_epoxy_hydrolase")</f>
        <v>anomer_epoxy_hydrolase</v>
      </c>
      <c r="H45">
        <v>397</v>
      </c>
      <c r="I45">
        <v>1</v>
      </c>
      <c r="J45" s="3" t="str">
        <f>HYPERLINK("http://exon.niaid.nih.gov/transcriptome/Anopheles_sialome/links/Sigp/anomer_epoxy_hydrolase-SigP.txt","SIG")</f>
        <v>SIG</v>
      </c>
      <c r="K45" t="s">
        <v>949</v>
      </c>
      <c r="L45">
        <v>45.225999999999999</v>
      </c>
      <c r="M45">
        <v>7.62</v>
      </c>
      <c r="N45">
        <v>41.878999999999998</v>
      </c>
      <c r="O45">
        <v>6.73</v>
      </c>
      <c r="P45" t="s">
        <v>1231</v>
      </c>
      <c r="Q45" s="3">
        <v>0</v>
      </c>
      <c r="R45" t="s">
        <v>128</v>
      </c>
      <c r="S45" t="s">
        <v>128</v>
      </c>
      <c r="T45" t="s">
        <v>128</v>
      </c>
      <c r="U45" t="s">
        <v>128</v>
      </c>
      <c r="V45" t="s">
        <v>128</v>
      </c>
      <c r="W45" s="3" t="str">
        <f>HYPERLINK("http://exon.niaid.nih.gov/transcriptome/Anopheles_sialome/links/netoglyc/anomer_epoxy_hydrolase-netoglyc.txt","0")</f>
        <v>0</v>
      </c>
      <c r="X45">
        <v>8.6</v>
      </c>
      <c r="Y45">
        <v>6.5</v>
      </c>
      <c r="Z45">
        <v>6.5</v>
      </c>
      <c r="AA45" t="s">
        <v>654</v>
      </c>
      <c r="AB45" t="s">
        <v>1225</v>
      </c>
      <c r="AC45" s="2" t="str">
        <f>HYPERLINK("http://exon.niaid.nih.gov/transcriptome/Anopheles_sialome/links/DIPTERA/anomer_epoxy_hydrolase-DIPTERA.txt","AGAP011970-PA, partial")</f>
        <v>AGAP011970-PA, partial</v>
      </c>
      <c r="AD45" t="str">
        <f t="shared" si="8"/>
        <v>0.0</v>
      </c>
      <c r="AE45" t="str">
        <f t="shared" si="14"/>
        <v>gi|157013288</v>
      </c>
      <c r="AF45">
        <v>94</v>
      </c>
      <c r="AG45">
        <v>96</v>
      </c>
      <c r="AH45">
        <v>98</v>
      </c>
      <c r="AI45" t="s">
        <v>2285</v>
      </c>
      <c r="AJ45" s="2" t="str">
        <f>HYPERLINK("http://exon.niaid.nih.gov/transcriptome/Anopheles_sialome/links/CULICOMORPHA/anomer_epoxy_hydrolase-CULICOMORPHA.txt","AGAP011970-PA, partial")</f>
        <v>AGAP011970-PA, partial</v>
      </c>
      <c r="AK45" t="str">
        <f t="shared" si="10"/>
        <v>0.0</v>
      </c>
      <c r="AL45" t="str">
        <f t="shared" si="15"/>
        <v>gi|157013288</v>
      </c>
      <c r="AM45">
        <v>94</v>
      </c>
      <c r="AN45">
        <v>96</v>
      </c>
      <c r="AO45">
        <v>98</v>
      </c>
      <c r="AP45" t="s">
        <v>2285</v>
      </c>
      <c r="AQ45" s="2" t="str">
        <f>HYPERLINK("http://exon.niaid.nih.gov/transcriptome/Anopheles_sialome/links/NR-LIGHT/anomer_epoxy_hydrolase-NR-LIGHT.txt","AGAP011970-PA")</f>
        <v>AGAP011970-PA</v>
      </c>
      <c r="AR45" t="str">
        <f t="shared" si="12"/>
        <v>0.0</v>
      </c>
      <c r="AS45" t="str">
        <f t="shared" si="16"/>
        <v>gi|158300702</v>
      </c>
      <c r="AT45">
        <v>94</v>
      </c>
      <c r="AU45">
        <v>96</v>
      </c>
      <c r="AV45">
        <v>98</v>
      </c>
      <c r="AW45" t="s">
        <v>2285</v>
      </c>
      <c r="AX45" s="2" t="str">
        <f>HYPERLINK("http://exon.niaid.nih.gov/transcriptome/Anopheles_sialome/links/CDD/anomer_epoxy_hydrolase-CDD.txt","MhpC")</f>
        <v>MhpC</v>
      </c>
      <c r="AY45" t="str">
        <f>HYPERLINK("http://www.ncbi.nlm.nih.gov/Structure/cdd/cddsrv.cgi?uid=COG0596&amp;version=v4.0","3E-020")</f>
        <v>3E-020</v>
      </c>
      <c r="AZ45" t="s">
        <v>2601</v>
      </c>
      <c r="BA45" s="2" t="str">
        <f>HYPERLINK("http://exon.niaid.nih.gov/transcriptome/Anopheles_sialome/links/KOG/anomer_epoxy_hydrolase-KOG.txt","Soluble epoxide hydrolase")</f>
        <v>Soluble epoxide hydrolase</v>
      </c>
      <c r="BB45" t="str">
        <f>HYPERLINK("http://www.ncbi.nlm.nih.gov/Structure/cdd/cddsrv.cgi?uid=KOG4178","7E-037")</f>
        <v>7E-037</v>
      </c>
      <c r="BC45" t="s">
        <v>2298</v>
      </c>
      <c r="BD45" t="str">
        <f>HYPERLINK("http://exon.niaid.nih.gov/transcriptome/Anopheles_sialome/links/KOG/anomer_epoxy_hydrolase-KOG.txt","KOG4178")</f>
        <v>KOG4178</v>
      </c>
      <c r="BE45" t="str">
        <f>HYPERLINK("http://exon.niaid.nih.gov/transcriptome/Anopheles_sialome/links/PFAM/anomer_epoxy_hydrolase-PFAM.txt","Abhydrolase_6")</f>
        <v>Abhydrolase_6</v>
      </c>
      <c r="BF45" t="str">
        <f>HYPERLINK("http://pfam.sanger.ac.uk/family?acc=PF12697","2E-020")</f>
        <v>2E-020</v>
      </c>
      <c r="BG45" s="2" t="str">
        <f>HYPERLINK("http://exon.niaid.nih.gov/transcriptome/Anopheles_sialome/links/SMART/anomer_epoxy_hydrolase-SMART.txt","Zn_dep_PLPC")</f>
        <v>Zn_dep_PLPC</v>
      </c>
      <c r="BH45" t="str">
        <f>HYPERLINK("http://smart.embl-heidelberg.de/smart/do_annotation.pl?DOMAIN=Zn_dep_PLPC&amp;BLAST=DUMMY","3.0")</f>
        <v>3.0</v>
      </c>
      <c r="BI45" t="s">
        <v>128</v>
      </c>
      <c r="BJ45" s="2" t="s">
        <v>128</v>
      </c>
      <c r="BK45" t="s">
        <v>1230</v>
      </c>
      <c r="BL45">
        <f>HYPERLINK("http://exon.niaid.nih.gov/transcriptome/Anopheles_sialome/links/cluster-b/anopheline-sialome-cds-pep-larger-orf25-50SimCLU14.txt", 14)</f>
        <v>14</v>
      </c>
      <c r="BM45">
        <f>HYPERLINK("http://exon.niaid.nih.gov/transcriptome/Anopheles_sialome/links/cluster-b/anopheline-sialome-cds-pep-larger-orf25-50SimCLTL14.txt", 18)</f>
        <v>18</v>
      </c>
      <c r="BN45">
        <f>HYPERLINK("http://exon.niaid.nih.gov/transcriptome/Anopheles_sialome/links/cluster-b/anopheline-sialome-cds-pep-larger-orf30-50SimCLU14.txt", 14)</f>
        <v>14</v>
      </c>
      <c r="BO45">
        <f>HYPERLINK("http://exon.niaid.nih.gov/transcriptome/Anopheles_sialome/links/cluster-b/anopheline-sialome-cds-pep-larger-orf30-50SimCLTL14.txt", 18)</f>
        <v>18</v>
      </c>
      <c r="BP45">
        <f>HYPERLINK("http://exon.niaid.nih.gov/transcriptome/Anopheles_sialome/links/cluster-b/anopheline-sialome-cds-pep-larger-orf35-50SimCLU16.txt", 16)</f>
        <v>16</v>
      </c>
      <c r="BQ45">
        <f>HYPERLINK("http://exon.niaid.nih.gov/transcriptome/Anopheles_sialome/links/cluster-b/anopheline-sialome-cds-pep-larger-orf35-50SimCLTL16.txt", 18)</f>
        <v>18</v>
      </c>
      <c r="BR45">
        <f>HYPERLINK("http://exon.niaid.nih.gov/transcriptome/Anopheles_sialome/links/cluster-b/anopheline-sialome-cds-pep-larger-orf40-50SimCLU19.txt", 19)</f>
        <v>19</v>
      </c>
      <c r="BS45">
        <f>HYPERLINK("http://exon.niaid.nih.gov/transcriptome/Anopheles_sialome/links/cluster-b/anopheline-sialome-cds-pep-larger-orf40-50SimCLTL19.txt", 18)</f>
        <v>18</v>
      </c>
      <c r="BT45">
        <f>HYPERLINK("http://exon.niaid.nih.gov/transcriptome/Anopheles_sialome/links/cluster-b/anopheline-sialome-cds-pep-larger-orf45-50SimCLU20.txt", 20)</f>
        <v>20</v>
      </c>
      <c r="BU45">
        <f>HYPERLINK("http://exon.niaid.nih.gov/transcriptome/Anopheles_sialome/links/cluster-b/anopheline-sialome-cds-pep-larger-orf45-50SimCLTL20.txt", 18)</f>
        <v>18</v>
      </c>
      <c r="BV45">
        <f>HYPERLINK("http://exon.niaid.nih.gov/transcriptome/Anopheles_sialome/links/cluster-b/anopheline-sialome-cds-pep-larger-orf50-50SimCLU19.txt", 19)</f>
        <v>19</v>
      </c>
      <c r="BW45">
        <f>HYPERLINK("http://exon.niaid.nih.gov/transcriptome/Anopheles_sialome/links/cluster-b/anopheline-sialome-cds-pep-larger-orf50-50SimCLTL19.txt", 18)</f>
        <v>18</v>
      </c>
      <c r="BX45">
        <f>HYPERLINK("http://exon.niaid.nih.gov/transcriptome/Anopheles_sialome/links/cluster-b/anopheline-sialome-cds-pep-larger-orf55-50SimCLU20.txt", 20)</f>
        <v>20</v>
      </c>
      <c r="BY45">
        <f>HYPERLINK("http://exon.niaid.nih.gov/transcriptome/Anopheles_sialome/links/cluster-b/anopheline-sialome-cds-pep-larger-orf55-50SimCLTL20.txt", 18)</f>
        <v>18</v>
      </c>
      <c r="BZ45">
        <f>HYPERLINK("http://exon.niaid.nih.gov/transcriptome/Anopheles_sialome/links/cluster-b/anopheline-sialome-cds-pep-larger-orf60-50SimCLU19.txt", 19)</f>
        <v>19</v>
      </c>
      <c r="CA45">
        <f>HYPERLINK("http://exon.niaid.nih.gov/transcriptome/Anopheles_sialome/links/cluster-b/anopheline-sialome-cds-pep-larger-orf60-50SimCLTL19.txt", 18)</f>
        <v>18</v>
      </c>
      <c r="CB45">
        <f>HYPERLINK("http://exon.niaid.nih.gov/transcriptome/Anopheles_sialome/links/cluster-b/anopheline-sialome-cds-pep-larger-orf65-50SimCLU15.txt", 15)</f>
        <v>15</v>
      </c>
      <c r="CC45">
        <f>HYPERLINK("http://exon.niaid.nih.gov/transcriptome/Anopheles_sialome/links/cluster-b/anopheline-sialome-cds-pep-larger-orf65-50SimCLTL15.txt", 18)</f>
        <v>18</v>
      </c>
      <c r="CD45">
        <f>HYPERLINK("http://exon.niaid.nih.gov/transcriptome/Anopheles_sialome/links/cluster-b/anopheline-sialome-cds-pep-larger-orf70-50SimCLU18.txt", 18)</f>
        <v>18</v>
      </c>
      <c r="CE45">
        <f>HYPERLINK("http://exon.niaid.nih.gov/transcriptome/Anopheles_sialome/links/cluster-b/anopheline-sialome-cds-pep-larger-orf70-50SimCLTL18.txt", 17)</f>
        <v>17</v>
      </c>
      <c r="CF45">
        <f>HYPERLINK("http://exon.niaid.nih.gov/transcriptome/Anopheles_sialome/links/cluster-b/anopheline-sialome-cds-pep-larger-orf75-50SimCLU19.txt", 19)</f>
        <v>19</v>
      </c>
      <c r="CG45">
        <f>HYPERLINK("http://exon.niaid.nih.gov/transcriptome/Anopheles_sialome/links/cluster-b/anopheline-sialome-cds-pep-larger-orf75-50SimCLTL19.txt", 15)</f>
        <v>15</v>
      </c>
      <c r="CH45">
        <f>HYPERLINK("http://exon.niaid.nih.gov/transcriptome/Anopheles_sialome/links/cluster-b/anopheline-sialome-cds-pep-larger-orf80-50SimCLU24.txt", 24)</f>
        <v>24</v>
      </c>
      <c r="CI45">
        <f>HYPERLINK("http://exon.niaid.nih.gov/transcriptome/Anopheles_sialome/links/cluster-b/anopheline-sialome-cds-pep-larger-orf80-50SimCLTL24.txt", 11)</f>
        <v>11</v>
      </c>
      <c r="CJ45">
        <f>HYPERLINK("http://exon.niaid.nih.gov/transcriptome/Anopheles_sialome/links/cluster-b/anopheline-sialome-cds-pep-larger-orf85-50SimCLU23.txt", 23)</f>
        <v>23</v>
      </c>
      <c r="CK45">
        <f>HYPERLINK("http://exon.niaid.nih.gov/transcriptome/Anopheles_sialome/links/cluster-b/anopheline-sialome-cds-pep-larger-orf85-50SimCLTL23.txt", 7)</f>
        <v>7</v>
      </c>
      <c r="CL45">
        <f>HYPERLINK("http://exon.niaid.nih.gov/transcriptome/Anopheles_sialome/links/cluster-b/anopheline-sialome-cds-pep-larger-orf90-50SimCLU22.txt", 22)</f>
        <v>22</v>
      </c>
      <c r="CM45">
        <f>HYPERLINK("http://exon.niaid.nih.gov/transcriptome/Anopheles_sialome/links/cluster-b/anopheline-sialome-cds-pep-larger-orf90-50SimCLTL22.txt", 6)</f>
        <v>6</v>
      </c>
      <c r="CN45">
        <f>HYPERLINK("http://exon.niaid.nih.gov/transcriptome/Anopheles_sialome/links/cluster-b/anopheline-sialome-cds-pep-larger-orf95-50SimCLU35.txt", 35)</f>
        <v>35</v>
      </c>
      <c r="CO45">
        <f>HYPERLINK("http://exon.niaid.nih.gov/transcriptome/Anopheles_sialome/links/cluster-b/anopheline-sialome-cds-pep-larger-orf95-50SimCLTL35.txt", 5)</f>
        <v>5</v>
      </c>
    </row>
    <row r="46" spans="1:93">
      <c r="A46" s="2" t="str">
        <f>HYPERLINK("http://exon.niaid.nih.gov/transcriptome/Anopheles_sialome/links/cds/anomel_epoxy_hydrolase-cds.txt","anomel_epoxy_hydrolase")</f>
        <v>anomel_epoxy_hydrolase</v>
      </c>
      <c r="B46">
        <v>1194</v>
      </c>
      <c r="C46" t="s">
        <v>228</v>
      </c>
      <c r="D46" t="s">
        <v>7</v>
      </c>
      <c r="E46" t="s">
        <v>5</v>
      </c>
      <c r="F46" t="s">
        <v>1</v>
      </c>
      <c r="G46" t="str">
        <f>HYPERLINK("http://exon.niaid.nih.gov/transcriptome/Anopheles_sialome/links/pep/anomel_epoxy_hydrolase-pep.txt","anomel_epoxy_hydrolase")</f>
        <v>anomel_epoxy_hydrolase</v>
      </c>
      <c r="H46">
        <v>397</v>
      </c>
      <c r="I46">
        <v>1</v>
      </c>
      <c r="J46" s="3" t="str">
        <f>HYPERLINK("http://exon.niaid.nih.gov/transcriptome/Anopheles_sialome/links/Sigp/anomel_epoxy_hydrolase-SigP.txt","SIG")</f>
        <v>SIG</v>
      </c>
      <c r="K46" t="s">
        <v>1220</v>
      </c>
      <c r="L46">
        <v>45.521999999999998</v>
      </c>
      <c r="M46">
        <v>8.34</v>
      </c>
      <c r="N46">
        <v>41.058</v>
      </c>
      <c r="O46">
        <v>7.33</v>
      </c>
      <c r="P46" t="s">
        <v>1233</v>
      </c>
      <c r="Q46" s="3">
        <v>0</v>
      </c>
      <c r="R46" t="s">
        <v>128</v>
      </c>
      <c r="S46" t="s">
        <v>128</v>
      </c>
      <c r="T46" t="s">
        <v>128</v>
      </c>
      <c r="U46" t="s">
        <v>128</v>
      </c>
      <c r="V46" t="s">
        <v>128</v>
      </c>
      <c r="W46" s="3" t="str">
        <f>HYPERLINK("http://exon.niaid.nih.gov/transcriptome/Anopheles_sialome/links/netoglyc/anomel_epoxy_hydrolase-netoglyc.txt","0")</f>
        <v>0</v>
      </c>
      <c r="X46">
        <v>8.1</v>
      </c>
      <c r="Y46">
        <v>6.3</v>
      </c>
      <c r="Z46">
        <v>6.5</v>
      </c>
      <c r="AA46" t="s">
        <v>654</v>
      </c>
      <c r="AB46" t="s">
        <v>1234</v>
      </c>
      <c r="AC46" s="2" t="str">
        <f>HYPERLINK("http://exon.niaid.nih.gov/transcriptome/Anopheles_sialome/links/DIPTERA/anomel_epoxy_hydrolase-DIPTERA.txt","AGAP011970-PA, partial")</f>
        <v>AGAP011970-PA, partial</v>
      </c>
      <c r="AD46" t="str">
        <f t="shared" si="8"/>
        <v>0.0</v>
      </c>
      <c r="AE46" t="str">
        <f t="shared" si="14"/>
        <v>gi|157013288</v>
      </c>
      <c r="AF46">
        <v>93</v>
      </c>
      <c r="AG46">
        <v>94</v>
      </c>
      <c r="AH46">
        <v>98</v>
      </c>
      <c r="AI46" t="s">
        <v>2285</v>
      </c>
      <c r="AJ46" s="2" t="str">
        <f>HYPERLINK("http://exon.niaid.nih.gov/transcriptome/Anopheles_sialome/links/CULICOMORPHA/anomel_epoxy_hydrolase-CULICOMORPHA.txt","AGAP011970-PA, partial")</f>
        <v>AGAP011970-PA, partial</v>
      </c>
      <c r="AK46" t="str">
        <f t="shared" si="10"/>
        <v>0.0</v>
      </c>
      <c r="AL46" t="str">
        <f t="shared" si="15"/>
        <v>gi|157013288</v>
      </c>
      <c r="AM46">
        <v>93</v>
      </c>
      <c r="AN46">
        <v>94</v>
      </c>
      <c r="AO46">
        <v>98</v>
      </c>
      <c r="AP46" t="s">
        <v>2285</v>
      </c>
      <c r="AQ46" s="2" t="str">
        <f>HYPERLINK("http://exon.niaid.nih.gov/transcriptome/Anopheles_sialome/links/NR-LIGHT/anomel_epoxy_hydrolase-NR-LIGHT.txt","AGAP011970-PA")</f>
        <v>AGAP011970-PA</v>
      </c>
      <c r="AR46" t="str">
        <f t="shared" si="12"/>
        <v>0.0</v>
      </c>
      <c r="AS46" t="str">
        <f t="shared" si="16"/>
        <v>gi|158300702</v>
      </c>
      <c r="AT46">
        <v>93</v>
      </c>
      <c r="AU46">
        <v>94</v>
      </c>
      <c r="AV46">
        <v>98</v>
      </c>
      <c r="AW46" t="s">
        <v>2285</v>
      </c>
      <c r="AX46" s="2" t="str">
        <f>HYPERLINK("http://exon.niaid.nih.gov/transcriptome/Anopheles_sialome/links/CDD/anomel_epoxy_hydrolase-CDD.txt","MhpC")</f>
        <v>MhpC</v>
      </c>
      <c r="AY46" t="str">
        <f>HYPERLINK("http://www.ncbi.nlm.nih.gov/Structure/cdd/cddsrv.cgi?uid=COG0596&amp;version=v4.0","7E-021")</f>
        <v>7E-021</v>
      </c>
      <c r="AZ46" t="s">
        <v>2602</v>
      </c>
      <c r="BA46" s="2" t="str">
        <f>HYPERLINK("http://exon.niaid.nih.gov/transcriptome/Anopheles_sialome/links/KOG/anomel_epoxy_hydrolase-KOG.txt","Soluble epoxide hydrolase")</f>
        <v>Soluble epoxide hydrolase</v>
      </c>
      <c r="BB46" t="str">
        <f>HYPERLINK("http://www.ncbi.nlm.nih.gov/Structure/cdd/cddsrv.cgi?uid=KOG4178","1E-035")</f>
        <v>1E-035</v>
      </c>
      <c r="BC46" t="s">
        <v>2298</v>
      </c>
      <c r="BD46" t="str">
        <f>HYPERLINK("http://exon.niaid.nih.gov/transcriptome/Anopheles_sialome/links/KOG/anomel_epoxy_hydrolase-KOG.txt","KOG4178")</f>
        <v>KOG4178</v>
      </c>
      <c r="BE46" t="str">
        <f>HYPERLINK("http://exon.niaid.nih.gov/transcriptome/Anopheles_sialome/links/PFAM/anomel_epoxy_hydrolase-PFAM.txt","Abhydrolase_6")</f>
        <v>Abhydrolase_6</v>
      </c>
      <c r="BF46" t="str">
        <f>HYPERLINK("http://pfam.sanger.ac.uk/family?acc=PF12697","2E-019")</f>
        <v>2E-019</v>
      </c>
      <c r="BG46" s="2" t="str">
        <f>HYPERLINK("http://exon.niaid.nih.gov/transcriptome/Anopheles_sialome/links/SMART/anomel_epoxy_hydrolase-SMART.txt","LIGANc")</f>
        <v>LIGANc</v>
      </c>
      <c r="BH46" t="str">
        <f>HYPERLINK("http://smart.embl-heidelberg.de/smart/do_annotation.pl?DOMAIN=LIGANc&amp;BLAST=DUMMY","0.32")</f>
        <v>0.32</v>
      </c>
      <c r="BI46" t="s">
        <v>128</v>
      </c>
      <c r="BJ46" s="2" t="s">
        <v>128</v>
      </c>
      <c r="BK46" t="s">
        <v>1232</v>
      </c>
      <c r="BL46">
        <f>HYPERLINK("http://exon.niaid.nih.gov/transcriptome/Anopheles_sialome/links/cluster-b/anopheline-sialome-cds-pep-larger-orf25-50SimCLU14.txt", 14)</f>
        <v>14</v>
      </c>
      <c r="BM46">
        <f>HYPERLINK("http://exon.niaid.nih.gov/transcriptome/Anopheles_sialome/links/cluster-b/anopheline-sialome-cds-pep-larger-orf25-50SimCLTL14.txt", 18)</f>
        <v>18</v>
      </c>
      <c r="BN46">
        <f>HYPERLINK("http://exon.niaid.nih.gov/transcriptome/Anopheles_sialome/links/cluster-b/anopheline-sialome-cds-pep-larger-orf30-50SimCLU14.txt", 14)</f>
        <v>14</v>
      </c>
      <c r="BO46">
        <f>HYPERLINK("http://exon.niaid.nih.gov/transcriptome/Anopheles_sialome/links/cluster-b/anopheline-sialome-cds-pep-larger-orf30-50SimCLTL14.txt", 18)</f>
        <v>18</v>
      </c>
      <c r="BP46">
        <f>HYPERLINK("http://exon.niaid.nih.gov/transcriptome/Anopheles_sialome/links/cluster-b/anopheline-sialome-cds-pep-larger-orf35-50SimCLU16.txt", 16)</f>
        <v>16</v>
      </c>
      <c r="BQ46">
        <f>HYPERLINK("http://exon.niaid.nih.gov/transcriptome/Anopheles_sialome/links/cluster-b/anopheline-sialome-cds-pep-larger-orf35-50SimCLTL16.txt", 18)</f>
        <v>18</v>
      </c>
      <c r="BR46">
        <f>HYPERLINK("http://exon.niaid.nih.gov/transcriptome/Anopheles_sialome/links/cluster-b/anopheline-sialome-cds-pep-larger-orf40-50SimCLU19.txt", 19)</f>
        <v>19</v>
      </c>
      <c r="BS46">
        <f>HYPERLINK("http://exon.niaid.nih.gov/transcriptome/Anopheles_sialome/links/cluster-b/anopheline-sialome-cds-pep-larger-orf40-50SimCLTL19.txt", 18)</f>
        <v>18</v>
      </c>
      <c r="BT46">
        <f>HYPERLINK("http://exon.niaid.nih.gov/transcriptome/Anopheles_sialome/links/cluster-b/anopheline-sialome-cds-pep-larger-orf45-50SimCLU20.txt", 20)</f>
        <v>20</v>
      </c>
      <c r="BU46">
        <f>HYPERLINK("http://exon.niaid.nih.gov/transcriptome/Anopheles_sialome/links/cluster-b/anopheline-sialome-cds-pep-larger-orf45-50SimCLTL20.txt", 18)</f>
        <v>18</v>
      </c>
      <c r="BV46">
        <f>HYPERLINK("http://exon.niaid.nih.gov/transcriptome/Anopheles_sialome/links/cluster-b/anopheline-sialome-cds-pep-larger-orf50-50SimCLU19.txt", 19)</f>
        <v>19</v>
      </c>
      <c r="BW46">
        <f>HYPERLINK("http://exon.niaid.nih.gov/transcriptome/Anopheles_sialome/links/cluster-b/anopheline-sialome-cds-pep-larger-orf50-50SimCLTL19.txt", 18)</f>
        <v>18</v>
      </c>
      <c r="BX46">
        <f>HYPERLINK("http://exon.niaid.nih.gov/transcriptome/Anopheles_sialome/links/cluster-b/anopheline-sialome-cds-pep-larger-orf55-50SimCLU20.txt", 20)</f>
        <v>20</v>
      </c>
      <c r="BY46">
        <f>HYPERLINK("http://exon.niaid.nih.gov/transcriptome/Anopheles_sialome/links/cluster-b/anopheline-sialome-cds-pep-larger-orf55-50SimCLTL20.txt", 18)</f>
        <v>18</v>
      </c>
      <c r="BZ46">
        <f>HYPERLINK("http://exon.niaid.nih.gov/transcriptome/Anopheles_sialome/links/cluster-b/anopheline-sialome-cds-pep-larger-orf60-50SimCLU19.txt", 19)</f>
        <v>19</v>
      </c>
      <c r="CA46">
        <f>HYPERLINK("http://exon.niaid.nih.gov/transcriptome/Anopheles_sialome/links/cluster-b/anopheline-sialome-cds-pep-larger-orf60-50SimCLTL19.txt", 18)</f>
        <v>18</v>
      </c>
      <c r="CB46">
        <f>HYPERLINK("http://exon.niaid.nih.gov/transcriptome/Anopheles_sialome/links/cluster-b/anopheline-sialome-cds-pep-larger-orf65-50SimCLU15.txt", 15)</f>
        <v>15</v>
      </c>
      <c r="CC46">
        <f>HYPERLINK("http://exon.niaid.nih.gov/transcriptome/Anopheles_sialome/links/cluster-b/anopheline-sialome-cds-pep-larger-orf65-50SimCLTL15.txt", 18)</f>
        <v>18</v>
      </c>
      <c r="CD46">
        <f>HYPERLINK("http://exon.niaid.nih.gov/transcriptome/Anopheles_sialome/links/cluster-b/anopheline-sialome-cds-pep-larger-orf70-50SimCLU18.txt", 18)</f>
        <v>18</v>
      </c>
      <c r="CE46">
        <f>HYPERLINK("http://exon.niaid.nih.gov/transcriptome/Anopheles_sialome/links/cluster-b/anopheline-sialome-cds-pep-larger-orf70-50SimCLTL18.txt", 17)</f>
        <v>17</v>
      </c>
      <c r="CF46">
        <f>HYPERLINK("http://exon.niaid.nih.gov/transcriptome/Anopheles_sialome/links/cluster-b/anopheline-sialome-cds-pep-larger-orf75-50SimCLU19.txt", 19)</f>
        <v>19</v>
      </c>
      <c r="CG46">
        <f>HYPERLINK("http://exon.niaid.nih.gov/transcriptome/Anopheles_sialome/links/cluster-b/anopheline-sialome-cds-pep-larger-orf75-50SimCLTL19.txt", 15)</f>
        <v>15</v>
      </c>
      <c r="CH46">
        <f>HYPERLINK("http://exon.niaid.nih.gov/transcriptome/Anopheles_sialome/links/cluster-b/anopheline-sialome-cds-pep-larger-orf80-50SimCLU24.txt", 24)</f>
        <v>24</v>
      </c>
      <c r="CI46">
        <f>HYPERLINK("http://exon.niaid.nih.gov/transcriptome/Anopheles_sialome/links/cluster-b/anopheline-sialome-cds-pep-larger-orf80-50SimCLTL24.txt", 11)</f>
        <v>11</v>
      </c>
      <c r="CJ46">
        <f>HYPERLINK("http://exon.niaid.nih.gov/transcriptome/Anopheles_sialome/links/cluster-b/anopheline-sialome-cds-pep-larger-orf85-50SimCLU23.txt", 23)</f>
        <v>23</v>
      </c>
      <c r="CK46">
        <f>HYPERLINK("http://exon.niaid.nih.gov/transcriptome/Anopheles_sialome/links/cluster-b/anopheline-sialome-cds-pep-larger-orf85-50SimCLTL23.txt", 7)</f>
        <v>7</v>
      </c>
      <c r="CL46">
        <f>HYPERLINK("http://exon.niaid.nih.gov/transcriptome/Anopheles_sialome/links/cluster-b/anopheline-sialome-cds-pep-larger-orf90-50SimCLU22.txt", 22)</f>
        <v>22</v>
      </c>
      <c r="CM46">
        <f>HYPERLINK("http://exon.niaid.nih.gov/transcriptome/Anopheles_sialome/links/cluster-b/anopheline-sialome-cds-pep-larger-orf90-50SimCLTL22.txt", 6)</f>
        <v>6</v>
      </c>
      <c r="CN46">
        <v>229</v>
      </c>
      <c r="CO46">
        <v>1</v>
      </c>
    </row>
    <row r="47" spans="1:93">
      <c r="A47" s="2" t="str">
        <f>HYPERLINK("http://exon.niaid.nih.gov/transcriptome/Anopheles_sialome/links/cds/anochris_epoxy_hydrolase-cds.txt","anochris_epoxy_hydrolase")</f>
        <v>anochris_epoxy_hydrolase</v>
      </c>
      <c r="B47">
        <v>1194</v>
      </c>
      <c r="C47" t="s">
        <v>229</v>
      </c>
      <c r="D47" t="s">
        <v>7</v>
      </c>
      <c r="E47" t="s">
        <v>5</v>
      </c>
      <c r="F47" t="s">
        <v>1</v>
      </c>
      <c r="G47" t="str">
        <f>HYPERLINK("http://exon.niaid.nih.gov/transcriptome/Anopheles_sialome/links/pep/anochris_epoxy_hydrolase-pep.txt","anochris_epoxy_hydrolase")</f>
        <v>anochris_epoxy_hydrolase</v>
      </c>
      <c r="H47">
        <v>397</v>
      </c>
      <c r="I47">
        <v>0</v>
      </c>
      <c r="J47" s="3" t="str">
        <f>HYPERLINK("http://exon.niaid.nih.gov/transcriptome/Anopheles_sialome/links/Sigp/anochris_epoxy_hydrolase-SigP.txt","CYT")</f>
        <v>CYT</v>
      </c>
      <c r="K47" t="s">
        <v>128</v>
      </c>
      <c r="L47">
        <v>45.527000000000001</v>
      </c>
      <c r="M47">
        <v>8.57</v>
      </c>
      <c r="N47" t="s">
        <v>128</v>
      </c>
      <c r="O47" t="s">
        <v>128</v>
      </c>
      <c r="P47" t="s">
        <v>1236</v>
      </c>
      <c r="Q47" s="3">
        <v>0</v>
      </c>
      <c r="R47" t="s">
        <v>128</v>
      </c>
      <c r="S47" t="s">
        <v>128</v>
      </c>
      <c r="T47" t="s">
        <v>128</v>
      </c>
      <c r="U47" t="s">
        <v>128</v>
      </c>
      <c r="V47" t="s">
        <v>128</v>
      </c>
      <c r="W47" s="3" t="str">
        <f>HYPERLINK("http://exon.niaid.nih.gov/transcriptome/Anopheles_sialome/links/netoglyc/anochris_epoxy_hydrolase-netoglyc.txt","0")</f>
        <v>0</v>
      </c>
      <c r="X47">
        <v>8.1</v>
      </c>
      <c r="Y47">
        <v>5.8</v>
      </c>
      <c r="Z47">
        <v>6.5</v>
      </c>
      <c r="AA47" t="s">
        <v>654</v>
      </c>
      <c r="AB47" t="s">
        <v>128</v>
      </c>
      <c r="AC47" s="2" t="str">
        <f>HYPERLINK("http://exon.niaid.nih.gov/transcriptome/Anopheles_sialome/links/DIPTERA/anochris_epoxy_hydrolase-DIPTERA.txt","AGAP011970-PA, partial")</f>
        <v>AGAP011970-PA, partial</v>
      </c>
      <c r="AD47" t="str">
        <f>HYPERLINK("http://www.ncbi.nlm.nih.gov/sutils/blink.cgi?pid=157013288","1E-154")</f>
        <v>1E-154</v>
      </c>
      <c r="AE47" t="str">
        <f t="shared" si="14"/>
        <v>gi|157013288</v>
      </c>
      <c r="AF47">
        <v>76</v>
      </c>
      <c r="AG47">
        <v>87</v>
      </c>
      <c r="AH47">
        <v>98</v>
      </c>
      <c r="AI47" t="s">
        <v>2285</v>
      </c>
      <c r="AJ47" s="2" t="str">
        <f>HYPERLINK("http://exon.niaid.nih.gov/transcriptome/Anopheles_sialome/links/CULICOMORPHA/anochris_epoxy_hydrolase-CULICOMORPHA.txt","AGAP011970-PA, partial")</f>
        <v>AGAP011970-PA, partial</v>
      </c>
      <c r="AK47" t="str">
        <f>HYPERLINK("http://www.ncbi.nlm.nih.gov/sutils/blink.cgi?pid=157013288","1E-155")</f>
        <v>1E-155</v>
      </c>
      <c r="AL47" t="str">
        <f t="shared" si="15"/>
        <v>gi|157013288</v>
      </c>
      <c r="AM47">
        <v>76</v>
      </c>
      <c r="AN47">
        <v>87</v>
      </c>
      <c r="AO47">
        <v>98</v>
      </c>
      <c r="AP47" t="s">
        <v>2285</v>
      </c>
      <c r="AQ47" s="2" t="str">
        <f>HYPERLINK("http://exon.niaid.nih.gov/transcriptome/Anopheles_sialome/links/NR-LIGHT/anochris_epoxy_hydrolase-NR-LIGHT.txt","AGAP011970-PA")</f>
        <v>AGAP011970-PA</v>
      </c>
      <c r="AR47" t="str">
        <f>HYPERLINK("http://www.ncbi.nlm.nih.gov/sutils/blink.cgi?pid=158300702","1E-154")</f>
        <v>1E-154</v>
      </c>
      <c r="AS47" t="str">
        <f t="shared" si="16"/>
        <v>gi|158300702</v>
      </c>
      <c r="AT47">
        <v>76</v>
      </c>
      <c r="AU47">
        <v>87</v>
      </c>
      <c r="AV47">
        <v>98</v>
      </c>
      <c r="AW47" t="s">
        <v>2285</v>
      </c>
      <c r="AX47" s="2" t="str">
        <f>HYPERLINK("http://exon.niaid.nih.gov/transcriptome/Anopheles_sialome/links/CDD/anochris_epoxy_hydrolase-CDD.txt","MhpC")</f>
        <v>MhpC</v>
      </c>
      <c r="AY47" t="str">
        <f>HYPERLINK("http://www.ncbi.nlm.nih.gov/Structure/cdd/cddsrv.cgi?uid=COG0596&amp;version=v4.0","5E-022")</f>
        <v>5E-022</v>
      </c>
      <c r="AZ47" t="s">
        <v>2603</v>
      </c>
      <c r="BA47" s="2" t="str">
        <f>HYPERLINK("http://exon.niaid.nih.gov/transcriptome/Anopheles_sialome/links/KOG/anochris_epoxy_hydrolase-KOG.txt","Soluble epoxide hydrolase")</f>
        <v>Soluble epoxide hydrolase</v>
      </c>
      <c r="BB47" t="str">
        <f>HYPERLINK("http://www.ncbi.nlm.nih.gov/Structure/cdd/cddsrv.cgi?uid=KOG4178","1E-035")</f>
        <v>1E-035</v>
      </c>
      <c r="BC47" t="s">
        <v>2298</v>
      </c>
      <c r="BD47" t="str">
        <f>HYPERLINK("http://exon.niaid.nih.gov/transcriptome/Anopheles_sialome/links/KOG/anochris_epoxy_hydrolase-KOG.txt","KOG4178")</f>
        <v>KOG4178</v>
      </c>
      <c r="BE47" t="str">
        <f>HYPERLINK("http://exon.niaid.nih.gov/transcriptome/Anopheles_sialome/links/PFAM/anochris_epoxy_hydrolase-PFAM.txt","Abhydrolase_6")</f>
        <v>Abhydrolase_6</v>
      </c>
      <c r="BF47" t="str">
        <f>HYPERLINK("http://pfam.sanger.ac.uk/family?acc=PF12697","3E-021")</f>
        <v>3E-021</v>
      </c>
      <c r="BG47" s="2" t="str">
        <f>HYPERLINK("http://exon.niaid.nih.gov/transcriptome/Anopheles_sialome/links/SMART/anochris_epoxy_hydrolase-SMART.txt","PKS_TE")</f>
        <v>PKS_TE</v>
      </c>
      <c r="BH47" t="str">
        <f>HYPERLINK("http://smart.embl-heidelberg.de/smart/do_annotation.pl?DOMAIN=PKS_TE&amp;BLAST=DUMMY","0.22")</f>
        <v>0.22</v>
      </c>
      <c r="BI47" t="str">
        <f>HYPERLINK("http://exon.niaid.nih.gov/transcriptome/Anopheles_sialome/links/TICK-BLOCKS/anochris_epoxy_hydrolase-TICK-BLOCKS.txt","SG1_stringent_pattern |")</f>
        <v>SG1_stringent_pattern |</v>
      </c>
      <c r="BJ47" s="2" t="s">
        <v>128</v>
      </c>
      <c r="BK47" t="s">
        <v>1235</v>
      </c>
      <c r="BL47">
        <f>HYPERLINK("http://exon.niaid.nih.gov/transcriptome/Anopheles_sialome/links/cluster-b/anopheline-sialome-cds-pep-larger-orf25-50SimCLU14.txt", 14)</f>
        <v>14</v>
      </c>
      <c r="BM47">
        <f>HYPERLINK("http://exon.niaid.nih.gov/transcriptome/Anopheles_sialome/links/cluster-b/anopheline-sialome-cds-pep-larger-orf25-50SimCLTL14.txt", 18)</f>
        <v>18</v>
      </c>
      <c r="BN47">
        <f>HYPERLINK("http://exon.niaid.nih.gov/transcriptome/Anopheles_sialome/links/cluster-b/anopheline-sialome-cds-pep-larger-orf30-50SimCLU14.txt", 14)</f>
        <v>14</v>
      </c>
      <c r="BO47">
        <f>HYPERLINK("http://exon.niaid.nih.gov/transcriptome/Anopheles_sialome/links/cluster-b/anopheline-sialome-cds-pep-larger-orf30-50SimCLTL14.txt", 18)</f>
        <v>18</v>
      </c>
      <c r="BP47">
        <f>HYPERLINK("http://exon.niaid.nih.gov/transcriptome/Anopheles_sialome/links/cluster-b/anopheline-sialome-cds-pep-larger-orf35-50SimCLU16.txt", 16)</f>
        <v>16</v>
      </c>
      <c r="BQ47">
        <f>HYPERLINK("http://exon.niaid.nih.gov/transcriptome/Anopheles_sialome/links/cluster-b/anopheline-sialome-cds-pep-larger-orf35-50SimCLTL16.txt", 18)</f>
        <v>18</v>
      </c>
      <c r="BR47">
        <f>HYPERLINK("http://exon.niaid.nih.gov/transcriptome/Anopheles_sialome/links/cluster-b/anopheline-sialome-cds-pep-larger-orf40-50SimCLU19.txt", 19)</f>
        <v>19</v>
      </c>
      <c r="BS47">
        <f>HYPERLINK("http://exon.niaid.nih.gov/transcriptome/Anopheles_sialome/links/cluster-b/anopheline-sialome-cds-pep-larger-orf40-50SimCLTL19.txt", 18)</f>
        <v>18</v>
      </c>
      <c r="BT47">
        <f>HYPERLINK("http://exon.niaid.nih.gov/transcriptome/Anopheles_sialome/links/cluster-b/anopheline-sialome-cds-pep-larger-orf45-50SimCLU20.txt", 20)</f>
        <v>20</v>
      </c>
      <c r="BU47">
        <f>HYPERLINK("http://exon.niaid.nih.gov/transcriptome/Anopheles_sialome/links/cluster-b/anopheline-sialome-cds-pep-larger-orf45-50SimCLTL20.txt", 18)</f>
        <v>18</v>
      </c>
      <c r="BV47">
        <f>HYPERLINK("http://exon.niaid.nih.gov/transcriptome/Anopheles_sialome/links/cluster-b/anopheline-sialome-cds-pep-larger-orf50-50SimCLU19.txt", 19)</f>
        <v>19</v>
      </c>
      <c r="BW47">
        <f>HYPERLINK("http://exon.niaid.nih.gov/transcriptome/Anopheles_sialome/links/cluster-b/anopheline-sialome-cds-pep-larger-orf50-50SimCLTL19.txt", 18)</f>
        <v>18</v>
      </c>
      <c r="BX47">
        <f>HYPERLINK("http://exon.niaid.nih.gov/transcriptome/Anopheles_sialome/links/cluster-b/anopheline-sialome-cds-pep-larger-orf55-50SimCLU20.txt", 20)</f>
        <v>20</v>
      </c>
      <c r="BY47">
        <f>HYPERLINK("http://exon.niaid.nih.gov/transcriptome/Anopheles_sialome/links/cluster-b/anopheline-sialome-cds-pep-larger-orf55-50SimCLTL20.txt", 18)</f>
        <v>18</v>
      </c>
      <c r="BZ47">
        <f>HYPERLINK("http://exon.niaid.nih.gov/transcriptome/Anopheles_sialome/links/cluster-b/anopheline-sialome-cds-pep-larger-orf60-50SimCLU19.txt", 19)</f>
        <v>19</v>
      </c>
      <c r="CA47">
        <f>HYPERLINK("http://exon.niaid.nih.gov/transcriptome/Anopheles_sialome/links/cluster-b/anopheline-sialome-cds-pep-larger-orf60-50SimCLTL19.txt", 18)</f>
        <v>18</v>
      </c>
      <c r="CB47">
        <f>HYPERLINK("http://exon.niaid.nih.gov/transcriptome/Anopheles_sialome/links/cluster-b/anopheline-sialome-cds-pep-larger-orf65-50SimCLU15.txt", 15)</f>
        <v>15</v>
      </c>
      <c r="CC47">
        <f>HYPERLINK("http://exon.niaid.nih.gov/transcriptome/Anopheles_sialome/links/cluster-b/anopheline-sialome-cds-pep-larger-orf65-50SimCLTL15.txt", 18)</f>
        <v>18</v>
      </c>
      <c r="CD47">
        <f>HYPERLINK("http://exon.niaid.nih.gov/transcriptome/Anopheles_sialome/links/cluster-b/anopheline-sialome-cds-pep-larger-orf70-50SimCLU18.txt", 18)</f>
        <v>18</v>
      </c>
      <c r="CE47">
        <f>HYPERLINK("http://exon.niaid.nih.gov/transcriptome/Anopheles_sialome/links/cluster-b/anopheline-sialome-cds-pep-larger-orf70-50SimCLTL18.txt", 17)</f>
        <v>17</v>
      </c>
      <c r="CF47">
        <f>HYPERLINK("http://exon.niaid.nih.gov/transcriptome/Anopheles_sialome/links/cluster-b/anopheline-sialome-cds-pep-larger-orf75-50SimCLU19.txt", 19)</f>
        <v>19</v>
      </c>
      <c r="CG47">
        <f>HYPERLINK("http://exon.niaid.nih.gov/transcriptome/Anopheles_sialome/links/cluster-b/anopheline-sialome-cds-pep-larger-orf75-50SimCLTL19.txt", 15)</f>
        <v>15</v>
      </c>
      <c r="CH47">
        <f>HYPERLINK("http://exon.niaid.nih.gov/transcriptome/Anopheles_sialome/links/cluster-b/anopheline-sialome-cds-pep-larger-orf80-50SimCLU24.txt", 24)</f>
        <v>24</v>
      </c>
      <c r="CI47">
        <f>HYPERLINK("http://exon.niaid.nih.gov/transcriptome/Anopheles_sialome/links/cluster-b/anopheline-sialome-cds-pep-larger-orf80-50SimCLTL24.txt", 11)</f>
        <v>11</v>
      </c>
      <c r="CJ47">
        <f>HYPERLINK("http://exon.niaid.nih.gov/transcriptome/Anopheles_sialome/links/cluster-b/anopheline-sialome-cds-pep-larger-orf85-50SimCLU23.txt", 23)</f>
        <v>23</v>
      </c>
      <c r="CK47">
        <f>HYPERLINK("http://exon.niaid.nih.gov/transcriptome/Anopheles_sialome/links/cluster-b/anopheline-sialome-cds-pep-larger-orf85-50SimCLTL23.txt", 7)</f>
        <v>7</v>
      </c>
      <c r="CL47">
        <v>208</v>
      </c>
      <c r="CM47">
        <v>1</v>
      </c>
      <c r="CN47">
        <v>230</v>
      </c>
      <c r="CO47">
        <v>1</v>
      </c>
    </row>
    <row r="48" spans="1:93">
      <c r="A48" s="2" t="str">
        <f>HYPERLINK("http://exon.niaid.nih.gov/transcriptome/Anopheles_sialome/links/cds/anoepi_epoxy_hydrolase-cds.txt","anoepi_epoxy_hydrolase")</f>
        <v>anoepi_epoxy_hydrolase</v>
      </c>
      <c r="B48">
        <v>1197</v>
      </c>
      <c r="C48" t="s">
        <v>230</v>
      </c>
      <c r="D48" t="s">
        <v>4</v>
      </c>
      <c r="E48" t="s">
        <v>5</v>
      </c>
      <c r="F48" t="s">
        <v>1</v>
      </c>
      <c r="G48" t="str">
        <f>HYPERLINK("http://exon.niaid.nih.gov/transcriptome/Anopheles_sialome/links/pep/anoepi_epoxy_hydrolase-pep.txt","anoepi_epoxy_hydrolase")</f>
        <v>anoepi_epoxy_hydrolase</v>
      </c>
      <c r="H48">
        <v>398</v>
      </c>
      <c r="I48">
        <v>1</v>
      </c>
      <c r="J48" s="3" t="str">
        <f>HYPERLINK("http://exon.niaid.nih.gov/transcriptome/Anopheles_sialome/links/Sigp/anoepi_epoxy_hydrolase-SigP.txt","CYT")</f>
        <v>CYT</v>
      </c>
      <c r="K48" t="s">
        <v>128</v>
      </c>
      <c r="L48">
        <v>45.298000000000002</v>
      </c>
      <c r="M48">
        <v>8.51</v>
      </c>
      <c r="N48" t="s">
        <v>128</v>
      </c>
      <c r="O48" t="s">
        <v>128</v>
      </c>
      <c r="P48" t="s">
        <v>1238</v>
      </c>
      <c r="Q48" s="3">
        <v>0</v>
      </c>
      <c r="R48" t="s">
        <v>128</v>
      </c>
      <c r="S48" t="s">
        <v>128</v>
      </c>
      <c r="T48" t="s">
        <v>128</v>
      </c>
      <c r="U48" t="s">
        <v>128</v>
      </c>
      <c r="V48" t="s">
        <v>128</v>
      </c>
      <c r="W48" s="3" t="str">
        <f>HYPERLINK("http://exon.niaid.nih.gov/transcriptome/Anopheles_sialome/links/netoglyc/anoepi_epoxy_hydrolase-netoglyc.txt","0")</f>
        <v>0</v>
      </c>
      <c r="X48">
        <v>10.1</v>
      </c>
      <c r="Y48">
        <v>6.5</v>
      </c>
      <c r="Z48">
        <v>6.3</v>
      </c>
      <c r="AA48" t="s">
        <v>654</v>
      </c>
      <c r="AB48" t="s">
        <v>128</v>
      </c>
      <c r="AC48" s="2" t="str">
        <f>HYPERLINK("http://exon.niaid.nih.gov/transcriptome/Anopheles_sialome/links/DIPTERA/anoepi_epoxy_hydrolase-DIPTERA.txt","AGAP011970-PA, partial")</f>
        <v>AGAP011970-PA, partial</v>
      </c>
      <c r="AD48" t="str">
        <f>HYPERLINK("http://www.ncbi.nlm.nih.gov/sutils/blink.cgi?pid=157013288","1E-149")</f>
        <v>1E-149</v>
      </c>
      <c r="AE48" t="str">
        <f t="shared" si="14"/>
        <v>gi|157013288</v>
      </c>
      <c r="AF48">
        <v>74</v>
      </c>
      <c r="AG48">
        <v>85</v>
      </c>
      <c r="AH48">
        <v>98</v>
      </c>
      <c r="AI48" t="s">
        <v>2285</v>
      </c>
      <c r="AJ48" s="2" t="str">
        <f>HYPERLINK("http://exon.niaid.nih.gov/transcriptome/Anopheles_sialome/links/CULICOMORPHA/anoepi_epoxy_hydrolase-CULICOMORPHA.txt","AGAP011970-PA, partial")</f>
        <v>AGAP011970-PA, partial</v>
      </c>
      <c r="AK48" t="str">
        <f>HYPERLINK("http://www.ncbi.nlm.nih.gov/sutils/blink.cgi?pid=157013288","1E-150")</f>
        <v>1E-150</v>
      </c>
      <c r="AL48" t="str">
        <f t="shared" si="15"/>
        <v>gi|157013288</v>
      </c>
      <c r="AM48">
        <v>74</v>
      </c>
      <c r="AN48">
        <v>85</v>
      </c>
      <c r="AO48">
        <v>98</v>
      </c>
      <c r="AP48" t="s">
        <v>2285</v>
      </c>
      <c r="AQ48" s="2" t="str">
        <f>HYPERLINK("http://exon.niaid.nih.gov/transcriptome/Anopheles_sialome/links/NR-LIGHT/anoepi_epoxy_hydrolase-NR-LIGHT.txt","AGAP011970-PA")</f>
        <v>AGAP011970-PA</v>
      </c>
      <c r="AR48" t="str">
        <f>HYPERLINK("http://www.ncbi.nlm.nih.gov/sutils/blink.cgi?pid=158300702","1E-148")</f>
        <v>1E-148</v>
      </c>
      <c r="AS48" t="str">
        <f t="shared" si="16"/>
        <v>gi|158300702</v>
      </c>
      <c r="AT48">
        <v>74</v>
      </c>
      <c r="AU48">
        <v>85</v>
      </c>
      <c r="AV48">
        <v>98</v>
      </c>
      <c r="AW48" t="s">
        <v>2285</v>
      </c>
      <c r="AX48" s="2" t="str">
        <f>HYPERLINK("http://exon.niaid.nih.gov/transcriptome/Anopheles_sialome/links/CDD/anoepi_epoxy_hydrolase-CDD.txt","MhpC")</f>
        <v>MhpC</v>
      </c>
      <c r="AY48" t="str">
        <f>HYPERLINK("http://www.ncbi.nlm.nih.gov/Structure/cdd/cddsrv.cgi?uid=COG0596&amp;version=v4.0","2E-022")</f>
        <v>2E-022</v>
      </c>
      <c r="AZ48" t="s">
        <v>2604</v>
      </c>
      <c r="BA48" s="2" t="str">
        <f>HYPERLINK("http://exon.niaid.nih.gov/transcriptome/Anopheles_sialome/links/KOG/anoepi_epoxy_hydrolase-KOG.txt","Soluble epoxide hydrolase")</f>
        <v>Soluble epoxide hydrolase</v>
      </c>
      <c r="BB48" t="str">
        <f>HYPERLINK("http://www.ncbi.nlm.nih.gov/Structure/cdd/cddsrv.cgi?uid=KOG4178","1E-036")</f>
        <v>1E-036</v>
      </c>
      <c r="BC48" t="s">
        <v>2298</v>
      </c>
      <c r="BD48" t="str">
        <f>HYPERLINK("http://exon.niaid.nih.gov/transcriptome/Anopheles_sialome/links/KOG/anoepi_epoxy_hydrolase-KOG.txt","KOG4178")</f>
        <v>KOG4178</v>
      </c>
      <c r="BE48" t="str">
        <f>HYPERLINK("http://exon.niaid.nih.gov/transcriptome/Anopheles_sialome/links/PFAM/anoepi_epoxy_hydrolase-PFAM.txt","Abhydrolase_6")</f>
        <v>Abhydrolase_6</v>
      </c>
      <c r="BF48" t="str">
        <f>HYPERLINK("http://pfam.sanger.ac.uk/family?acc=PF12697","5E-020")</f>
        <v>5E-020</v>
      </c>
      <c r="BG48" s="2" t="str">
        <f>HYPERLINK("http://exon.niaid.nih.gov/transcriptome/Anopheles_sialome/links/SMART/anoepi_epoxy_hydrolase-SMART.txt","Spc7")</f>
        <v>Spc7</v>
      </c>
      <c r="BH48" t="str">
        <f>HYPERLINK("http://smart.embl-heidelberg.de/smart/do_annotation.pl?DOMAIN=Spc7&amp;BLAST=DUMMY","0.57")</f>
        <v>0.57</v>
      </c>
      <c r="BI48" t="s">
        <v>128</v>
      </c>
      <c r="BJ48" s="2" t="s">
        <v>128</v>
      </c>
      <c r="BK48" t="s">
        <v>1237</v>
      </c>
      <c r="BL48">
        <f>HYPERLINK("http://exon.niaid.nih.gov/transcriptome/Anopheles_sialome/links/cluster-b/anopheline-sialome-cds-pep-larger-orf25-50SimCLU14.txt", 14)</f>
        <v>14</v>
      </c>
      <c r="BM48">
        <f>HYPERLINK("http://exon.niaid.nih.gov/transcriptome/Anopheles_sialome/links/cluster-b/anopheline-sialome-cds-pep-larger-orf25-50SimCLTL14.txt", 18)</f>
        <v>18</v>
      </c>
      <c r="BN48">
        <f>HYPERLINK("http://exon.niaid.nih.gov/transcriptome/Anopheles_sialome/links/cluster-b/anopheline-sialome-cds-pep-larger-orf30-50SimCLU14.txt", 14)</f>
        <v>14</v>
      </c>
      <c r="BO48">
        <f>HYPERLINK("http://exon.niaid.nih.gov/transcriptome/Anopheles_sialome/links/cluster-b/anopheline-sialome-cds-pep-larger-orf30-50SimCLTL14.txt", 18)</f>
        <v>18</v>
      </c>
      <c r="BP48">
        <f>HYPERLINK("http://exon.niaid.nih.gov/transcriptome/Anopheles_sialome/links/cluster-b/anopheline-sialome-cds-pep-larger-orf35-50SimCLU16.txt", 16)</f>
        <v>16</v>
      </c>
      <c r="BQ48">
        <f>HYPERLINK("http://exon.niaid.nih.gov/transcriptome/Anopheles_sialome/links/cluster-b/anopheline-sialome-cds-pep-larger-orf35-50SimCLTL16.txt", 18)</f>
        <v>18</v>
      </c>
      <c r="BR48">
        <f>HYPERLINK("http://exon.niaid.nih.gov/transcriptome/Anopheles_sialome/links/cluster-b/anopheline-sialome-cds-pep-larger-orf40-50SimCLU19.txt", 19)</f>
        <v>19</v>
      </c>
      <c r="BS48">
        <f>HYPERLINK("http://exon.niaid.nih.gov/transcriptome/Anopheles_sialome/links/cluster-b/anopheline-sialome-cds-pep-larger-orf40-50SimCLTL19.txt", 18)</f>
        <v>18</v>
      </c>
      <c r="BT48">
        <f>HYPERLINK("http://exon.niaid.nih.gov/transcriptome/Anopheles_sialome/links/cluster-b/anopheline-sialome-cds-pep-larger-orf45-50SimCLU20.txt", 20)</f>
        <v>20</v>
      </c>
      <c r="BU48">
        <f>HYPERLINK("http://exon.niaid.nih.gov/transcriptome/Anopheles_sialome/links/cluster-b/anopheline-sialome-cds-pep-larger-orf45-50SimCLTL20.txt", 18)</f>
        <v>18</v>
      </c>
      <c r="BV48">
        <f>HYPERLINK("http://exon.niaid.nih.gov/transcriptome/Anopheles_sialome/links/cluster-b/anopheline-sialome-cds-pep-larger-orf50-50SimCLU19.txt", 19)</f>
        <v>19</v>
      </c>
      <c r="BW48">
        <f>HYPERLINK("http://exon.niaid.nih.gov/transcriptome/Anopheles_sialome/links/cluster-b/anopheline-sialome-cds-pep-larger-orf50-50SimCLTL19.txt", 18)</f>
        <v>18</v>
      </c>
      <c r="BX48">
        <f>HYPERLINK("http://exon.niaid.nih.gov/transcriptome/Anopheles_sialome/links/cluster-b/anopheline-sialome-cds-pep-larger-orf55-50SimCLU20.txt", 20)</f>
        <v>20</v>
      </c>
      <c r="BY48">
        <f>HYPERLINK("http://exon.niaid.nih.gov/transcriptome/Anopheles_sialome/links/cluster-b/anopheline-sialome-cds-pep-larger-orf55-50SimCLTL20.txt", 18)</f>
        <v>18</v>
      </c>
      <c r="BZ48">
        <f>HYPERLINK("http://exon.niaid.nih.gov/transcriptome/Anopheles_sialome/links/cluster-b/anopheline-sialome-cds-pep-larger-orf60-50SimCLU19.txt", 19)</f>
        <v>19</v>
      </c>
      <c r="CA48">
        <f>HYPERLINK("http://exon.niaid.nih.gov/transcriptome/Anopheles_sialome/links/cluster-b/anopheline-sialome-cds-pep-larger-orf60-50SimCLTL19.txt", 18)</f>
        <v>18</v>
      </c>
      <c r="CB48">
        <f>HYPERLINK("http://exon.niaid.nih.gov/transcriptome/Anopheles_sialome/links/cluster-b/anopheline-sialome-cds-pep-larger-orf65-50SimCLU15.txt", 15)</f>
        <v>15</v>
      </c>
      <c r="CC48">
        <f>HYPERLINK("http://exon.niaid.nih.gov/transcriptome/Anopheles_sialome/links/cluster-b/anopheline-sialome-cds-pep-larger-orf65-50SimCLTL15.txt", 18)</f>
        <v>18</v>
      </c>
      <c r="CD48">
        <f>HYPERLINK("http://exon.niaid.nih.gov/transcriptome/Anopheles_sialome/links/cluster-b/anopheline-sialome-cds-pep-larger-orf70-50SimCLU18.txt", 18)</f>
        <v>18</v>
      </c>
      <c r="CE48">
        <f>HYPERLINK("http://exon.niaid.nih.gov/transcriptome/Anopheles_sialome/links/cluster-b/anopheline-sialome-cds-pep-larger-orf70-50SimCLTL18.txt", 17)</f>
        <v>17</v>
      </c>
      <c r="CF48">
        <f>HYPERLINK("http://exon.niaid.nih.gov/transcriptome/Anopheles_sialome/links/cluster-b/anopheline-sialome-cds-pep-larger-orf75-50SimCLU19.txt", 19)</f>
        <v>19</v>
      </c>
      <c r="CG48">
        <f>HYPERLINK("http://exon.niaid.nih.gov/transcriptome/Anopheles_sialome/links/cluster-b/anopheline-sialome-cds-pep-larger-orf75-50SimCLTL19.txt", 15)</f>
        <v>15</v>
      </c>
      <c r="CH48">
        <f>HYPERLINK("http://exon.niaid.nih.gov/transcriptome/Anopheles_sialome/links/cluster-b/anopheline-sialome-cds-pep-larger-orf80-50SimCLU24.txt", 24)</f>
        <v>24</v>
      </c>
      <c r="CI48">
        <f>HYPERLINK("http://exon.niaid.nih.gov/transcriptome/Anopheles_sialome/links/cluster-b/anopheline-sialome-cds-pep-larger-orf80-50SimCLTL24.txt", 11)</f>
        <v>11</v>
      </c>
      <c r="CJ48">
        <v>169</v>
      </c>
      <c r="CK48">
        <v>1</v>
      </c>
      <c r="CL48">
        <v>209</v>
      </c>
      <c r="CM48">
        <v>1</v>
      </c>
      <c r="CN48">
        <v>231</v>
      </c>
      <c r="CO48">
        <v>1</v>
      </c>
    </row>
    <row r="49" spans="1:93">
      <c r="A49" s="2" t="str">
        <f>HYPERLINK("http://exon.niaid.nih.gov/transcriptome/Anopheles_sialome/links/cds/anofun_epoxy_hydrolase-cds.txt","anofun_epoxy_hydrolase")</f>
        <v>anofun_epoxy_hydrolase</v>
      </c>
      <c r="B49">
        <v>870</v>
      </c>
      <c r="C49" t="s">
        <v>231</v>
      </c>
      <c r="D49" t="s">
        <v>4</v>
      </c>
      <c r="E49" t="s">
        <v>5</v>
      </c>
      <c r="F49" t="s">
        <v>1</v>
      </c>
      <c r="G49" t="str">
        <f>HYPERLINK("http://exon.niaid.nih.gov/transcriptome/Anopheles_sialome/links/pep/anofun_epoxy_hydrolase-pep.txt","anofun_epoxy_hydrolase")</f>
        <v>anofun_epoxy_hydrolase</v>
      </c>
      <c r="H49">
        <v>289</v>
      </c>
      <c r="I49">
        <v>1</v>
      </c>
      <c r="J49" s="3" t="str">
        <f>HYPERLINK("http://exon.niaid.nih.gov/transcriptome/Anopheles_sialome/links/Sigp/anofun_epoxy_hydrolase-SigP.txt","CYT")</f>
        <v>CYT</v>
      </c>
      <c r="K49" t="s">
        <v>128</v>
      </c>
      <c r="L49">
        <v>33.082000000000001</v>
      </c>
      <c r="M49">
        <v>7.67</v>
      </c>
      <c r="N49" t="s">
        <v>128</v>
      </c>
      <c r="O49" t="s">
        <v>128</v>
      </c>
      <c r="P49" t="s">
        <v>1240</v>
      </c>
      <c r="Q49" s="3">
        <v>0</v>
      </c>
      <c r="R49" t="s">
        <v>128</v>
      </c>
      <c r="S49" t="s">
        <v>128</v>
      </c>
      <c r="T49" t="s">
        <v>128</v>
      </c>
      <c r="U49" t="s">
        <v>128</v>
      </c>
      <c r="V49" t="s">
        <v>128</v>
      </c>
      <c r="W49" s="3" t="str">
        <f>HYPERLINK("http://exon.niaid.nih.gov/transcriptome/Anopheles_sialome/links/netoglyc/anofun_epoxy_hydrolase-netoglyc.txt","0")</f>
        <v>0</v>
      </c>
      <c r="X49">
        <v>10</v>
      </c>
      <c r="Y49">
        <v>7.3</v>
      </c>
      <c r="Z49">
        <v>6.2</v>
      </c>
      <c r="AA49" t="s">
        <v>654</v>
      </c>
      <c r="AB49" t="s">
        <v>128</v>
      </c>
      <c r="AC49" s="2" t="str">
        <f>HYPERLINK("http://exon.niaid.nih.gov/transcriptome/Anopheles_sialome/links/DIPTERA/anofun_epoxy_hydrolase-DIPTERA.txt","AGAP011970-PA, partial")</f>
        <v>AGAP011970-PA, partial</v>
      </c>
      <c r="AD49" t="str">
        <f>HYPERLINK("http://www.ncbi.nlm.nih.gov/sutils/blink.cgi?pid=157013288","1E-136")</f>
        <v>1E-136</v>
      </c>
      <c r="AE49" t="str">
        <f t="shared" si="14"/>
        <v>gi|157013288</v>
      </c>
      <c r="AF49">
        <v>77</v>
      </c>
      <c r="AG49">
        <v>88</v>
      </c>
      <c r="AH49">
        <v>84</v>
      </c>
      <c r="AI49" t="s">
        <v>2285</v>
      </c>
      <c r="AJ49" s="2" t="str">
        <f>HYPERLINK("http://exon.niaid.nih.gov/transcriptome/Anopheles_sialome/links/CULICOMORPHA/anofun_epoxy_hydrolase-CULICOMORPHA.txt","AGAP011970-PA, partial")</f>
        <v>AGAP011970-PA, partial</v>
      </c>
      <c r="AK49" t="str">
        <f>HYPERLINK("http://www.ncbi.nlm.nih.gov/sutils/blink.cgi?pid=157013288","1E-137")</f>
        <v>1E-137</v>
      </c>
      <c r="AL49" t="str">
        <f t="shared" si="15"/>
        <v>gi|157013288</v>
      </c>
      <c r="AM49">
        <v>77</v>
      </c>
      <c r="AN49">
        <v>88</v>
      </c>
      <c r="AO49">
        <v>84</v>
      </c>
      <c r="AP49" t="s">
        <v>2285</v>
      </c>
      <c r="AQ49" s="2" t="str">
        <f>HYPERLINK("http://exon.niaid.nih.gov/transcriptome/Anopheles_sialome/links/NR-LIGHT/anofun_epoxy_hydrolase-NR-LIGHT.txt","AGAP011970-PA")</f>
        <v>AGAP011970-PA</v>
      </c>
      <c r="AR49" t="str">
        <f>HYPERLINK("http://www.ncbi.nlm.nih.gov/sutils/blink.cgi?pid=158300702","1E-135")</f>
        <v>1E-135</v>
      </c>
      <c r="AS49" t="str">
        <f t="shared" si="16"/>
        <v>gi|158300702</v>
      </c>
      <c r="AT49">
        <v>77</v>
      </c>
      <c r="AU49">
        <v>88</v>
      </c>
      <c r="AV49">
        <v>84</v>
      </c>
      <c r="AW49" t="s">
        <v>2285</v>
      </c>
      <c r="AX49" s="2" t="str">
        <f>HYPERLINK("http://exon.niaid.nih.gov/transcriptome/Anopheles_sialome/links/CDD/anofun_epoxy_hydrolase-CDD.txt","MhpC")</f>
        <v>MhpC</v>
      </c>
      <c r="AY49" t="str">
        <f>HYPERLINK("http://www.ncbi.nlm.nih.gov/Structure/cdd/cddsrv.cgi?uid=COG0596&amp;version=v4.0","2E-017")</f>
        <v>2E-017</v>
      </c>
      <c r="AZ49" t="s">
        <v>2605</v>
      </c>
      <c r="BA49" s="2" t="str">
        <f>HYPERLINK("http://exon.niaid.nih.gov/transcriptome/Anopheles_sialome/links/KOG/anofun_epoxy_hydrolase-KOG.txt","Soluble epoxide hydrolase")</f>
        <v>Soluble epoxide hydrolase</v>
      </c>
      <c r="BB49" t="str">
        <f>HYPERLINK("http://www.ncbi.nlm.nih.gov/Structure/cdd/cddsrv.cgi?uid=KOG4178","3E-033")</f>
        <v>3E-033</v>
      </c>
      <c r="BC49" t="s">
        <v>2298</v>
      </c>
      <c r="BD49" t="str">
        <f>HYPERLINK("http://exon.niaid.nih.gov/transcriptome/Anopheles_sialome/links/KOG/anofun_epoxy_hydrolase-KOG.txt","KOG4178")</f>
        <v>KOG4178</v>
      </c>
      <c r="BE49" t="str">
        <f>HYPERLINK("http://exon.niaid.nih.gov/transcriptome/Anopheles_sialome/links/PFAM/anofun_epoxy_hydrolase-PFAM.txt","Abhydrolase_6")</f>
        <v>Abhydrolase_6</v>
      </c>
      <c r="BF49" t="str">
        <f>HYPERLINK("http://pfam.sanger.ac.uk/family?acc=PF12697","2E-017")</f>
        <v>2E-017</v>
      </c>
      <c r="BG49" s="2" t="str">
        <f>HYPERLINK("http://exon.niaid.nih.gov/transcriptome/Anopheles_sialome/links/SMART/anofun_epoxy_hydrolase-SMART.txt","PKS_TE")</f>
        <v>PKS_TE</v>
      </c>
      <c r="BH49" t="str">
        <f>HYPERLINK("http://smart.embl-heidelberg.de/smart/do_annotation.pl?DOMAIN=PKS_TE&amp;BLAST=DUMMY","1.1")</f>
        <v>1.1</v>
      </c>
      <c r="BI49" t="s">
        <v>128</v>
      </c>
      <c r="BJ49" s="2" t="s">
        <v>128</v>
      </c>
      <c r="BK49" t="s">
        <v>1239</v>
      </c>
      <c r="BL49">
        <f>HYPERLINK("http://exon.niaid.nih.gov/transcriptome/Anopheles_sialome/links/cluster-b/anopheline-sialome-cds-pep-larger-orf25-50SimCLU14.txt", 14)</f>
        <v>14</v>
      </c>
      <c r="BM49">
        <f>HYPERLINK("http://exon.niaid.nih.gov/transcriptome/Anopheles_sialome/links/cluster-b/anopheline-sialome-cds-pep-larger-orf25-50SimCLTL14.txt", 18)</f>
        <v>18</v>
      </c>
      <c r="BN49">
        <f>HYPERLINK("http://exon.niaid.nih.gov/transcriptome/Anopheles_sialome/links/cluster-b/anopheline-sialome-cds-pep-larger-orf30-50SimCLU14.txt", 14)</f>
        <v>14</v>
      </c>
      <c r="BO49">
        <f>HYPERLINK("http://exon.niaid.nih.gov/transcriptome/Anopheles_sialome/links/cluster-b/anopheline-sialome-cds-pep-larger-orf30-50SimCLTL14.txt", 18)</f>
        <v>18</v>
      </c>
      <c r="BP49">
        <f>HYPERLINK("http://exon.niaid.nih.gov/transcriptome/Anopheles_sialome/links/cluster-b/anopheline-sialome-cds-pep-larger-orf35-50SimCLU16.txt", 16)</f>
        <v>16</v>
      </c>
      <c r="BQ49">
        <f>HYPERLINK("http://exon.niaid.nih.gov/transcriptome/Anopheles_sialome/links/cluster-b/anopheline-sialome-cds-pep-larger-orf35-50SimCLTL16.txt", 18)</f>
        <v>18</v>
      </c>
      <c r="BR49">
        <f>HYPERLINK("http://exon.niaid.nih.gov/transcriptome/Anopheles_sialome/links/cluster-b/anopheline-sialome-cds-pep-larger-orf40-50SimCLU19.txt", 19)</f>
        <v>19</v>
      </c>
      <c r="BS49">
        <f>HYPERLINK("http://exon.niaid.nih.gov/transcriptome/Anopheles_sialome/links/cluster-b/anopheline-sialome-cds-pep-larger-orf40-50SimCLTL19.txt", 18)</f>
        <v>18</v>
      </c>
      <c r="BT49">
        <f>HYPERLINK("http://exon.niaid.nih.gov/transcriptome/Anopheles_sialome/links/cluster-b/anopheline-sialome-cds-pep-larger-orf45-50SimCLU20.txt", 20)</f>
        <v>20</v>
      </c>
      <c r="BU49">
        <f>HYPERLINK("http://exon.niaid.nih.gov/transcriptome/Anopheles_sialome/links/cluster-b/anopheline-sialome-cds-pep-larger-orf45-50SimCLTL20.txt", 18)</f>
        <v>18</v>
      </c>
      <c r="BV49">
        <f>HYPERLINK("http://exon.niaid.nih.gov/transcriptome/Anopheles_sialome/links/cluster-b/anopheline-sialome-cds-pep-larger-orf50-50SimCLU19.txt", 19)</f>
        <v>19</v>
      </c>
      <c r="BW49">
        <f>HYPERLINK("http://exon.niaid.nih.gov/transcriptome/Anopheles_sialome/links/cluster-b/anopheline-sialome-cds-pep-larger-orf50-50SimCLTL19.txt", 18)</f>
        <v>18</v>
      </c>
      <c r="BX49">
        <f>HYPERLINK("http://exon.niaid.nih.gov/transcriptome/Anopheles_sialome/links/cluster-b/anopheline-sialome-cds-pep-larger-orf55-50SimCLU20.txt", 20)</f>
        <v>20</v>
      </c>
      <c r="BY49">
        <f>HYPERLINK("http://exon.niaid.nih.gov/transcriptome/Anopheles_sialome/links/cluster-b/anopheline-sialome-cds-pep-larger-orf55-50SimCLTL20.txt", 18)</f>
        <v>18</v>
      </c>
      <c r="BZ49">
        <f>HYPERLINK("http://exon.niaid.nih.gov/transcriptome/Anopheles_sialome/links/cluster-b/anopheline-sialome-cds-pep-larger-orf60-50SimCLU19.txt", 19)</f>
        <v>19</v>
      </c>
      <c r="CA49">
        <f>HYPERLINK("http://exon.niaid.nih.gov/transcriptome/Anopheles_sialome/links/cluster-b/anopheline-sialome-cds-pep-larger-orf60-50SimCLTL19.txt", 18)</f>
        <v>18</v>
      </c>
      <c r="CB49">
        <f>HYPERLINK("http://exon.niaid.nih.gov/transcriptome/Anopheles_sialome/links/cluster-b/anopheline-sialome-cds-pep-larger-orf65-50SimCLU15.txt", 15)</f>
        <v>15</v>
      </c>
      <c r="CC49">
        <f>HYPERLINK("http://exon.niaid.nih.gov/transcriptome/Anopheles_sialome/links/cluster-b/anopheline-sialome-cds-pep-larger-orf65-50SimCLTL15.txt", 18)</f>
        <v>18</v>
      </c>
      <c r="CD49">
        <v>82</v>
      </c>
      <c r="CE49">
        <v>1</v>
      </c>
      <c r="CF49">
        <v>107</v>
      </c>
      <c r="CG49">
        <v>1</v>
      </c>
      <c r="CH49">
        <v>141</v>
      </c>
      <c r="CI49">
        <v>1</v>
      </c>
      <c r="CJ49">
        <v>170</v>
      </c>
      <c r="CK49">
        <v>1</v>
      </c>
      <c r="CL49">
        <v>210</v>
      </c>
      <c r="CM49">
        <v>1</v>
      </c>
      <c r="CN49">
        <v>232</v>
      </c>
      <c r="CO49">
        <v>1</v>
      </c>
    </row>
    <row r="50" spans="1:93">
      <c r="A50" s="2" t="str">
        <f>HYPERLINK("http://exon.niaid.nih.gov/transcriptome/Anopheles_sialome/links/cds/anomin_epoxy_hydrolase-cds.txt","anomin_epoxy_hydrolase")</f>
        <v>anomin_epoxy_hydrolase</v>
      </c>
      <c r="B50">
        <v>1188</v>
      </c>
      <c r="C50" t="s">
        <v>232</v>
      </c>
      <c r="D50" t="s">
        <v>7</v>
      </c>
      <c r="E50" t="s">
        <v>5</v>
      </c>
      <c r="F50" t="s">
        <v>1</v>
      </c>
      <c r="G50" t="str">
        <f>HYPERLINK("http://exon.niaid.nih.gov/transcriptome/Anopheles_sialome/links/pep/anomin_epoxy_hydrolase-pep.txt","anomin_epoxy_hydrolase")</f>
        <v>anomin_epoxy_hydrolase</v>
      </c>
      <c r="H50">
        <v>395</v>
      </c>
      <c r="I50">
        <v>1</v>
      </c>
      <c r="J50" s="3" t="str">
        <f>HYPERLINK("http://exon.niaid.nih.gov/transcriptome/Anopheles_sialome/links/Sigp/anomin_epoxy_hydrolase-SigP.txt","CYT")</f>
        <v>CYT</v>
      </c>
      <c r="K50" t="s">
        <v>128</v>
      </c>
      <c r="L50">
        <v>45.244999999999997</v>
      </c>
      <c r="M50">
        <v>7.2</v>
      </c>
      <c r="N50" t="s">
        <v>128</v>
      </c>
      <c r="O50" t="s">
        <v>128</v>
      </c>
      <c r="P50" t="s">
        <v>1242</v>
      </c>
      <c r="Q50" s="3">
        <v>0</v>
      </c>
      <c r="R50" t="s">
        <v>128</v>
      </c>
      <c r="S50" t="s">
        <v>128</v>
      </c>
      <c r="T50" t="s">
        <v>128</v>
      </c>
      <c r="U50" t="s">
        <v>128</v>
      </c>
      <c r="V50" t="s">
        <v>128</v>
      </c>
      <c r="W50" s="3" t="str">
        <f>HYPERLINK("http://exon.niaid.nih.gov/transcriptome/Anopheles_sialome/links/netoglyc/anomin_epoxy_hydrolase-netoglyc.txt","0")</f>
        <v>0</v>
      </c>
      <c r="X50">
        <v>9.4</v>
      </c>
      <c r="Y50">
        <v>6.1</v>
      </c>
      <c r="Z50">
        <v>6.1</v>
      </c>
      <c r="AA50" t="s">
        <v>654</v>
      </c>
      <c r="AB50" t="s">
        <v>128</v>
      </c>
      <c r="AC50" s="2" t="str">
        <f>HYPERLINK("http://exon.niaid.nih.gov/transcriptome/Anopheles_sialome/links/DIPTERA/anomin_epoxy_hydrolase-DIPTERA.txt","AGAP011970-PA, partial")</f>
        <v>AGAP011970-PA, partial</v>
      </c>
      <c r="AD50" t="str">
        <f>HYPERLINK("http://www.ncbi.nlm.nih.gov/sutils/blink.cgi?pid=157013288","1E-142")</f>
        <v>1E-142</v>
      </c>
      <c r="AE50" t="str">
        <f t="shared" si="14"/>
        <v>gi|157013288</v>
      </c>
      <c r="AF50">
        <v>70</v>
      </c>
      <c r="AG50">
        <v>83</v>
      </c>
      <c r="AH50">
        <v>97</v>
      </c>
      <c r="AI50" t="s">
        <v>2285</v>
      </c>
      <c r="AJ50" s="2" t="str">
        <f>HYPERLINK("http://exon.niaid.nih.gov/transcriptome/Anopheles_sialome/links/CULICOMORPHA/anomin_epoxy_hydrolase-CULICOMORPHA.txt","AGAP011970-PA, partial")</f>
        <v>AGAP011970-PA, partial</v>
      </c>
      <c r="AK50" t="str">
        <f>HYPERLINK("http://www.ncbi.nlm.nih.gov/sutils/blink.cgi?pid=157013288","1E-143")</f>
        <v>1E-143</v>
      </c>
      <c r="AL50" t="str">
        <f t="shared" si="15"/>
        <v>gi|157013288</v>
      </c>
      <c r="AM50">
        <v>70</v>
      </c>
      <c r="AN50">
        <v>83</v>
      </c>
      <c r="AO50">
        <v>97</v>
      </c>
      <c r="AP50" t="s">
        <v>2285</v>
      </c>
      <c r="AQ50" s="2" t="str">
        <f>HYPERLINK("http://exon.niaid.nih.gov/transcriptome/Anopheles_sialome/links/NR-LIGHT/anomin_epoxy_hydrolase-NR-LIGHT.txt","AGAP011970-PA")</f>
        <v>AGAP011970-PA</v>
      </c>
      <c r="AR50" t="str">
        <f>HYPERLINK("http://www.ncbi.nlm.nih.gov/sutils/blink.cgi?pid=158300702","1E-142")</f>
        <v>1E-142</v>
      </c>
      <c r="AS50" t="str">
        <f t="shared" si="16"/>
        <v>gi|158300702</v>
      </c>
      <c r="AT50">
        <v>70</v>
      </c>
      <c r="AU50">
        <v>83</v>
      </c>
      <c r="AV50">
        <v>97</v>
      </c>
      <c r="AW50" t="s">
        <v>2285</v>
      </c>
      <c r="AX50" s="2" t="str">
        <f>HYPERLINK("http://exon.niaid.nih.gov/transcriptome/Anopheles_sialome/links/CDD/anomin_epoxy_hydrolase-CDD.txt","MhpC")</f>
        <v>MhpC</v>
      </c>
      <c r="AY50" t="str">
        <f>HYPERLINK("http://www.ncbi.nlm.nih.gov/Structure/cdd/cddsrv.cgi?uid=COG0596&amp;version=v4.0","6E-024")</f>
        <v>6E-024</v>
      </c>
      <c r="AZ50" t="s">
        <v>2606</v>
      </c>
      <c r="BA50" s="2" t="str">
        <f>HYPERLINK("http://exon.niaid.nih.gov/transcriptome/Anopheles_sialome/links/KOG/anomin_epoxy_hydrolase-KOG.txt","Soluble epoxide hydrolase")</f>
        <v>Soluble epoxide hydrolase</v>
      </c>
      <c r="BB50" t="str">
        <f>HYPERLINK("http://www.ncbi.nlm.nih.gov/Structure/cdd/cddsrv.cgi?uid=KOG4178","2E-037")</f>
        <v>2E-037</v>
      </c>
      <c r="BC50" t="s">
        <v>2298</v>
      </c>
      <c r="BD50" t="str">
        <f>HYPERLINK("http://exon.niaid.nih.gov/transcriptome/Anopheles_sialome/links/KOG/anomin_epoxy_hydrolase-KOG.txt","KOG4178")</f>
        <v>KOG4178</v>
      </c>
      <c r="BE50" t="str">
        <f>HYPERLINK("http://exon.niaid.nih.gov/transcriptome/Anopheles_sialome/links/PFAM/anomin_epoxy_hydrolase-PFAM.txt","Abhydrolase_6")</f>
        <v>Abhydrolase_6</v>
      </c>
      <c r="BF50" t="str">
        <f>HYPERLINK("http://pfam.sanger.ac.uk/family?acc=PF12697","5E-022")</f>
        <v>5E-022</v>
      </c>
      <c r="BG50" s="2" t="str">
        <f>HYPERLINK("http://exon.niaid.nih.gov/transcriptome/Anopheles_sialome/links/SMART/anomin_epoxy_hydrolase-SMART.txt","PKS_TE")</f>
        <v>PKS_TE</v>
      </c>
      <c r="BH50" t="str">
        <f>HYPERLINK("http://smart.embl-heidelberg.de/smart/do_annotation.pl?DOMAIN=PKS_TE&amp;BLAST=DUMMY","0.67")</f>
        <v>0.67</v>
      </c>
      <c r="BI50" t="s">
        <v>128</v>
      </c>
      <c r="BJ50" s="2" t="s">
        <v>128</v>
      </c>
      <c r="BK50" t="s">
        <v>1241</v>
      </c>
      <c r="BL50">
        <f>HYPERLINK("http://exon.niaid.nih.gov/transcriptome/Anopheles_sialome/links/cluster-b/anopheline-sialome-cds-pep-larger-orf25-50SimCLU14.txt", 14)</f>
        <v>14</v>
      </c>
      <c r="BM50">
        <f>HYPERLINK("http://exon.niaid.nih.gov/transcriptome/Anopheles_sialome/links/cluster-b/anopheline-sialome-cds-pep-larger-orf25-50SimCLTL14.txt", 18)</f>
        <v>18</v>
      </c>
      <c r="BN50">
        <f>HYPERLINK("http://exon.niaid.nih.gov/transcriptome/Anopheles_sialome/links/cluster-b/anopheline-sialome-cds-pep-larger-orf30-50SimCLU14.txt", 14)</f>
        <v>14</v>
      </c>
      <c r="BO50">
        <f>HYPERLINK("http://exon.niaid.nih.gov/transcriptome/Anopheles_sialome/links/cluster-b/anopheline-sialome-cds-pep-larger-orf30-50SimCLTL14.txt", 18)</f>
        <v>18</v>
      </c>
      <c r="BP50">
        <f>HYPERLINK("http://exon.niaid.nih.gov/transcriptome/Anopheles_sialome/links/cluster-b/anopheline-sialome-cds-pep-larger-orf35-50SimCLU16.txt", 16)</f>
        <v>16</v>
      </c>
      <c r="BQ50">
        <f>HYPERLINK("http://exon.niaid.nih.gov/transcriptome/Anopheles_sialome/links/cluster-b/anopheline-sialome-cds-pep-larger-orf35-50SimCLTL16.txt", 18)</f>
        <v>18</v>
      </c>
      <c r="BR50">
        <f>HYPERLINK("http://exon.niaid.nih.gov/transcriptome/Anopheles_sialome/links/cluster-b/anopheline-sialome-cds-pep-larger-orf40-50SimCLU19.txt", 19)</f>
        <v>19</v>
      </c>
      <c r="BS50">
        <f>HYPERLINK("http://exon.niaid.nih.gov/transcriptome/Anopheles_sialome/links/cluster-b/anopheline-sialome-cds-pep-larger-orf40-50SimCLTL19.txt", 18)</f>
        <v>18</v>
      </c>
      <c r="BT50">
        <f>HYPERLINK("http://exon.niaid.nih.gov/transcriptome/Anopheles_sialome/links/cluster-b/anopheline-sialome-cds-pep-larger-orf45-50SimCLU20.txt", 20)</f>
        <v>20</v>
      </c>
      <c r="BU50">
        <f>HYPERLINK("http://exon.niaid.nih.gov/transcriptome/Anopheles_sialome/links/cluster-b/anopheline-sialome-cds-pep-larger-orf45-50SimCLTL20.txt", 18)</f>
        <v>18</v>
      </c>
      <c r="BV50">
        <f>HYPERLINK("http://exon.niaid.nih.gov/transcriptome/Anopheles_sialome/links/cluster-b/anopheline-sialome-cds-pep-larger-orf50-50SimCLU19.txt", 19)</f>
        <v>19</v>
      </c>
      <c r="BW50">
        <f>HYPERLINK("http://exon.niaid.nih.gov/transcriptome/Anopheles_sialome/links/cluster-b/anopheline-sialome-cds-pep-larger-orf50-50SimCLTL19.txt", 18)</f>
        <v>18</v>
      </c>
      <c r="BX50">
        <f>HYPERLINK("http://exon.niaid.nih.gov/transcriptome/Anopheles_sialome/links/cluster-b/anopheline-sialome-cds-pep-larger-orf55-50SimCLU20.txt", 20)</f>
        <v>20</v>
      </c>
      <c r="BY50">
        <f>HYPERLINK("http://exon.niaid.nih.gov/transcriptome/Anopheles_sialome/links/cluster-b/anopheline-sialome-cds-pep-larger-orf55-50SimCLTL20.txt", 18)</f>
        <v>18</v>
      </c>
      <c r="BZ50">
        <f>HYPERLINK("http://exon.niaid.nih.gov/transcriptome/Anopheles_sialome/links/cluster-b/anopheline-sialome-cds-pep-larger-orf60-50SimCLU19.txt", 19)</f>
        <v>19</v>
      </c>
      <c r="CA50">
        <f>HYPERLINK("http://exon.niaid.nih.gov/transcriptome/Anopheles_sialome/links/cluster-b/anopheline-sialome-cds-pep-larger-orf60-50SimCLTL19.txt", 18)</f>
        <v>18</v>
      </c>
      <c r="CB50">
        <f>HYPERLINK("http://exon.niaid.nih.gov/transcriptome/Anopheles_sialome/links/cluster-b/anopheline-sialome-cds-pep-larger-orf65-50SimCLU15.txt", 15)</f>
        <v>15</v>
      </c>
      <c r="CC50">
        <f>HYPERLINK("http://exon.niaid.nih.gov/transcriptome/Anopheles_sialome/links/cluster-b/anopheline-sialome-cds-pep-larger-orf65-50SimCLTL15.txt", 18)</f>
        <v>18</v>
      </c>
      <c r="CD50">
        <f>HYPERLINK("http://exon.niaid.nih.gov/transcriptome/Anopheles_sialome/links/cluster-b/anopheline-sialome-cds-pep-larger-orf70-50SimCLU18.txt", 18)</f>
        <v>18</v>
      </c>
      <c r="CE50">
        <f>HYPERLINK("http://exon.niaid.nih.gov/transcriptome/Anopheles_sialome/links/cluster-b/anopheline-sialome-cds-pep-larger-orf70-50SimCLTL18.txt", 17)</f>
        <v>17</v>
      </c>
      <c r="CF50">
        <f>HYPERLINK("http://exon.niaid.nih.gov/transcriptome/Anopheles_sialome/links/cluster-b/anopheline-sialome-cds-pep-larger-orf75-50SimCLU19.txt", 19)</f>
        <v>19</v>
      </c>
      <c r="CG50">
        <f>HYPERLINK("http://exon.niaid.nih.gov/transcriptome/Anopheles_sialome/links/cluster-b/anopheline-sialome-cds-pep-larger-orf75-50SimCLTL19.txt", 15)</f>
        <v>15</v>
      </c>
      <c r="CH50">
        <f>HYPERLINK("http://exon.niaid.nih.gov/transcriptome/Anopheles_sialome/links/cluster-b/anopheline-sialome-cds-pep-larger-orf80-50SimCLU24.txt", 24)</f>
        <v>24</v>
      </c>
      <c r="CI50">
        <f>HYPERLINK("http://exon.niaid.nih.gov/transcriptome/Anopheles_sialome/links/cluster-b/anopheline-sialome-cds-pep-larger-orf80-50SimCLTL24.txt", 11)</f>
        <v>11</v>
      </c>
      <c r="CJ50">
        <f>HYPERLINK("http://exon.niaid.nih.gov/transcriptome/Anopheles_sialome/links/cluster-b/anopheline-sialome-cds-pep-larger-orf85-50SimCLU79.txt", 79)</f>
        <v>79</v>
      </c>
      <c r="CK50">
        <f>HYPERLINK("http://exon.niaid.nih.gov/transcriptome/Anopheles_sialome/links/cluster-b/anopheline-sialome-cds-pep-larger-orf85-50SimCLTL79.txt", 2)</f>
        <v>2</v>
      </c>
      <c r="CL50">
        <v>211</v>
      </c>
      <c r="CM50">
        <v>1</v>
      </c>
      <c r="CN50">
        <v>233</v>
      </c>
      <c r="CO50">
        <v>1</v>
      </c>
    </row>
    <row r="51" spans="1:93">
      <c r="A51" s="2" t="str">
        <f>HYPERLINK("http://exon.niaid.nih.gov/transcriptome/Anopheles_sialome/links/cds/anocul_epoxy_hydrolase-cds.txt","anocul_epoxy_hydrolase")</f>
        <v>anocul_epoxy_hydrolase</v>
      </c>
      <c r="B51">
        <v>1188</v>
      </c>
      <c r="C51" t="s">
        <v>233</v>
      </c>
      <c r="D51" t="s">
        <v>7</v>
      </c>
      <c r="E51" t="s">
        <v>5</v>
      </c>
      <c r="F51" t="s">
        <v>1</v>
      </c>
      <c r="G51" t="str">
        <f>HYPERLINK("http://exon.niaid.nih.gov/transcriptome/Anopheles_sialome/links/pep/anocul_epoxy_hydrolase-pep.txt","anocul_epoxy_hydrolase")</f>
        <v>anocul_epoxy_hydrolase</v>
      </c>
      <c r="H51">
        <v>395</v>
      </c>
      <c r="I51">
        <v>1</v>
      </c>
      <c r="J51" s="3" t="str">
        <f>HYPERLINK("http://exon.niaid.nih.gov/transcriptome/Anopheles_sialome/links/Sigp/anocul_epoxy_hydrolase-SigP.txt","CYT")</f>
        <v>CYT</v>
      </c>
      <c r="K51" t="s">
        <v>128</v>
      </c>
      <c r="L51">
        <v>45.042000000000002</v>
      </c>
      <c r="M51">
        <v>7.63</v>
      </c>
      <c r="N51" t="s">
        <v>128</v>
      </c>
      <c r="O51" t="s">
        <v>128</v>
      </c>
      <c r="P51" t="s">
        <v>1244</v>
      </c>
      <c r="Q51" s="3">
        <v>0</v>
      </c>
      <c r="R51" t="s">
        <v>128</v>
      </c>
      <c r="S51" t="s">
        <v>128</v>
      </c>
      <c r="T51" t="s">
        <v>128</v>
      </c>
      <c r="U51" t="s">
        <v>128</v>
      </c>
      <c r="V51" t="s">
        <v>128</v>
      </c>
      <c r="W51" s="3" t="str">
        <f>HYPERLINK("http://exon.niaid.nih.gov/transcriptome/Anopheles_sialome/links/netoglyc/anocul_epoxy_hydrolase-netoglyc.txt","0")</f>
        <v>0</v>
      </c>
      <c r="X51">
        <v>8.6</v>
      </c>
      <c r="Y51">
        <v>7.1</v>
      </c>
      <c r="Z51">
        <v>7.1</v>
      </c>
      <c r="AA51" t="s">
        <v>654</v>
      </c>
      <c r="AB51" t="s">
        <v>128</v>
      </c>
      <c r="AC51" s="2" t="str">
        <f>HYPERLINK("http://exon.niaid.nih.gov/transcriptome/Anopheles_sialome/links/DIPTERA/anocul_epoxy_hydrolase-DIPTERA.txt","AGAP011970-PA, partial")</f>
        <v>AGAP011970-PA, partial</v>
      </c>
      <c r="AD51" t="str">
        <f>HYPERLINK("http://www.ncbi.nlm.nih.gov/sutils/blink.cgi?pid=157013288","1E-144")</f>
        <v>1E-144</v>
      </c>
      <c r="AE51" t="str">
        <f t="shared" si="14"/>
        <v>gi|157013288</v>
      </c>
      <c r="AF51">
        <v>71</v>
      </c>
      <c r="AG51">
        <v>83</v>
      </c>
      <c r="AH51">
        <v>97</v>
      </c>
      <c r="AI51" t="s">
        <v>2285</v>
      </c>
      <c r="AJ51" s="2" t="str">
        <f>HYPERLINK("http://exon.niaid.nih.gov/transcriptome/Anopheles_sialome/links/CULICOMORPHA/anocul_epoxy_hydrolase-CULICOMORPHA.txt","AGAP011970-PA, partial")</f>
        <v>AGAP011970-PA, partial</v>
      </c>
      <c r="AK51" t="str">
        <f>HYPERLINK("http://www.ncbi.nlm.nih.gov/sutils/blink.cgi?pid=157013288","1E-144")</f>
        <v>1E-144</v>
      </c>
      <c r="AL51" t="str">
        <f t="shared" si="15"/>
        <v>gi|157013288</v>
      </c>
      <c r="AM51">
        <v>71</v>
      </c>
      <c r="AN51">
        <v>83</v>
      </c>
      <c r="AO51">
        <v>97</v>
      </c>
      <c r="AP51" t="s">
        <v>2285</v>
      </c>
      <c r="AQ51" s="2" t="str">
        <f>HYPERLINK("http://exon.niaid.nih.gov/transcriptome/Anopheles_sialome/links/NR-LIGHT/anocul_epoxy_hydrolase-NR-LIGHT.txt","AGAP011970-PA")</f>
        <v>AGAP011970-PA</v>
      </c>
      <c r="AR51" t="str">
        <f>HYPERLINK("http://www.ncbi.nlm.nih.gov/sutils/blink.cgi?pid=158300702","1E-143")</f>
        <v>1E-143</v>
      </c>
      <c r="AS51" t="str">
        <f t="shared" si="16"/>
        <v>gi|158300702</v>
      </c>
      <c r="AT51">
        <v>71</v>
      </c>
      <c r="AU51">
        <v>83</v>
      </c>
      <c r="AV51">
        <v>97</v>
      </c>
      <c r="AW51" t="s">
        <v>2285</v>
      </c>
      <c r="AX51" s="2" t="str">
        <f>HYPERLINK("http://exon.niaid.nih.gov/transcriptome/Anopheles_sialome/links/CDD/anocul_epoxy_hydrolase-CDD.txt","MhpC")</f>
        <v>MhpC</v>
      </c>
      <c r="AY51" t="str">
        <f>HYPERLINK("http://www.ncbi.nlm.nih.gov/Structure/cdd/cddsrv.cgi?uid=COG0596&amp;version=v4.0","1E-023")</f>
        <v>1E-023</v>
      </c>
      <c r="AZ51" t="s">
        <v>2607</v>
      </c>
      <c r="BA51" s="2" t="str">
        <f>HYPERLINK("http://exon.niaid.nih.gov/transcriptome/Anopheles_sialome/links/KOG/anocul_epoxy_hydrolase-KOG.txt","Soluble epoxide hydrolase")</f>
        <v>Soluble epoxide hydrolase</v>
      </c>
      <c r="BB51" t="str">
        <f>HYPERLINK("http://www.ncbi.nlm.nih.gov/Structure/cdd/cddsrv.cgi?uid=KOG4178","7E-040")</f>
        <v>7E-040</v>
      </c>
      <c r="BC51" t="s">
        <v>2298</v>
      </c>
      <c r="BD51" t="str">
        <f>HYPERLINK("http://exon.niaid.nih.gov/transcriptome/Anopheles_sialome/links/KOG/anocul_epoxy_hydrolase-KOG.txt","KOG4178")</f>
        <v>KOG4178</v>
      </c>
      <c r="BE51" t="str">
        <f>HYPERLINK("http://exon.niaid.nih.gov/transcriptome/Anopheles_sialome/links/PFAM/anocul_epoxy_hydrolase-PFAM.txt","Abhydrolase_6")</f>
        <v>Abhydrolase_6</v>
      </c>
      <c r="BF51" t="str">
        <f>HYPERLINK("http://pfam.sanger.ac.uk/family?acc=PF12697","4E-022")</f>
        <v>4E-022</v>
      </c>
      <c r="BG51" s="2" t="str">
        <f>HYPERLINK("http://exon.niaid.nih.gov/transcriptome/Anopheles_sialome/links/SMART/anocul_epoxy_hydrolase-SMART.txt","RasGEFN")</f>
        <v>RasGEFN</v>
      </c>
      <c r="BH51" t="str">
        <f>HYPERLINK("http://smart.embl-heidelberg.de/smart/do_annotation.pl?DOMAIN=RasGEFN&amp;BLAST=DUMMY","0.98")</f>
        <v>0.98</v>
      </c>
      <c r="BI51" t="s">
        <v>128</v>
      </c>
      <c r="BJ51" s="2" t="s">
        <v>128</v>
      </c>
      <c r="BK51" t="s">
        <v>1243</v>
      </c>
      <c r="BL51">
        <f>HYPERLINK("http://exon.niaid.nih.gov/transcriptome/Anopheles_sialome/links/cluster-b/anopheline-sialome-cds-pep-larger-orf25-50SimCLU14.txt", 14)</f>
        <v>14</v>
      </c>
      <c r="BM51">
        <f>HYPERLINK("http://exon.niaid.nih.gov/transcriptome/Anopheles_sialome/links/cluster-b/anopheline-sialome-cds-pep-larger-orf25-50SimCLTL14.txt", 18)</f>
        <v>18</v>
      </c>
      <c r="BN51">
        <f>HYPERLINK("http://exon.niaid.nih.gov/transcriptome/Anopheles_sialome/links/cluster-b/anopheline-sialome-cds-pep-larger-orf30-50SimCLU14.txt", 14)</f>
        <v>14</v>
      </c>
      <c r="BO51">
        <f>HYPERLINK("http://exon.niaid.nih.gov/transcriptome/Anopheles_sialome/links/cluster-b/anopheline-sialome-cds-pep-larger-orf30-50SimCLTL14.txt", 18)</f>
        <v>18</v>
      </c>
      <c r="BP51">
        <f>HYPERLINK("http://exon.niaid.nih.gov/transcriptome/Anopheles_sialome/links/cluster-b/anopheline-sialome-cds-pep-larger-orf35-50SimCLU16.txt", 16)</f>
        <v>16</v>
      </c>
      <c r="BQ51">
        <f>HYPERLINK("http://exon.niaid.nih.gov/transcriptome/Anopheles_sialome/links/cluster-b/anopheline-sialome-cds-pep-larger-orf35-50SimCLTL16.txt", 18)</f>
        <v>18</v>
      </c>
      <c r="BR51">
        <f>HYPERLINK("http://exon.niaid.nih.gov/transcriptome/Anopheles_sialome/links/cluster-b/anopheline-sialome-cds-pep-larger-orf40-50SimCLU19.txt", 19)</f>
        <v>19</v>
      </c>
      <c r="BS51">
        <f>HYPERLINK("http://exon.niaid.nih.gov/transcriptome/Anopheles_sialome/links/cluster-b/anopheline-sialome-cds-pep-larger-orf40-50SimCLTL19.txt", 18)</f>
        <v>18</v>
      </c>
      <c r="BT51">
        <f>HYPERLINK("http://exon.niaid.nih.gov/transcriptome/Anopheles_sialome/links/cluster-b/anopheline-sialome-cds-pep-larger-orf45-50SimCLU20.txt", 20)</f>
        <v>20</v>
      </c>
      <c r="BU51">
        <f>HYPERLINK("http://exon.niaid.nih.gov/transcriptome/Anopheles_sialome/links/cluster-b/anopheline-sialome-cds-pep-larger-orf45-50SimCLTL20.txt", 18)</f>
        <v>18</v>
      </c>
      <c r="BV51">
        <f>HYPERLINK("http://exon.niaid.nih.gov/transcriptome/Anopheles_sialome/links/cluster-b/anopheline-sialome-cds-pep-larger-orf50-50SimCLU19.txt", 19)</f>
        <v>19</v>
      </c>
      <c r="BW51">
        <f>HYPERLINK("http://exon.niaid.nih.gov/transcriptome/Anopheles_sialome/links/cluster-b/anopheline-sialome-cds-pep-larger-orf50-50SimCLTL19.txt", 18)</f>
        <v>18</v>
      </c>
      <c r="BX51">
        <f>HYPERLINK("http://exon.niaid.nih.gov/transcriptome/Anopheles_sialome/links/cluster-b/anopheline-sialome-cds-pep-larger-orf55-50SimCLU20.txt", 20)</f>
        <v>20</v>
      </c>
      <c r="BY51">
        <f>HYPERLINK("http://exon.niaid.nih.gov/transcriptome/Anopheles_sialome/links/cluster-b/anopheline-sialome-cds-pep-larger-orf55-50SimCLTL20.txt", 18)</f>
        <v>18</v>
      </c>
      <c r="BZ51">
        <f>HYPERLINK("http://exon.niaid.nih.gov/transcriptome/Anopheles_sialome/links/cluster-b/anopheline-sialome-cds-pep-larger-orf60-50SimCLU19.txt", 19)</f>
        <v>19</v>
      </c>
      <c r="CA51">
        <f>HYPERLINK("http://exon.niaid.nih.gov/transcriptome/Anopheles_sialome/links/cluster-b/anopheline-sialome-cds-pep-larger-orf60-50SimCLTL19.txt", 18)</f>
        <v>18</v>
      </c>
      <c r="CB51">
        <f>HYPERLINK("http://exon.niaid.nih.gov/transcriptome/Anopheles_sialome/links/cluster-b/anopheline-sialome-cds-pep-larger-orf65-50SimCLU15.txt", 15)</f>
        <v>15</v>
      </c>
      <c r="CC51">
        <f>HYPERLINK("http://exon.niaid.nih.gov/transcriptome/Anopheles_sialome/links/cluster-b/anopheline-sialome-cds-pep-larger-orf65-50SimCLTL15.txt", 18)</f>
        <v>18</v>
      </c>
      <c r="CD51">
        <f>HYPERLINK("http://exon.niaid.nih.gov/transcriptome/Anopheles_sialome/links/cluster-b/anopheline-sialome-cds-pep-larger-orf70-50SimCLU18.txt", 18)</f>
        <v>18</v>
      </c>
      <c r="CE51">
        <f>HYPERLINK("http://exon.niaid.nih.gov/transcriptome/Anopheles_sialome/links/cluster-b/anopheline-sialome-cds-pep-larger-orf70-50SimCLTL18.txt", 17)</f>
        <v>17</v>
      </c>
      <c r="CF51">
        <f>HYPERLINK("http://exon.niaid.nih.gov/transcriptome/Anopheles_sialome/links/cluster-b/anopheline-sialome-cds-pep-larger-orf75-50SimCLU19.txt", 19)</f>
        <v>19</v>
      </c>
      <c r="CG51">
        <f>HYPERLINK("http://exon.niaid.nih.gov/transcriptome/Anopheles_sialome/links/cluster-b/anopheline-sialome-cds-pep-larger-orf75-50SimCLTL19.txt", 15)</f>
        <v>15</v>
      </c>
      <c r="CH51">
        <f>HYPERLINK("http://exon.niaid.nih.gov/transcriptome/Anopheles_sialome/links/cluster-b/anopheline-sialome-cds-pep-larger-orf80-50SimCLU24.txt", 24)</f>
        <v>24</v>
      </c>
      <c r="CI51">
        <f>HYPERLINK("http://exon.niaid.nih.gov/transcriptome/Anopheles_sialome/links/cluster-b/anopheline-sialome-cds-pep-larger-orf80-50SimCLTL24.txt", 11)</f>
        <v>11</v>
      </c>
      <c r="CJ51">
        <f>HYPERLINK("http://exon.niaid.nih.gov/transcriptome/Anopheles_sialome/links/cluster-b/anopheline-sialome-cds-pep-larger-orf85-50SimCLU79.txt", 79)</f>
        <v>79</v>
      </c>
      <c r="CK51">
        <f>HYPERLINK("http://exon.niaid.nih.gov/transcriptome/Anopheles_sialome/links/cluster-b/anopheline-sialome-cds-pep-larger-orf85-50SimCLTL79.txt", 2)</f>
        <v>2</v>
      </c>
      <c r="CL51">
        <v>212</v>
      </c>
      <c r="CM51">
        <v>1</v>
      </c>
      <c r="CN51">
        <v>234</v>
      </c>
      <c r="CO51">
        <v>1</v>
      </c>
    </row>
    <row r="52" spans="1:93">
      <c r="A52" s="2" t="str">
        <f>HYPERLINK("http://exon.niaid.nih.gov/transcriptome/Anopheles_sialome/links/cds/anoste_epoxy_hydrolase-cds.txt","anoste_epoxy_hydrolase")</f>
        <v>anoste_epoxy_hydrolase</v>
      </c>
      <c r="B52">
        <v>1188</v>
      </c>
      <c r="C52" t="s">
        <v>234</v>
      </c>
      <c r="D52" t="s">
        <v>4</v>
      </c>
      <c r="E52" t="s">
        <v>5</v>
      </c>
      <c r="F52" t="s">
        <v>1</v>
      </c>
      <c r="G52" t="str">
        <f>HYPERLINK("http://exon.niaid.nih.gov/transcriptome/Anopheles_sialome/links/pep/anoste_epoxy_hydrolase-pep.txt","anoste_epoxy_hydrolase")</f>
        <v>anoste_epoxy_hydrolase</v>
      </c>
      <c r="H52">
        <v>395</v>
      </c>
      <c r="I52">
        <v>0</v>
      </c>
      <c r="J52" s="3" t="str">
        <f>HYPERLINK("http://exon.niaid.nih.gov/transcriptome/Anopheles_sialome/links/Sigp/anoste_epoxy_hydrolase-SigP.txt","BL")</f>
        <v>BL</v>
      </c>
      <c r="K52" t="s">
        <v>1206</v>
      </c>
      <c r="L52">
        <v>45.008000000000003</v>
      </c>
      <c r="M52">
        <v>8.2200000000000006</v>
      </c>
      <c r="N52">
        <v>41.176000000000002</v>
      </c>
      <c r="O52">
        <v>7.36</v>
      </c>
      <c r="P52" t="s">
        <v>1246</v>
      </c>
      <c r="Q52" s="3">
        <v>0</v>
      </c>
      <c r="R52" t="s">
        <v>128</v>
      </c>
      <c r="S52" t="s">
        <v>128</v>
      </c>
      <c r="T52" t="s">
        <v>128</v>
      </c>
      <c r="U52" t="s">
        <v>128</v>
      </c>
      <c r="V52" t="s">
        <v>128</v>
      </c>
      <c r="W52" s="3" t="str">
        <f>HYPERLINK("http://exon.niaid.nih.gov/transcriptome/Anopheles_sialome/links/netoglyc/anoste_epoxy_hydrolase-netoglyc.txt","1")</f>
        <v>1</v>
      </c>
      <c r="X52">
        <v>11.1</v>
      </c>
      <c r="Y52">
        <v>6.6</v>
      </c>
      <c r="Z52">
        <v>6.1</v>
      </c>
      <c r="AA52" t="s">
        <v>654</v>
      </c>
      <c r="AB52" t="s">
        <v>128</v>
      </c>
      <c r="AC52" s="2" t="str">
        <f>HYPERLINK("http://exon.niaid.nih.gov/transcriptome/Anopheles_sialome/links/DIPTERA/anoste_epoxy_hydrolase-DIPTERA.txt","AGAP011970-PA, partial")</f>
        <v>AGAP011970-PA, partial</v>
      </c>
      <c r="AD52" t="str">
        <f>HYPERLINK("http://www.ncbi.nlm.nih.gov/sutils/blink.cgi?pid=157013288","1E-139")</f>
        <v>1E-139</v>
      </c>
      <c r="AE52" t="str">
        <f>HYPERLINK("http://www.ncbi.nlm.nih.gov/protein/157013288","gi|157013288")</f>
        <v>gi|157013288</v>
      </c>
      <c r="AF52">
        <v>71</v>
      </c>
      <c r="AG52">
        <v>82</v>
      </c>
      <c r="AH52">
        <v>97</v>
      </c>
      <c r="AI52" t="s">
        <v>2285</v>
      </c>
      <c r="AJ52" s="2" t="str">
        <f>HYPERLINK("http://exon.niaid.nih.gov/transcriptome/Anopheles_sialome/links/CULICOMORPHA/anoste_epoxy_hydrolase-CULICOMORPHA.txt","AGAP011970-PA, partial")</f>
        <v>AGAP011970-PA, partial</v>
      </c>
      <c r="AK52" t="str">
        <f>HYPERLINK("http://www.ncbi.nlm.nih.gov/sutils/blink.cgi?pid=157013288","1E-140")</f>
        <v>1E-140</v>
      </c>
      <c r="AL52" t="str">
        <f>HYPERLINK("http://www.ncbi.nlm.nih.gov/protein/157013288","gi|157013288")</f>
        <v>gi|157013288</v>
      </c>
      <c r="AM52">
        <v>71</v>
      </c>
      <c r="AN52">
        <v>82</v>
      </c>
      <c r="AO52">
        <v>97</v>
      </c>
      <c r="AP52" t="s">
        <v>2285</v>
      </c>
      <c r="AQ52" s="2" t="str">
        <f>HYPERLINK("http://exon.niaid.nih.gov/transcriptome/Anopheles_sialome/links/NR-LIGHT/anoste_epoxy_hydrolase-NR-LIGHT.txt","AGAP011970-PA")</f>
        <v>AGAP011970-PA</v>
      </c>
      <c r="AR52" t="str">
        <f>HYPERLINK("http://www.ncbi.nlm.nih.gov/sutils/blink.cgi?pid=158300702","1E-139")</f>
        <v>1E-139</v>
      </c>
      <c r="AS52" t="str">
        <f>HYPERLINK("http://www.ncbi.nlm.nih.gov/protein/158300702","gi|158300702")</f>
        <v>gi|158300702</v>
      </c>
      <c r="AT52">
        <v>71</v>
      </c>
      <c r="AU52">
        <v>82</v>
      </c>
      <c r="AV52">
        <v>97</v>
      </c>
      <c r="AW52" t="s">
        <v>2285</v>
      </c>
      <c r="AX52" s="2" t="str">
        <f>HYPERLINK("http://exon.niaid.nih.gov/transcriptome/Anopheles_sialome/links/CDD/anoste_epoxy_hydrolase-CDD.txt","MhpC")</f>
        <v>MhpC</v>
      </c>
      <c r="AY52" t="str">
        <f>HYPERLINK("http://www.ncbi.nlm.nih.gov/Structure/cdd/cddsrv.cgi?uid=COG0596&amp;version=v4.0","1E-022")</f>
        <v>1E-022</v>
      </c>
      <c r="AZ52" t="s">
        <v>2608</v>
      </c>
      <c r="BA52" s="2" t="str">
        <f>HYPERLINK("http://exon.niaid.nih.gov/transcriptome/Anopheles_sialome/links/KOG/anoste_epoxy_hydrolase-KOG.txt","Soluble epoxide hydrolase")</f>
        <v>Soluble epoxide hydrolase</v>
      </c>
      <c r="BB52" t="str">
        <f>HYPERLINK("http://www.ncbi.nlm.nih.gov/Structure/cdd/cddsrv.cgi?uid=KOG4178","2E-034")</f>
        <v>2E-034</v>
      </c>
      <c r="BC52" t="s">
        <v>2298</v>
      </c>
      <c r="BD52" t="str">
        <f>HYPERLINK("http://exon.niaid.nih.gov/transcriptome/Anopheles_sialome/links/KOG/anoste_epoxy_hydrolase-KOG.txt","KOG4178")</f>
        <v>KOG4178</v>
      </c>
      <c r="BE52" t="str">
        <f>HYPERLINK("http://exon.niaid.nih.gov/transcriptome/Anopheles_sialome/links/PFAM/anoste_epoxy_hydrolase-PFAM.txt","Abhydrolase_6")</f>
        <v>Abhydrolase_6</v>
      </c>
      <c r="BF52" t="str">
        <f>HYPERLINK("http://pfam.sanger.ac.uk/family?acc=PF12697","1E-018")</f>
        <v>1E-018</v>
      </c>
      <c r="BG52" s="2" t="str">
        <f>HYPERLINK("http://exon.niaid.nih.gov/transcriptome/Anopheles_sialome/links/SMART/anoste_epoxy_hydrolase-SMART.txt","PKS_TE")</f>
        <v>PKS_TE</v>
      </c>
      <c r="BH52" t="str">
        <f>HYPERLINK("http://smart.embl-heidelberg.de/smart/do_annotation.pl?DOMAIN=PKS_TE&amp;BLAST=DUMMY","0.17")</f>
        <v>0.17</v>
      </c>
      <c r="BI52" t="s">
        <v>128</v>
      </c>
      <c r="BJ52" s="2" t="s">
        <v>128</v>
      </c>
      <c r="BK52" t="s">
        <v>1245</v>
      </c>
      <c r="BL52">
        <f>HYPERLINK("http://exon.niaid.nih.gov/transcriptome/Anopheles_sialome/links/cluster-b/anopheline-sialome-cds-pep-larger-orf25-50SimCLU14.txt", 14)</f>
        <v>14</v>
      </c>
      <c r="BM52">
        <f>HYPERLINK("http://exon.niaid.nih.gov/transcriptome/Anopheles_sialome/links/cluster-b/anopheline-sialome-cds-pep-larger-orf25-50SimCLTL14.txt", 18)</f>
        <v>18</v>
      </c>
      <c r="BN52">
        <f>HYPERLINK("http://exon.niaid.nih.gov/transcriptome/Anopheles_sialome/links/cluster-b/anopheline-sialome-cds-pep-larger-orf30-50SimCLU14.txt", 14)</f>
        <v>14</v>
      </c>
      <c r="BO52">
        <f>HYPERLINK("http://exon.niaid.nih.gov/transcriptome/Anopheles_sialome/links/cluster-b/anopheline-sialome-cds-pep-larger-orf30-50SimCLTL14.txt", 18)</f>
        <v>18</v>
      </c>
      <c r="BP52">
        <f>HYPERLINK("http://exon.niaid.nih.gov/transcriptome/Anopheles_sialome/links/cluster-b/anopheline-sialome-cds-pep-larger-orf35-50SimCLU16.txt", 16)</f>
        <v>16</v>
      </c>
      <c r="BQ52">
        <f>HYPERLINK("http://exon.niaid.nih.gov/transcriptome/Anopheles_sialome/links/cluster-b/anopheline-sialome-cds-pep-larger-orf35-50SimCLTL16.txt", 18)</f>
        <v>18</v>
      </c>
      <c r="BR52">
        <f>HYPERLINK("http://exon.niaid.nih.gov/transcriptome/Anopheles_sialome/links/cluster-b/anopheline-sialome-cds-pep-larger-orf40-50SimCLU19.txt", 19)</f>
        <v>19</v>
      </c>
      <c r="BS52">
        <f>HYPERLINK("http://exon.niaid.nih.gov/transcriptome/Anopheles_sialome/links/cluster-b/anopheline-sialome-cds-pep-larger-orf40-50SimCLTL19.txt", 18)</f>
        <v>18</v>
      </c>
      <c r="BT52">
        <f>HYPERLINK("http://exon.niaid.nih.gov/transcriptome/Anopheles_sialome/links/cluster-b/anopheline-sialome-cds-pep-larger-orf45-50SimCLU20.txt", 20)</f>
        <v>20</v>
      </c>
      <c r="BU52">
        <f>HYPERLINK("http://exon.niaid.nih.gov/transcriptome/Anopheles_sialome/links/cluster-b/anopheline-sialome-cds-pep-larger-orf45-50SimCLTL20.txt", 18)</f>
        <v>18</v>
      </c>
      <c r="BV52">
        <f>HYPERLINK("http://exon.niaid.nih.gov/transcriptome/Anopheles_sialome/links/cluster-b/anopheline-sialome-cds-pep-larger-orf50-50SimCLU19.txt", 19)</f>
        <v>19</v>
      </c>
      <c r="BW52">
        <f>HYPERLINK("http://exon.niaid.nih.gov/transcriptome/Anopheles_sialome/links/cluster-b/anopheline-sialome-cds-pep-larger-orf50-50SimCLTL19.txt", 18)</f>
        <v>18</v>
      </c>
      <c r="BX52">
        <f>HYPERLINK("http://exon.niaid.nih.gov/transcriptome/Anopheles_sialome/links/cluster-b/anopheline-sialome-cds-pep-larger-orf55-50SimCLU20.txt", 20)</f>
        <v>20</v>
      </c>
      <c r="BY52">
        <f>HYPERLINK("http://exon.niaid.nih.gov/transcriptome/Anopheles_sialome/links/cluster-b/anopheline-sialome-cds-pep-larger-orf55-50SimCLTL20.txt", 18)</f>
        <v>18</v>
      </c>
      <c r="BZ52">
        <f>HYPERLINK("http://exon.niaid.nih.gov/transcriptome/Anopheles_sialome/links/cluster-b/anopheline-sialome-cds-pep-larger-orf60-50SimCLU19.txt", 19)</f>
        <v>19</v>
      </c>
      <c r="CA52">
        <f>HYPERLINK("http://exon.niaid.nih.gov/transcriptome/Anopheles_sialome/links/cluster-b/anopheline-sialome-cds-pep-larger-orf60-50SimCLTL19.txt", 18)</f>
        <v>18</v>
      </c>
      <c r="CB52">
        <f>HYPERLINK("http://exon.niaid.nih.gov/transcriptome/Anopheles_sialome/links/cluster-b/anopheline-sialome-cds-pep-larger-orf65-50SimCLU15.txt", 15)</f>
        <v>15</v>
      </c>
      <c r="CC52">
        <f>HYPERLINK("http://exon.niaid.nih.gov/transcriptome/Anopheles_sialome/links/cluster-b/anopheline-sialome-cds-pep-larger-orf65-50SimCLTL15.txt", 18)</f>
        <v>18</v>
      </c>
      <c r="CD52">
        <f>HYPERLINK("http://exon.niaid.nih.gov/transcriptome/Anopheles_sialome/links/cluster-b/anopheline-sialome-cds-pep-larger-orf70-50SimCLU18.txt", 18)</f>
        <v>18</v>
      </c>
      <c r="CE52">
        <f>HYPERLINK("http://exon.niaid.nih.gov/transcriptome/Anopheles_sialome/links/cluster-b/anopheline-sialome-cds-pep-larger-orf70-50SimCLTL18.txt", 17)</f>
        <v>17</v>
      </c>
      <c r="CF52">
        <f>HYPERLINK("http://exon.niaid.nih.gov/transcriptome/Anopheles_sialome/links/cluster-b/anopheline-sialome-cds-pep-larger-orf75-50SimCLU19.txt", 19)</f>
        <v>19</v>
      </c>
      <c r="CG52">
        <f>HYPERLINK("http://exon.niaid.nih.gov/transcriptome/Anopheles_sialome/links/cluster-b/anopheline-sialome-cds-pep-larger-orf75-50SimCLTL19.txt", 15)</f>
        <v>15</v>
      </c>
      <c r="CH52">
        <f>HYPERLINK("http://exon.niaid.nih.gov/transcriptome/Anopheles_sialome/links/cluster-b/anopheline-sialome-cds-pep-larger-orf80-50SimCLU24.txt", 24)</f>
        <v>24</v>
      </c>
      <c r="CI52">
        <f>HYPERLINK("http://exon.niaid.nih.gov/transcriptome/Anopheles_sialome/links/cluster-b/anopheline-sialome-cds-pep-larger-orf80-50SimCLTL24.txt", 11)</f>
        <v>11</v>
      </c>
      <c r="CJ52">
        <v>171</v>
      </c>
      <c r="CK52">
        <v>1</v>
      </c>
      <c r="CL52">
        <v>213</v>
      </c>
      <c r="CM52">
        <v>1</v>
      </c>
      <c r="CN52">
        <v>235</v>
      </c>
      <c r="CO52">
        <v>1</v>
      </c>
    </row>
    <row r="53" spans="1:93">
      <c r="A53" s="2" t="str">
        <f>HYPERLINK("http://exon.niaid.nih.gov/transcriptome/Anopheles_sialome/links/cds/anofar_epoxy_hydrolase-cds.txt","anofar_epoxy_hydrolase")</f>
        <v>anofar_epoxy_hydrolase</v>
      </c>
      <c r="B53">
        <v>1197</v>
      </c>
      <c r="C53" t="s">
        <v>235</v>
      </c>
      <c r="D53" t="s">
        <v>4</v>
      </c>
      <c r="E53" t="s">
        <v>5</v>
      </c>
      <c r="F53" t="s">
        <v>1</v>
      </c>
      <c r="G53" t="str">
        <f>HYPERLINK("http://exon.niaid.nih.gov/transcriptome/Anopheles_sialome/links/pep/anofar_epoxy_hydrolase-pep.txt","anofar_epoxy_hydrolase")</f>
        <v>anofar_epoxy_hydrolase</v>
      </c>
      <c r="H53">
        <v>398</v>
      </c>
      <c r="I53">
        <v>1</v>
      </c>
      <c r="J53" s="3" t="str">
        <f>HYPERLINK("http://exon.niaid.nih.gov/transcriptome/Anopheles_sialome/links/Sigp/anofar_epoxy_hydrolase-SigP.txt","CYT")</f>
        <v>CYT</v>
      </c>
      <c r="K53" t="s">
        <v>128</v>
      </c>
      <c r="L53">
        <v>45.625</v>
      </c>
      <c r="M53">
        <v>6.98</v>
      </c>
      <c r="N53" t="s">
        <v>128</v>
      </c>
      <c r="O53" t="s">
        <v>128</v>
      </c>
      <c r="P53" t="s">
        <v>1248</v>
      </c>
      <c r="Q53" s="3">
        <v>0</v>
      </c>
      <c r="R53" t="s">
        <v>128</v>
      </c>
      <c r="S53" t="s">
        <v>128</v>
      </c>
      <c r="T53" t="s">
        <v>128</v>
      </c>
      <c r="U53" t="s">
        <v>128</v>
      </c>
      <c r="V53" t="s">
        <v>128</v>
      </c>
      <c r="W53" s="3" t="str">
        <f>HYPERLINK("http://exon.niaid.nih.gov/transcriptome/Anopheles_sialome/links/netoglyc/anofar_epoxy_hydrolase-netoglyc.txt","0")</f>
        <v>0</v>
      </c>
      <c r="X53">
        <v>8.5</v>
      </c>
      <c r="Y53">
        <v>6.5</v>
      </c>
      <c r="Z53">
        <v>5.8</v>
      </c>
      <c r="AA53" t="s">
        <v>654</v>
      </c>
      <c r="AB53" t="s">
        <v>128</v>
      </c>
      <c r="AC53" s="2" t="str">
        <f>HYPERLINK("http://exon.niaid.nih.gov/transcriptome/Anopheles_sialome/links/DIPTERA/anofar_epoxy_hydrolase-DIPTERA.txt","AGAP011970-PA, partial")</f>
        <v>AGAP011970-PA, partial</v>
      </c>
      <c r="AD53" t="str">
        <f>HYPERLINK("http://www.ncbi.nlm.nih.gov/sutils/blink.cgi?pid=157013288","1E-114")</f>
        <v>1E-114</v>
      </c>
      <c r="AE53" t="str">
        <f t="shared" si="14"/>
        <v>gi|157013288</v>
      </c>
      <c r="AF53">
        <v>58</v>
      </c>
      <c r="AG53">
        <v>74</v>
      </c>
      <c r="AH53">
        <v>98</v>
      </c>
      <c r="AI53" t="s">
        <v>2285</v>
      </c>
      <c r="AJ53" s="2" t="str">
        <f>HYPERLINK("http://exon.niaid.nih.gov/transcriptome/Anopheles_sialome/links/CULICOMORPHA/anofar_epoxy_hydrolase-CULICOMORPHA.txt","AGAP011970-PA, partial")</f>
        <v>AGAP011970-PA, partial</v>
      </c>
      <c r="AK53" t="str">
        <f>HYPERLINK("http://www.ncbi.nlm.nih.gov/sutils/blink.cgi?pid=157013288","1E-115")</f>
        <v>1E-115</v>
      </c>
      <c r="AL53" t="str">
        <f t="shared" si="15"/>
        <v>gi|157013288</v>
      </c>
      <c r="AM53">
        <v>58</v>
      </c>
      <c r="AN53">
        <v>74</v>
      </c>
      <c r="AO53">
        <v>98</v>
      </c>
      <c r="AP53" t="s">
        <v>2285</v>
      </c>
      <c r="AQ53" s="2" t="str">
        <f>HYPERLINK("http://exon.niaid.nih.gov/transcriptome/Anopheles_sialome/links/NR-LIGHT/anofar_epoxy_hydrolase-NR-LIGHT.txt","AGAP011970-PA")</f>
        <v>AGAP011970-PA</v>
      </c>
      <c r="AR53" t="str">
        <f>HYPERLINK("http://www.ncbi.nlm.nih.gov/sutils/blink.cgi?pid=158300702","1E-114")</f>
        <v>1E-114</v>
      </c>
      <c r="AS53" t="str">
        <f t="shared" si="16"/>
        <v>gi|158300702</v>
      </c>
      <c r="AT53">
        <v>58</v>
      </c>
      <c r="AU53">
        <v>74</v>
      </c>
      <c r="AV53">
        <v>98</v>
      </c>
      <c r="AW53" t="s">
        <v>2285</v>
      </c>
      <c r="AX53" s="2" t="str">
        <f>HYPERLINK("http://exon.niaid.nih.gov/transcriptome/Anopheles_sialome/links/CDD/anofar_epoxy_hydrolase-CDD.txt","MhpC")</f>
        <v>MhpC</v>
      </c>
      <c r="AY53" t="str">
        <f>HYPERLINK("http://www.ncbi.nlm.nih.gov/Structure/cdd/cddsrv.cgi?uid=COG0596&amp;version=v4.0","1E-021")</f>
        <v>1E-021</v>
      </c>
      <c r="AZ53" t="s">
        <v>2609</v>
      </c>
      <c r="BA53" s="2" t="str">
        <f>HYPERLINK("http://exon.niaid.nih.gov/transcriptome/Anopheles_sialome/links/KOG/anofar_epoxy_hydrolase-KOG.txt","Soluble epoxide hydrolase")</f>
        <v>Soluble epoxide hydrolase</v>
      </c>
      <c r="BB53" t="str">
        <f>HYPERLINK("http://www.ncbi.nlm.nih.gov/Structure/cdd/cddsrv.cgi?uid=KOG4178","1E-028")</f>
        <v>1E-028</v>
      </c>
      <c r="BC53" t="s">
        <v>2298</v>
      </c>
      <c r="BD53" t="str">
        <f>HYPERLINK("http://exon.niaid.nih.gov/transcriptome/Anopheles_sialome/links/KOG/anofar_epoxy_hydrolase-KOG.txt","KOG4178")</f>
        <v>KOG4178</v>
      </c>
      <c r="BE53" t="str">
        <f>HYPERLINK("http://exon.niaid.nih.gov/transcriptome/Anopheles_sialome/links/PFAM/anofar_epoxy_hydrolase-PFAM.txt","Abhydrolase_6")</f>
        <v>Abhydrolase_6</v>
      </c>
      <c r="BF53" t="str">
        <f>HYPERLINK("http://pfam.sanger.ac.uk/family?acc=PF12697","2E-018")</f>
        <v>2E-018</v>
      </c>
      <c r="BG53" s="2" t="str">
        <f>HYPERLINK("http://exon.niaid.nih.gov/transcriptome/Anopheles_sialome/links/SMART/anofar_epoxy_hydrolase-SMART.txt","MACPF")</f>
        <v>MACPF</v>
      </c>
      <c r="BH53" t="str">
        <f>HYPERLINK("http://smart.embl-heidelberg.de/smart/do_annotation.pl?DOMAIN=MACPF&amp;BLAST=DUMMY","0.23")</f>
        <v>0.23</v>
      </c>
      <c r="BI53" t="s">
        <v>128</v>
      </c>
      <c r="BJ53" s="2" t="s">
        <v>128</v>
      </c>
      <c r="BK53" t="s">
        <v>1247</v>
      </c>
      <c r="BL53">
        <f>HYPERLINK("http://exon.niaid.nih.gov/transcriptome/Anopheles_sialome/links/cluster-b/anopheline-sialome-cds-pep-larger-orf25-50SimCLU14.txt", 14)</f>
        <v>14</v>
      </c>
      <c r="BM53">
        <f>HYPERLINK("http://exon.niaid.nih.gov/transcriptome/Anopheles_sialome/links/cluster-b/anopheline-sialome-cds-pep-larger-orf25-50SimCLTL14.txt", 18)</f>
        <v>18</v>
      </c>
      <c r="BN53">
        <f>HYPERLINK("http://exon.niaid.nih.gov/transcriptome/Anopheles_sialome/links/cluster-b/anopheline-sialome-cds-pep-larger-orf30-50SimCLU14.txt", 14)</f>
        <v>14</v>
      </c>
      <c r="BO53">
        <f>HYPERLINK("http://exon.niaid.nih.gov/transcriptome/Anopheles_sialome/links/cluster-b/anopheline-sialome-cds-pep-larger-orf30-50SimCLTL14.txt", 18)</f>
        <v>18</v>
      </c>
      <c r="BP53">
        <f>HYPERLINK("http://exon.niaid.nih.gov/transcriptome/Anopheles_sialome/links/cluster-b/anopheline-sialome-cds-pep-larger-orf35-50SimCLU16.txt", 16)</f>
        <v>16</v>
      </c>
      <c r="BQ53">
        <f>HYPERLINK("http://exon.niaid.nih.gov/transcriptome/Anopheles_sialome/links/cluster-b/anopheline-sialome-cds-pep-larger-orf35-50SimCLTL16.txt", 18)</f>
        <v>18</v>
      </c>
      <c r="BR53">
        <f>HYPERLINK("http://exon.niaid.nih.gov/transcriptome/Anopheles_sialome/links/cluster-b/anopheline-sialome-cds-pep-larger-orf40-50SimCLU19.txt", 19)</f>
        <v>19</v>
      </c>
      <c r="BS53">
        <f>HYPERLINK("http://exon.niaid.nih.gov/transcriptome/Anopheles_sialome/links/cluster-b/anopheline-sialome-cds-pep-larger-orf40-50SimCLTL19.txt", 18)</f>
        <v>18</v>
      </c>
      <c r="BT53">
        <f>HYPERLINK("http://exon.niaid.nih.gov/transcriptome/Anopheles_sialome/links/cluster-b/anopheline-sialome-cds-pep-larger-orf45-50SimCLU20.txt", 20)</f>
        <v>20</v>
      </c>
      <c r="BU53">
        <f>HYPERLINK("http://exon.niaid.nih.gov/transcriptome/Anopheles_sialome/links/cluster-b/anopheline-sialome-cds-pep-larger-orf45-50SimCLTL20.txt", 18)</f>
        <v>18</v>
      </c>
      <c r="BV53">
        <f>HYPERLINK("http://exon.niaid.nih.gov/transcriptome/Anopheles_sialome/links/cluster-b/anopheline-sialome-cds-pep-larger-orf50-50SimCLU19.txt", 19)</f>
        <v>19</v>
      </c>
      <c r="BW53">
        <f>HYPERLINK("http://exon.niaid.nih.gov/transcriptome/Anopheles_sialome/links/cluster-b/anopheline-sialome-cds-pep-larger-orf50-50SimCLTL19.txt", 18)</f>
        <v>18</v>
      </c>
      <c r="BX53">
        <f>HYPERLINK("http://exon.niaid.nih.gov/transcriptome/Anopheles_sialome/links/cluster-b/anopheline-sialome-cds-pep-larger-orf55-50SimCLU20.txt", 20)</f>
        <v>20</v>
      </c>
      <c r="BY53">
        <f>HYPERLINK("http://exon.niaid.nih.gov/transcriptome/Anopheles_sialome/links/cluster-b/anopheline-sialome-cds-pep-larger-orf55-50SimCLTL20.txt", 18)</f>
        <v>18</v>
      </c>
      <c r="BZ53">
        <f>HYPERLINK("http://exon.niaid.nih.gov/transcriptome/Anopheles_sialome/links/cluster-b/anopheline-sialome-cds-pep-larger-orf60-50SimCLU19.txt", 19)</f>
        <v>19</v>
      </c>
      <c r="CA53">
        <f>HYPERLINK("http://exon.niaid.nih.gov/transcriptome/Anopheles_sialome/links/cluster-b/anopheline-sialome-cds-pep-larger-orf60-50SimCLTL19.txt", 18)</f>
        <v>18</v>
      </c>
      <c r="CB53">
        <f>HYPERLINK("http://exon.niaid.nih.gov/transcriptome/Anopheles_sialome/links/cluster-b/anopheline-sialome-cds-pep-larger-orf65-50SimCLU15.txt", 15)</f>
        <v>15</v>
      </c>
      <c r="CC53">
        <f>HYPERLINK("http://exon.niaid.nih.gov/transcriptome/Anopheles_sialome/links/cluster-b/anopheline-sialome-cds-pep-larger-orf65-50SimCLTL15.txt", 18)</f>
        <v>18</v>
      </c>
      <c r="CD53">
        <f>HYPERLINK("http://exon.niaid.nih.gov/transcriptome/Anopheles_sialome/links/cluster-b/anopheline-sialome-cds-pep-larger-orf70-50SimCLU18.txt", 18)</f>
        <v>18</v>
      </c>
      <c r="CE53">
        <f>HYPERLINK("http://exon.niaid.nih.gov/transcriptome/Anopheles_sialome/links/cluster-b/anopheline-sialome-cds-pep-larger-orf70-50SimCLTL18.txt", 17)</f>
        <v>17</v>
      </c>
      <c r="CF53">
        <f>HYPERLINK("http://exon.niaid.nih.gov/transcriptome/Anopheles_sialome/links/cluster-b/anopheline-sialome-cds-pep-larger-orf75-50SimCLU19.txt", 19)</f>
        <v>19</v>
      </c>
      <c r="CG53">
        <f>HYPERLINK("http://exon.niaid.nih.gov/transcriptome/Anopheles_sialome/links/cluster-b/anopheline-sialome-cds-pep-larger-orf75-50SimCLTL19.txt", 15)</f>
        <v>15</v>
      </c>
      <c r="CH53">
        <f>HYPERLINK("http://exon.niaid.nih.gov/transcriptome/Anopheles_sialome/links/cluster-b/anopheline-sialome-cds-pep-larger-orf80-50SimCLU74.txt", 74)</f>
        <v>74</v>
      </c>
      <c r="CI53">
        <f>HYPERLINK("http://exon.niaid.nih.gov/transcriptome/Anopheles_sialome/links/cluster-b/anopheline-sialome-cds-pep-larger-orf80-50SimCLTL74.txt", 2)</f>
        <v>2</v>
      </c>
      <c r="CJ53">
        <v>172</v>
      </c>
      <c r="CK53">
        <v>1</v>
      </c>
      <c r="CL53">
        <v>214</v>
      </c>
      <c r="CM53">
        <v>1</v>
      </c>
      <c r="CN53">
        <v>236</v>
      </c>
      <c r="CO53">
        <v>1</v>
      </c>
    </row>
    <row r="54" spans="1:93">
      <c r="A54" s="2" t="str">
        <f>HYPERLINK("http://exon.niaid.nih.gov/transcriptome/Anopheles_sialome/links/cds/anodir_epoxy_hydrolase-cds.txt","anodir_epoxy_hydrolase")</f>
        <v>anodir_epoxy_hydrolase</v>
      </c>
      <c r="B54">
        <v>1206</v>
      </c>
      <c r="C54" t="s">
        <v>236</v>
      </c>
      <c r="D54" t="s">
        <v>4</v>
      </c>
      <c r="E54" t="s">
        <v>5</v>
      </c>
      <c r="F54" t="s">
        <v>1</v>
      </c>
      <c r="G54" t="str">
        <f>HYPERLINK("http://exon.niaid.nih.gov/transcriptome/Anopheles_sialome/links/pep/anodir_epoxy_hydrolase-pep.txt","anodir_epoxy_hydrolase")</f>
        <v>anodir_epoxy_hydrolase</v>
      </c>
      <c r="H54">
        <v>401</v>
      </c>
      <c r="I54">
        <v>1</v>
      </c>
      <c r="J54" s="3" t="str">
        <f>HYPERLINK("http://exon.niaid.nih.gov/transcriptome/Anopheles_sialome/links/Sigp/anodir_epoxy_hydrolase-SigP.txt","SIG")</f>
        <v>SIG</v>
      </c>
      <c r="K54" t="s">
        <v>1250</v>
      </c>
      <c r="L54">
        <v>46.55</v>
      </c>
      <c r="M54">
        <v>8.9499999999999993</v>
      </c>
      <c r="N54">
        <v>42.384</v>
      </c>
      <c r="O54">
        <v>8.41</v>
      </c>
      <c r="P54" t="s">
        <v>1251</v>
      </c>
      <c r="Q54" s="3">
        <v>0</v>
      </c>
      <c r="R54" t="s">
        <v>128</v>
      </c>
      <c r="S54" t="s">
        <v>128</v>
      </c>
      <c r="T54" t="s">
        <v>128</v>
      </c>
      <c r="U54" t="s">
        <v>128</v>
      </c>
      <c r="V54" t="s">
        <v>128</v>
      </c>
      <c r="W54" s="3" t="str">
        <f>HYPERLINK("http://exon.niaid.nih.gov/transcriptome/Anopheles_sialome/links/netoglyc/anodir_epoxy_hydrolase-netoglyc.txt","0")</f>
        <v>0</v>
      </c>
      <c r="X54">
        <v>10</v>
      </c>
      <c r="Y54">
        <v>5.2</v>
      </c>
      <c r="Z54">
        <v>4.7</v>
      </c>
      <c r="AA54" t="s">
        <v>654</v>
      </c>
      <c r="AB54" t="s">
        <v>1252</v>
      </c>
      <c r="AC54" s="2" t="str">
        <f>HYPERLINK("http://exon.niaid.nih.gov/transcriptome/Anopheles_sialome/links/DIPTERA/anodir_epoxy_hydrolase-DIPTERA.txt","AGAP011970-PA, partial")</f>
        <v>AGAP011970-PA, partial</v>
      </c>
      <c r="AD54" t="str">
        <f>HYPERLINK("http://www.ncbi.nlm.nih.gov/sutils/blink.cgi?pid=157013288","1E-117")</f>
        <v>1E-117</v>
      </c>
      <c r="AE54" t="str">
        <f t="shared" si="14"/>
        <v>gi|157013288</v>
      </c>
      <c r="AF54">
        <v>59</v>
      </c>
      <c r="AG54">
        <v>76</v>
      </c>
      <c r="AH54">
        <v>98</v>
      </c>
      <c r="AI54" t="s">
        <v>2285</v>
      </c>
      <c r="AJ54" s="2" t="str">
        <f>HYPERLINK("http://exon.niaid.nih.gov/transcriptome/Anopheles_sialome/links/CULICOMORPHA/anodir_epoxy_hydrolase-CULICOMORPHA.txt","AGAP011970-PA, partial")</f>
        <v>AGAP011970-PA, partial</v>
      </c>
      <c r="AK54" t="str">
        <f>HYPERLINK("http://www.ncbi.nlm.nih.gov/sutils/blink.cgi?pid=157013288","1E-118")</f>
        <v>1E-118</v>
      </c>
      <c r="AL54" t="str">
        <f t="shared" si="15"/>
        <v>gi|157013288</v>
      </c>
      <c r="AM54">
        <v>59</v>
      </c>
      <c r="AN54">
        <v>76</v>
      </c>
      <c r="AO54">
        <v>98</v>
      </c>
      <c r="AP54" t="s">
        <v>2285</v>
      </c>
      <c r="AQ54" s="2" t="str">
        <f>HYPERLINK("http://exon.niaid.nih.gov/transcriptome/Anopheles_sialome/links/NR-LIGHT/anodir_epoxy_hydrolase-NR-LIGHT.txt","AGAP011970-PA")</f>
        <v>AGAP011970-PA</v>
      </c>
      <c r="AR54" t="str">
        <f>HYPERLINK("http://www.ncbi.nlm.nih.gov/sutils/blink.cgi?pid=158300702","1E-117")</f>
        <v>1E-117</v>
      </c>
      <c r="AS54" t="str">
        <f t="shared" si="16"/>
        <v>gi|158300702</v>
      </c>
      <c r="AT54">
        <v>59</v>
      </c>
      <c r="AU54">
        <v>76</v>
      </c>
      <c r="AV54">
        <v>98</v>
      </c>
      <c r="AW54" t="s">
        <v>2285</v>
      </c>
      <c r="AX54" s="2" t="str">
        <f>HYPERLINK("http://exon.niaid.nih.gov/transcriptome/Anopheles_sialome/links/CDD/anodir_epoxy_hydrolase-CDD.txt","MhpC")</f>
        <v>MhpC</v>
      </c>
      <c r="AY54" t="str">
        <f>HYPERLINK("http://www.ncbi.nlm.nih.gov/Structure/cdd/cddsrv.cgi?uid=COG0596&amp;version=v4.0","3E-020")</f>
        <v>3E-020</v>
      </c>
      <c r="AZ54" t="s">
        <v>2610</v>
      </c>
      <c r="BA54" s="2" t="str">
        <f>HYPERLINK("http://exon.niaid.nih.gov/transcriptome/Anopheles_sialome/links/KOG/anodir_epoxy_hydrolase-KOG.txt","Soluble epoxide hydrolase")</f>
        <v>Soluble epoxide hydrolase</v>
      </c>
      <c r="BB54" t="str">
        <f>HYPERLINK("http://www.ncbi.nlm.nih.gov/Structure/cdd/cddsrv.cgi?uid=KOG4178","9E-031")</f>
        <v>9E-031</v>
      </c>
      <c r="BC54" t="s">
        <v>2298</v>
      </c>
      <c r="BD54" t="str">
        <f>HYPERLINK("http://exon.niaid.nih.gov/transcriptome/Anopheles_sialome/links/KOG/anodir_epoxy_hydrolase-KOG.txt","KOG4178")</f>
        <v>KOG4178</v>
      </c>
      <c r="BE54" t="str">
        <f>HYPERLINK("http://exon.niaid.nih.gov/transcriptome/Anopheles_sialome/links/PFAM/anodir_epoxy_hydrolase-PFAM.txt","Abhydrolase_6")</f>
        <v>Abhydrolase_6</v>
      </c>
      <c r="BF54" t="str">
        <f>HYPERLINK("http://pfam.sanger.ac.uk/family?acc=PF12697","8E-016")</f>
        <v>8E-016</v>
      </c>
      <c r="BG54" s="2" t="str">
        <f>HYPERLINK("http://exon.niaid.nih.gov/transcriptome/Anopheles_sialome/links/SMART/anodir_epoxy_hydrolase-SMART.txt","MACPF")</f>
        <v>MACPF</v>
      </c>
      <c r="BH54" t="str">
        <f>HYPERLINK("http://smart.embl-heidelberg.de/smart/do_annotation.pl?DOMAIN=MACPF&amp;BLAST=DUMMY","0.17")</f>
        <v>0.17</v>
      </c>
      <c r="BI54" t="s">
        <v>128</v>
      </c>
      <c r="BJ54" s="2" t="s">
        <v>128</v>
      </c>
      <c r="BK54" t="s">
        <v>1249</v>
      </c>
      <c r="BL54">
        <f>HYPERLINK("http://exon.niaid.nih.gov/transcriptome/Anopheles_sialome/links/cluster-b/anopheline-sialome-cds-pep-larger-orf25-50SimCLU14.txt", 14)</f>
        <v>14</v>
      </c>
      <c r="BM54">
        <f>HYPERLINK("http://exon.niaid.nih.gov/transcriptome/Anopheles_sialome/links/cluster-b/anopheline-sialome-cds-pep-larger-orf25-50SimCLTL14.txt", 18)</f>
        <v>18</v>
      </c>
      <c r="BN54">
        <f>HYPERLINK("http://exon.niaid.nih.gov/transcriptome/Anopheles_sialome/links/cluster-b/anopheline-sialome-cds-pep-larger-orf30-50SimCLU14.txt", 14)</f>
        <v>14</v>
      </c>
      <c r="BO54">
        <f>HYPERLINK("http://exon.niaid.nih.gov/transcriptome/Anopheles_sialome/links/cluster-b/anopheline-sialome-cds-pep-larger-orf30-50SimCLTL14.txt", 18)</f>
        <v>18</v>
      </c>
      <c r="BP54">
        <f>HYPERLINK("http://exon.niaid.nih.gov/transcriptome/Anopheles_sialome/links/cluster-b/anopheline-sialome-cds-pep-larger-orf35-50SimCLU16.txt", 16)</f>
        <v>16</v>
      </c>
      <c r="BQ54">
        <f>HYPERLINK("http://exon.niaid.nih.gov/transcriptome/Anopheles_sialome/links/cluster-b/anopheline-sialome-cds-pep-larger-orf35-50SimCLTL16.txt", 18)</f>
        <v>18</v>
      </c>
      <c r="BR54">
        <f>HYPERLINK("http://exon.niaid.nih.gov/transcriptome/Anopheles_sialome/links/cluster-b/anopheline-sialome-cds-pep-larger-orf40-50SimCLU19.txt", 19)</f>
        <v>19</v>
      </c>
      <c r="BS54">
        <f>HYPERLINK("http://exon.niaid.nih.gov/transcriptome/Anopheles_sialome/links/cluster-b/anopheline-sialome-cds-pep-larger-orf40-50SimCLTL19.txt", 18)</f>
        <v>18</v>
      </c>
      <c r="BT54">
        <f>HYPERLINK("http://exon.niaid.nih.gov/transcriptome/Anopheles_sialome/links/cluster-b/anopheline-sialome-cds-pep-larger-orf45-50SimCLU20.txt", 20)</f>
        <v>20</v>
      </c>
      <c r="BU54">
        <f>HYPERLINK("http://exon.niaid.nih.gov/transcriptome/Anopheles_sialome/links/cluster-b/anopheline-sialome-cds-pep-larger-orf45-50SimCLTL20.txt", 18)</f>
        <v>18</v>
      </c>
      <c r="BV54">
        <f>HYPERLINK("http://exon.niaid.nih.gov/transcriptome/Anopheles_sialome/links/cluster-b/anopheline-sialome-cds-pep-larger-orf50-50SimCLU19.txt", 19)</f>
        <v>19</v>
      </c>
      <c r="BW54">
        <f>HYPERLINK("http://exon.niaid.nih.gov/transcriptome/Anopheles_sialome/links/cluster-b/anopheline-sialome-cds-pep-larger-orf50-50SimCLTL19.txt", 18)</f>
        <v>18</v>
      </c>
      <c r="BX54">
        <f>HYPERLINK("http://exon.niaid.nih.gov/transcriptome/Anopheles_sialome/links/cluster-b/anopheline-sialome-cds-pep-larger-orf55-50SimCLU20.txt", 20)</f>
        <v>20</v>
      </c>
      <c r="BY54">
        <f>HYPERLINK("http://exon.niaid.nih.gov/transcriptome/Anopheles_sialome/links/cluster-b/anopheline-sialome-cds-pep-larger-orf55-50SimCLTL20.txt", 18)</f>
        <v>18</v>
      </c>
      <c r="BZ54">
        <f>HYPERLINK("http://exon.niaid.nih.gov/transcriptome/Anopheles_sialome/links/cluster-b/anopheline-sialome-cds-pep-larger-orf60-50SimCLU19.txt", 19)</f>
        <v>19</v>
      </c>
      <c r="CA54">
        <f>HYPERLINK("http://exon.niaid.nih.gov/transcriptome/Anopheles_sialome/links/cluster-b/anopheline-sialome-cds-pep-larger-orf60-50SimCLTL19.txt", 18)</f>
        <v>18</v>
      </c>
      <c r="CB54">
        <f>HYPERLINK("http://exon.niaid.nih.gov/transcriptome/Anopheles_sialome/links/cluster-b/anopheline-sialome-cds-pep-larger-orf65-50SimCLU15.txt", 15)</f>
        <v>15</v>
      </c>
      <c r="CC54">
        <f>HYPERLINK("http://exon.niaid.nih.gov/transcriptome/Anopheles_sialome/links/cluster-b/anopheline-sialome-cds-pep-larger-orf65-50SimCLTL15.txt", 18)</f>
        <v>18</v>
      </c>
      <c r="CD54">
        <f>HYPERLINK("http://exon.niaid.nih.gov/transcriptome/Anopheles_sialome/links/cluster-b/anopheline-sialome-cds-pep-larger-orf70-50SimCLU18.txt", 18)</f>
        <v>18</v>
      </c>
      <c r="CE54">
        <f>HYPERLINK("http://exon.niaid.nih.gov/transcriptome/Anopheles_sialome/links/cluster-b/anopheline-sialome-cds-pep-larger-orf70-50SimCLTL18.txt", 17)</f>
        <v>17</v>
      </c>
      <c r="CF54">
        <f>HYPERLINK("http://exon.niaid.nih.gov/transcriptome/Anopheles_sialome/links/cluster-b/anopheline-sialome-cds-pep-larger-orf75-50SimCLU19.txt", 19)</f>
        <v>19</v>
      </c>
      <c r="CG54">
        <f>HYPERLINK("http://exon.niaid.nih.gov/transcriptome/Anopheles_sialome/links/cluster-b/anopheline-sialome-cds-pep-larger-orf75-50SimCLTL19.txt", 15)</f>
        <v>15</v>
      </c>
      <c r="CH54">
        <f>HYPERLINK("http://exon.niaid.nih.gov/transcriptome/Anopheles_sialome/links/cluster-b/anopheline-sialome-cds-pep-larger-orf80-50SimCLU74.txt", 74)</f>
        <v>74</v>
      </c>
      <c r="CI54">
        <f>HYPERLINK("http://exon.niaid.nih.gov/transcriptome/Anopheles_sialome/links/cluster-b/anopheline-sialome-cds-pep-larger-orf80-50SimCLTL74.txt", 2)</f>
        <v>2</v>
      </c>
      <c r="CJ54">
        <v>173</v>
      </c>
      <c r="CK54">
        <v>1</v>
      </c>
      <c r="CL54">
        <v>215</v>
      </c>
      <c r="CM54">
        <v>1</v>
      </c>
      <c r="CN54">
        <v>237</v>
      </c>
      <c r="CO54">
        <v>1</v>
      </c>
    </row>
    <row r="55" spans="1:93">
      <c r="A55" s="2" t="str">
        <f>HYPERLINK("http://exon.niaid.nih.gov/transcriptome/Anopheles_sialome/links/cds/anoatro_epoxy_hydrolase-cds.txt","anoatro_epoxy_hydrolase")</f>
        <v>anoatro_epoxy_hydrolase</v>
      </c>
      <c r="B55">
        <v>1194</v>
      </c>
      <c r="C55" t="s">
        <v>237</v>
      </c>
      <c r="D55" t="s">
        <v>4</v>
      </c>
      <c r="E55" t="s">
        <v>5</v>
      </c>
      <c r="F55" t="s">
        <v>1</v>
      </c>
      <c r="G55" t="str">
        <f>HYPERLINK("http://exon.niaid.nih.gov/transcriptome/Anopheles_sialome/links/pep/anoatro_epoxy_hydrolase-pep.txt","anoatro_epoxy_hydrolase")</f>
        <v>anoatro_epoxy_hydrolase</v>
      </c>
      <c r="H55">
        <v>397</v>
      </c>
      <c r="I55">
        <v>1</v>
      </c>
      <c r="J55" s="3" t="str">
        <f>HYPERLINK("http://exon.niaid.nih.gov/transcriptome/Anopheles_sialome/links/Sigp/anoatro_epoxy_hydrolase-SigP.txt","SIG")</f>
        <v>SIG</v>
      </c>
      <c r="K55" t="s">
        <v>919</v>
      </c>
      <c r="L55">
        <v>45.555999999999997</v>
      </c>
      <c r="M55">
        <v>8.1999999999999993</v>
      </c>
      <c r="N55">
        <v>43.886000000000003</v>
      </c>
      <c r="O55">
        <v>8.0500000000000007</v>
      </c>
      <c r="P55" t="s">
        <v>1254</v>
      </c>
      <c r="Q55" s="3">
        <v>0</v>
      </c>
      <c r="R55" t="s">
        <v>128</v>
      </c>
      <c r="S55" t="s">
        <v>128</v>
      </c>
      <c r="T55" t="s">
        <v>128</v>
      </c>
      <c r="U55" t="s">
        <v>128</v>
      </c>
      <c r="V55" t="s">
        <v>128</v>
      </c>
      <c r="W55" s="3" t="str">
        <f>HYPERLINK("http://exon.niaid.nih.gov/transcriptome/Anopheles_sialome/links/netoglyc/anoatro_epoxy_hydrolase-netoglyc.txt","0")</f>
        <v>0</v>
      </c>
      <c r="X55">
        <v>9.3000000000000007</v>
      </c>
      <c r="Y55">
        <v>6.3</v>
      </c>
      <c r="Z55">
        <v>5</v>
      </c>
      <c r="AA55" t="s">
        <v>654</v>
      </c>
      <c r="AB55" t="s">
        <v>128</v>
      </c>
      <c r="AC55" s="2" t="str">
        <f>HYPERLINK("http://exon.niaid.nih.gov/transcriptome/Anopheles_sialome/links/DIPTERA/anoatro_epoxy_hydrolase-DIPTERA.txt","AGAP011970-PA-like protein")</f>
        <v>AGAP011970-PA-like protein</v>
      </c>
      <c r="AD55" t="str">
        <f>HYPERLINK("http://www.ncbi.nlm.nih.gov/sutils/blink.cgi?pid=668458952","1E-133")</f>
        <v>1E-133</v>
      </c>
      <c r="AE55" t="str">
        <f>HYPERLINK("http://www.ncbi.nlm.nih.gov/protein/668458952","gi|668458952")</f>
        <v>gi|668458952</v>
      </c>
      <c r="AF55">
        <v>76</v>
      </c>
      <c r="AG55">
        <v>87</v>
      </c>
      <c r="AH55">
        <v>97</v>
      </c>
      <c r="AI55" t="s">
        <v>2277</v>
      </c>
      <c r="AJ55" s="2" t="str">
        <f>HYPERLINK("http://exon.niaid.nih.gov/transcriptome/Anopheles_sialome/links/CULICOMORPHA/anoatro_epoxy_hydrolase-CULICOMORPHA.txt","AGAP011970-PA-like protein")</f>
        <v>AGAP011970-PA-like protein</v>
      </c>
      <c r="AK55" t="str">
        <f>HYPERLINK("http://www.ncbi.nlm.nih.gov/sutils/blink.cgi?pid=668458952","1E-134")</f>
        <v>1E-134</v>
      </c>
      <c r="AL55" t="str">
        <f>HYPERLINK("http://www.ncbi.nlm.nih.gov/protein/668458952","gi|668458952")</f>
        <v>gi|668458952</v>
      </c>
      <c r="AM55">
        <v>76</v>
      </c>
      <c r="AN55">
        <v>87</v>
      </c>
      <c r="AO55">
        <v>97</v>
      </c>
      <c r="AP55" t="s">
        <v>2277</v>
      </c>
      <c r="AQ55" s="2" t="str">
        <f>HYPERLINK("http://exon.niaid.nih.gov/transcriptome/Anopheles_sialome/links/NR-LIGHT/anoatro_epoxy_hydrolase-NR-LIGHT.txt","AGAP011970-PA-like protein")</f>
        <v>AGAP011970-PA-like protein</v>
      </c>
      <c r="AR55" t="str">
        <f>HYPERLINK("http://www.ncbi.nlm.nih.gov/sutils/blink.cgi?pid=668458952","1E-132")</f>
        <v>1E-132</v>
      </c>
      <c r="AS55" t="str">
        <f>HYPERLINK("http://www.ncbi.nlm.nih.gov/protein/668458952","gi|668458952")</f>
        <v>gi|668458952</v>
      </c>
      <c r="AT55">
        <v>76</v>
      </c>
      <c r="AU55">
        <v>87</v>
      </c>
      <c r="AV55">
        <v>97</v>
      </c>
      <c r="AW55" t="s">
        <v>2277</v>
      </c>
      <c r="AX55" s="2" t="str">
        <f>HYPERLINK("http://exon.niaid.nih.gov/transcriptome/Anopheles_sialome/links/CDD/anoatro_epoxy_hydrolase-CDD.txt","Abhydrolase_6")</f>
        <v>Abhydrolase_6</v>
      </c>
      <c r="AY55" t="str">
        <f>HYPERLINK("http://www.ncbi.nlm.nih.gov/Structure/cdd/cddsrv.cgi?uid=pfam12697&amp;version=v4.0","2E-023")</f>
        <v>2E-023</v>
      </c>
      <c r="AZ55" t="s">
        <v>2611</v>
      </c>
      <c r="BA55" s="2" t="str">
        <f>HYPERLINK("http://exon.niaid.nih.gov/transcriptome/Anopheles_sialome/links/KOG/anoatro_epoxy_hydrolase-KOG.txt","Soluble epoxide hydrolase")</f>
        <v>Soluble epoxide hydrolase</v>
      </c>
      <c r="BB55" t="str">
        <f>HYPERLINK("http://www.ncbi.nlm.nih.gov/Structure/cdd/cddsrv.cgi?uid=KOG4178","7E-034")</f>
        <v>7E-034</v>
      </c>
      <c r="BC55" t="s">
        <v>2298</v>
      </c>
      <c r="BD55" t="str">
        <f>HYPERLINK("http://exon.niaid.nih.gov/transcriptome/Anopheles_sialome/links/KOG/anoatro_epoxy_hydrolase-KOG.txt","KOG4178")</f>
        <v>KOG4178</v>
      </c>
      <c r="BE55" t="str">
        <f>HYPERLINK("http://exon.niaid.nih.gov/transcriptome/Anopheles_sialome/links/PFAM/anoatro_epoxy_hydrolase-PFAM.txt","Abhydrolase_6")</f>
        <v>Abhydrolase_6</v>
      </c>
      <c r="BF55" t="str">
        <f>HYPERLINK("http://pfam.sanger.ac.uk/family?acc=PF12697","4E-024")</f>
        <v>4E-024</v>
      </c>
      <c r="BG55" s="2" t="str">
        <f>HYPERLINK("http://exon.niaid.nih.gov/transcriptome/Anopheles_sialome/links/SMART/anoatro_epoxy_hydrolase-SMART.txt","COG6")</f>
        <v>COG6</v>
      </c>
      <c r="BH55" t="str">
        <f>HYPERLINK("http://smart.embl-heidelberg.de/smart/do_annotation.pl?DOMAIN=COG6&amp;BLAST=DUMMY","3.3")</f>
        <v>3.3</v>
      </c>
      <c r="BI55" t="s">
        <v>128</v>
      </c>
      <c r="BJ55" s="2" t="s">
        <v>128</v>
      </c>
      <c r="BK55" t="s">
        <v>1253</v>
      </c>
      <c r="BL55">
        <f>HYPERLINK("http://exon.niaid.nih.gov/transcriptome/Anopheles_sialome/links/cluster-b/anopheline-sialome-cds-pep-larger-orf25-50SimCLU14.txt", 14)</f>
        <v>14</v>
      </c>
      <c r="BM55">
        <f>HYPERLINK("http://exon.niaid.nih.gov/transcriptome/Anopheles_sialome/links/cluster-b/anopheline-sialome-cds-pep-larger-orf25-50SimCLTL14.txt", 18)</f>
        <v>18</v>
      </c>
      <c r="BN55">
        <f>HYPERLINK("http://exon.niaid.nih.gov/transcriptome/Anopheles_sialome/links/cluster-b/anopheline-sialome-cds-pep-larger-orf30-50SimCLU14.txt", 14)</f>
        <v>14</v>
      </c>
      <c r="BO55">
        <f>HYPERLINK("http://exon.niaid.nih.gov/transcriptome/Anopheles_sialome/links/cluster-b/anopheline-sialome-cds-pep-larger-orf30-50SimCLTL14.txt", 18)</f>
        <v>18</v>
      </c>
      <c r="BP55">
        <f>HYPERLINK("http://exon.niaid.nih.gov/transcriptome/Anopheles_sialome/links/cluster-b/anopheline-sialome-cds-pep-larger-orf35-50SimCLU16.txt", 16)</f>
        <v>16</v>
      </c>
      <c r="BQ55">
        <f>HYPERLINK("http://exon.niaid.nih.gov/transcriptome/Anopheles_sialome/links/cluster-b/anopheline-sialome-cds-pep-larger-orf35-50SimCLTL16.txt", 18)</f>
        <v>18</v>
      </c>
      <c r="BR55">
        <f>HYPERLINK("http://exon.niaid.nih.gov/transcriptome/Anopheles_sialome/links/cluster-b/anopheline-sialome-cds-pep-larger-orf40-50SimCLU19.txt", 19)</f>
        <v>19</v>
      </c>
      <c r="BS55">
        <f>HYPERLINK("http://exon.niaid.nih.gov/transcriptome/Anopheles_sialome/links/cluster-b/anopheline-sialome-cds-pep-larger-orf40-50SimCLTL19.txt", 18)</f>
        <v>18</v>
      </c>
      <c r="BT55">
        <f>HYPERLINK("http://exon.niaid.nih.gov/transcriptome/Anopheles_sialome/links/cluster-b/anopheline-sialome-cds-pep-larger-orf45-50SimCLU20.txt", 20)</f>
        <v>20</v>
      </c>
      <c r="BU55">
        <f>HYPERLINK("http://exon.niaid.nih.gov/transcriptome/Anopheles_sialome/links/cluster-b/anopheline-sialome-cds-pep-larger-orf45-50SimCLTL20.txt", 18)</f>
        <v>18</v>
      </c>
      <c r="BV55">
        <f>HYPERLINK("http://exon.niaid.nih.gov/transcriptome/Anopheles_sialome/links/cluster-b/anopheline-sialome-cds-pep-larger-orf50-50SimCLU19.txt", 19)</f>
        <v>19</v>
      </c>
      <c r="BW55">
        <f>HYPERLINK("http://exon.niaid.nih.gov/transcriptome/Anopheles_sialome/links/cluster-b/anopheline-sialome-cds-pep-larger-orf50-50SimCLTL19.txt", 18)</f>
        <v>18</v>
      </c>
      <c r="BX55">
        <f>HYPERLINK("http://exon.niaid.nih.gov/transcriptome/Anopheles_sialome/links/cluster-b/anopheline-sialome-cds-pep-larger-orf55-50SimCLU20.txt", 20)</f>
        <v>20</v>
      </c>
      <c r="BY55">
        <f>HYPERLINK("http://exon.niaid.nih.gov/transcriptome/Anopheles_sialome/links/cluster-b/anopheline-sialome-cds-pep-larger-orf55-50SimCLTL20.txt", 18)</f>
        <v>18</v>
      </c>
      <c r="BZ55">
        <f>HYPERLINK("http://exon.niaid.nih.gov/transcriptome/Anopheles_sialome/links/cluster-b/anopheline-sialome-cds-pep-larger-orf60-50SimCLU19.txt", 19)</f>
        <v>19</v>
      </c>
      <c r="CA55">
        <f>HYPERLINK("http://exon.niaid.nih.gov/transcriptome/Anopheles_sialome/links/cluster-b/anopheline-sialome-cds-pep-larger-orf60-50SimCLTL19.txt", 18)</f>
        <v>18</v>
      </c>
      <c r="CB55">
        <f>HYPERLINK("http://exon.niaid.nih.gov/transcriptome/Anopheles_sialome/links/cluster-b/anopheline-sialome-cds-pep-larger-orf65-50SimCLU15.txt", 15)</f>
        <v>15</v>
      </c>
      <c r="CC55">
        <f>HYPERLINK("http://exon.niaid.nih.gov/transcriptome/Anopheles_sialome/links/cluster-b/anopheline-sialome-cds-pep-larger-orf65-50SimCLTL15.txt", 18)</f>
        <v>18</v>
      </c>
      <c r="CD55">
        <f>HYPERLINK("http://exon.niaid.nih.gov/transcriptome/Anopheles_sialome/links/cluster-b/anopheline-sialome-cds-pep-larger-orf70-50SimCLU18.txt", 18)</f>
        <v>18</v>
      </c>
      <c r="CE55">
        <f>HYPERLINK("http://exon.niaid.nih.gov/transcriptome/Anopheles_sialome/links/cluster-b/anopheline-sialome-cds-pep-larger-orf70-50SimCLTL18.txt", 17)</f>
        <v>17</v>
      </c>
      <c r="CF55">
        <f>HYPERLINK("http://exon.niaid.nih.gov/transcriptome/Anopheles_sialome/links/cluster-b/anopheline-sialome-cds-pep-larger-orf75-50SimCLU19.txt", 19)</f>
        <v>19</v>
      </c>
      <c r="CG55">
        <f>HYPERLINK("http://exon.niaid.nih.gov/transcriptome/Anopheles_sialome/links/cluster-b/anopheline-sialome-cds-pep-larger-orf75-50SimCLTL19.txt", 15)</f>
        <v>15</v>
      </c>
      <c r="CH55">
        <f>HYPERLINK("http://exon.niaid.nih.gov/transcriptome/Anopheles_sialome/links/cluster-b/anopheline-sialome-cds-pep-larger-orf80-50SimCLU75.txt", 75)</f>
        <v>75</v>
      </c>
      <c r="CI55">
        <f>HYPERLINK("http://exon.niaid.nih.gov/transcriptome/Anopheles_sialome/links/cluster-b/anopheline-sialome-cds-pep-larger-orf80-50SimCLTL75.txt", 2)</f>
        <v>2</v>
      </c>
      <c r="CJ55">
        <v>174</v>
      </c>
      <c r="CK55">
        <v>1</v>
      </c>
      <c r="CL55">
        <v>216</v>
      </c>
      <c r="CM55">
        <v>1</v>
      </c>
      <c r="CN55">
        <v>238</v>
      </c>
      <c r="CO55">
        <v>1</v>
      </c>
    </row>
    <row r="56" spans="1:93">
      <c r="A56" s="2" t="str">
        <f>HYPERLINK("http://exon.niaid.nih.gov/transcriptome/Anopheles_sialome/links/cds/anosin_epoxy_hydrolase-cds.txt","anosin_epoxy_hydrolase")</f>
        <v>anosin_epoxy_hydrolase</v>
      </c>
      <c r="B56">
        <v>1191</v>
      </c>
      <c r="C56" t="s">
        <v>238</v>
      </c>
      <c r="D56" t="s">
        <v>4</v>
      </c>
      <c r="E56" t="s">
        <v>5</v>
      </c>
      <c r="F56" t="s">
        <v>1</v>
      </c>
      <c r="G56" t="str">
        <f>HYPERLINK("http://exon.niaid.nih.gov/transcriptome/Anopheles_sialome/links/pep/anosin_epoxy_hydrolase-pep.txt","anosin_epoxy_hydrolase")</f>
        <v>anosin_epoxy_hydrolase</v>
      </c>
      <c r="H56">
        <v>396</v>
      </c>
      <c r="I56">
        <v>1</v>
      </c>
      <c r="J56" s="3" t="str">
        <f>HYPERLINK("http://exon.niaid.nih.gov/transcriptome/Anopheles_sialome/links/Sigp/anosin_epoxy_hydrolase-SigP.txt","CYT")</f>
        <v>CYT</v>
      </c>
      <c r="K56" t="s">
        <v>128</v>
      </c>
      <c r="L56">
        <v>45.552999999999997</v>
      </c>
      <c r="M56">
        <v>8.91</v>
      </c>
      <c r="N56" t="s">
        <v>128</v>
      </c>
      <c r="O56" t="s">
        <v>128</v>
      </c>
      <c r="P56" t="s">
        <v>1256</v>
      </c>
      <c r="Q56" s="3">
        <v>0</v>
      </c>
      <c r="R56" t="s">
        <v>128</v>
      </c>
      <c r="S56" t="s">
        <v>128</v>
      </c>
      <c r="T56" t="s">
        <v>128</v>
      </c>
      <c r="U56" t="s">
        <v>128</v>
      </c>
      <c r="V56" t="s">
        <v>128</v>
      </c>
      <c r="W56" s="3" t="str">
        <f>HYPERLINK("http://exon.niaid.nih.gov/transcriptome/Anopheles_sialome/links/netoglyc/anosin_epoxy_hydrolase-netoglyc.txt","0")</f>
        <v>0</v>
      </c>
      <c r="X56">
        <v>10.9</v>
      </c>
      <c r="Y56">
        <v>5.8</v>
      </c>
      <c r="Z56">
        <v>5.3</v>
      </c>
      <c r="AA56" t="s">
        <v>654</v>
      </c>
      <c r="AB56" t="s">
        <v>128</v>
      </c>
      <c r="AC56" s="2" t="str">
        <f>HYPERLINK("http://exon.niaid.nih.gov/transcriptome/Anopheles_sialome/links/DIPTERA/anosin_epoxy_hydrolase-DIPTERA.txt","AGAP011970-PA-like protein")</f>
        <v>AGAP011970-PA-like protein</v>
      </c>
      <c r="AD56" t="str">
        <f>HYPERLINK("http://www.ncbi.nlm.nih.gov/sutils/blink.cgi?pid=668458952","1E-168")</f>
        <v>1E-168</v>
      </c>
      <c r="AE56" t="str">
        <f>HYPERLINK("http://www.ncbi.nlm.nih.gov/protein/668458952","gi|668458952")</f>
        <v>gi|668458952</v>
      </c>
      <c r="AF56">
        <v>97</v>
      </c>
      <c r="AG56">
        <v>98</v>
      </c>
      <c r="AH56">
        <v>97</v>
      </c>
      <c r="AI56" t="s">
        <v>2277</v>
      </c>
      <c r="AJ56" s="2" t="str">
        <f>HYPERLINK("http://exon.niaid.nih.gov/transcriptome/Anopheles_sialome/links/CULICOMORPHA/anosin_epoxy_hydrolase-CULICOMORPHA.txt","AGAP011970-PA-like protein")</f>
        <v>AGAP011970-PA-like protein</v>
      </c>
      <c r="AK56" t="str">
        <f>HYPERLINK("http://www.ncbi.nlm.nih.gov/sutils/blink.cgi?pid=668458952","1E-169")</f>
        <v>1E-169</v>
      </c>
      <c r="AL56" t="str">
        <f>HYPERLINK("http://www.ncbi.nlm.nih.gov/protein/668458952","gi|668458952")</f>
        <v>gi|668458952</v>
      </c>
      <c r="AM56">
        <v>97</v>
      </c>
      <c r="AN56">
        <v>98</v>
      </c>
      <c r="AO56">
        <v>97</v>
      </c>
      <c r="AP56" t="s">
        <v>2277</v>
      </c>
      <c r="AQ56" s="2" t="str">
        <f>HYPERLINK("http://exon.niaid.nih.gov/transcriptome/Anopheles_sialome/links/NR-LIGHT/anosin_epoxy_hydrolase-NR-LIGHT.txt","AGAP011970-PA-like protein")</f>
        <v>AGAP011970-PA-like protein</v>
      </c>
      <c r="AR56" t="str">
        <f>HYPERLINK("http://www.ncbi.nlm.nih.gov/sutils/blink.cgi?pid=668458952","1E-167")</f>
        <v>1E-167</v>
      </c>
      <c r="AS56" t="str">
        <f>HYPERLINK("http://www.ncbi.nlm.nih.gov/protein/668458952","gi|668458952")</f>
        <v>gi|668458952</v>
      </c>
      <c r="AT56">
        <v>97</v>
      </c>
      <c r="AU56">
        <v>98</v>
      </c>
      <c r="AV56">
        <v>97</v>
      </c>
      <c r="AW56" t="s">
        <v>2277</v>
      </c>
      <c r="AX56" s="2" t="str">
        <f>HYPERLINK("http://exon.niaid.nih.gov/transcriptome/Anopheles_sialome/links/CDD/anosin_epoxy_hydrolase-CDD.txt","Abhydrolase_6")</f>
        <v>Abhydrolase_6</v>
      </c>
      <c r="AY56" t="str">
        <f>HYPERLINK("http://www.ncbi.nlm.nih.gov/Structure/cdd/cddsrv.cgi?uid=pfam12697&amp;version=v4.0","5E-022")</f>
        <v>5E-022</v>
      </c>
      <c r="AZ56" t="s">
        <v>2612</v>
      </c>
      <c r="BA56" s="2" t="str">
        <f>HYPERLINK("http://exon.niaid.nih.gov/transcriptome/Anopheles_sialome/links/KOG/anosin_epoxy_hydrolase-KOG.txt","Soluble epoxide hydrolase")</f>
        <v>Soluble epoxide hydrolase</v>
      </c>
      <c r="BB56" t="str">
        <f>HYPERLINK("http://www.ncbi.nlm.nih.gov/Structure/cdd/cddsrv.cgi?uid=KOG4178","1E-035")</f>
        <v>1E-035</v>
      </c>
      <c r="BC56" t="s">
        <v>2298</v>
      </c>
      <c r="BD56" t="str">
        <f>HYPERLINK("http://exon.niaid.nih.gov/transcriptome/Anopheles_sialome/links/KOG/anosin_epoxy_hydrolase-KOG.txt","KOG4178")</f>
        <v>KOG4178</v>
      </c>
      <c r="BE56" t="str">
        <f>HYPERLINK("http://exon.niaid.nih.gov/transcriptome/Anopheles_sialome/links/PFAM/anosin_epoxy_hydrolase-PFAM.txt","Abhydrolase_6")</f>
        <v>Abhydrolase_6</v>
      </c>
      <c r="BF56" t="str">
        <f>HYPERLINK("http://pfam.sanger.ac.uk/family?acc=PF12697","9E-023")</f>
        <v>9E-023</v>
      </c>
      <c r="BG56" s="2" t="str">
        <f>HYPERLINK("http://exon.niaid.nih.gov/transcriptome/Anopheles_sialome/links/SMART/anosin_epoxy_hydrolase-SMART.txt","MYSc")</f>
        <v>MYSc</v>
      </c>
      <c r="BH56" t="str">
        <f>HYPERLINK("http://smart.embl-heidelberg.de/smart/do_annotation.pl?DOMAIN=MYSc&amp;BLAST=DUMMY","0.80")</f>
        <v>0.80</v>
      </c>
      <c r="BI56" t="s">
        <v>128</v>
      </c>
      <c r="BJ56" s="2" t="s">
        <v>128</v>
      </c>
      <c r="BK56" t="s">
        <v>1255</v>
      </c>
      <c r="BL56">
        <f>HYPERLINK("http://exon.niaid.nih.gov/transcriptome/Anopheles_sialome/links/cluster-b/anopheline-sialome-cds-pep-larger-orf25-50SimCLU14.txt", 14)</f>
        <v>14</v>
      </c>
      <c r="BM56">
        <f>HYPERLINK("http://exon.niaid.nih.gov/transcriptome/Anopheles_sialome/links/cluster-b/anopheline-sialome-cds-pep-larger-orf25-50SimCLTL14.txt", 18)</f>
        <v>18</v>
      </c>
      <c r="BN56">
        <f>HYPERLINK("http://exon.niaid.nih.gov/transcriptome/Anopheles_sialome/links/cluster-b/anopheline-sialome-cds-pep-larger-orf30-50SimCLU14.txt", 14)</f>
        <v>14</v>
      </c>
      <c r="BO56">
        <f>HYPERLINK("http://exon.niaid.nih.gov/transcriptome/Anopheles_sialome/links/cluster-b/anopheline-sialome-cds-pep-larger-orf30-50SimCLTL14.txt", 18)</f>
        <v>18</v>
      </c>
      <c r="BP56">
        <f>HYPERLINK("http://exon.niaid.nih.gov/transcriptome/Anopheles_sialome/links/cluster-b/anopheline-sialome-cds-pep-larger-orf35-50SimCLU16.txt", 16)</f>
        <v>16</v>
      </c>
      <c r="BQ56">
        <f>HYPERLINK("http://exon.niaid.nih.gov/transcriptome/Anopheles_sialome/links/cluster-b/anopheline-sialome-cds-pep-larger-orf35-50SimCLTL16.txt", 18)</f>
        <v>18</v>
      </c>
      <c r="BR56">
        <f>HYPERLINK("http://exon.niaid.nih.gov/transcriptome/Anopheles_sialome/links/cluster-b/anopheline-sialome-cds-pep-larger-orf40-50SimCLU19.txt", 19)</f>
        <v>19</v>
      </c>
      <c r="BS56">
        <f>HYPERLINK("http://exon.niaid.nih.gov/transcriptome/Anopheles_sialome/links/cluster-b/anopheline-sialome-cds-pep-larger-orf40-50SimCLTL19.txt", 18)</f>
        <v>18</v>
      </c>
      <c r="BT56">
        <f>HYPERLINK("http://exon.niaid.nih.gov/transcriptome/Anopheles_sialome/links/cluster-b/anopheline-sialome-cds-pep-larger-orf45-50SimCLU20.txt", 20)</f>
        <v>20</v>
      </c>
      <c r="BU56">
        <f>HYPERLINK("http://exon.niaid.nih.gov/transcriptome/Anopheles_sialome/links/cluster-b/anopheline-sialome-cds-pep-larger-orf45-50SimCLTL20.txt", 18)</f>
        <v>18</v>
      </c>
      <c r="BV56">
        <f>HYPERLINK("http://exon.niaid.nih.gov/transcriptome/Anopheles_sialome/links/cluster-b/anopheline-sialome-cds-pep-larger-orf50-50SimCLU19.txt", 19)</f>
        <v>19</v>
      </c>
      <c r="BW56">
        <f>HYPERLINK("http://exon.niaid.nih.gov/transcriptome/Anopheles_sialome/links/cluster-b/anopheline-sialome-cds-pep-larger-orf50-50SimCLTL19.txt", 18)</f>
        <v>18</v>
      </c>
      <c r="BX56">
        <f>HYPERLINK("http://exon.niaid.nih.gov/transcriptome/Anopheles_sialome/links/cluster-b/anopheline-sialome-cds-pep-larger-orf55-50SimCLU20.txt", 20)</f>
        <v>20</v>
      </c>
      <c r="BY56">
        <f>HYPERLINK("http://exon.niaid.nih.gov/transcriptome/Anopheles_sialome/links/cluster-b/anopheline-sialome-cds-pep-larger-orf55-50SimCLTL20.txt", 18)</f>
        <v>18</v>
      </c>
      <c r="BZ56">
        <f>HYPERLINK("http://exon.niaid.nih.gov/transcriptome/Anopheles_sialome/links/cluster-b/anopheline-sialome-cds-pep-larger-orf60-50SimCLU19.txt", 19)</f>
        <v>19</v>
      </c>
      <c r="CA56">
        <f>HYPERLINK("http://exon.niaid.nih.gov/transcriptome/Anopheles_sialome/links/cluster-b/anopheline-sialome-cds-pep-larger-orf60-50SimCLTL19.txt", 18)</f>
        <v>18</v>
      </c>
      <c r="CB56">
        <f>HYPERLINK("http://exon.niaid.nih.gov/transcriptome/Anopheles_sialome/links/cluster-b/anopheline-sialome-cds-pep-larger-orf65-50SimCLU15.txt", 15)</f>
        <v>15</v>
      </c>
      <c r="CC56">
        <f>HYPERLINK("http://exon.niaid.nih.gov/transcriptome/Anopheles_sialome/links/cluster-b/anopheline-sialome-cds-pep-larger-orf65-50SimCLTL15.txt", 18)</f>
        <v>18</v>
      </c>
      <c r="CD56">
        <f>HYPERLINK("http://exon.niaid.nih.gov/transcriptome/Anopheles_sialome/links/cluster-b/anopheline-sialome-cds-pep-larger-orf70-50SimCLU18.txt", 18)</f>
        <v>18</v>
      </c>
      <c r="CE56">
        <f>HYPERLINK("http://exon.niaid.nih.gov/transcriptome/Anopheles_sialome/links/cluster-b/anopheline-sialome-cds-pep-larger-orf70-50SimCLTL18.txt", 17)</f>
        <v>17</v>
      </c>
      <c r="CF56">
        <f>HYPERLINK("http://exon.niaid.nih.gov/transcriptome/Anopheles_sialome/links/cluster-b/anopheline-sialome-cds-pep-larger-orf75-50SimCLU19.txt", 19)</f>
        <v>19</v>
      </c>
      <c r="CG56">
        <f>HYPERLINK("http://exon.niaid.nih.gov/transcriptome/Anopheles_sialome/links/cluster-b/anopheline-sialome-cds-pep-larger-orf75-50SimCLTL19.txt", 15)</f>
        <v>15</v>
      </c>
      <c r="CH56">
        <f>HYPERLINK("http://exon.niaid.nih.gov/transcriptome/Anopheles_sialome/links/cluster-b/anopheline-sialome-cds-pep-larger-orf80-50SimCLU75.txt", 75)</f>
        <v>75</v>
      </c>
      <c r="CI56">
        <f>HYPERLINK("http://exon.niaid.nih.gov/transcriptome/Anopheles_sialome/links/cluster-b/anopheline-sialome-cds-pep-larger-orf80-50SimCLTL75.txt", 2)</f>
        <v>2</v>
      </c>
      <c r="CJ56">
        <v>175</v>
      </c>
      <c r="CK56">
        <v>1</v>
      </c>
      <c r="CL56">
        <v>217</v>
      </c>
      <c r="CM56">
        <v>1</v>
      </c>
      <c r="CN56">
        <v>239</v>
      </c>
      <c r="CO56">
        <v>1</v>
      </c>
    </row>
    <row r="57" spans="1:93">
      <c r="A57" s="2" t="str">
        <f>HYPERLINK("http://exon.niaid.nih.gov/transcriptome/Anopheles_sialome/links/cds/anoalb_epoxy_hydrolase-cds.txt","anoalb_epoxy_hydrolase")</f>
        <v>anoalb_epoxy_hydrolase</v>
      </c>
      <c r="B57">
        <v>1182</v>
      </c>
      <c r="C57" t="s">
        <v>239</v>
      </c>
      <c r="D57" t="s">
        <v>4</v>
      </c>
      <c r="E57" t="s">
        <v>5</v>
      </c>
      <c r="F57" t="s">
        <v>1</v>
      </c>
      <c r="G57" t="str">
        <f>HYPERLINK("http://exon.niaid.nih.gov/transcriptome/Anopheles_sialome/links/pep/anoalb_epoxy_hydrolase-pep.txt","anoalb_epoxy_hydrolase")</f>
        <v>anoalb_epoxy_hydrolase</v>
      </c>
      <c r="H57">
        <v>393</v>
      </c>
      <c r="I57">
        <v>1</v>
      </c>
      <c r="J57" s="3" t="str">
        <f>HYPERLINK("http://exon.niaid.nih.gov/transcriptome/Anopheles_sialome/links/Sigp/anoalb_epoxy_hydrolase-SigP.txt","CYT")</f>
        <v>CYT</v>
      </c>
      <c r="K57" t="s">
        <v>128</v>
      </c>
      <c r="L57">
        <v>45.476999999999997</v>
      </c>
      <c r="M57">
        <v>8.25</v>
      </c>
      <c r="N57" t="s">
        <v>128</v>
      </c>
      <c r="O57" t="s">
        <v>128</v>
      </c>
      <c r="P57" t="s">
        <v>1258</v>
      </c>
      <c r="Q57" s="3">
        <v>0</v>
      </c>
      <c r="R57" t="s">
        <v>128</v>
      </c>
      <c r="S57" t="s">
        <v>128</v>
      </c>
      <c r="T57" t="s">
        <v>128</v>
      </c>
      <c r="U57" t="s">
        <v>128</v>
      </c>
      <c r="V57" t="s">
        <v>128</v>
      </c>
      <c r="W57" s="3" t="str">
        <f>HYPERLINK("http://exon.niaid.nih.gov/transcriptome/Anopheles_sialome/links/netoglyc/anoalb_epoxy_hydrolase-netoglyc.txt","0")</f>
        <v>0</v>
      </c>
      <c r="X57">
        <v>8.4</v>
      </c>
      <c r="Y57">
        <v>6.4</v>
      </c>
      <c r="Z57">
        <v>6.6</v>
      </c>
      <c r="AA57" t="s">
        <v>654</v>
      </c>
      <c r="AB57" t="s">
        <v>128</v>
      </c>
      <c r="AC57" s="2" t="str">
        <f>HYPERLINK("http://exon.niaid.nih.gov/transcriptome/Anopheles_sialome/links/DIPTERA/anoalb_epoxy_hydrolase-DIPTERA.txt","AGAP011970-PA, partial")</f>
        <v>AGAP011970-PA, partial</v>
      </c>
      <c r="AD57" t="str">
        <f>HYPERLINK("http://www.ncbi.nlm.nih.gov/sutils/blink.cgi?pid=157013288","1E-106")</f>
        <v>1E-106</v>
      </c>
      <c r="AE57" t="str">
        <f>HYPERLINK("http://www.ncbi.nlm.nih.gov/protein/157013288","gi|157013288")</f>
        <v>gi|157013288</v>
      </c>
      <c r="AF57">
        <v>52</v>
      </c>
      <c r="AG57">
        <v>71</v>
      </c>
      <c r="AH57">
        <v>97</v>
      </c>
      <c r="AI57" t="s">
        <v>2285</v>
      </c>
      <c r="AJ57" s="2" t="str">
        <f>HYPERLINK("http://exon.niaid.nih.gov/transcriptome/Anopheles_sialome/links/CULICOMORPHA/anoalb_epoxy_hydrolase-CULICOMORPHA.txt","AGAP011970-PA, partial")</f>
        <v>AGAP011970-PA, partial</v>
      </c>
      <c r="AK57" t="str">
        <f>HYPERLINK("http://www.ncbi.nlm.nih.gov/sutils/blink.cgi?pid=157013288","1E-107")</f>
        <v>1E-107</v>
      </c>
      <c r="AL57" t="str">
        <f>HYPERLINK("http://www.ncbi.nlm.nih.gov/protein/157013288","gi|157013288")</f>
        <v>gi|157013288</v>
      </c>
      <c r="AM57">
        <v>52</v>
      </c>
      <c r="AN57">
        <v>71</v>
      </c>
      <c r="AO57">
        <v>97</v>
      </c>
      <c r="AP57" t="s">
        <v>2285</v>
      </c>
      <c r="AQ57" s="2" t="str">
        <f>HYPERLINK("http://exon.niaid.nih.gov/transcriptome/Anopheles_sialome/links/NR-LIGHT/anoalb_epoxy_hydrolase-NR-LIGHT.txt","AGAP011970-PA")</f>
        <v>AGAP011970-PA</v>
      </c>
      <c r="AR57" t="str">
        <f>HYPERLINK("http://www.ncbi.nlm.nih.gov/sutils/blink.cgi?pid=158300702","1E-106")</f>
        <v>1E-106</v>
      </c>
      <c r="AS57" t="str">
        <f>HYPERLINK("http://www.ncbi.nlm.nih.gov/protein/158300702","gi|158300702")</f>
        <v>gi|158300702</v>
      </c>
      <c r="AT57">
        <v>52</v>
      </c>
      <c r="AU57">
        <v>71</v>
      </c>
      <c r="AV57">
        <v>97</v>
      </c>
      <c r="AW57" t="s">
        <v>2285</v>
      </c>
      <c r="AX57" s="2" t="str">
        <f>HYPERLINK("http://exon.niaid.nih.gov/transcriptome/Anopheles_sialome/links/CDD/anoalb_epoxy_hydrolase-CDD.txt","Abhydrolase_6")</f>
        <v>Abhydrolase_6</v>
      </c>
      <c r="AY57" t="str">
        <f>HYPERLINK("http://www.ncbi.nlm.nih.gov/Structure/cdd/cddsrv.cgi?uid=pfam12697&amp;version=v4.0","4E-024")</f>
        <v>4E-024</v>
      </c>
      <c r="AZ57" t="s">
        <v>2613</v>
      </c>
      <c r="BA57" s="2" t="str">
        <f>HYPERLINK("http://exon.niaid.nih.gov/transcriptome/Anopheles_sialome/links/KOG/anoalb_epoxy_hydrolase-KOG.txt","Soluble epoxide hydrolase")</f>
        <v>Soluble epoxide hydrolase</v>
      </c>
      <c r="BB57" t="str">
        <f>HYPERLINK("http://www.ncbi.nlm.nih.gov/Structure/cdd/cddsrv.cgi?uid=KOG4178","7E-037")</f>
        <v>7E-037</v>
      </c>
      <c r="BC57" t="s">
        <v>2298</v>
      </c>
      <c r="BD57" t="str">
        <f>HYPERLINK("http://exon.niaid.nih.gov/transcriptome/Anopheles_sialome/links/KOG/anoalb_epoxy_hydrolase-KOG.txt","KOG4178")</f>
        <v>KOG4178</v>
      </c>
      <c r="BE57" t="str">
        <f>HYPERLINK("http://exon.niaid.nih.gov/transcriptome/Anopheles_sialome/links/PFAM/anoalb_epoxy_hydrolase-PFAM.txt","Abhydrolase_6")</f>
        <v>Abhydrolase_6</v>
      </c>
      <c r="BF57" t="str">
        <f>HYPERLINK("http://pfam.sanger.ac.uk/family?acc=PF12697","8E-025")</f>
        <v>8E-025</v>
      </c>
      <c r="BG57" s="2" t="str">
        <f>HYPERLINK("http://exon.niaid.nih.gov/transcriptome/Anopheles_sialome/links/SMART/anoalb_epoxy_hydrolase-SMART.txt","DNaseIc")</f>
        <v>DNaseIc</v>
      </c>
      <c r="BH57" t="str">
        <f>HYPERLINK("http://smart.embl-heidelberg.de/smart/do_annotation.pl?DOMAIN=DNaseIc&amp;BLAST=DUMMY","0.42")</f>
        <v>0.42</v>
      </c>
      <c r="BI57" t="s">
        <v>128</v>
      </c>
      <c r="BJ57" s="2" t="s">
        <v>128</v>
      </c>
      <c r="BK57" t="s">
        <v>1257</v>
      </c>
      <c r="BL57">
        <f>HYPERLINK("http://exon.niaid.nih.gov/transcriptome/Anopheles_sialome/links/cluster-b/anopheline-sialome-cds-pep-larger-orf25-50SimCLU14.txt", 14)</f>
        <v>14</v>
      </c>
      <c r="BM57">
        <f>HYPERLINK("http://exon.niaid.nih.gov/transcriptome/Anopheles_sialome/links/cluster-b/anopheline-sialome-cds-pep-larger-orf25-50SimCLTL14.txt", 18)</f>
        <v>18</v>
      </c>
      <c r="BN57">
        <f>HYPERLINK("http://exon.niaid.nih.gov/transcriptome/Anopheles_sialome/links/cluster-b/anopheline-sialome-cds-pep-larger-orf30-50SimCLU14.txt", 14)</f>
        <v>14</v>
      </c>
      <c r="BO57">
        <f>HYPERLINK("http://exon.niaid.nih.gov/transcriptome/Anopheles_sialome/links/cluster-b/anopheline-sialome-cds-pep-larger-orf30-50SimCLTL14.txt", 18)</f>
        <v>18</v>
      </c>
      <c r="BP57">
        <f>HYPERLINK("http://exon.niaid.nih.gov/transcriptome/Anopheles_sialome/links/cluster-b/anopheline-sialome-cds-pep-larger-orf35-50SimCLU16.txt", 16)</f>
        <v>16</v>
      </c>
      <c r="BQ57">
        <f>HYPERLINK("http://exon.niaid.nih.gov/transcriptome/Anopheles_sialome/links/cluster-b/anopheline-sialome-cds-pep-larger-orf35-50SimCLTL16.txt", 18)</f>
        <v>18</v>
      </c>
      <c r="BR57">
        <f>HYPERLINK("http://exon.niaid.nih.gov/transcriptome/Anopheles_sialome/links/cluster-b/anopheline-sialome-cds-pep-larger-orf40-50SimCLU19.txt", 19)</f>
        <v>19</v>
      </c>
      <c r="BS57">
        <f>HYPERLINK("http://exon.niaid.nih.gov/transcriptome/Anopheles_sialome/links/cluster-b/anopheline-sialome-cds-pep-larger-orf40-50SimCLTL19.txt", 18)</f>
        <v>18</v>
      </c>
      <c r="BT57">
        <f>HYPERLINK("http://exon.niaid.nih.gov/transcriptome/Anopheles_sialome/links/cluster-b/anopheline-sialome-cds-pep-larger-orf45-50SimCLU20.txt", 20)</f>
        <v>20</v>
      </c>
      <c r="BU57">
        <f>HYPERLINK("http://exon.niaid.nih.gov/transcriptome/Anopheles_sialome/links/cluster-b/anopheline-sialome-cds-pep-larger-orf45-50SimCLTL20.txt", 18)</f>
        <v>18</v>
      </c>
      <c r="BV57">
        <f>HYPERLINK("http://exon.niaid.nih.gov/transcriptome/Anopheles_sialome/links/cluster-b/anopheline-sialome-cds-pep-larger-orf50-50SimCLU19.txt", 19)</f>
        <v>19</v>
      </c>
      <c r="BW57">
        <f>HYPERLINK("http://exon.niaid.nih.gov/transcriptome/Anopheles_sialome/links/cluster-b/anopheline-sialome-cds-pep-larger-orf50-50SimCLTL19.txt", 18)</f>
        <v>18</v>
      </c>
      <c r="BX57">
        <f>HYPERLINK("http://exon.niaid.nih.gov/transcriptome/Anopheles_sialome/links/cluster-b/anopheline-sialome-cds-pep-larger-orf55-50SimCLU20.txt", 20)</f>
        <v>20</v>
      </c>
      <c r="BY57">
        <f>HYPERLINK("http://exon.niaid.nih.gov/transcriptome/Anopheles_sialome/links/cluster-b/anopheline-sialome-cds-pep-larger-orf55-50SimCLTL20.txt", 18)</f>
        <v>18</v>
      </c>
      <c r="BZ57">
        <f>HYPERLINK("http://exon.niaid.nih.gov/transcriptome/Anopheles_sialome/links/cluster-b/anopheline-sialome-cds-pep-larger-orf60-50SimCLU19.txt", 19)</f>
        <v>19</v>
      </c>
      <c r="CA57">
        <f>HYPERLINK("http://exon.niaid.nih.gov/transcriptome/Anopheles_sialome/links/cluster-b/anopheline-sialome-cds-pep-larger-orf60-50SimCLTL19.txt", 18)</f>
        <v>18</v>
      </c>
      <c r="CB57">
        <f>HYPERLINK("http://exon.niaid.nih.gov/transcriptome/Anopheles_sialome/links/cluster-b/anopheline-sialome-cds-pep-larger-orf65-50SimCLU15.txt", 15)</f>
        <v>15</v>
      </c>
      <c r="CC57">
        <f>HYPERLINK("http://exon.niaid.nih.gov/transcriptome/Anopheles_sialome/links/cluster-b/anopheline-sialome-cds-pep-larger-orf65-50SimCLTL15.txt", 18)</f>
        <v>18</v>
      </c>
      <c r="CD57">
        <f>HYPERLINK("http://exon.niaid.nih.gov/transcriptome/Anopheles_sialome/links/cluster-b/anopheline-sialome-cds-pep-larger-orf70-50SimCLU18.txt", 18)</f>
        <v>18</v>
      </c>
      <c r="CE57">
        <f>HYPERLINK("http://exon.niaid.nih.gov/transcriptome/Anopheles_sialome/links/cluster-b/anopheline-sialome-cds-pep-larger-orf70-50SimCLTL18.txt", 17)</f>
        <v>17</v>
      </c>
      <c r="CF57">
        <f>HYPERLINK("http://exon.niaid.nih.gov/transcriptome/Anopheles_sialome/links/cluster-b/anopheline-sialome-cds-pep-larger-orf75-50SimCLU64.txt", 64)</f>
        <v>64</v>
      </c>
      <c r="CG57">
        <f>HYPERLINK("http://exon.niaid.nih.gov/transcriptome/Anopheles_sialome/links/cluster-b/anopheline-sialome-cds-pep-larger-orf75-50SimCLTL64.txt", 2)</f>
        <v>2</v>
      </c>
      <c r="CH57">
        <f>HYPERLINK("http://exon.niaid.nih.gov/transcriptome/Anopheles_sialome/links/cluster-b/anopheline-sialome-cds-pep-larger-orf80-50SimCLU76.txt", 76)</f>
        <v>76</v>
      </c>
      <c r="CI57">
        <f>HYPERLINK("http://exon.niaid.nih.gov/transcriptome/Anopheles_sialome/links/cluster-b/anopheline-sialome-cds-pep-larger-orf80-50SimCLTL76.txt", 2)</f>
        <v>2</v>
      </c>
      <c r="CJ57">
        <f>HYPERLINK("http://exon.niaid.nih.gov/transcriptome/Anopheles_sialome/links/cluster-b/anopheline-sialome-cds-pep-larger-orf85-50SimCLU80.txt", 80)</f>
        <v>80</v>
      </c>
      <c r="CK57">
        <f>HYPERLINK("http://exon.niaid.nih.gov/transcriptome/Anopheles_sialome/links/cluster-b/anopheline-sialome-cds-pep-larger-orf85-50SimCLTL80.txt", 2)</f>
        <v>2</v>
      </c>
      <c r="CL57">
        <f>HYPERLINK("http://exon.niaid.nih.gov/transcriptome/Anopheles_sialome/links/cluster-b/anopheline-sialome-cds-pep-larger-orf90-50SimCLU72.txt", 72)</f>
        <v>72</v>
      </c>
      <c r="CM57">
        <f>HYPERLINK("http://exon.niaid.nih.gov/transcriptome/Anopheles_sialome/links/cluster-b/anopheline-sialome-cds-pep-larger-orf90-50SimCLTL72.txt", 2)</f>
        <v>2</v>
      </c>
      <c r="CN57">
        <v>240</v>
      </c>
      <c r="CO57">
        <v>1</v>
      </c>
    </row>
    <row r="58" spans="1:93">
      <c r="A58" s="2" t="str">
        <f>HYPERLINK("http://exon.niaid.nih.gov/transcriptome/Anopheles_sialome/links/cds/anodar_epoxy_hydrolase-cds.txt","anodar_epoxy_hydrolase")</f>
        <v>anodar_epoxy_hydrolase</v>
      </c>
      <c r="B58">
        <v>1182</v>
      </c>
      <c r="C58" t="s">
        <v>4</v>
      </c>
      <c r="D58" t="s">
        <v>3178</v>
      </c>
      <c r="E58" t="s">
        <v>5</v>
      </c>
      <c r="F58" t="s">
        <v>1</v>
      </c>
      <c r="G58" t="str">
        <f>HYPERLINK("http://exon.niaid.nih.gov/transcriptome/Anopheles_sialome/links/pep/anodar_epoxy_hydrolase-pep.txt","anodar_epoxy_hydrolase")</f>
        <v>anodar_epoxy_hydrolase</v>
      </c>
      <c r="H58">
        <v>393</v>
      </c>
      <c r="I58">
        <v>1</v>
      </c>
      <c r="J58" s="3" t="str">
        <f>HYPERLINK("http://exon.niaid.nih.gov/transcriptome/Anopheles_sialome/links/Sigp/anodar_epoxy_hydrolase-SigP.txt","CYT")</f>
        <v>CYT</v>
      </c>
      <c r="K58" t="s">
        <v>128</v>
      </c>
      <c r="L58">
        <v>45.732999999999997</v>
      </c>
      <c r="M58">
        <v>8.44</v>
      </c>
      <c r="N58" t="s">
        <v>128</v>
      </c>
      <c r="O58" t="s">
        <v>128</v>
      </c>
      <c r="P58" t="s">
        <v>1260</v>
      </c>
      <c r="Q58" s="3">
        <v>0</v>
      </c>
      <c r="R58" t="s">
        <v>128</v>
      </c>
      <c r="S58" t="s">
        <v>128</v>
      </c>
      <c r="T58" t="s">
        <v>128</v>
      </c>
      <c r="U58" t="s">
        <v>128</v>
      </c>
      <c r="V58" t="s">
        <v>128</v>
      </c>
      <c r="W58" s="3" t="str">
        <f>HYPERLINK("http://exon.niaid.nih.gov/transcriptome/Anopheles_sialome/links/netoglyc/anodar_epoxy_hydrolase-netoglyc.txt","0")</f>
        <v>0</v>
      </c>
      <c r="X58">
        <v>8.4</v>
      </c>
      <c r="Y58">
        <v>6.1</v>
      </c>
      <c r="Z58">
        <v>6.6</v>
      </c>
      <c r="AA58" t="s">
        <v>654</v>
      </c>
      <c r="AB58" t="s">
        <v>128</v>
      </c>
      <c r="AC58" s="2" t="str">
        <f>HYPERLINK("http://exon.niaid.nih.gov/transcriptome/Anopheles_sialome/links/DIPTERA/anodar_epoxy_hydrolase-DIPTERA.txt","AGAP011970-PA, partial")</f>
        <v>AGAP011970-PA, partial</v>
      </c>
      <c r="AD58" t="str">
        <f>HYPERLINK("http://www.ncbi.nlm.nih.gov/sutils/blink.cgi?pid=157013288","1E-110")</f>
        <v>1E-110</v>
      </c>
      <c r="AE58" t="str">
        <f t="shared" ref="AE58" si="17">HYPERLINK("http://www.ncbi.nlm.nih.gov/protein/157013288","gi|157013288")</f>
        <v>gi|157013288</v>
      </c>
      <c r="AF58">
        <v>54</v>
      </c>
      <c r="AG58">
        <v>73</v>
      </c>
      <c r="AH58">
        <v>97</v>
      </c>
      <c r="AI58" t="s">
        <v>2285</v>
      </c>
      <c r="AJ58" s="2" t="str">
        <f>HYPERLINK("http://exon.niaid.nih.gov/transcriptome/Anopheles_sialome/links/CULICOMORPHA/anodar_epoxy_hydrolase-CULICOMORPHA.txt","AGAP011970-PA, partial")</f>
        <v>AGAP011970-PA, partial</v>
      </c>
      <c r="AK58" t="str">
        <f>HYPERLINK("http://www.ncbi.nlm.nih.gov/sutils/blink.cgi?pid=157013288","1E-111")</f>
        <v>1E-111</v>
      </c>
      <c r="AL58" t="str">
        <f t="shared" ref="AL58" si="18">HYPERLINK("http://www.ncbi.nlm.nih.gov/protein/157013288","gi|157013288")</f>
        <v>gi|157013288</v>
      </c>
      <c r="AM58">
        <v>54</v>
      </c>
      <c r="AN58">
        <v>73</v>
      </c>
      <c r="AO58">
        <v>97</v>
      </c>
      <c r="AP58" t="s">
        <v>2285</v>
      </c>
      <c r="AQ58" s="2" t="str">
        <f>HYPERLINK("http://exon.niaid.nih.gov/transcriptome/Anopheles_sialome/links/NR-LIGHT/anodar_epoxy_hydrolase-NR-LIGHT.txt","AGAP011970-PA")</f>
        <v>AGAP011970-PA</v>
      </c>
      <c r="AR58" t="str">
        <f>HYPERLINK("http://www.ncbi.nlm.nih.gov/sutils/blink.cgi?pid=158300702","1E-110")</f>
        <v>1E-110</v>
      </c>
      <c r="AS58" t="str">
        <f t="shared" ref="AS58" si="19">HYPERLINK("http://www.ncbi.nlm.nih.gov/protein/158300702","gi|158300702")</f>
        <v>gi|158300702</v>
      </c>
      <c r="AT58">
        <v>54</v>
      </c>
      <c r="AU58">
        <v>73</v>
      </c>
      <c r="AV58">
        <v>97</v>
      </c>
      <c r="AW58" t="s">
        <v>2285</v>
      </c>
      <c r="AX58" s="2" t="str">
        <f>HYPERLINK("http://exon.niaid.nih.gov/transcriptome/Anopheles_sialome/links/CDD/anodar_epoxy_hydrolase-CDD.txt","Abhydrolase_6")</f>
        <v>Abhydrolase_6</v>
      </c>
      <c r="AY58" t="str">
        <f>HYPERLINK("http://www.ncbi.nlm.nih.gov/Structure/cdd/cddsrv.cgi?uid=pfam12697&amp;version=v4.0","5E-026")</f>
        <v>5E-026</v>
      </c>
      <c r="AZ58" t="s">
        <v>2614</v>
      </c>
      <c r="BA58" s="2" t="str">
        <f>HYPERLINK("http://exon.niaid.nih.gov/transcriptome/Anopheles_sialome/links/KOG/anodar_epoxy_hydrolase-KOG.txt","Soluble epoxide hydrolase")</f>
        <v>Soluble epoxide hydrolase</v>
      </c>
      <c r="BB58" t="str">
        <f>HYPERLINK("http://www.ncbi.nlm.nih.gov/Structure/cdd/cddsrv.cgi?uid=KOG4178","1E-038")</f>
        <v>1E-038</v>
      </c>
      <c r="BC58" t="s">
        <v>2298</v>
      </c>
      <c r="BD58" t="str">
        <f>HYPERLINK("http://exon.niaid.nih.gov/transcriptome/Anopheles_sialome/links/KOG/anodar_epoxy_hydrolase-KOG.txt","KOG4178")</f>
        <v>KOG4178</v>
      </c>
      <c r="BE58" t="str">
        <f>HYPERLINK("http://exon.niaid.nih.gov/transcriptome/Anopheles_sialome/links/PFAM/anodar_epoxy_hydrolase-PFAM.txt","Abhydrolase_6")</f>
        <v>Abhydrolase_6</v>
      </c>
      <c r="BF58" t="str">
        <f>HYPERLINK("http://pfam.sanger.ac.uk/family?acc=PF12697","1E-026")</f>
        <v>1E-026</v>
      </c>
      <c r="BG58" s="2" t="str">
        <f>HYPERLINK("http://exon.niaid.nih.gov/transcriptome/Anopheles_sialome/links/SMART/anodar_epoxy_hydrolase-SMART.txt","Aerolysin")</f>
        <v>Aerolysin</v>
      </c>
      <c r="BH58" t="str">
        <f>HYPERLINK("http://smart.embl-heidelberg.de/smart/do_annotation.pl?DOMAIN=Aerolysin&amp;BLAST=DUMMY","1.7")</f>
        <v>1.7</v>
      </c>
      <c r="BI58" t="s">
        <v>128</v>
      </c>
      <c r="BJ58" s="2" t="s">
        <v>128</v>
      </c>
      <c r="BK58" t="s">
        <v>1259</v>
      </c>
      <c r="BL58">
        <f>HYPERLINK("http://exon.niaid.nih.gov/transcriptome/Anopheles_sialome/links/cluster-b/anopheline-sialome-cds-pep-larger-orf25-50SimCLU14.txt", 14)</f>
        <v>14</v>
      </c>
      <c r="BM58">
        <f>HYPERLINK("http://exon.niaid.nih.gov/transcriptome/Anopheles_sialome/links/cluster-b/anopheline-sialome-cds-pep-larger-orf25-50SimCLTL14.txt", 18)</f>
        <v>18</v>
      </c>
      <c r="BN58">
        <f>HYPERLINK("http://exon.niaid.nih.gov/transcriptome/Anopheles_sialome/links/cluster-b/anopheline-sialome-cds-pep-larger-orf30-50SimCLU14.txt", 14)</f>
        <v>14</v>
      </c>
      <c r="BO58">
        <f>HYPERLINK("http://exon.niaid.nih.gov/transcriptome/Anopheles_sialome/links/cluster-b/anopheline-sialome-cds-pep-larger-orf30-50SimCLTL14.txt", 18)</f>
        <v>18</v>
      </c>
      <c r="BP58">
        <f>HYPERLINK("http://exon.niaid.nih.gov/transcriptome/Anopheles_sialome/links/cluster-b/anopheline-sialome-cds-pep-larger-orf35-50SimCLU16.txt", 16)</f>
        <v>16</v>
      </c>
      <c r="BQ58">
        <f>HYPERLINK("http://exon.niaid.nih.gov/transcriptome/Anopheles_sialome/links/cluster-b/anopheline-sialome-cds-pep-larger-orf35-50SimCLTL16.txt", 18)</f>
        <v>18</v>
      </c>
      <c r="BR58">
        <f>HYPERLINK("http://exon.niaid.nih.gov/transcriptome/Anopheles_sialome/links/cluster-b/anopheline-sialome-cds-pep-larger-orf40-50SimCLU19.txt", 19)</f>
        <v>19</v>
      </c>
      <c r="BS58">
        <f>HYPERLINK("http://exon.niaid.nih.gov/transcriptome/Anopheles_sialome/links/cluster-b/anopheline-sialome-cds-pep-larger-orf40-50SimCLTL19.txt", 18)</f>
        <v>18</v>
      </c>
      <c r="BT58">
        <f>HYPERLINK("http://exon.niaid.nih.gov/transcriptome/Anopheles_sialome/links/cluster-b/anopheline-sialome-cds-pep-larger-orf45-50SimCLU20.txt", 20)</f>
        <v>20</v>
      </c>
      <c r="BU58">
        <f>HYPERLINK("http://exon.niaid.nih.gov/transcriptome/Anopheles_sialome/links/cluster-b/anopheline-sialome-cds-pep-larger-orf45-50SimCLTL20.txt", 18)</f>
        <v>18</v>
      </c>
      <c r="BV58">
        <f>HYPERLINK("http://exon.niaid.nih.gov/transcriptome/Anopheles_sialome/links/cluster-b/anopheline-sialome-cds-pep-larger-orf50-50SimCLU19.txt", 19)</f>
        <v>19</v>
      </c>
      <c r="BW58">
        <f>HYPERLINK("http://exon.niaid.nih.gov/transcriptome/Anopheles_sialome/links/cluster-b/anopheline-sialome-cds-pep-larger-orf50-50SimCLTL19.txt", 18)</f>
        <v>18</v>
      </c>
      <c r="BX58">
        <f>HYPERLINK("http://exon.niaid.nih.gov/transcriptome/Anopheles_sialome/links/cluster-b/anopheline-sialome-cds-pep-larger-orf55-50SimCLU20.txt", 20)</f>
        <v>20</v>
      </c>
      <c r="BY58">
        <f>HYPERLINK("http://exon.niaid.nih.gov/transcriptome/Anopheles_sialome/links/cluster-b/anopheline-sialome-cds-pep-larger-orf55-50SimCLTL20.txt", 18)</f>
        <v>18</v>
      </c>
      <c r="BZ58">
        <f>HYPERLINK("http://exon.niaid.nih.gov/transcriptome/Anopheles_sialome/links/cluster-b/anopheline-sialome-cds-pep-larger-orf60-50SimCLU19.txt", 19)</f>
        <v>19</v>
      </c>
      <c r="CA58">
        <f>HYPERLINK("http://exon.niaid.nih.gov/transcriptome/Anopheles_sialome/links/cluster-b/anopheline-sialome-cds-pep-larger-orf60-50SimCLTL19.txt", 18)</f>
        <v>18</v>
      </c>
      <c r="CB58">
        <f>HYPERLINK("http://exon.niaid.nih.gov/transcriptome/Anopheles_sialome/links/cluster-b/anopheline-sialome-cds-pep-larger-orf65-50SimCLU15.txt", 15)</f>
        <v>15</v>
      </c>
      <c r="CC58">
        <f>HYPERLINK("http://exon.niaid.nih.gov/transcriptome/Anopheles_sialome/links/cluster-b/anopheline-sialome-cds-pep-larger-orf65-50SimCLTL15.txt", 18)</f>
        <v>18</v>
      </c>
      <c r="CD58">
        <f>HYPERLINK("http://exon.niaid.nih.gov/transcriptome/Anopheles_sialome/links/cluster-b/anopheline-sialome-cds-pep-larger-orf70-50SimCLU18.txt", 18)</f>
        <v>18</v>
      </c>
      <c r="CE58">
        <f>HYPERLINK("http://exon.niaid.nih.gov/transcriptome/Anopheles_sialome/links/cluster-b/anopheline-sialome-cds-pep-larger-orf70-50SimCLTL18.txt", 17)</f>
        <v>17</v>
      </c>
      <c r="CF58">
        <f>HYPERLINK("http://exon.niaid.nih.gov/transcriptome/Anopheles_sialome/links/cluster-b/anopheline-sialome-cds-pep-larger-orf75-50SimCLU64.txt", 64)</f>
        <v>64</v>
      </c>
      <c r="CG58">
        <f>HYPERLINK("http://exon.niaid.nih.gov/transcriptome/Anopheles_sialome/links/cluster-b/anopheline-sialome-cds-pep-larger-orf75-50SimCLTL64.txt", 2)</f>
        <v>2</v>
      </c>
      <c r="CH58">
        <f>HYPERLINK("http://exon.niaid.nih.gov/transcriptome/Anopheles_sialome/links/cluster-b/anopheline-sialome-cds-pep-larger-orf80-50SimCLU76.txt", 76)</f>
        <v>76</v>
      </c>
      <c r="CI58">
        <f>HYPERLINK("http://exon.niaid.nih.gov/transcriptome/Anopheles_sialome/links/cluster-b/anopheline-sialome-cds-pep-larger-orf80-50SimCLTL76.txt", 2)</f>
        <v>2</v>
      </c>
      <c r="CJ58">
        <f>HYPERLINK("http://exon.niaid.nih.gov/transcriptome/Anopheles_sialome/links/cluster-b/anopheline-sialome-cds-pep-larger-orf85-50SimCLU80.txt", 80)</f>
        <v>80</v>
      </c>
      <c r="CK58">
        <f>HYPERLINK("http://exon.niaid.nih.gov/transcriptome/Anopheles_sialome/links/cluster-b/anopheline-sialome-cds-pep-larger-orf85-50SimCLTL80.txt", 2)</f>
        <v>2</v>
      </c>
      <c r="CL58">
        <f>HYPERLINK("http://exon.niaid.nih.gov/transcriptome/Anopheles_sialome/links/cluster-b/anopheline-sialome-cds-pep-larger-orf90-50SimCLU72.txt", 72)</f>
        <v>72</v>
      </c>
      <c r="CM58">
        <f>HYPERLINK("http://exon.niaid.nih.gov/transcriptome/Anopheles_sialome/links/cluster-b/anopheline-sialome-cds-pep-larger-orf90-50SimCLTL72.txt", 2)</f>
        <v>2</v>
      </c>
      <c r="CN58">
        <v>241</v>
      </c>
      <c r="CO58">
        <v>1</v>
      </c>
    </row>
    <row r="59" spans="1:93">
      <c r="A59" s="14" t="s">
        <v>3150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</row>
    <row r="60" spans="1:93">
      <c r="A60" s="2" t="str">
        <f>HYPERLINK("http://exon.niaid.nih.gov/transcriptome/Anopheles_sialome/links/cds/anoga_Sal_amy-cds.txt","anoga_Sal_amy")</f>
        <v>anoga_Sal_amy</v>
      </c>
      <c r="B60">
        <v>2631</v>
      </c>
      <c r="C60" t="s">
        <v>318</v>
      </c>
      <c r="D60" t="s">
        <v>7</v>
      </c>
      <c r="E60" t="s">
        <v>5</v>
      </c>
      <c r="F60" t="s">
        <v>1</v>
      </c>
      <c r="G60" t="str">
        <f>HYPERLINK("http://exon.niaid.nih.gov/transcriptome/Anopheles_sialome/links/pep/anoga_Sal_amy-pep.txt","anoga_Sal_amy")</f>
        <v>anoga_Sal_amy</v>
      </c>
      <c r="H60">
        <v>876</v>
      </c>
      <c r="I60">
        <v>2</v>
      </c>
      <c r="J60" s="3" t="str">
        <f>HYPERLINK("http://exon.niaid.nih.gov/transcriptome/Anopheles_sialome/links/Sigp/anoga_Sal_amy-SigP.txt","SIG")</f>
        <v>SIG</v>
      </c>
      <c r="K60" t="s">
        <v>715</v>
      </c>
      <c r="L60">
        <v>94.183000000000007</v>
      </c>
      <c r="M60">
        <v>5.8</v>
      </c>
      <c r="N60">
        <v>91.781000000000006</v>
      </c>
      <c r="O60">
        <v>5.63</v>
      </c>
      <c r="P60" t="s">
        <v>1520</v>
      </c>
      <c r="Q60" s="3">
        <v>0</v>
      </c>
      <c r="R60" t="s">
        <v>128</v>
      </c>
      <c r="S60" t="s">
        <v>128</v>
      </c>
      <c r="T60" t="s">
        <v>128</v>
      </c>
      <c r="U60" t="s">
        <v>128</v>
      </c>
      <c r="V60" t="s">
        <v>128</v>
      </c>
      <c r="W60" s="3" t="str">
        <f>HYPERLINK("http://exon.niaid.nih.gov/transcriptome/Anopheles_sialome/links/netoglyc/anoga_Sal_amy-netoglyc.txt","2")</f>
        <v>2</v>
      </c>
      <c r="X60">
        <v>16.7</v>
      </c>
      <c r="Y60">
        <v>8.4</v>
      </c>
      <c r="Z60">
        <v>6.8</v>
      </c>
      <c r="AA60" t="s">
        <v>654</v>
      </c>
      <c r="AB60" t="s">
        <v>128</v>
      </c>
      <c r="AC60" s="2" t="str">
        <f>HYPERLINK("http://exon.niaid.nih.gov/transcriptome/Anopheles_sialome/links/DIPTERA/anoga_Sal_amy-DIPTERA.txt","AGAP006371-PA")</f>
        <v>AGAP006371-PA</v>
      </c>
      <c r="AD60" t="str">
        <f t="shared" ref="AD60:AD65" si="20">HYPERLINK("http://www.ncbi.nlm.nih.gov/sutils/blink.cgi?pid=157016191","0.0")</f>
        <v>0.0</v>
      </c>
      <c r="AE60" t="str">
        <f t="shared" ref="AE60:AE65" si="21">HYPERLINK("http://www.ncbi.nlm.nih.gov/protein/157016191","gi|157016191")</f>
        <v>gi|157016191</v>
      </c>
      <c r="AF60">
        <v>100</v>
      </c>
      <c r="AG60">
        <v>100</v>
      </c>
      <c r="AH60">
        <v>100</v>
      </c>
      <c r="AI60" t="s">
        <v>2285</v>
      </c>
      <c r="AJ60" s="2" t="str">
        <f>HYPERLINK("http://exon.niaid.nih.gov/transcriptome/Anopheles_sialome/links/CULICOMORPHA/anoga_Sal_amy-CULICOMORPHA.txt","AGAP006371-PA")</f>
        <v>AGAP006371-PA</v>
      </c>
      <c r="AK60" t="str">
        <f t="shared" ref="AK60:AK65" si="22">HYPERLINK("http://www.ncbi.nlm.nih.gov/sutils/blink.cgi?pid=157016191","0.0")</f>
        <v>0.0</v>
      </c>
      <c r="AL60" t="str">
        <f t="shared" ref="AL60:AL65" si="23">HYPERLINK("http://www.ncbi.nlm.nih.gov/protein/157016191","gi|157016191")</f>
        <v>gi|157016191</v>
      </c>
      <c r="AM60">
        <v>100</v>
      </c>
      <c r="AN60">
        <v>100</v>
      </c>
      <c r="AO60">
        <v>100</v>
      </c>
      <c r="AP60" t="s">
        <v>2285</v>
      </c>
      <c r="AQ60" s="2" t="str">
        <f>HYPERLINK("http://exon.niaid.nih.gov/transcriptome/Anopheles_sialome/links/NR-LIGHT/anoga_Sal_amy-NR-LIGHT.txt","AGAP006371-PA")</f>
        <v>AGAP006371-PA</v>
      </c>
      <c r="AR60" t="str">
        <f t="shared" ref="AR60:AR65" si="24">HYPERLINK("http://www.ncbi.nlm.nih.gov/sutils/blink.cgi?pid=158295760","0.0")</f>
        <v>0.0</v>
      </c>
      <c r="AS60" t="str">
        <f t="shared" ref="AS60:AS65" si="25">HYPERLINK("http://www.ncbi.nlm.nih.gov/protein/158295760","gi|158295760")</f>
        <v>gi|158295760</v>
      </c>
      <c r="AT60">
        <v>100</v>
      </c>
      <c r="AU60">
        <v>100</v>
      </c>
      <c r="AV60">
        <v>100</v>
      </c>
      <c r="AW60" t="s">
        <v>2285</v>
      </c>
      <c r="AX60" s="2" t="str">
        <f>HYPERLINK("http://exon.niaid.nih.gov/transcriptome/Anopheles_sialome/links/CDD/anoga_Sal_amy-CDD.txt","AmyAc_bac_euk_A")</f>
        <v>AmyAc_bac_euk_A</v>
      </c>
      <c r="AY60" t="str">
        <f>HYPERLINK("http://www.ncbi.nlm.nih.gov/Structure/cdd/cddsrv.cgi?uid=cd11317&amp;version=v4.0","1E-152")</f>
        <v>1E-152</v>
      </c>
      <c r="AZ60" t="s">
        <v>2754</v>
      </c>
      <c r="BA60" s="2" t="str">
        <f>HYPERLINK("http://exon.niaid.nih.gov/transcriptome/Anopheles_sialome/links/KOG/anoga_Sal_amy-KOG.txt","Alpha-amylase")</f>
        <v>Alpha-amylase</v>
      </c>
      <c r="BB60" t="str">
        <f>HYPERLINK("http://www.ncbi.nlm.nih.gov/Structure/cdd/cddsrv.cgi?uid=KOG2212","1E-163")</f>
        <v>1E-163</v>
      </c>
      <c r="BC60" t="s">
        <v>2308</v>
      </c>
      <c r="BD60" t="str">
        <f>HYPERLINK("http://exon.niaid.nih.gov/transcriptome/Anopheles_sialome/links/KOG/anoga_Sal_amy-KOG.txt","KOG2212")</f>
        <v>KOG2212</v>
      </c>
      <c r="BE60" t="str">
        <f>HYPERLINK("http://exon.niaid.nih.gov/transcriptome/Anopheles_sialome/links/PFAM/anoga_Sal_amy-PFAM.txt","Alpha-amylase")</f>
        <v>Alpha-amylase</v>
      </c>
      <c r="BF60" t="str">
        <f>HYPERLINK("http://pfam.sanger.ac.uk/family?acc=PF00128","3E-018")</f>
        <v>3E-018</v>
      </c>
      <c r="BG60" s="2" t="str">
        <f>HYPERLINK("http://exon.niaid.nih.gov/transcriptome/Anopheles_sialome/links/SMART/anoga_Sal_amy-SMART.txt","Aamy")</f>
        <v>Aamy</v>
      </c>
      <c r="BH60" t="str">
        <f>HYPERLINK("http://smart.embl-heidelberg.de/smart/do_annotation.pl?DOMAIN=Aamy&amp;BLAST=DUMMY","3E-025")</f>
        <v>3E-025</v>
      </c>
      <c r="BI60" t="s">
        <v>128</v>
      </c>
      <c r="BJ60" s="2" t="s">
        <v>128</v>
      </c>
      <c r="BK60" t="s">
        <v>1519</v>
      </c>
      <c r="BL60">
        <f>HYPERLINK("http://exon.niaid.nih.gov/transcriptome/Anopheles_sialome/links/cluster-b/anopheline-sialome-cds-pep-larger-orf25-50SimCLU15.txt", 15)</f>
        <v>15</v>
      </c>
      <c r="BM60">
        <f>HYPERLINK("http://exon.niaid.nih.gov/transcriptome/Anopheles_sialome/links/cluster-b/anopheline-sialome-cds-pep-larger-orf25-50SimCLTL15.txt", 17)</f>
        <v>17</v>
      </c>
      <c r="BN60">
        <f>HYPERLINK("http://exon.niaid.nih.gov/transcriptome/Anopheles_sialome/links/cluster-b/anopheline-sialome-cds-pep-larger-orf30-50SimCLU15.txt", 15)</f>
        <v>15</v>
      </c>
      <c r="BO60">
        <f>HYPERLINK("http://exon.niaid.nih.gov/transcriptome/Anopheles_sialome/links/cluster-b/anopheline-sialome-cds-pep-larger-orf30-50SimCLTL15.txt", 17)</f>
        <v>17</v>
      </c>
      <c r="BP60">
        <f>HYPERLINK("http://exon.niaid.nih.gov/transcriptome/Anopheles_sialome/links/cluster-b/anopheline-sialome-cds-pep-larger-orf35-50SimCLU17.txt", 17)</f>
        <v>17</v>
      </c>
      <c r="BQ60">
        <f>HYPERLINK("http://exon.niaid.nih.gov/transcriptome/Anopheles_sialome/links/cluster-b/anopheline-sialome-cds-pep-larger-orf35-50SimCLTL17.txt", 17)</f>
        <v>17</v>
      </c>
      <c r="BR60">
        <f>HYPERLINK("http://exon.niaid.nih.gov/transcriptome/Anopheles_sialome/links/cluster-b/anopheline-sialome-cds-pep-larger-orf40-50SimCLU21.txt", 21)</f>
        <v>21</v>
      </c>
      <c r="BS60">
        <f>HYPERLINK("http://exon.niaid.nih.gov/transcriptome/Anopheles_sialome/links/cluster-b/anopheline-sialome-cds-pep-larger-orf40-50SimCLTL21.txt", 17)</f>
        <v>17</v>
      </c>
      <c r="BT60">
        <f>HYPERLINK("http://exon.niaid.nih.gov/transcriptome/Anopheles_sialome/links/cluster-b/anopheline-sialome-cds-pep-larger-orf45-50SimCLU25.txt", 25)</f>
        <v>25</v>
      </c>
      <c r="BU60">
        <f>HYPERLINK("http://exon.niaid.nih.gov/transcriptome/Anopheles_sialome/links/cluster-b/anopheline-sialome-cds-pep-larger-orf45-50SimCLTL25.txt", 17)</f>
        <v>17</v>
      </c>
      <c r="BV60">
        <f>HYPERLINK("http://exon.niaid.nih.gov/transcriptome/Anopheles_sialome/links/cluster-b/anopheline-sialome-cds-pep-larger-orf50-50SimCLU24.txt", 24)</f>
        <v>24</v>
      </c>
      <c r="BW60">
        <f>HYPERLINK("http://exon.niaid.nih.gov/transcriptome/Anopheles_sialome/links/cluster-b/anopheline-sialome-cds-pep-larger-orf50-50SimCLTL24.txt", 17)</f>
        <v>17</v>
      </c>
      <c r="BX60">
        <f>HYPERLINK("http://exon.niaid.nih.gov/transcriptome/Anopheles_sialome/links/cluster-b/anopheline-sialome-cds-pep-larger-orf55-50SimCLU24.txt", 24)</f>
        <v>24</v>
      </c>
      <c r="BY60">
        <f>HYPERLINK("http://exon.niaid.nih.gov/transcriptome/Anopheles_sialome/links/cluster-b/anopheline-sialome-cds-pep-larger-orf55-50SimCLTL24.txt", 17)</f>
        <v>17</v>
      </c>
      <c r="BZ60">
        <f>HYPERLINK("http://exon.niaid.nih.gov/transcriptome/Anopheles_sialome/links/cluster-b/anopheline-sialome-cds-pep-larger-orf60-50SimCLU20.txt", 20)</f>
        <v>20</v>
      </c>
      <c r="CA60">
        <f>HYPERLINK("http://exon.niaid.nih.gov/transcriptome/Anopheles_sialome/links/cluster-b/anopheline-sialome-cds-pep-larger-orf60-50SimCLTL20.txt", 17)</f>
        <v>17</v>
      </c>
      <c r="CB60">
        <f>HYPERLINK("http://exon.niaid.nih.gov/transcriptome/Anopheles_sialome/links/cluster-b/anopheline-sialome-cds-pep-larger-orf65-50SimCLU18.txt", 18)</f>
        <v>18</v>
      </c>
      <c r="CC60">
        <f>HYPERLINK("http://exon.niaid.nih.gov/transcriptome/Anopheles_sialome/links/cluster-b/anopheline-sialome-cds-pep-larger-orf65-50SimCLTL18.txt", 17)</f>
        <v>17</v>
      </c>
      <c r="CD60">
        <f>HYPERLINK("http://exon.niaid.nih.gov/transcriptome/Anopheles_sialome/links/cluster-b/anopheline-sialome-cds-pep-larger-orf70-50SimCLU34.txt", 34)</f>
        <v>34</v>
      </c>
      <c r="CE60">
        <f>HYPERLINK("http://exon.niaid.nih.gov/transcriptome/Anopheles_sialome/links/cluster-b/anopheline-sialome-cds-pep-larger-orf70-50SimCLTL34.txt", 13)</f>
        <v>13</v>
      </c>
      <c r="CF60">
        <f>HYPERLINK("http://exon.niaid.nih.gov/transcriptome/Anopheles_sialome/links/cluster-b/anopheline-sialome-cds-pep-larger-orf75-50SimCLU44.txt", 44)</f>
        <v>44</v>
      </c>
      <c r="CG60">
        <f>HYPERLINK("http://exon.niaid.nih.gov/transcriptome/Anopheles_sialome/links/cluster-b/anopheline-sialome-cds-pep-larger-orf75-50SimCLTL44.txt", 6)</f>
        <v>6</v>
      </c>
      <c r="CH60">
        <f>HYPERLINK("http://exon.niaid.nih.gov/transcriptome/Anopheles_sialome/links/cluster-b/anopheline-sialome-cds-pep-larger-orf80-50SimCLU42.txt", 42)</f>
        <v>42</v>
      </c>
      <c r="CI60">
        <f>HYPERLINK("http://exon.niaid.nih.gov/transcriptome/Anopheles_sialome/links/cluster-b/anopheline-sialome-cds-pep-larger-orf80-50SimCLTL42.txt", 6)</f>
        <v>6</v>
      </c>
      <c r="CJ60">
        <f>HYPERLINK("http://exon.niaid.nih.gov/transcriptome/Anopheles_sialome/links/cluster-b/anopheline-sialome-cds-pep-larger-orf85-50SimCLU39.txt", 39)</f>
        <v>39</v>
      </c>
      <c r="CK60">
        <f>HYPERLINK("http://exon.niaid.nih.gov/transcriptome/Anopheles_sialome/links/cluster-b/anopheline-sialome-cds-pep-larger-orf85-50SimCLTL39.txt", 6)</f>
        <v>6</v>
      </c>
      <c r="CL60">
        <f>HYPERLINK("http://exon.niaid.nih.gov/transcriptome/Anopheles_sialome/links/cluster-b/anopheline-sialome-cds-pep-larger-orf90-50SimCLU31.txt", 31)</f>
        <v>31</v>
      </c>
      <c r="CM60">
        <f>HYPERLINK("http://exon.niaid.nih.gov/transcriptome/Anopheles_sialome/links/cluster-b/anopheline-sialome-cds-pep-larger-orf90-50SimCLTL31.txt", 6)</f>
        <v>6</v>
      </c>
      <c r="CN60">
        <f>HYPERLINK("http://exon.niaid.nih.gov/transcriptome/Anopheles_sialome/links/cluster-b/anopheline-sialome-cds-pep-larger-orf95-50SimCLU20.txt", 20)</f>
        <v>20</v>
      </c>
      <c r="CO60">
        <f>HYPERLINK("http://exon.niaid.nih.gov/transcriptome/Anopheles_sialome/links/cluster-b/anopheline-sialome-cds-pep-larger-orf95-50SimCLTL20.txt", 6)</f>
        <v>6</v>
      </c>
    </row>
    <row r="61" spans="1:93">
      <c r="A61" s="2" t="str">
        <f>HYPERLINK("http://exon.niaid.nih.gov/transcriptome/Anopheles_sialome/links/cds/anocol_Sal_amy-cds.txt","anocol_Sal_amy")</f>
        <v>anocol_Sal_amy</v>
      </c>
      <c r="B61">
        <v>2643</v>
      </c>
      <c r="C61" t="s">
        <v>319</v>
      </c>
      <c r="D61" t="s">
        <v>7</v>
      </c>
      <c r="E61" t="s">
        <v>5</v>
      </c>
      <c r="F61" t="s">
        <v>1</v>
      </c>
      <c r="G61" t="str">
        <f>HYPERLINK("http://exon.niaid.nih.gov/transcriptome/Anopheles_sialome/links/pep/anocol_Sal_amy-pep.txt","anocol_Sal_amy")</f>
        <v>anocol_Sal_amy</v>
      </c>
      <c r="H61">
        <v>880</v>
      </c>
      <c r="I61">
        <v>2</v>
      </c>
      <c r="J61" s="3" t="str">
        <f>HYPERLINK("http://exon.niaid.nih.gov/transcriptome/Anopheles_sialome/links/Sigp/anocol_Sal_amy-SigP.txt","SIG")</f>
        <v>SIG</v>
      </c>
      <c r="K61" t="s">
        <v>715</v>
      </c>
      <c r="L61">
        <v>94.706000000000003</v>
      </c>
      <c r="M61">
        <v>5.66</v>
      </c>
      <c r="N61">
        <v>92.150999999999996</v>
      </c>
      <c r="O61">
        <v>5.49</v>
      </c>
      <c r="P61" t="s">
        <v>1522</v>
      </c>
      <c r="Q61" s="3">
        <v>0</v>
      </c>
      <c r="R61" t="s">
        <v>128</v>
      </c>
      <c r="S61" t="s">
        <v>128</v>
      </c>
      <c r="T61" t="s">
        <v>128</v>
      </c>
      <c r="U61" t="s">
        <v>128</v>
      </c>
      <c r="V61" t="s">
        <v>128</v>
      </c>
      <c r="W61" s="3" t="str">
        <f>HYPERLINK("http://exon.niaid.nih.gov/transcriptome/Anopheles_sialome/links/netoglyc/anocol_Sal_amy-netoglyc.txt","3")</f>
        <v>3</v>
      </c>
      <c r="X61">
        <v>16.8</v>
      </c>
      <c r="Y61">
        <v>8.5</v>
      </c>
      <c r="Z61">
        <v>6.7</v>
      </c>
      <c r="AA61" t="s">
        <v>654</v>
      </c>
      <c r="AB61" t="s">
        <v>128</v>
      </c>
      <c r="AC61" s="2" t="str">
        <f>HYPERLINK("http://exon.niaid.nih.gov/transcriptome/Anopheles_sialome/links/DIPTERA/anocol_Sal_amy-DIPTERA.txt","AGAP006371-PA")</f>
        <v>AGAP006371-PA</v>
      </c>
      <c r="AD61" t="str">
        <f t="shared" si="20"/>
        <v>0.0</v>
      </c>
      <c r="AE61" t="str">
        <f t="shared" si="21"/>
        <v>gi|157016191</v>
      </c>
      <c r="AF61">
        <v>97</v>
      </c>
      <c r="AG61">
        <v>98</v>
      </c>
      <c r="AH61">
        <v>100</v>
      </c>
      <c r="AI61" t="s">
        <v>2285</v>
      </c>
      <c r="AJ61" s="2" t="str">
        <f>HYPERLINK("http://exon.niaid.nih.gov/transcriptome/Anopheles_sialome/links/CULICOMORPHA/anocol_Sal_amy-CULICOMORPHA.txt","AGAP006371-PA")</f>
        <v>AGAP006371-PA</v>
      </c>
      <c r="AK61" t="str">
        <f t="shared" si="22"/>
        <v>0.0</v>
      </c>
      <c r="AL61" t="str">
        <f t="shared" si="23"/>
        <v>gi|157016191</v>
      </c>
      <c r="AM61">
        <v>97</v>
      </c>
      <c r="AN61">
        <v>98</v>
      </c>
      <c r="AO61">
        <v>100</v>
      </c>
      <c r="AP61" t="s">
        <v>2285</v>
      </c>
      <c r="AQ61" s="2" t="str">
        <f>HYPERLINK("http://exon.niaid.nih.gov/transcriptome/Anopheles_sialome/links/NR-LIGHT/anocol_Sal_amy-NR-LIGHT.txt","AGAP006371-PA")</f>
        <v>AGAP006371-PA</v>
      </c>
      <c r="AR61" t="str">
        <f t="shared" si="24"/>
        <v>0.0</v>
      </c>
      <c r="AS61" t="str">
        <f t="shared" si="25"/>
        <v>gi|158295760</v>
      </c>
      <c r="AT61">
        <v>97</v>
      </c>
      <c r="AU61">
        <v>98</v>
      </c>
      <c r="AV61">
        <v>100</v>
      </c>
      <c r="AW61" t="s">
        <v>2285</v>
      </c>
      <c r="AX61" s="2" t="str">
        <f>HYPERLINK("http://exon.niaid.nih.gov/transcriptome/Anopheles_sialome/links/CDD/anocol_Sal_amy-CDD.txt","AmyAc_bac_euk_A")</f>
        <v>AmyAc_bac_euk_A</v>
      </c>
      <c r="AY61" t="str">
        <f>HYPERLINK("http://www.ncbi.nlm.nih.gov/Structure/cdd/cddsrv.cgi?uid=cd11317&amp;version=v4.0","1E-151")</f>
        <v>1E-151</v>
      </c>
      <c r="AZ61" t="s">
        <v>2755</v>
      </c>
      <c r="BA61" s="2" t="str">
        <f>HYPERLINK("http://exon.niaid.nih.gov/transcriptome/Anopheles_sialome/links/KOG/anocol_Sal_amy-KOG.txt","Alpha-amylase")</f>
        <v>Alpha-amylase</v>
      </c>
      <c r="BB61" t="str">
        <f>HYPERLINK("http://www.ncbi.nlm.nih.gov/Structure/cdd/cddsrv.cgi?uid=KOG2212","1E-162")</f>
        <v>1E-162</v>
      </c>
      <c r="BC61" t="s">
        <v>2308</v>
      </c>
      <c r="BD61" t="str">
        <f>HYPERLINK("http://exon.niaid.nih.gov/transcriptome/Anopheles_sialome/links/KOG/anocol_Sal_amy-KOG.txt","KOG2212")</f>
        <v>KOG2212</v>
      </c>
      <c r="BE61" t="str">
        <f>HYPERLINK("http://exon.niaid.nih.gov/transcriptome/Anopheles_sialome/links/PFAM/anocol_Sal_amy-PFAM.txt","Alpha-amylase")</f>
        <v>Alpha-amylase</v>
      </c>
      <c r="BF61" t="str">
        <f>HYPERLINK("http://pfam.sanger.ac.uk/family?acc=PF00128","2E-019")</f>
        <v>2E-019</v>
      </c>
      <c r="BG61" s="2" t="str">
        <f>HYPERLINK("http://exon.niaid.nih.gov/transcriptome/Anopheles_sialome/links/SMART/anocol_Sal_amy-SMART.txt","Aamy")</f>
        <v>Aamy</v>
      </c>
      <c r="BH61" t="str">
        <f>HYPERLINK("http://smart.embl-heidelberg.de/smart/do_annotation.pl?DOMAIN=Aamy&amp;BLAST=DUMMY","1E-025")</f>
        <v>1E-025</v>
      </c>
      <c r="BI61" t="s">
        <v>128</v>
      </c>
      <c r="BJ61" s="2" t="s">
        <v>128</v>
      </c>
      <c r="BK61" t="s">
        <v>1521</v>
      </c>
      <c r="BL61">
        <f>HYPERLINK("http://exon.niaid.nih.gov/transcriptome/Anopheles_sialome/links/cluster-b/anopheline-sialome-cds-pep-larger-orf25-50SimCLU15.txt", 15)</f>
        <v>15</v>
      </c>
      <c r="BM61">
        <f>HYPERLINK("http://exon.niaid.nih.gov/transcriptome/Anopheles_sialome/links/cluster-b/anopheline-sialome-cds-pep-larger-orf25-50SimCLTL15.txt", 17)</f>
        <v>17</v>
      </c>
      <c r="BN61">
        <f>HYPERLINK("http://exon.niaid.nih.gov/transcriptome/Anopheles_sialome/links/cluster-b/anopheline-sialome-cds-pep-larger-orf30-50SimCLU15.txt", 15)</f>
        <v>15</v>
      </c>
      <c r="BO61">
        <f>HYPERLINK("http://exon.niaid.nih.gov/transcriptome/Anopheles_sialome/links/cluster-b/anopheline-sialome-cds-pep-larger-orf30-50SimCLTL15.txt", 17)</f>
        <v>17</v>
      </c>
      <c r="BP61">
        <f>HYPERLINK("http://exon.niaid.nih.gov/transcriptome/Anopheles_sialome/links/cluster-b/anopheline-sialome-cds-pep-larger-orf35-50SimCLU17.txt", 17)</f>
        <v>17</v>
      </c>
      <c r="BQ61">
        <f>HYPERLINK("http://exon.niaid.nih.gov/transcriptome/Anopheles_sialome/links/cluster-b/anopheline-sialome-cds-pep-larger-orf35-50SimCLTL17.txt", 17)</f>
        <v>17</v>
      </c>
      <c r="BR61">
        <f>HYPERLINK("http://exon.niaid.nih.gov/transcriptome/Anopheles_sialome/links/cluster-b/anopheline-sialome-cds-pep-larger-orf40-50SimCLU21.txt", 21)</f>
        <v>21</v>
      </c>
      <c r="BS61">
        <f>HYPERLINK("http://exon.niaid.nih.gov/transcriptome/Anopheles_sialome/links/cluster-b/anopheline-sialome-cds-pep-larger-orf40-50SimCLTL21.txt", 17)</f>
        <v>17</v>
      </c>
      <c r="BT61">
        <f>HYPERLINK("http://exon.niaid.nih.gov/transcriptome/Anopheles_sialome/links/cluster-b/anopheline-sialome-cds-pep-larger-orf45-50SimCLU25.txt", 25)</f>
        <v>25</v>
      </c>
      <c r="BU61">
        <f>HYPERLINK("http://exon.niaid.nih.gov/transcriptome/Anopheles_sialome/links/cluster-b/anopheline-sialome-cds-pep-larger-orf45-50SimCLTL25.txt", 17)</f>
        <v>17</v>
      </c>
      <c r="BV61">
        <f>HYPERLINK("http://exon.niaid.nih.gov/transcriptome/Anopheles_sialome/links/cluster-b/anopheline-sialome-cds-pep-larger-orf50-50SimCLU24.txt", 24)</f>
        <v>24</v>
      </c>
      <c r="BW61">
        <f>HYPERLINK("http://exon.niaid.nih.gov/transcriptome/Anopheles_sialome/links/cluster-b/anopheline-sialome-cds-pep-larger-orf50-50SimCLTL24.txt", 17)</f>
        <v>17</v>
      </c>
      <c r="BX61">
        <f>HYPERLINK("http://exon.niaid.nih.gov/transcriptome/Anopheles_sialome/links/cluster-b/anopheline-sialome-cds-pep-larger-orf55-50SimCLU24.txt", 24)</f>
        <v>24</v>
      </c>
      <c r="BY61">
        <f>HYPERLINK("http://exon.niaid.nih.gov/transcriptome/Anopheles_sialome/links/cluster-b/anopheline-sialome-cds-pep-larger-orf55-50SimCLTL24.txt", 17)</f>
        <v>17</v>
      </c>
      <c r="BZ61">
        <f>HYPERLINK("http://exon.niaid.nih.gov/transcriptome/Anopheles_sialome/links/cluster-b/anopheline-sialome-cds-pep-larger-orf60-50SimCLU20.txt", 20)</f>
        <v>20</v>
      </c>
      <c r="CA61">
        <f>HYPERLINK("http://exon.niaid.nih.gov/transcriptome/Anopheles_sialome/links/cluster-b/anopheline-sialome-cds-pep-larger-orf60-50SimCLTL20.txt", 17)</f>
        <v>17</v>
      </c>
      <c r="CB61">
        <f>HYPERLINK("http://exon.niaid.nih.gov/transcriptome/Anopheles_sialome/links/cluster-b/anopheline-sialome-cds-pep-larger-orf65-50SimCLU18.txt", 18)</f>
        <v>18</v>
      </c>
      <c r="CC61">
        <f>HYPERLINK("http://exon.niaid.nih.gov/transcriptome/Anopheles_sialome/links/cluster-b/anopheline-sialome-cds-pep-larger-orf65-50SimCLTL18.txt", 17)</f>
        <v>17</v>
      </c>
      <c r="CD61">
        <f>HYPERLINK("http://exon.niaid.nih.gov/transcriptome/Anopheles_sialome/links/cluster-b/anopheline-sialome-cds-pep-larger-orf70-50SimCLU34.txt", 34)</f>
        <v>34</v>
      </c>
      <c r="CE61">
        <f>HYPERLINK("http://exon.niaid.nih.gov/transcriptome/Anopheles_sialome/links/cluster-b/anopheline-sialome-cds-pep-larger-orf70-50SimCLTL34.txt", 13)</f>
        <v>13</v>
      </c>
      <c r="CF61">
        <f>HYPERLINK("http://exon.niaid.nih.gov/transcriptome/Anopheles_sialome/links/cluster-b/anopheline-sialome-cds-pep-larger-orf75-50SimCLU44.txt", 44)</f>
        <v>44</v>
      </c>
      <c r="CG61">
        <f>HYPERLINK("http://exon.niaid.nih.gov/transcriptome/Anopheles_sialome/links/cluster-b/anopheline-sialome-cds-pep-larger-orf75-50SimCLTL44.txt", 6)</f>
        <v>6</v>
      </c>
      <c r="CH61">
        <f>HYPERLINK("http://exon.niaid.nih.gov/transcriptome/Anopheles_sialome/links/cluster-b/anopheline-sialome-cds-pep-larger-orf80-50SimCLU42.txt", 42)</f>
        <v>42</v>
      </c>
      <c r="CI61">
        <f>HYPERLINK("http://exon.niaid.nih.gov/transcriptome/Anopheles_sialome/links/cluster-b/anopheline-sialome-cds-pep-larger-orf80-50SimCLTL42.txt", 6)</f>
        <v>6</v>
      </c>
      <c r="CJ61">
        <f>HYPERLINK("http://exon.niaid.nih.gov/transcriptome/Anopheles_sialome/links/cluster-b/anopheline-sialome-cds-pep-larger-orf85-50SimCLU39.txt", 39)</f>
        <v>39</v>
      </c>
      <c r="CK61">
        <f>HYPERLINK("http://exon.niaid.nih.gov/transcriptome/Anopheles_sialome/links/cluster-b/anopheline-sialome-cds-pep-larger-orf85-50SimCLTL39.txt", 6)</f>
        <v>6</v>
      </c>
      <c r="CL61">
        <f>HYPERLINK("http://exon.niaid.nih.gov/transcriptome/Anopheles_sialome/links/cluster-b/anopheline-sialome-cds-pep-larger-orf90-50SimCLU31.txt", 31)</f>
        <v>31</v>
      </c>
      <c r="CM61">
        <f>HYPERLINK("http://exon.niaid.nih.gov/transcriptome/Anopheles_sialome/links/cluster-b/anopheline-sialome-cds-pep-larger-orf90-50SimCLTL31.txt", 6)</f>
        <v>6</v>
      </c>
      <c r="CN61">
        <f>HYPERLINK("http://exon.niaid.nih.gov/transcriptome/Anopheles_sialome/links/cluster-b/anopheline-sialome-cds-pep-larger-orf95-50SimCLU20.txt", 20)</f>
        <v>20</v>
      </c>
      <c r="CO61">
        <f>HYPERLINK("http://exon.niaid.nih.gov/transcriptome/Anopheles_sialome/links/cluster-b/anopheline-sialome-cds-pep-larger-orf95-50SimCLTL20.txt", 6)</f>
        <v>6</v>
      </c>
    </row>
    <row r="62" spans="1:93">
      <c r="A62" s="2" t="str">
        <f>HYPERLINK("http://exon.niaid.nih.gov/transcriptome/Anopheles_sialome/links/cds/anoara_Sal_amy-cds.txt","anoara_Sal_amy")</f>
        <v>anoara_Sal_amy</v>
      </c>
      <c r="B62">
        <v>2637</v>
      </c>
      <c r="C62" t="s">
        <v>320</v>
      </c>
      <c r="D62" t="s">
        <v>7</v>
      </c>
      <c r="E62" t="s">
        <v>5</v>
      </c>
      <c r="F62" t="s">
        <v>1</v>
      </c>
      <c r="G62" t="str">
        <f>HYPERLINK("http://exon.niaid.nih.gov/transcriptome/Anopheles_sialome/links/pep/anoara_Sal_amy-pep.txt","anoara_Sal_amy")</f>
        <v>anoara_Sal_amy</v>
      </c>
      <c r="H62">
        <v>878</v>
      </c>
      <c r="I62">
        <v>2</v>
      </c>
      <c r="J62" s="3" t="str">
        <f>HYPERLINK("http://exon.niaid.nih.gov/transcriptome/Anopheles_sialome/links/Sigp/anoara_Sal_amy-SigP.txt","SIG")</f>
        <v>SIG</v>
      </c>
      <c r="K62" t="s">
        <v>715</v>
      </c>
      <c r="L62">
        <v>94.450999999999993</v>
      </c>
      <c r="M62">
        <v>5.54</v>
      </c>
      <c r="N62">
        <v>91.879000000000005</v>
      </c>
      <c r="O62">
        <v>5.37</v>
      </c>
      <c r="P62" t="s">
        <v>1524</v>
      </c>
      <c r="Q62" s="3">
        <v>0</v>
      </c>
      <c r="R62" t="s">
        <v>128</v>
      </c>
      <c r="S62" t="s">
        <v>128</v>
      </c>
      <c r="T62" t="s">
        <v>128</v>
      </c>
      <c r="U62" t="s">
        <v>128</v>
      </c>
      <c r="V62" t="s">
        <v>128</v>
      </c>
      <c r="W62" s="3" t="str">
        <f>HYPERLINK("http://exon.niaid.nih.gov/transcriptome/Anopheles_sialome/links/netoglyc/anoara_Sal_amy-netoglyc.txt","1")</f>
        <v>1</v>
      </c>
      <c r="X62">
        <v>17</v>
      </c>
      <c r="Y62">
        <v>8.1999999999999993</v>
      </c>
      <c r="Z62">
        <v>6.8</v>
      </c>
      <c r="AA62" t="s">
        <v>654</v>
      </c>
      <c r="AB62" t="s">
        <v>128</v>
      </c>
      <c r="AC62" s="2" t="str">
        <f>HYPERLINK("http://exon.niaid.nih.gov/transcriptome/Anopheles_sialome/links/DIPTERA/anoara_Sal_amy-DIPTERA.txt","AGAP006371-PA")</f>
        <v>AGAP006371-PA</v>
      </c>
      <c r="AD62" t="str">
        <f t="shared" si="20"/>
        <v>0.0</v>
      </c>
      <c r="AE62" t="str">
        <f t="shared" si="21"/>
        <v>gi|157016191</v>
      </c>
      <c r="AF62">
        <v>97</v>
      </c>
      <c r="AG62">
        <v>98</v>
      </c>
      <c r="AH62">
        <v>100</v>
      </c>
      <c r="AI62" t="s">
        <v>2285</v>
      </c>
      <c r="AJ62" s="2" t="str">
        <f>HYPERLINK("http://exon.niaid.nih.gov/transcriptome/Anopheles_sialome/links/CULICOMORPHA/anoara_Sal_amy-CULICOMORPHA.txt","AGAP006371-PA")</f>
        <v>AGAP006371-PA</v>
      </c>
      <c r="AK62" t="str">
        <f t="shared" si="22"/>
        <v>0.0</v>
      </c>
      <c r="AL62" t="str">
        <f t="shared" si="23"/>
        <v>gi|157016191</v>
      </c>
      <c r="AM62">
        <v>97</v>
      </c>
      <c r="AN62">
        <v>98</v>
      </c>
      <c r="AO62">
        <v>100</v>
      </c>
      <c r="AP62" t="s">
        <v>2285</v>
      </c>
      <c r="AQ62" s="2" t="str">
        <f>HYPERLINK("http://exon.niaid.nih.gov/transcriptome/Anopheles_sialome/links/NR-LIGHT/anoara_Sal_amy-NR-LIGHT.txt","AGAP006371-PA")</f>
        <v>AGAP006371-PA</v>
      </c>
      <c r="AR62" t="str">
        <f t="shared" si="24"/>
        <v>0.0</v>
      </c>
      <c r="AS62" t="str">
        <f t="shared" si="25"/>
        <v>gi|158295760</v>
      </c>
      <c r="AT62">
        <v>97</v>
      </c>
      <c r="AU62">
        <v>98</v>
      </c>
      <c r="AV62">
        <v>100</v>
      </c>
      <c r="AW62" t="s">
        <v>2285</v>
      </c>
      <c r="AX62" s="2" t="str">
        <f>HYPERLINK("http://exon.niaid.nih.gov/transcriptome/Anopheles_sialome/links/CDD/anoara_Sal_amy-CDD.txt","AmyAc_bac_euk_A")</f>
        <v>AmyAc_bac_euk_A</v>
      </c>
      <c r="AY62" t="str">
        <f>HYPERLINK("http://www.ncbi.nlm.nih.gov/Structure/cdd/cddsrv.cgi?uid=cd11317&amp;version=v4.0","1E-150")</f>
        <v>1E-150</v>
      </c>
      <c r="AZ62" t="s">
        <v>2756</v>
      </c>
      <c r="BA62" s="2" t="str">
        <f>HYPERLINK("http://exon.niaid.nih.gov/transcriptome/Anopheles_sialome/links/KOG/anoara_Sal_amy-KOG.txt","Alpha-amylase")</f>
        <v>Alpha-amylase</v>
      </c>
      <c r="BB62" t="str">
        <f>HYPERLINK("http://www.ncbi.nlm.nih.gov/Structure/cdd/cddsrv.cgi?uid=KOG2212","1E-161")</f>
        <v>1E-161</v>
      </c>
      <c r="BC62" t="s">
        <v>2308</v>
      </c>
      <c r="BD62" t="str">
        <f>HYPERLINK("http://exon.niaid.nih.gov/transcriptome/Anopheles_sialome/links/KOG/anoara_Sal_amy-KOG.txt","KOG2212")</f>
        <v>KOG2212</v>
      </c>
      <c r="BE62" t="str">
        <f>HYPERLINK("http://exon.niaid.nih.gov/transcriptome/Anopheles_sialome/links/PFAM/anoara_Sal_amy-PFAM.txt","Alpha-amylase")</f>
        <v>Alpha-amylase</v>
      </c>
      <c r="BF62" t="str">
        <f>HYPERLINK("http://pfam.sanger.ac.uk/family?acc=PF00128","6E-020")</f>
        <v>6E-020</v>
      </c>
      <c r="BG62" s="2" t="str">
        <f>HYPERLINK("http://exon.niaid.nih.gov/transcriptome/Anopheles_sialome/links/SMART/anoara_Sal_amy-SMART.txt","Aamy")</f>
        <v>Aamy</v>
      </c>
      <c r="BH62" t="str">
        <f>HYPERLINK("http://smart.embl-heidelberg.de/smart/do_annotation.pl?DOMAIN=Aamy&amp;BLAST=DUMMY","1E-025")</f>
        <v>1E-025</v>
      </c>
      <c r="BI62" t="s">
        <v>128</v>
      </c>
      <c r="BJ62" s="2" t="s">
        <v>128</v>
      </c>
      <c r="BK62" t="s">
        <v>1523</v>
      </c>
      <c r="BL62">
        <f>HYPERLINK("http://exon.niaid.nih.gov/transcriptome/Anopheles_sialome/links/cluster-b/anopheline-sialome-cds-pep-larger-orf25-50SimCLU15.txt", 15)</f>
        <v>15</v>
      </c>
      <c r="BM62">
        <f>HYPERLINK("http://exon.niaid.nih.gov/transcriptome/Anopheles_sialome/links/cluster-b/anopheline-sialome-cds-pep-larger-orf25-50SimCLTL15.txt", 17)</f>
        <v>17</v>
      </c>
      <c r="BN62">
        <f>HYPERLINK("http://exon.niaid.nih.gov/transcriptome/Anopheles_sialome/links/cluster-b/anopheline-sialome-cds-pep-larger-orf30-50SimCLU15.txt", 15)</f>
        <v>15</v>
      </c>
      <c r="BO62">
        <f>HYPERLINK("http://exon.niaid.nih.gov/transcriptome/Anopheles_sialome/links/cluster-b/anopheline-sialome-cds-pep-larger-orf30-50SimCLTL15.txt", 17)</f>
        <v>17</v>
      </c>
      <c r="BP62">
        <f>HYPERLINK("http://exon.niaid.nih.gov/transcriptome/Anopheles_sialome/links/cluster-b/anopheline-sialome-cds-pep-larger-orf35-50SimCLU17.txt", 17)</f>
        <v>17</v>
      </c>
      <c r="BQ62">
        <f>HYPERLINK("http://exon.niaid.nih.gov/transcriptome/Anopheles_sialome/links/cluster-b/anopheline-sialome-cds-pep-larger-orf35-50SimCLTL17.txt", 17)</f>
        <v>17</v>
      </c>
      <c r="BR62">
        <f>HYPERLINK("http://exon.niaid.nih.gov/transcriptome/Anopheles_sialome/links/cluster-b/anopheline-sialome-cds-pep-larger-orf40-50SimCLU21.txt", 21)</f>
        <v>21</v>
      </c>
      <c r="BS62">
        <f>HYPERLINK("http://exon.niaid.nih.gov/transcriptome/Anopheles_sialome/links/cluster-b/anopheline-sialome-cds-pep-larger-orf40-50SimCLTL21.txt", 17)</f>
        <v>17</v>
      </c>
      <c r="BT62">
        <f>HYPERLINK("http://exon.niaid.nih.gov/transcriptome/Anopheles_sialome/links/cluster-b/anopheline-sialome-cds-pep-larger-orf45-50SimCLU25.txt", 25)</f>
        <v>25</v>
      </c>
      <c r="BU62">
        <f>HYPERLINK("http://exon.niaid.nih.gov/transcriptome/Anopheles_sialome/links/cluster-b/anopheline-sialome-cds-pep-larger-orf45-50SimCLTL25.txt", 17)</f>
        <v>17</v>
      </c>
      <c r="BV62">
        <f>HYPERLINK("http://exon.niaid.nih.gov/transcriptome/Anopheles_sialome/links/cluster-b/anopheline-sialome-cds-pep-larger-orf50-50SimCLU24.txt", 24)</f>
        <v>24</v>
      </c>
      <c r="BW62">
        <f>HYPERLINK("http://exon.niaid.nih.gov/transcriptome/Anopheles_sialome/links/cluster-b/anopheline-sialome-cds-pep-larger-orf50-50SimCLTL24.txt", 17)</f>
        <v>17</v>
      </c>
      <c r="BX62">
        <f>HYPERLINK("http://exon.niaid.nih.gov/transcriptome/Anopheles_sialome/links/cluster-b/anopheline-sialome-cds-pep-larger-orf55-50SimCLU24.txt", 24)</f>
        <v>24</v>
      </c>
      <c r="BY62">
        <f>HYPERLINK("http://exon.niaid.nih.gov/transcriptome/Anopheles_sialome/links/cluster-b/anopheline-sialome-cds-pep-larger-orf55-50SimCLTL24.txt", 17)</f>
        <v>17</v>
      </c>
      <c r="BZ62">
        <f>HYPERLINK("http://exon.niaid.nih.gov/transcriptome/Anopheles_sialome/links/cluster-b/anopheline-sialome-cds-pep-larger-orf60-50SimCLU20.txt", 20)</f>
        <v>20</v>
      </c>
      <c r="CA62">
        <f>HYPERLINK("http://exon.niaid.nih.gov/transcriptome/Anopheles_sialome/links/cluster-b/anopheline-sialome-cds-pep-larger-orf60-50SimCLTL20.txt", 17)</f>
        <v>17</v>
      </c>
      <c r="CB62">
        <f>HYPERLINK("http://exon.niaid.nih.gov/transcriptome/Anopheles_sialome/links/cluster-b/anopheline-sialome-cds-pep-larger-orf65-50SimCLU18.txt", 18)</f>
        <v>18</v>
      </c>
      <c r="CC62">
        <f>HYPERLINK("http://exon.niaid.nih.gov/transcriptome/Anopheles_sialome/links/cluster-b/anopheline-sialome-cds-pep-larger-orf65-50SimCLTL18.txt", 17)</f>
        <v>17</v>
      </c>
      <c r="CD62">
        <f>HYPERLINK("http://exon.niaid.nih.gov/transcriptome/Anopheles_sialome/links/cluster-b/anopheline-sialome-cds-pep-larger-orf70-50SimCLU34.txt", 34)</f>
        <v>34</v>
      </c>
      <c r="CE62">
        <f>HYPERLINK("http://exon.niaid.nih.gov/transcriptome/Anopheles_sialome/links/cluster-b/anopheline-sialome-cds-pep-larger-orf70-50SimCLTL34.txt", 13)</f>
        <v>13</v>
      </c>
      <c r="CF62">
        <f>HYPERLINK("http://exon.niaid.nih.gov/transcriptome/Anopheles_sialome/links/cluster-b/anopheline-sialome-cds-pep-larger-orf75-50SimCLU44.txt", 44)</f>
        <v>44</v>
      </c>
      <c r="CG62">
        <f>HYPERLINK("http://exon.niaid.nih.gov/transcriptome/Anopheles_sialome/links/cluster-b/anopheline-sialome-cds-pep-larger-orf75-50SimCLTL44.txt", 6)</f>
        <v>6</v>
      </c>
      <c r="CH62">
        <f>HYPERLINK("http://exon.niaid.nih.gov/transcriptome/Anopheles_sialome/links/cluster-b/anopheline-sialome-cds-pep-larger-orf80-50SimCLU42.txt", 42)</f>
        <v>42</v>
      </c>
      <c r="CI62">
        <f>HYPERLINK("http://exon.niaid.nih.gov/transcriptome/Anopheles_sialome/links/cluster-b/anopheline-sialome-cds-pep-larger-orf80-50SimCLTL42.txt", 6)</f>
        <v>6</v>
      </c>
      <c r="CJ62">
        <f>HYPERLINK("http://exon.niaid.nih.gov/transcriptome/Anopheles_sialome/links/cluster-b/anopheline-sialome-cds-pep-larger-orf85-50SimCLU39.txt", 39)</f>
        <v>39</v>
      </c>
      <c r="CK62">
        <f>HYPERLINK("http://exon.niaid.nih.gov/transcriptome/Anopheles_sialome/links/cluster-b/anopheline-sialome-cds-pep-larger-orf85-50SimCLTL39.txt", 6)</f>
        <v>6</v>
      </c>
      <c r="CL62">
        <f>HYPERLINK("http://exon.niaid.nih.gov/transcriptome/Anopheles_sialome/links/cluster-b/anopheline-sialome-cds-pep-larger-orf90-50SimCLU31.txt", 31)</f>
        <v>31</v>
      </c>
      <c r="CM62">
        <f>HYPERLINK("http://exon.niaid.nih.gov/transcriptome/Anopheles_sialome/links/cluster-b/anopheline-sialome-cds-pep-larger-orf90-50SimCLTL31.txt", 6)</f>
        <v>6</v>
      </c>
      <c r="CN62">
        <f>HYPERLINK("http://exon.niaid.nih.gov/transcriptome/Anopheles_sialome/links/cluster-b/anopheline-sialome-cds-pep-larger-orf95-50SimCLU20.txt", 20)</f>
        <v>20</v>
      </c>
      <c r="CO62">
        <f>HYPERLINK("http://exon.niaid.nih.gov/transcriptome/Anopheles_sialome/links/cluster-b/anopheline-sialome-cds-pep-larger-orf95-50SimCLTL20.txt", 6)</f>
        <v>6</v>
      </c>
    </row>
    <row r="63" spans="1:93">
      <c r="A63" s="2" t="str">
        <f>HYPERLINK("http://exon.niaid.nih.gov/transcriptome/Anopheles_sialome/links/cds/anoqua_Sal_amy-cds.txt","anoqua_Sal_amy")</f>
        <v>anoqua_Sal_amy</v>
      </c>
      <c r="B63">
        <v>2628</v>
      </c>
      <c r="C63" t="s">
        <v>321</v>
      </c>
      <c r="D63" t="s">
        <v>7</v>
      </c>
      <c r="E63" t="s">
        <v>5</v>
      </c>
      <c r="F63" t="s">
        <v>1</v>
      </c>
      <c r="G63" t="str">
        <f>HYPERLINK("http://exon.niaid.nih.gov/transcriptome/Anopheles_sialome/links/pep/anoqua_Sal_amy-pep.txt","anoqua_Sal_amy")</f>
        <v>anoqua_Sal_amy</v>
      </c>
      <c r="H63">
        <v>875</v>
      </c>
      <c r="I63">
        <v>2</v>
      </c>
      <c r="J63" s="3" t="str">
        <f>HYPERLINK("http://exon.niaid.nih.gov/transcriptome/Anopheles_sialome/links/Sigp/anoqua_Sal_amy-SigP.txt","SIG")</f>
        <v>SIG</v>
      </c>
      <c r="K63" t="s">
        <v>715</v>
      </c>
      <c r="L63">
        <v>94.432000000000002</v>
      </c>
      <c r="M63">
        <v>5.96</v>
      </c>
      <c r="N63">
        <v>91.834000000000003</v>
      </c>
      <c r="O63">
        <v>5.74</v>
      </c>
      <c r="P63" t="s">
        <v>1526</v>
      </c>
      <c r="Q63" s="3">
        <v>0</v>
      </c>
      <c r="R63" t="s">
        <v>128</v>
      </c>
      <c r="S63" t="s">
        <v>128</v>
      </c>
      <c r="T63" t="s">
        <v>128</v>
      </c>
      <c r="U63" t="s">
        <v>128</v>
      </c>
      <c r="V63" t="s">
        <v>128</v>
      </c>
      <c r="W63" s="3" t="str">
        <f>HYPERLINK("http://exon.niaid.nih.gov/transcriptome/Anopheles_sialome/links/netoglyc/anoqua_Sal_amy-netoglyc.txt","2")</f>
        <v>2</v>
      </c>
      <c r="X63">
        <v>16.8</v>
      </c>
      <c r="Y63">
        <v>8.1999999999999993</v>
      </c>
      <c r="Z63">
        <v>6.9</v>
      </c>
      <c r="AA63" t="s">
        <v>654</v>
      </c>
      <c r="AB63" t="s">
        <v>128</v>
      </c>
      <c r="AC63" s="2" t="str">
        <f>HYPERLINK("http://exon.niaid.nih.gov/transcriptome/Anopheles_sialome/links/DIPTERA/anoqua_Sal_amy-DIPTERA.txt","AGAP006371-PA")</f>
        <v>AGAP006371-PA</v>
      </c>
      <c r="AD63" t="str">
        <f t="shared" si="20"/>
        <v>0.0</v>
      </c>
      <c r="AE63" t="str">
        <f t="shared" si="21"/>
        <v>gi|157016191</v>
      </c>
      <c r="AF63">
        <v>98</v>
      </c>
      <c r="AG63">
        <v>99</v>
      </c>
      <c r="AH63">
        <v>100</v>
      </c>
      <c r="AI63" t="s">
        <v>2285</v>
      </c>
      <c r="AJ63" s="2" t="str">
        <f>HYPERLINK("http://exon.niaid.nih.gov/transcriptome/Anopheles_sialome/links/CULICOMORPHA/anoqua_Sal_amy-CULICOMORPHA.txt","AGAP006371-PA")</f>
        <v>AGAP006371-PA</v>
      </c>
      <c r="AK63" t="str">
        <f t="shared" si="22"/>
        <v>0.0</v>
      </c>
      <c r="AL63" t="str">
        <f t="shared" si="23"/>
        <v>gi|157016191</v>
      </c>
      <c r="AM63">
        <v>98</v>
      </c>
      <c r="AN63">
        <v>99</v>
      </c>
      <c r="AO63">
        <v>100</v>
      </c>
      <c r="AP63" t="s">
        <v>2285</v>
      </c>
      <c r="AQ63" s="2" t="str">
        <f>HYPERLINK("http://exon.niaid.nih.gov/transcriptome/Anopheles_sialome/links/NR-LIGHT/anoqua_Sal_amy-NR-LIGHT.txt","AGAP006371-PA")</f>
        <v>AGAP006371-PA</v>
      </c>
      <c r="AR63" t="str">
        <f t="shared" si="24"/>
        <v>0.0</v>
      </c>
      <c r="AS63" t="str">
        <f t="shared" si="25"/>
        <v>gi|158295760</v>
      </c>
      <c r="AT63">
        <v>98</v>
      </c>
      <c r="AU63">
        <v>99</v>
      </c>
      <c r="AV63">
        <v>100</v>
      </c>
      <c r="AW63" t="s">
        <v>2285</v>
      </c>
      <c r="AX63" s="2" t="str">
        <f>HYPERLINK("http://exon.niaid.nih.gov/transcriptome/Anopheles_sialome/links/CDD/anoqua_Sal_amy-CDD.txt","AmyAc_bac_euk_A")</f>
        <v>AmyAc_bac_euk_A</v>
      </c>
      <c r="AY63" t="str">
        <f>HYPERLINK("http://www.ncbi.nlm.nih.gov/Structure/cdd/cddsrv.cgi?uid=cd11317&amp;version=v4.0","1E-151")</f>
        <v>1E-151</v>
      </c>
      <c r="AZ63" t="s">
        <v>2757</v>
      </c>
      <c r="BA63" s="2" t="str">
        <f>HYPERLINK("http://exon.niaid.nih.gov/transcriptome/Anopheles_sialome/links/KOG/anoqua_Sal_amy-KOG.txt","Alpha-amylase")</f>
        <v>Alpha-amylase</v>
      </c>
      <c r="BB63" t="str">
        <f>HYPERLINK("http://www.ncbi.nlm.nih.gov/Structure/cdd/cddsrv.cgi?uid=KOG2212","1E-165")</f>
        <v>1E-165</v>
      </c>
      <c r="BC63" t="s">
        <v>2308</v>
      </c>
      <c r="BD63" t="str">
        <f>HYPERLINK("http://exon.niaid.nih.gov/transcriptome/Anopheles_sialome/links/KOG/anoqua_Sal_amy-KOG.txt","KOG2212")</f>
        <v>KOG2212</v>
      </c>
      <c r="BE63" t="str">
        <f>HYPERLINK("http://exon.niaid.nih.gov/transcriptome/Anopheles_sialome/links/PFAM/anoqua_Sal_amy-PFAM.txt","Alpha-amylase")</f>
        <v>Alpha-amylase</v>
      </c>
      <c r="BF63" t="str">
        <f>HYPERLINK("http://pfam.sanger.ac.uk/family?acc=PF00128","4E-018")</f>
        <v>4E-018</v>
      </c>
      <c r="BG63" s="2" t="str">
        <f>HYPERLINK("http://exon.niaid.nih.gov/transcriptome/Anopheles_sialome/links/SMART/anoqua_Sal_amy-SMART.txt","Aamy")</f>
        <v>Aamy</v>
      </c>
      <c r="BH63" t="str">
        <f>HYPERLINK("http://smart.embl-heidelberg.de/smart/do_annotation.pl?DOMAIN=Aamy&amp;BLAST=DUMMY","2E-025")</f>
        <v>2E-025</v>
      </c>
      <c r="BI63" t="s">
        <v>128</v>
      </c>
      <c r="BJ63" s="2" t="s">
        <v>128</v>
      </c>
      <c r="BK63" t="s">
        <v>1525</v>
      </c>
      <c r="BL63">
        <f>HYPERLINK("http://exon.niaid.nih.gov/transcriptome/Anopheles_sialome/links/cluster-b/anopheline-sialome-cds-pep-larger-orf25-50SimCLU15.txt", 15)</f>
        <v>15</v>
      </c>
      <c r="BM63">
        <f>HYPERLINK("http://exon.niaid.nih.gov/transcriptome/Anopheles_sialome/links/cluster-b/anopheline-sialome-cds-pep-larger-orf25-50SimCLTL15.txt", 17)</f>
        <v>17</v>
      </c>
      <c r="BN63">
        <f>HYPERLINK("http://exon.niaid.nih.gov/transcriptome/Anopheles_sialome/links/cluster-b/anopheline-sialome-cds-pep-larger-orf30-50SimCLU15.txt", 15)</f>
        <v>15</v>
      </c>
      <c r="BO63">
        <f>HYPERLINK("http://exon.niaid.nih.gov/transcriptome/Anopheles_sialome/links/cluster-b/anopheline-sialome-cds-pep-larger-orf30-50SimCLTL15.txt", 17)</f>
        <v>17</v>
      </c>
      <c r="BP63">
        <f>HYPERLINK("http://exon.niaid.nih.gov/transcriptome/Anopheles_sialome/links/cluster-b/anopheline-sialome-cds-pep-larger-orf35-50SimCLU17.txt", 17)</f>
        <v>17</v>
      </c>
      <c r="BQ63">
        <f>HYPERLINK("http://exon.niaid.nih.gov/transcriptome/Anopheles_sialome/links/cluster-b/anopheline-sialome-cds-pep-larger-orf35-50SimCLTL17.txt", 17)</f>
        <v>17</v>
      </c>
      <c r="BR63">
        <f>HYPERLINK("http://exon.niaid.nih.gov/transcriptome/Anopheles_sialome/links/cluster-b/anopheline-sialome-cds-pep-larger-orf40-50SimCLU21.txt", 21)</f>
        <v>21</v>
      </c>
      <c r="BS63">
        <f>HYPERLINK("http://exon.niaid.nih.gov/transcriptome/Anopheles_sialome/links/cluster-b/anopheline-sialome-cds-pep-larger-orf40-50SimCLTL21.txt", 17)</f>
        <v>17</v>
      </c>
      <c r="BT63">
        <f>HYPERLINK("http://exon.niaid.nih.gov/transcriptome/Anopheles_sialome/links/cluster-b/anopheline-sialome-cds-pep-larger-orf45-50SimCLU25.txt", 25)</f>
        <v>25</v>
      </c>
      <c r="BU63">
        <f>HYPERLINK("http://exon.niaid.nih.gov/transcriptome/Anopheles_sialome/links/cluster-b/anopheline-sialome-cds-pep-larger-orf45-50SimCLTL25.txt", 17)</f>
        <v>17</v>
      </c>
      <c r="BV63">
        <f>HYPERLINK("http://exon.niaid.nih.gov/transcriptome/Anopheles_sialome/links/cluster-b/anopheline-sialome-cds-pep-larger-orf50-50SimCLU24.txt", 24)</f>
        <v>24</v>
      </c>
      <c r="BW63">
        <f>HYPERLINK("http://exon.niaid.nih.gov/transcriptome/Anopheles_sialome/links/cluster-b/anopheline-sialome-cds-pep-larger-orf50-50SimCLTL24.txt", 17)</f>
        <v>17</v>
      </c>
      <c r="BX63">
        <f>HYPERLINK("http://exon.niaid.nih.gov/transcriptome/Anopheles_sialome/links/cluster-b/anopheline-sialome-cds-pep-larger-orf55-50SimCLU24.txt", 24)</f>
        <v>24</v>
      </c>
      <c r="BY63">
        <f>HYPERLINK("http://exon.niaid.nih.gov/transcriptome/Anopheles_sialome/links/cluster-b/anopheline-sialome-cds-pep-larger-orf55-50SimCLTL24.txt", 17)</f>
        <v>17</v>
      </c>
      <c r="BZ63">
        <f>HYPERLINK("http://exon.niaid.nih.gov/transcriptome/Anopheles_sialome/links/cluster-b/anopheline-sialome-cds-pep-larger-orf60-50SimCLU20.txt", 20)</f>
        <v>20</v>
      </c>
      <c r="CA63">
        <f>HYPERLINK("http://exon.niaid.nih.gov/transcriptome/Anopheles_sialome/links/cluster-b/anopheline-sialome-cds-pep-larger-orf60-50SimCLTL20.txt", 17)</f>
        <v>17</v>
      </c>
      <c r="CB63">
        <f>HYPERLINK("http://exon.niaid.nih.gov/transcriptome/Anopheles_sialome/links/cluster-b/anopheline-sialome-cds-pep-larger-orf65-50SimCLU18.txt", 18)</f>
        <v>18</v>
      </c>
      <c r="CC63">
        <f>HYPERLINK("http://exon.niaid.nih.gov/transcriptome/Anopheles_sialome/links/cluster-b/anopheline-sialome-cds-pep-larger-orf65-50SimCLTL18.txt", 17)</f>
        <v>17</v>
      </c>
      <c r="CD63">
        <f>HYPERLINK("http://exon.niaid.nih.gov/transcriptome/Anopheles_sialome/links/cluster-b/anopheline-sialome-cds-pep-larger-orf70-50SimCLU34.txt", 34)</f>
        <v>34</v>
      </c>
      <c r="CE63">
        <f>HYPERLINK("http://exon.niaid.nih.gov/transcriptome/Anopheles_sialome/links/cluster-b/anopheline-sialome-cds-pep-larger-orf70-50SimCLTL34.txt", 13)</f>
        <v>13</v>
      </c>
      <c r="CF63">
        <f>HYPERLINK("http://exon.niaid.nih.gov/transcriptome/Anopheles_sialome/links/cluster-b/anopheline-sialome-cds-pep-larger-orf75-50SimCLU44.txt", 44)</f>
        <v>44</v>
      </c>
      <c r="CG63">
        <f>HYPERLINK("http://exon.niaid.nih.gov/transcriptome/Anopheles_sialome/links/cluster-b/anopheline-sialome-cds-pep-larger-orf75-50SimCLTL44.txt", 6)</f>
        <v>6</v>
      </c>
      <c r="CH63">
        <f>HYPERLINK("http://exon.niaid.nih.gov/transcriptome/Anopheles_sialome/links/cluster-b/anopheline-sialome-cds-pep-larger-orf80-50SimCLU42.txt", 42)</f>
        <v>42</v>
      </c>
      <c r="CI63">
        <f>HYPERLINK("http://exon.niaid.nih.gov/transcriptome/Anopheles_sialome/links/cluster-b/anopheline-sialome-cds-pep-larger-orf80-50SimCLTL42.txt", 6)</f>
        <v>6</v>
      </c>
      <c r="CJ63">
        <f>HYPERLINK("http://exon.niaid.nih.gov/transcriptome/Anopheles_sialome/links/cluster-b/anopheline-sialome-cds-pep-larger-orf85-50SimCLU39.txt", 39)</f>
        <v>39</v>
      </c>
      <c r="CK63">
        <f>HYPERLINK("http://exon.niaid.nih.gov/transcriptome/Anopheles_sialome/links/cluster-b/anopheline-sialome-cds-pep-larger-orf85-50SimCLTL39.txt", 6)</f>
        <v>6</v>
      </c>
      <c r="CL63">
        <f>HYPERLINK("http://exon.niaid.nih.gov/transcriptome/Anopheles_sialome/links/cluster-b/anopheline-sialome-cds-pep-larger-orf90-50SimCLU31.txt", 31)</f>
        <v>31</v>
      </c>
      <c r="CM63">
        <f>HYPERLINK("http://exon.niaid.nih.gov/transcriptome/Anopheles_sialome/links/cluster-b/anopheline-sialome-cds-pep-larger-orf90-50SimCLTL31.txt", 6)</f>
        <v>6</v>
      </c>
      <c r="CN63">
        <f>HYPERLINK("http://exon.niaid.nih.gov/transcriptome/Anopheles_sialome/links/cluster-b/anopheline-sialome-cds-pep-larger-orf95-50SimCLU20.txt", 20)</f>
        <v>20</v>
      </c>
      <c r="CO63">
        <f>HYPERLINK("http://exon.niaid.nih.gov/transcriptome/Anopheles_sialome/links/cluster-b/anopheline-sialome-cds-pep-larger-orf95-50SimCLTL20.txt", 6)</f>
        <v>6</v>
      </c>
    </row>
    <row r="64" spans="1:93">
      <c r="A64" s="2" t="str">
        <f>HYPERLINK("http://exon.niaid.nih.gov/transcriptome/Anopheles_sialome/links/cds/anomer_Sal_amy-cds.txt","anomer_Sal_amy")</f>
        <v>anomer_Sal_amy</v>
      </c>
      <c r="B64">
        <v>2616</v>
      </c>
      <c r="C64" t="s">
        <v>322</v>
      </c>
      <c r="D64" t="s">
        <v>7</v>
      </c>
      <c r="E64" t="s">
        <v>5</v>
      </c>
      <c r="F64" t="s">
        <v>1</v>
      </c>
      <c r="G64" t="str">
        <f>HYPERLINK("http://exon.niaid.nih.gov/transcriptome/Anopheles_sialome/links/pep/anomer_Sal_amy-pep.txt","anomer_Sal_amy")</f>
        <v>anomer_Sal_amy</v>
      </c>
      <c r="H64">
        <v>871</v>
      </c>
      <c r="I64">
        <v>2</v>
      </c>
      <c r="J64" s="3" t="str">
        <f>HYPERLINK("http://exon.niaid.nih.gov/transcriptome/Anopheles_sialome/links/Sigp/anomer_Sal_amy-SigP.txt","SIG")</f>
        <v>SIG</v>
      </c>
      <c r="K64" t="s">
        <v>715</v>
      </c>
      <c r="L64">
        <v>93.872</v>
      </c>
      <c r="M64">
        <v>6.42</v>
      </c>
      <c r="N64">
        <v>91.272000000000006</v>
      </c>
      <c r="O64">
        <v>6.23</v>
      </c>
      <c r="P64" t="s">
        <v>1528</v>
      </c>
      <c r="Q64" s="3">
        <v>0</v>
      </c>
      <c r="R64" t="s">
        <v>128</v>
      </c>
      <c r="S64" t="s">
        <v>128</v>
      </c>
      <c r="T64" t="s">
        <v>128</v>
      </c>
      <c r="U64" t="s">
        <v>128</v>
      </c>
      <c r="V64" t="s">
        <v>128</v>
      </c>
      <c r="W64" s="3" t="str">
        <f>HYPERLINK("http://exon.niaid.nih.gov/transcriptome/Anopheles_sialome/links/netoglyc/anomer_Sal_amy-netoglyc.txt","2")</f>
        <v>2</v>
      </c>
      <c r="X64">
        <v>16.100000000000001</v>
      </c>
      <c r="Y64">
        <v>8.6999999999999993</v>
      </c>
      <c r="Z64">
        <v>6.5</v>
      </c>
      <c r="AA64" t="s">
        <v>654</v>
      </c>
      <c r="AB64" t="s">
        <v>128</v>
      </c>
      <c r="AC64" s="2" t="str">
        <f>HYPERLINK("http://exon.niaid.nih.gov/transcriptome/Anopheles_sialome/links/DIPTERA/anomer_Sal_amy-DIPTERA.txt","AGAP006371-PA")</f>
        <v>AGAP006371-PA</v>
      </c>
      <c r="AD64" t="str">
        <f t="shared" si="20"/>
        <v>0.0</v>
      </c>
      <c r="AE64" t="str">
        <f t="shared" si="21"/>
        <v>gi|157016191</v>
      </c>
      <c r="AF64">
        <v>96</v>
      </c>
      <c r="AG64">
        <v>97</v>
      </c>
      <c r="AH64">
        <v>100</v>
      </c>
      <c r="AI64" t="s">
        <v>2285</v>
      </c>
      <c r="AJ64" s="2" t="str">
        <f>HYPERLINK("http://exon.niaid.nih.gov/transcriptome/Anopheles_sialome/links/CULICOMORPHA/anomer_Sal_amy-CULICOMORPHA.txt","AGAP006371-PA")</f>
        <v>AGAP006371-PA</v>
      </c>
      <c r="AK64" t="str">
        <f t="shared" si="22"/>
        <v>0.0</v>
      </c>
      <c r="AL64" t="str">
        <f t="shared" si="23"/>
        <v>gi|157016191</v>
      </c>
      <c r="AM64">
        <v>96</v>
      </c>
      <c r="AN64">
        <v>97</v>
      </c>
      <c r="AO64">
        <v>100</v>
      </c>
      <c r="AP64" t="s">
        <v>2285</v>
      </c>
      <c r="AQ64" s="2" t="str">
        <f>HYPERLINK("http://exon.niaid.nih.gov/transcriptome/Anopheles_sialome/links/NR-LIGHT/anomer_Sal_amy-NR-LIGHT.txt","AGAP006371-PA")</f>
        <v>AGAP006371-PA</v>
      </c>
      <c r="AR64" t="str">
        <f t="shared" si="24"/>
        <v>0.0</v>
      </c>
      <c r="AS64" t="str">
        <f t="shared" si="25"/>
        <v>gi|158295760</v>
      </c>
      <c r="AT64">
        <v>96</v>
      </c>
      <c r="AU64">
        <v>97</v>
      </c>
      <c r="AV64">
        <v>100</v>
      </c>
      <c r="AW64" t="s">
        <v>2285</v>
      </c>
      <c r="AX64" s="2" t="str">
        <f>HYPERLINK("http://exon.niaid.nih.gov/transcriptome/Anopheles_sialome/links/CDD/anomer_Sal_amy-CDD.txt","AmyAc_bac_euk_A")</f>
        <v>AmyAc_bac_euk_A</v>
      </c>
      <c r="AY64" t="str">
        <f>HYPERLINK("http://www.ncbi.nlm.nih.gov/Structure/cdd/cddsrv.cgi?uid=cd11317&amp;version=v4.0","1E-150")</f>
        <v>1E-150</v>
      </c>
      <c r="AZ64" t="s">
        <v>2758</v>
      </c>
      <c r="BA64" s="2" t="str">
        <f>HYPERLINK("http://exon.niaid.nih.gov/transcriptome/Anopheles_sialome/links/KOG/anomer_Sal_amy-KOG.txt","Alpha-amylase")</f>
        <v>Alpha-amylase</v>
      </c>
      <c r="BB64" t="str">
        <f>HYPERLINK("http://www.ncbi.nlm.nih.gov/Structure/cdd/cddsrv.cgi?uid=KOG2212","1E-162")</f>
        <v>1E-162</v>
      </c>
      <c r="BC64" t="s">
        <v>2308</v>
      </c>
      <c r="BD64" t="str">
        <f>HYPERLINK("http://exon.niaid.nih.gov/transcriptome/Anopheles_sialome/links/KOG/anomer_Sal_amy-KOG.txt","KOG2212")</f>
        <v>KOG2212</v>
      </c>
      <c r="BE64" t="str">
        <f>HYPERLINK("http://exon.niaid.nih.gov/transcriptome/Anopheles_sialome/links/PFAM/anomer_Sal_amy-PFAM.txt","Alpha-amylase")</f>
        <v>Alpha-amylase</v>
      </c>
      <c r="BF64" t="str">
        <f>HYPERLINK("http://pfam.sanger.ac.uk/family?acc=PF00128","8E-017")</f>
        <v>8E-017</v>
      </c>
      <c r="BG64" s="2" t="str">
        <f>HYPERLINK("http://exon.niaid.nih.gov/transcriptome/Anopheles_sialome/links/SMART/anomer_Sal_amy-SMART.txt","Aamy")</f>
        <v>Aamy</v>
      </c>
      <c r="BH64" t="str">
        <f>HYPERLINK("http://smart.embl-heidelberg.de/smart/do_annotation.pl?DOMAIN=Aamy&amp;BLAST=DUMMY","1E-025")</f>
        <v>1E-025</v>
      </c>
      <c r="BI64" t="s">
        <v>128</v>
      </c>
      <c r="BJ64" s="2" t="s">
        <v>128</v>
      </c>
      <c r="BK64" t="s">
        <v>1527</v>
      </c>
      <c r="BL64">
        <f>HYPERLINK("http://exon.niaid.nih.gov/transcriptome/Anopheles_sialome/links/cluster-b/anopheline-sialome-cds-pep-larger-orf25-50SimCLU15.txt", 15)</f>
        <v>15</v>
      </c>
      <c r="BM64">
        <f>HYPERLINK("http://exon.niaid.nih.gov/transcriptome/Anopheles_sialome/links/cluster-b/anopheline-sialome-cds-pep-larger-orf25-50SimCLTL15.txt", 17)</f>
        <v>17</v>
      </c>
      <c r="BN64">
        <f>HYPERLINK("http://exon.niaid.nih.gov/transcriptome/Anopheles_sialome/links/cluster-b/anopheline-sialome-cds-pep-larger-orf30-50SimCLU15.txt", 15)</f>
        <v>15</v>
      </c>
      <c r="BO64">
        <f>HYPERLINK("http://exon.niaid.nih.gov/transcriptome/Anopheles_sialome/links/cluster-b/anopheline-sialome-cds-pep-larger-orf30-50SimCLTL15.txt", 17)</f>
        <v>17</v>
      </c>
      <c r="BP64">
        <f>HYPERLINK("http://exon.niaid.nih.gov/transcriptome/Anopheles_sialome/links/cluster-b/anopheline-sialome-cds-pep-larger-orf35-50SimCLU17.txt", 17)</f>
        <v>17</v>
      </c>
      <c r="BQ64">
        <f>HYPERLINK("http://exon.niaid.nih.gov/transcriptome/Anopheles_sialome/links/cluster-b/anopheline-sialome-cds-pep-larger-orf35-50SimCLTL17.txt", 17)</f>
        <v>17</v>
      </c>
      <c r="BR64">
        <f>HYPERLINK("http://exon.niaid.nih.gov/transcriptome/Anopheles_sialome/links/cluster-b/anopheline-sialome-cds-pep-larger-orf40-50SimCLU21.txt", 21)</f>
        <v>21</v>
      </c>
      <c r="BS64">
        <f>HYPERLINK("http://exon.niaid.nih.gov/transcriptome/Anopheles_sialome/links/cluster-b/anopheline-sialome-cds-pep-larger-orf40-50SimCLTL21.txt", 17)</f>
        <v>17</v>
      </c>
      <c r="BT64">
        <f>HYPERLINK("http://exon.niaid.nih.gov/transcriptome/Anopheles_sialome/links/cluster-b/anopheline-sialome-cds-pep-larger-orf45-50SimCLU25.txt", 25)</f>
        <v>25</v>
      </c>
      <c r="BU64">
        <f>HYPERLINK("http://exon.niaid.nih.gov/transcriptome/Anopheles_sialome/links/cluster-b/anopheline-sialome-cds-pep-larger-orf45-50SimCLTL25.txt", 17)</f>
        <v>17</v>
      </c>
      <c r="BV64">
        <f>HYPERLINK("http://exon.niaid.nih.gov/transcriptome/Anopheles_sialome/links/cluster-b/anopheline-sialome-cds-pep-larger-orf50-50SimCLU24.txt", 24)</f>
        <v>24</v>
      </c>
      <c r="BW64">
        <f>HYPERLINK("http://exon.niaid.nih.gov/transcriptome/Anopheles_sialome/links/cluster-b/anopheline-sialome-cds-pep-larger-orf50-50SimCLTL24.txt", 17)</f>
        <v>17</v>
      </c>
      <c r="BX64">
        <f>HYPERLINK("http://exon.niaid.nih.gov/transcriptome/Anopheles_sialome/links/cluster-b/anopheline-sialome-cds-pep-larger-orf55-50SimCLU24.txt", 24)</f>
        <v>24</v>
      </c>
      <c r="BY64">
        <f>HYPERLINK("http://exon.niaid.nih.gov/transcriptome/Anopheles_sialome/links/cluster-b/anopheline-sialome-cds-pep-larger-orf55-50SimCLTL24.txt", 17)</f>
        <v>17</v>
      </c>
      <c r="BZ64">
        <f>HYPERLINK("http://exon.niaid.nih.gov/transcriptome/Anopheles_sialome/links/cluster-b/anopheline-sialome-cds-pep-larger-orf60-50SimCLU20.txt", 20)</f>
        <v>20</v>
      </c>
      <c r="CA64">
        <f>HYPERLINK("http://exon.niaid.nih.gov/transcriptome/Anopheles_sialome/links/cluster-b/anopheline-sialome-cds-pep-larger-orf60-50SimCLTL20.txt", 17)</f>
        <v>17</v>
      </c>
      <c r="CB64">
        <f>HYPERLINK("http://exon.niaid.nih.gov/transcriptome/Anopheles_sialome/links/cluster-b/anopheline-sialome-cds-pep-larger-orf65-50SimCLU18.txt", 18)</f>
        <v>18</v>
      </c>
      <c r="CC64">
        <f>HYPERLINK("http://exon.niaid.nih.gov/transcriptome/Anopheles_sialome/links/cluster-b/anopheline-sialome-cds-pep-larger-orf65-50SimCLTL18.txt", 17)</f>
        <v>17</v>
      </c>
      <c r="CD64">
        <f>HYPERLINK("http://exon.niaid.nih.gov/transcriptome/Anopheles_sialome/links/cluster-b/anopheline-sialome-cds-pep-larger-orf70-50SimCLU34.txt", 34)</f>
        <v>34</v>
      </c>
      <c r="CE64">
        <f>HYPERLINK("http://exon.niaid.nih.gov/transcriptome/Anopheles_sialome/links/cluster-b/anopheline-sialome-cds-pep-larger-orf70-50SimCLTL34.txt", 13)</f>
        <v>13</v>
      </c>
      <c r="CF64">
        <f>HYPERLINK("http://exon.niaid.nih.gov/transcriptome/Anopheles_sialome/links/cluster-b/anopheline-sialome-cds-pep-larger-orf75-50SimCLU44.txt", 44)</f>
        <v>44</v>
      </c>
      <c r="CG64">
        <f>HYPERLINK("http://exon.niaid.nih.gov/transcriptome/Anopheles_sialome/links/cluster-b/anopheline-sialome-cds-pep-larger-orf75-50SimCLTL44.txt", 6)</f>
        <v>6</v>
      </c>
      <c r="CH64">
        <f>HYPERLINK("http://exon.niaid.nih.gov/transcriptome/Anopheles_sialome/links/cluster-b/anopheline-sialome-cds-pep-larger-orf80-50SimCLU42.txt", 42)</f>
        <v>42</v>
      </c>
      <c r="CI64">
        <f>HYPERLINK("http://exon.niaid.nih.gov/transcriptome/Anopheles_sialome/links/cluster-b/anopheline-sialome-cds-pep-larger-orf80-50SimCLTL42.txt", 6)</f>
        <v>6</v>
      </c>
      <c r="CJ64">
        <f>HYPERLINK("http://exon.niaid.nih.gov/transcriptome/Anopheles_sialome/links/cluster-b/anopheline-sialome-cds-pep-larger-orf85-50SimCLU39.txt", 39)</f>
        <v>39</v>
      </c>
      <c r="CK64">
        <f>HYPERLINK("http://exon.niaid.nih.gov/transcriptome/Anopheles_sialome/links/cluster-b/anopheline-sialome-cds-pep-larger-orf85-50SimCLTL39.txt", 6)</f>
        <v>6</v>
      </c>
      <c r="CL64">
        <f>HYPERLINK("http://exon.niaid.nih.gov/transcriptome/Anopheles_sialome/links/cluster-b/anopheline-sialome-cds-pep-larger-orf90-50SimCLU31.txt", 31)</f>
        <v>31</v>
      </c>
      <c r="CM64">
        <f>HYPERLINK("http://exon.niaid.nih.gov/transcriptome/Anopheles_sialome/links/cluster-b/anopheline-sialome-cds-pep-larger-orf90-50SimCLTL31.txt", 6)</f>
        <v>6</v>
      </c>
      <c r="CN64">
        <f>HYPERLINK("http://exon.niaid.nih.gov/transcriptome/Anopheles_sialome/links/cluster-b/anopheline-sialome-cds-pep-larger-orf95-50SimCLU20.txt", 20)</f>
        <v>20</v>
      </c>
      <c r="CO64">
        <f>HYPERLINK("http://exon.niaid.nih.gov/transcriptome/Anopheles_sialome/links/cluster-b/anopheline-sialome-cds-pep-larger-orf95-50SimCLTL20.txt", 6)</f>
        <v>6</v>
      </c>
    </row>
    <row r="65" spans="1:93">
      <c r="A65" s="2" t="str">
        <f>HYPERLINK("http://exon.niaid.nih.gov/transcriptome/Anopheles_sialome/links/cds/anomel_Sal_amy-cds.txt","anomel_Sal_amy")</f>
        <v>anomel_Sal_amy</v>
      </c>
      <c r="B65">
        <v>2628</v>
      </c>
      <c r="C65" t="s">
        <v>323</v>
      </c>
      <c r="D65" t="s">
        <v>7</v>
      </c>
      <c r="E65" t="s">
        <v>5</v>
      </c>
      <c r="F65" t="s">
        <v>1</v>
      </c>
      <c r="G65" t="str">
        <f>HYPERLINK("http://exon.niaid.nih.gov/transcriptome/Anopheles_sialome/links/pep/anomel_Sal_amy-pep.txt","anomel_Sal_amy")</f>
        <v>anomel_Sal_amy</v>
      </c>
      <c r="H65">
        <v>875</v>
      </c>
      <c r="I65">
        <v>2</v>
      </c>
      <c r="J65" s="3" t="str">
        <f>HYPERLINK("http://exon.niaid.nih.gov/transcriptome/Anopheles_sialome/links/Sigp/anomel_Sal_amy-SigP.txt","SIG")</f>
        <v>SIG</v>
      </c>
      <c r="K65" t="s">
        <v>715</v>
      </c>
      <c r="L65">
        <v>94.254000000000005</v>
      </c>
      <c r="M65">
        <v>5.96</v>
      </c>
      <c r="N65">
        <v>91.655000000000001</v>
      </c>
      <c r="O65">
        <v>5.82</v>
      </c>
      <c r="P65" t="s">
        <v>1530</v>
      </c>
      <c r="Q65" s="3">
        <v>0</v>
      </c>
      <c r="R65" t="s">
        <v>128</v>
      </c>
      <c r="S65" t="s">
        <v>128</v>
      </c>
      <c r="T65" t="s">
        <v>128</v>
      </c>
      <c r="U65" t="s">
        <v>128</v>
      </c>
      <c r="V65" t="s">
        <v>128</v>
      </c>
      <c r="W65" s="3" t="str">
        <f>HYPERLINK("http://exon.niaid.nih.gov/transcriptome/Anopheles_sialome/links/netoglyc/anomel_Sal_amy-netoglyc.txt","2")</f>
        <v>2</v>
      </c>
      <c r="X65">
        <v>16.899999999999999</v>
      </c>
      <c r="Y65">
        <v>8.6</v>
      </c>
      <c r="Z65">
        <v>6.5</v>
      </c>
      <c r="AA65" t="s">
        <v>654</v>
      </c>
      <c r="AB65" t="s">
        <v>128</v>
      </c>
      <c r="AC65" s="2" t="str">
        <f>HYPERLINK("http://exon.niaid.nih.gov/transcriptome/Anopheles_sialome/links/DIPTERA/anomel_Sal_amy-DIPTERA.txt","AGAP006371-PA")</f>
        <v>AGAP006371-PA</v>
      </c>
      <c r="AD65" t="str">
        <f t="shared" si="20"/>
        <v>0.0</v>
      </c>
      <c r="AE65" t="str">
        <f t="shared" si="21"/>
        <v>gi|157016191</v>
      </c>
      <c r="AF65">
        <v>98</v>
      </c>
      <c r="AG65">
        <v>99</v>
      </c>
      <c r="AH65">
        <v>100</v>
      </c>
      <c r="AI65" t="s">
        <v>2285</v>
      </c>
      <c r="AJ65" s="2" t="str">
        <f>HYPERLINK("http://exon.niaid.nih.gov/transcriptome/Anopheles_sialome/links/CULICOMORPHA/anomel_Sal_amy-CULICOMORPHA.txt","AGAP006371-PA")</f>
        <v>AGAP006371-PA</v>
      </c>
      <c r="AK65" t="str">
        <f t="shared" si="22"/>
        <v>0.0</v>
      </c>
      <c r="AL65" t="str">
        <f t="shared" si="23"/>
        <v>gi|157016191</v>
      </c>
      <c r="AM65">
        <v>98</v>
      </c>
      <c r="AN65">
        <v>99</v>
      </c>
      <c r="AO65">
        <v>100</v>
      </c>
      <c r="AP65" t="s">
        <v>2285</v>
      </c>
      <c r="AQ65" s="2" t="str">
        <f>HYPERLINK("http://exon.niaid.nih.gov/transcriptome/Anopheles_sialome/links/NR-LIGHT/anomel_Sal_amy-NR-LIGHT.txt","AGAP006371-PA")</f>
        <v>AGAP006371-PA</v>
      </c>
      <c r="AR65" t="str">
        <f t="shared" si="24"/>
        <v>0.0</v>
      </c>
      <c r="AS65" t="str">
        <f t="shared" si="25"/>
        <v>gi|158295760</v>
      </c>
      <c r="AT65">
        <v>98</v>
      </c>
      <c r="AU65">
        <v>99</v>
      </c>
      <c r="AV65">
        <v>100</v>
      </c>
      <c r="AW65" t="s">
        <v>2285</v>
      </c>
      <c r="AX65" s="2" t="str">
        <f>HYPERLINK("http://exon.niaid.nih.gov/transcriptome/Anopheles_sialome/links/CDD/anomel_Sal_amy-CDD.txt","AmyAc_bac_euk_A")</f>
        <v>AmyAc_bac_euk_A</v>
      </c>
      <c r="AY65" t="str">
        <f>HYPERLINK("http://www.ncbi.nlm.nih.gov/Structure/cdd/cddsrv.cgi?uid=cd11317&amp;version=v4.0","1E-150")</f>
        <v>1E-150</v>
      </c>
      <c r="AZ65" t="s">
        <v>2759</v>
      </c>
      <c r="BA65" s="2" t="str">
        <f>HYPERLINK("http://exon.niaid.nih.gov/transcriptome/Anopheles_sialome/links/KOG/anomel_Sal_amy-KOG.txt","Alpha-amylase")</f>
        <v>Alpha-amylase</v>
      </c>
      <c r="BB65" t="str">
        <f>HYPERLINK("http://www.ncbi.nlm.nih.gov/Structure/cdd/cddsrv.cgi?uid=KOG2212","1E-162")</f>
        <v>1E-162</v>
      </c>
      <c r="BC65" t="s">
        <v>2308</v>
      </c>
      <c r="BD65" t="str">
        <f>HYPERLINK("http://exon.niaid.nih.gov/transcriptome/Anopheles_sialome/links/KOG/anomel_Sal_amy-KOG.txt","KOG2212")</f>
        <v>KOG2212</v>
      </c>
      <c r="BE65" t="str">
        <f>HYPERLINK("http://exon.niaid.nih.gov/transcriptome/Anopheles_sialome/links/PFAM/anomel_Sal_amy-PFAM.txt","Alpha-amylase")</f>
        <v>Alpha-amylase</v>
      </c>
      <c r="BF65" t="str">
        <f>HYPERLINK("http://pfam.sanger.ac.uk/family?acc=PF00128","1E-018")</f>
        <v>1E-018</v>
      </c>
      <c r="BG65" s="2" t="str">
        <f>HYPERLINK("http://exon.niaid.nih.gov/transcriptome/Anopheles_sialome/links/SMART/anomel_Sal_amy-SMART.txt","Aamy")</f>
        <v>Aamy</v>
      </c>
      <c r="BH65" t="str">
        <f>HYPERLINK("http://smart.embl-heidelberg.de/smart/do_annotation.pl?DOMAIN=Aamy&amp;BLAST=DUMMY","3E-025")</f>
        <v>3E-025</v>
      </c>
      <c r="BI65" t="s">
        <v>128</v>
      </c>
      <c r="BJ65" s="2" t="s">
        <v>128</v>
      </c>
      <c r="BK65" t="s">
        <v>1529</v>
      </c>
      <c r="BL65">
        <f>HYPERLINK("http://exon.niaid.nih.gov/transcriptome/Anopheles_sialome/links/cluster-b/anopheline-sialome-cds-pep-larger-orf25-50SimCLU15.txt", 15)</f>
        <v>15</v>
      </c>
      <c r="BM65">
        <f>HYPERLINK("http://exon.niaid.nih.gov/transcriptome/Anopheles_sialome/links/cluster-b/anopheline-sialome-cds-pep-larger-orf25-50SimCLTL15.txt", 17)</f>
        <v>17</v>
      </c>
      <c r="BN65">
        <f>HYPERLINK("http://exon.niaid.nih.gov/transcriptome/Anopheles_sialome/links/cluster-b/anopheline-sialome-cds-pep-larger-orf30-50SimCLU15.txt", 15)</f>
        <v>15</v>
      </c>
      <c r="BO65">
        <f>HYPERLINK("http://exon.niaid.nih.gov/transcriptome/Anopheles_sialome/links/cluster-b/anopheline-sialome-cds-pep-larger-orf30-50SimCLTL15.txt", 17)</f>
        <v>17</v>
      </c>
      <c r="BP65">
        <f>HYPERLINK("http://exon.niaid.nih.gov/transcriptome/Anopheles_sialome/links/cluster-b/anopheline-sialome-cds-pep-larger-orf35-50SimCLU17.txt", 17)</f>
        <v>17</v>
      </c>
      <c r="BQ65">
        <f>HYPERLINK("http://exon.niaid.nih.gov/transcriptome/Anopheles_sialome/links/cluster-b/anopheline-sialome-cds-pep-larger-orf35-50SimCLTL17.txt", 17)</f>
        <v>17</v>
      </c>
      <c r="BR65">
        <f>HYPERLINK("http://exon.niaid.nih.gov/transcriptome/Anopheles_sialome/links/cluster-b/anopheline-sialome-cds-pep-larger-orf40-50SimCLU21.txt", 21)</f>
        <v>21</v>
      </c>
      <c r="BS65">
        <f>HYPERLINK("http://exon.niaid.nih.gov/transcriptome/Anopheles_sialome/links/cluster-b/anopheline-sialome-cds-pep-larger-orf40-50SimCLTL21.txt", 17)</f>
        <v>17</v>
      </c>
      <c r="BT65">
        <f>HYPERLINK("http://exon.niaid.nih.gov/transcriptome/Anopheles_sialome/links/cluster-b/anopheline-sialome-cds-pep-larger-orf45-50SimCLU25.txt", 25)</f>
        <v>25</v>
      </c>
      <c r="BU65">
        <f>HYPERLINK("http://exon.niaid.nih.gov/transcriptome/Anopheles_sialome/links/cluster-b/anopheline-sialome-cds-pep-larger-orf45-50SimCLTL25.txt", 17)</f>
        <v>17</v>
      </c>
      <c r="BV65">
        <f>HYPERLINK("http://exon.niaid.nih.gov/transcriptome/Anopheles_sialome/links/cluster-b/anopheline-sialome-cds-pep-larger-orf50-50SimCLU24.txt", 24)</f>
        <v>24</v>
      </c>
      <c r="BW65">
        <f>HYPERLINK("http://exon.niaid.nih.gov/transcriptome/Anopheles_sialome/links/cluster-b/anopheline-sialome-cds-pep-larger-orf50-50SimCLTL24.txt", 17)</f>
        <v>17</v>
      </c>
      <c r="BX65">
        <f>HYPERLINK("http://exon.niaid.nih.gov/transcriptome/Anopheles_sialome/links/cluster-b/anopheline-sialome-cds-pep-larger-orf55-50SimCLU24.txt", 24)</f>
        <v>24</v>
      </c>
      <c r="BY65">
        <f>HYPERLINK("http://exon.niaid.nih.gov/transcriptome/Anopheles_sialome/links/cluster-b/anopheline-sialome-cds-pep-larger-orf55-50SimCLTL24.txt", 17)</f>
        <v>17</v>
      </c>
      <c r="BZ65">
        <f>HYPERLINK("http://exon.niaid.nih.gov/transcriptome/Anopheles_sialome/links/cluster-b/anopheline-sialome-cds-pep-larger-orf60-50SimCLU20.txt", 20)</f>
        <v>20</v>
      </c>
      <c r="CA65">
        <f>HYPERLINK("http://exon.niaid.nih.gov/transcriptome/Anopheles_sialome/links/cluster-b/anopheline-sialome-cds-pep-larger-orf60-50SimCLTL20.txt", 17)</f>
        <v>17</v>
      </c>
      <c r="CB65">
        <f>HYPERLINK("http://exon.niaid.nih.gov/transcriptome/Anopheles_sialome/links/cluster-b/anopheline-sialome-cds-pep-larger-orf65-50SimCLU18.txt", 18)</f>
        <v>18</v>
      </c>
      <c r="CC65">
        <f>HYPERLINK("http://exon.niaid.nih.gov/transcriptome/Anopheles_sialome/links/cluster-b/anopheline-sialome-cds-pep-larger-orf65-50SimCLTL18.txt", 17)</f>
        <v>17</v>
      </c>
      <c r="CD65">
        <f>HYPERLINK("http://exon.niaid.nih.gov/transcriptome/Anopheles_sialome/links/cluster-b/anopheline-sialome-cds-pep-larger-orf70-50SimCLU34.txt", 34)</f>
        <v>34</v>
      </c>
      <c r="CE65">
        <f>HYPERLINK("http://exon.niaid.nih.gov/transcriptome/Anopheles_sialome/links/cluster-b/anopheline-sialome-cds-pep-larger-orf70-50SimCLTL34.txt", 13)</f>
        <v>13</v>
      </c>
      <c r="CF65">
        <f>HYPERLINK("http://exon.niaid.nih.gov/transcriptome/Anopheles_sialome/links/cluster-b/anopheline-sialome-cds-pep-larger-orf75-50SimCLU44.txt", 44)</f>
        <v>44</v>
      </c>
      <c r="CG65">
        <f>HYPERLINK("http://exon.niaid.nih.gov/transcriptome/Anopheles_sialome/links/cluster-b/anopheline-sialome-cds-pep-larger-orf75-50SimCLTL44.txt", 6)</f>
        <v>6</v>
      </c>
      <c r="CH65">
        <f>HYPERLINK("http://exon.niaid.nih.gov/transcriptome/Anopheles_sialome/links/cluster-b/anopheline-sialome-cds-pep-larger-orf80-50SimCLU42.txt", 42)</f>
        <v>42</v>
      </c>
      <c r="CI65">
        <f>HYPERLINK("http://exon.niaid.nih.gov/transcriptome/Anopheles_sialome/links/cluster-b/anopheline-sialome-cds-pep-larger-orf80-50SimCLTL42.txt", 6)</f>
        <v>6</v>
      </c>
      <c r="CJ65">
        <f>HYPERLINK("http://exon.niaid.nih.gov/transcriptome/Anopheles_sialome/links/cluster-b/anopheline-sialome-cds-pep-larger-orf85-50SimCLU39.txt", 39)</f>
        <v>39</v>
      </c>
      <c r="CK65">
        <f>HYPERLINK("http://exon.niaid.nih.gov/transcriptome/Anopheles_sialome/links/cluster-b/anopheline-sialome-cds-pep-larger-orf85-50SimCLTL39.txt", 6)</f>
        <v>6</v>
      </c>
      <c r="CL65">
        <f>HYPERLINK("http://exon.niaid.nih.gov/transcriptome/Anopheles_sialome/links/cluster-b/anopheline-sialome-cds-pep-larger-orf90-50SimCLU31.txt", 31)</f>
        <v>31</v>
      </c>
      <c r="CM65">
        <f>HYPERLINK("http://exon.niaid.nih.gov/transcriptome/Anopheles_sialome/links/cluster-b/anopheline-sialome-cds-pep-larger-orf90-50SimCLTL31.txt", 6)</f>
        <v>6</v>
      </c>
      <c r="CN65">
        <f>HYPERLINK("http://exon.niaid.nih.gov/transcriptome/Anopheles_sialome/links/cluster-b/anopheline-sialome-cds-pep-larger-orf95-50SimCLU20.txt", 20)</f>
        <v>20</v>
      </c>
      <c r="CO65">
        <f>HYPERLINK("http://exon.niaid.nih.gov/transcriptome/Anopheles_sialome/links/cluster-b/anopheline-sialome-cds-pep-larger-orf95-50SimCLTL20.txt", 6)</f>
        <v>6</v>
      </c>
    </row>
    <row r="66" spans="1:93">
      <c r="A66" s="2" t="str">
        <f>HYPERLINK("http://exon.niaid.nih.gov/transcriptome/Anopheles_sialome/links/cds/anochris_Sal_amy-cds.txt","anochris_Sal_amy")</f>
        <v>anochris_Sal_amy</v>
      </c>
      <c r="B66">
        <v>2301</v>
      </c>
      <c r="C66" t="s">
        <v>324</v>
      </c>
      <c r="D66" t="s">
        <v>7</v>
      </c>
      <c r="E66" t="s">
        <v>5</v>
      </c>
      <c r="F66" t="s">
        <v>1</v>
      </c>
      <c r="G66" t="str">
        <f>HYPERLINK("http://exon.niaid.nih.gov/transcriptome/Anopheles_sialome/links/pep/anochris_Sal_amy-pep.txt","anochris_Sal_amy")</f>
        <v>anochris_Sal_amy</v>
      </c>
      <c r="H66">
        <v>766</v>
      </c>
      <c r="I66">
        <v>2</v>
      </c>
      <c r="J66" s="3" t="str">
        <f>HYPERLINK("http://exon.niaid.nih.gov/transcriptome/Anopheles_sialome/links/Sigp/anochris_Sal_amy-SigP.txt","SIG")</f>
        <v>SIG</v>
      </c>
      <c r="K66" t="s">
        <v>708</v>
      </c>
      <c r="L66">
        <v>82.774000000000001</v>
      </c>
      <c r="M66">
        <v>6.02</v>
      </c>
      <c r="N66">
        <v>80.33</v>
      </c>
      <c r="O66">
        <v>5.99</v>
      </c>
      <c r="P66" t="s">
        <v>1532</v>
      </c>
      <c r="Q66" s="3">
        <v>0</v>
      </c>
      <c r="R66" t="s">
        <v>128</v>
      </c>
      <c r="S66" t="s">
        <v>128</v>
      </c>
      <c r="T66" t="s">
        <v>128</v>
      </c>
      <c r="U66" t="s">
        <v>128</v>
      </c>
      <c r="V66" t="s">
        <v>128</v>
      </c>
      <c r="W66" s="3" t="str">
        <f>HYPERLINK("http://exon.niaid.nih.gov/transcriptome/Anopheles_sialome/links/netoglyc/anochris_Sal_amy-netoglyc.txt","2")</f>
        <v>2</v>
      </c>
      <c r="X66">
        <v>17.100000000000001</v>
      </c>
      <c r="Y66">
        <v>8</v>
      </c>
      <c r="Z66">
        <v>6.8</v>
      </c>
      <c r="AA66" t="s">
        <v>654</v>
      </c>
      <c r="AB66" t="s">
        <v>128</v>
      </c>
      <c r="AC66" s="2" t="str">
        <f>HYPERLINK("http://exon.niaid.nih.gov/transcriptome/Anopheles_sialome/links/DIPTERA/anochris_Sal_amy-DIPTERA.txt","AGAP006371-PA-like protein")</f>
        <v>AGAP006371-PA-like protein</v>
      </c>
      <c r="AD66" t="str">
        <f t="shared" ref="AD66:AD74" si="26">HYPERLINK("http://www.ncbi.nlm.nih.gov/sutils/blink.cgi?pid=668461036","0.0")</f>
        <v>0.0</v>
      </c>
      <c r="AE66" t="str">
        <f t="shared" ref="AE66:AE74" si="27">HYPERLINK("http://www.ncbi.nlm.nih.gov/protein/668461036","gi|668461036")</f>
        <v>gi|668461036</v>
      </c>
      <c r="AF66">
        <v>58</v>
      </c>
      <c r="AG66">
        <v>68</v>
      </c>
      <c r="AH66">
        <v>107</v>
      </c>
      <c r="AI66" t="s">
        <v>2277</v>
      </c>
      <c r="AJ66" s="2" t="str">
        <f>HYPERLINK("http://exon.niaid.nih.gov/transcriptome/Anopheles_sialome/links/CULICOMORPHA/anochris_Sal_amy-CULICOMORPHA.txt","AGAP006371-PA-like protein")</f>
        <v>AGAP006371-PA-like protein</v>
      </c>
      <c r="AK66" t="str">
        <f t="shared" ref="AK66:AK74" si="28">HYPERLINK("http://www.ncbi.nlm.nih.gov/sutils/blink.cgi?pid=668461036","0.0")</f>
        <v>0.0</v>
      </c>
      <c r="AL66" t="str">
        <f t="shared" ref="AL66:AL74" si="29">HYPERLINK("http://www.ncbi.nlm.nih.gov/protein/668461036","gi|668461036")</f>
        <v>gi|668461036</v>
      </c>
      <c r="AM66">
        <v>58</v>
      </c>
      <c r="AN66">
        <v>68</v>
      </c>
      <c r="AO66">
        <v>107</v>
      </c>
      <c r="AP66" t="s">
        <v>2277</v>
      </c>
      <c r="AQ66" s="2" t="str">
        <f>HYPERLINK("http://exon.niaid.nih.gov/transcriptome/Anopheles_sialome/links/NR-LIGHT/anochris_Sal_amy-NR-LIGHT.txt","AGAP006371-PA-like protein")</f>
        <v>AGAP006371-PA-like protein</v>
      </c>
      <c r="AR66" t="str">
        <f t="shared" ref="AR66:AR74" si="30">HYPERLINK("http://www.ncbi.nlm.nih.gov/sutils/blink.cgi?pid=668461036","0.0")</f>
        <v>0.0</v>
      </c>
      <c r="AS66" t="str">
        <f t="shared" ref="AS66:AS74" si="31">HYPERLINK("http://www.ncbi.nlm.nih.gov/protein/668461036","gi|668461036")</f>
        <v>gi|668461036</v>
      </c>
      <c r="AT66">
        <v>58</v>
      </c>
      <c r="AU66">
        <v>68</v>
      </c>
      <c r="AV66">
        <v>107</v>
      </c>
      <c r="AW66" t="s">
        <v>2277</v>
      </c>
      <c r="AX66" s="2" t="str">
        <f>HYPERLINK("http://exon.niaid.nih.gov/transcriptome/Anopheles_sialome/links/CDD/anochris_Sal_amy-CDD.txt","AmyAc_bac_euk_A")</f>
        <v>AmyAc_bac_euk_A</v>
      </c>
      <c r="AY66" t="str">
        <f>HYPERLINK("http://www.ncbi.nlm.nih.gov/Structure/cdd/cddsrv.cgi?uid=cd11317&amp;version=v4.0","1E-146")</f>
        <v>1E-146</v>
      </c>
      <c r="AZ66" t="s">
        <v>2760</v>
      </c>
      <c r="BA66" s="2" t="str">
        <f>HYPERLINK("http://exon.niaid.nih.gov/transcriptome/Anopheles_sialome/links/KOG/anochris_Sal_amy-KOG.txt","Alpha-amylase")</f>
        <v>Alpha-amylase</v>
      </c>
      <c r="BB66" t="str">
        <f>HYPERLINK("http://www.ncbi.nlm.nih.gov/Structure/cdd/cddsrv.cgi?uid=KOG2212","1E-159")</f>
        <v>1E-159</v>
      </c>
      <c r="BC66" t="s">
        <v>2308</v>
      </c>
      <c r="BD66" t="str">
        <f>HYPERLINK("http://exon.niaid.nih.gov/transcriptome/Anopheles_sialome/links/KOG/anochris_Sal_amy-KOG.txt","KOG2212")</f>
        <v>KOG2212</v>
      </c>
      <c r="BE66" t="str">
        <f>HYPERLINK("http://exon.niaid.nih.gov/transcriptome/Anopheles_sialome/links/PFAM/anochris_Sal_amy-PFAM.txt","Alpha-amylase")</f>
        <v>Alpha-amylase</v>
      </c>
      <c r="BF66" t="str">
        <f>HYPERLINK("http://pfam.sanger.ac.uk/family?acc=PF00128","2E-019")</f>
        <v>2E-019</v>
      </c>
      <c r="BG66" s="2" t="str">
        <f>HYPERLINK("http://exon.niaid.nih.gov/transcriptome/Anopheles_sialome/links/SMART/anochris_Sal_amy-SMART.txt","Aamy")</f>
        <v>Aamy</v>
      </c>
      <c r="BH66" t="str">
        <f>HYPERLINK("http://smart.embl-heidelberg.de/smart/do_annotation.pl?DOMAIN=Aamy&amp;BLAST=DUMMY","5E-027")</f>
        <v>5E-027</v>
      </c>
      <c r="BI66" t="s">
        <v>128</v>
      </c>
      <c r="BJ66" s="2" t="s">
        <v>128</v>
      </c>
      <c r="BK66" t="s">
        <v>1531</v>
      </c>
      <c r="BL66">
        <f>HYPERLINK("http://exon.niaid.nih.gov/transcriptome/Anopheles_sialome/links/cluster-b/anopheline-sialome-cds-pep-larger-orf25-50SimCLU15.txt", 15)</f>
        <v>15</v>
      </c>
      <c r="BM66">
        <f>HYPERLINK("http://exon.niaid.nih.gov/transcriptome/Anopheles_sialome/links/cluster-b/anopheline-sialome-cds-pep-larger-orf25-50SimCLTL15.txt", 17)</f>
        <v>17</v>
      </c>
      <c r="BN66">
        <f>HYPERLINK("http://exon.niaid.nih.gov/transcriptome/Anopheles_sialome/links/cluster-b/anopheline-sialome-cds-pep-larger-orf30-50SimCLU15.txt", 15)</f>
        <v>15</v>
      </c>
      <c r="BO66">
        <f>HYPERLINK("http://exon.niaid.nih.gov/transcriptome/Anopheles_sialome/links/cluster-b/anopheline-sialome-cds-pep-larger-orf30-50SimCLTL15.txt", 17)</f>
        <v>17</v>
      </c>
      <c r="BP66">
        <f>HYPERLINK("http://exon.niaid.nih.gov/transcriptome/Anopheles_sialome/links/cluster-b/anopheline-sialome-cds-pep-larger-orf35-50SimCLU17.txt", 17)</f>
        <v>17</v>
      </c>
      <c r="BQ66">
        <f>HYPERLINK("http://exon.niaid.nih.gov/transcriptome/Anopheles_sialome/links/cluster-b/anopheline-sialome-cds-pep-larger-orf35-50SimCLTL17.txt", 17)</f>
        <v>17</v>
      </c>
      <c r="BR66">
        <f>HYPERLINK("http://exon.niaid.nih.gov/transcriptome/Anopheles_sialome/links/cluster-b/anopheline-sialome-cds-pep-larger-orf40-50SimCLU21.txt", 21)</f>
        <v>21</v>
      </c>
      <c r="BS66">
        <f>HYPERLINK("http://exon.niaid.nih.gov/transcriptome/Anopheles_sialome/links/cluster-b/anopheline-sialome-cds-pep-larger-orf40-50SimCLTL21.txt", 17)</f>
        <v>17</v>
      </c>
      <c r="BT66">
        <f>HYPERLINK("http://exon.niaid.nih.gov/transcriptome/Anopheles_sialome/links/cluster-b/anopheline-sialome-cds-pep-larger-orf45-50SimCLU25.txt", 25)</f>
        <v>25</v>
      </c>
      <c r="BU66">
        <f>HYPERLINK("http://exon.niaid.nih.gov/transcriptome/Anopheles_sialome/links/cluster-b/anopheline-sialome-cds-pep-larger-orf45-50SimCLTL25.txt", 17)</f>
        <v>17</v>
      </c>
      <c r="BV66">
        <f>HYPERLINK("http://exon.niaid.nih.gov/transcriptome/Anopheles_sialome/links/cluster-b/anopheline-sialome-cds-pep-larger-orf50-50SimCLU24.txt", 24)</f>
        <v>24</v>
      </c>
      <c r="BW66">
        <f>HYPERLINK("http://exon.niaid.nih.gov/transcriptome/Anopheles_sialome/links/cluster-b/anopheline-sialome-cds-pep-larger-orf50-50SimCLTL24.txt", 17)</f>
        <v>17</v>
      </c>
      <c r="BX66">
        <f>HYPERLINK("http://exon.niaid.nih.gov/transcriptome/Anopheles_sialome/links/cluster-b/anopheline-sialome-cds-pep-larger-orf55-50SimCLU24.txt", 24)</f>
        <v>24</v>
      </c>
      <c r="BY66">
        <f>HYPERLINK("http://exon.niaid.nih.gov/transcriptome/Anopheles_sialome/links/cluster-b/anopheline-sialome-cds-pep-larger-orf55-50SimCLTL24.txt", 17)</f>
        <v>17</v>
      </c>
      <c r="BZ66">
        <f>HYPERLINK("http://exon.niaid.nih.gov/transcriptome/Anopheles_sialome/links/cluster-b/anopheline-sialome-cds-pep-larger-orf60-50SimCLU20.txt", 20)</f>
        <v>20</v>
      </c>
      <c r="CA66">
        <f>HYPERLINK("http://exon.niaid.nih.gov/transcriptome/Anopheles_sialome/links/cluster-b/anopheline-sialome-cds-pep-larger-orf60-50SimCLTL20.txt", 17)</f>
        <v>17</v>
      </c>
      <c r="CB66">
        <f>HYPERLINK("http://exon.niaid.nih.gov/transcriptome/Anopheles_sialome/links/cluster-b/anopheline-sialome-cds-pep-larger-orf65-50SimCLU18.txt", 18)</f>
        <v>18</v>
      </c>
      <c r="CC66">
        <f>HYPERLINK("http://exon.niaid.nih.gov/transcriptome/Anopheles_sialome/links/cluster-b/anopheline-sialome-cds-pep-larger-orf65-50SimCLTL18.txt", 17)</f>
        <v>17</v>
      </c>
      <c r="CD66">
        <f>HYPERLINK("http://exon.niaid.nih.gov/transcriptome/Anopheles_sialome/links/cluster-b/anopheline-sialome-cds-pep-larger-orf70-50SimCLU34.txt", 34)</f>
        <v>34</v>
      </c>
      <c r="CE66">
        <f>HYPERLINK("http://exon.niaid.nih.gov/transcriptome/Anopheles_sialome/links/cluster-b/anopheline-sialome-cds-pep-larger-orf70-50SimCLTL34.txt", 13)</f>
        <v>13</v>
      </c>
      <c r="CF66">
        <f>HYPERLINK("http://exon.niaid.nih.gov/transcriptome/Anopheles_sialome/links/cluster-b/anopheline-sialome-cds-pep-larger-orf75-50SimCLU46.txt", 46)</f>
        <v>46</v>
      </c>
      <c r="CG66">
        <f>HYPERLINK("http://exon.niaid.nih.gov/transcriptome/Anopheles_sialome/links/cluster-b/anopheline-sialome-cds-pep-larger-orf75-50SimCLTL46.txt", 5)</f>
        <v>5</v>
      </c>
      <c r="CH66">
        <v>190</v>
      </c>
      <c r="CI66">
        <v>1</v>
      </c>
      <c r="CJ66">
        <v>241</v>
      </c>
      <c r="CK66">
        <v>1</v>
      </c>
      <c r="CL66">
        <v>291</v>
      </c>
      <c r="CM66">
        <v>1</v>
      </c>
      <c r="CN66">
        <v>328</v>
      </c>
      <c r="CO66">
        <v>1</v>
      </c>
    </row>
    <row r="67" spans="1:93">
      <c r="A67" s="2" t="str">
        <f>HYPERLINK("http://exon.niaid.nih.gov/transcriptome/Anopheles_sialome/links/cds/anofun_Sal_amy-cds.txt","anofun_Sal_amy")</f>
        <v>anofun_Sal_amy</v>
      </c>
      <c r="B67">
        <v>2202</v>
      </c>
      <c r="C67" t="s">
        <v>325</v>
      </c>
      <c r="D67" t="s">
        <v>4</v>
      </c>
      <c r="E67" t="s">
        <v>5</v>
      </c>
      <c r="F67" t="s">
        <v>1</v>
      </c>
      <c r="G67" t="str">
        <f>HYPERLINK("http://exon.niaid.nih.gov/transcriptome/Anopheles_sialome/links/pep/anofun_Sal_amy-pep.txt","anofun_Sal_amy")</f>
        <v>anofun_Sal_amy</v>
      </c>
      <c r="H67">
        <v>733</v>
      </c>
      <c r="I67">
        <v>3</v>
      </c>
      <c r="J67" s="3" t="str">
        <f>HYPERLINK("http://exon.niaid.nih.gov/transcriptome/Anopheles_sialome/links/Sigp/anofun_Sal_amy-SigP.txt","SIG")</f>
        <v>SIG</v>
      </c>
      <c r="K67" t="s">
        <v>708</v>
      </c>
      <c r="L67">
        <v>79.671999999999997</v>
      </c>
      <c r="M67">
        <v>5.5</v>
      </c>
      <c r="N67">
        <v>77.132999999999996</v>
      </c>
      <c r="O67">
        <v>5.5</v>
      </c>
      <c r="P67" t="s">
        <v>1534</v>
      </c>
      <c r="Q67" s="3">
        <v>0</v>
      </c>
      <c r="R67" t="s">
        <v>128</v>
      </c>
      <c r="S67" t="s">
        <v>128</v>
      </c>
      <c r="T67" t="s">
        <v>128</v>
      </c>
      <c r="U67" t="s">
        <v>128</v>
      </c>
      <c r="V67" t="s">
        <v>128</v>
      </c>
      <c r="W67" s="3" t="str">
        <f>HYPERLINK("http://exon.niaid.nih.gov/transcriptome/Anopheles_sialome/links/netoglyc/anofun_Sal_amy-netoglyc.txt","0")</f>
        <v>0</v>
      </c>
      <c r="X67">
        <v>16.399999999999999</v>
      </c>
      <c r="Y67">
        <v>7.4</v>
      </c>
      <c r="Z67">
        <v>6.3</v>
      </c>
      <c r="AA67">
        <v>0.4</v>
      </c>
      <c r="AB67" t="s">
        <v>128</v>
      </c>
      <c r="AC67" s="2" t="str">
        <f>HYPERLINK("http://exon.niaid.nih.gov/transcriptome/Anopheles_sialome/links/DIPTERA/anofun_Sal_amy-DIPTERA.txt","AGAP006371-PA-like protein")</f>
        <v>AGAP006371-PA-like protein</v>
      </c>
      <c r="AD67" t="str">
        <f t="shared" si="26"/>
        <v>0.0</v>
      </c>
      <c r="AE67" t="str">
        <f t="shared" si="27"/>
        <v>gi|668461036</v>
      </c>
      <c r="AF67">
        <v>62</v>
      </c>
      <c r="AG67">
        <v>74</v>
      </c>
      <c r="AH67">
        <v>102</v>
      </c>
      <c r="AI67" t="s">
        <v>2277</v>
      </c>
      <c r="AJ67" s="2" t="str">
        <f>HYPERLINK("http://exon.niaid.nih.gov/transcriptome/Anopheles_sialome/links/CULICOMORPHA/anofun_Sal_amy-CULICOMORPHA.txt","AGAP006371-PA-like protein")</f>
        <v>AGAP006371-PA-like protein</v>
      </c>
      <c r="AK67" t="str">
        <f t="shared" si="28"/>
        <v>0.0</v>
      </c>
      <c r="AL67" t="str">
        <f t="shared" si="29"/>
        <v>gi|668461036</v>
      </c>
      <c r="AM67">
        <v>62</v>
      </c>
      <c r="AN67">
        <v>74</v>
      </c>
      <c r="AO67">
        <v>102</v>
      </c>
      <c r="AP67" t="s">
        <v>2277</v>
      </c>
      <c r="AQ67" s="2" t="str">
        <f>HYPERLINK("http://exon.niaid.nih.gov/transcriptome/Anopheles_sialome/links/NR-LIGHT/anofun_Sal_amy-NR-LIGHT.txt","AGAP006371-PA-like protein")</f>
        <v>AGAP006371-PA-like protein</v>
      </c>
      <c r="AR67" t="str">
        <f t="shared" si="30"/>
        <v>0.0</v>
      </c>
      <c r="AS67" t="str">
        <f t="shared" si="31"/>
        <v>gi|668461036</v>
      </c>
      <c r="AT67">
        <v>62</v>
      </c>
      <c r="AU67">
        <v>74</v>
      </c>
      <c r="AV67">
        <v>102</v>
      </c>
      <c r="AW67" t="s">
        <v>2277</v>
      </c>
      <c r="AX67" s="2" t="str">
        <f>HYPERLINK("http://exon.niaid.nih.gov/transcriptome/Anopheles_sialome/links/CDD/anofun_Sal_amy-CDD.txt","AmyAc_bac_euk_A")</f>
        <v>AmyAc_bac_euk_A</v>
      </c>
      <c r="AY67" t="str">
        <f>HYPERLINK("http://www.ncbi.nlm.nih.gov/Structure/cdd/cddsrv.cgi?uid=cd11317&amp;version=v4.0","1E-147")</f>
        <v>1E-147</v>
      </c>
      <c r="AZ67" t="s">
        <v>2761</v>
      </c>
      <c r="BA67" s="2" t="str">
        <f>HYPERLINK("http://exon.niaid.nih.gov/transcriptome/Anopheles_sialome/links/KOG/anofun_Sal_amy-KOG.txt","Alpha-amylase")</f>
        <v>Alpha-amylase</v>
      </c>
      <c r="BB67" t="str">
        <f>HYPERLINK("http://www.ncbi.nlm.nih.gov/Structure/cdd/cddsrv.cgi?uid=KOG2212","1E-163")</f>
        <v>1E-163</v>
      </c>
      <c r="BC67" t="s">
        <v>2308</v>
      </c>
      <c r="BD67" t="str">
        <f>HYPERLINK("http://exon.niaid.nih.gov/transcriptome/Anopheles_sialome/links/KOG/anofun_Sal_amy-KOG.txt","KOG2212")</f>
        <v>KOG2212</v>
      </c>
      <c r="BE67" t="str">
        <f>HYPERLINK("http://exon.niaid.nih.gov/transcriptome/Anopheles_sialome/links/PFAM/anofun_Sal_amy-PFAM.txt","Alpha-amylase")</f>
        <v>Alpha-amylase</v>
      </c>
      <c r="BF67" t="str">
        <f>HYPERLINK("http://pfam.sanger.ac.uk/family?acc=PF00128","1E-019")</f>
        <v>1E-019</v>
      </c>
      <c r="BG67" s="2" t="str">
        <f>HYPERLINK("http://exon.niaid.nih.gov/transcriptome/Anopheles_sialome/links/SMART/anofun_Sal_amy-SMART.txt","Aamy")</f>
        <v>Aamy</v>
      </c>
      <c r="BH67" t="str">
        <f>HYPERLINK("http://smart.embl-heidelberg.de/smart/do_annotation.pl?DOMAIN=Aamy&amp;BLAST=DUMMY","1E-025")</f>
        <v>1E-025</v>
      </c>
      <c r="BI67" t="s">
        <v>128</v>
      </c>
      <c r="BJ67" s="2" t="s">
        <v>128</v>
      </c>
      <c r="BK67" t="s">
        <v>1533</v>
      </c>
      <c r="BL67">
        <f>HYPERLINK("http://exon.niaid.nih.gov/transcriptome/Anopheles_sialome/links/cluster-b/anopheline-sialome-cds-pep-larger-orf25-50SimCLU15.txt", 15)</f>
        <v>15</v>
      </c>
      <c r="BM67">
        <f>HYPERLINK("http://exon.niaid.nih.gov/transcriptome/Anopheles_sialome/links/cluster-b/anopheline-sialome-cds-pep-larger-orf25-50SimCLTL15.txt", 17)</f>
        <v>17</v>
      </c>
      <c r="BN67">
        <f>HYPERLINK("http://exon.niaid.nih.gov/transcriptome/Anopheles_sialome/links/cluster-b/anopheline-sialome-cds-pep-larger-orf30-50SimCLU15.txt", 15)</f>
        <v>15</v>
      </c>
      <c r="BO67">
        <f>HYPERLINK("http://exon.niaid.nih.gov/transcriptome/Anopheles_sialome/links/cluster-b/anopheline-sialome-cds-pep-larger-orf30-50SimCLTL15.txt", 17)</f>
        <v>17</v>
      </c>
      <c r="BP67">
        <f>HYPERLINK("http://exon.niaid.nih.gov/transcriptome/Anopheles_sialome/links/cluster-b/anopheline-sialome-cds-pep-larger-orf35-50SimCLU17.txt", 17)</f>
        <v>17</v>
      </c>
      <c r="BQ67">
        <f>HYPERLINK("http://exon.niaid.nih.gov/transcriptome/Anopheles_sialome/links/cluster-b/anopheline-sialome-cds-pep-larger-orf35-50SimCLTL17.txt", 17)</f>
        <v>17</v>
      </c>
      <c r="BR67">
        <f>HYPERLINK("http://exon.niaid.nih.gov/transcriptome/Anopheles_sialome/links/cluster-b/anopheline-sialome-cds-pep-larger-orf40-50SimCLU21.txt", 21)</f>
        <v>21</v>
      </c>
      <c r="BS67">
        <f>HYPERLINK("http://exon.niaid.nih.gov/transcriptome/Anopheles_sialome/links/cluster-b/anopheline-sialome-cds-pep-larger-orf40-50SimCLTL21.txt", 17)</f>
        <v>17</v>
      </c>
      <c r="BT67">
        <f>HYPERLINK("http://exon.niaid.nih.gov/transcriptome/Anopheles_sialome/links/cluster-b/anopheline-sialome-cds-pep-larger-orf45-50SimCLU25.txt", 25)</f>
        <v>25</v>
      </c>
      <c r="BU67">
        <f>HYPERLINK("http://exon.niaid.nih.gov/transcriptome/Anopheles_sialome/links/cluster-b/anopheline-sialome-cds-pep-larger-orf45-50SimCLTL25.txt", 17)</f>
        <v>17</v>
      </c>
      <c r="BV67">
        <f>HYPERLINK("http://exon.niaid.nih.gov/transcriptome/Anopheles_sialome/links/cluster-b/anopheline-sialome-cds-pep-larger-orf50-50SimCLU24.txt", 24)</f>
        <v>24</v>
      </c>
      <c r="BW67">
        <f>HYPERLINK("http://exon.niaid.nih.gov/transcriptome/Anopheles_sialome/links/cluster-b/anopheline-sialome-cds-pep-larger-orf50-50SimCLTL24.txt", 17)</f>
        <v>17</v>
      </c>
      <c r="BX67">
        <f>HYPERLINK("http://exon.niaid.nih.gov/transcriptome/Anopheles_sialome/links/cluster-b/anopheline-sialome-cds-pep-larger-orf55-50SimCLU24.txt", 24)</f>
        <v>24</v>
      </c>
      <c r="BY67">
        <f>HYPERLINK("http://exon.niaid.nih.gov/transcriptome/Anopheles_sialome/links/cluster-b/anopheline-sialome-cds-pep-larger-orf55-50SimCLTL24.txt", 17)</f>
        <v>17</v>
      </c>
      <c r="BZ67">
        <f>HYPERLINK("http://exon.niaid.nih.gov/transcriptome/Anopheles_sialome/links/cluster-b/anopheline-sialome-cds-pep-larger-orf60-50SimCLU20.txt", 20)</f>
        <v>20</v>
      </c>
      <c r="CA67">
        <f>HYPERLINK("http://exon.niaid.nih.gov/transcriptome/Anopheles_sialome/links/cluster-b/anopheline-sialome-cds-pep-larger-orf60-50SimCLTL20.txt", 17)</f>
        <v>17</v>
      </c>
      <c r="CB67">
        <f>HYPERLINK("http://exon.niaid.nih.gov/transcriptome/Anopheles_sialome/links/cluster-b/anopheline-sialome-cds-pep-larger-orf65-50SimCLU18.txt", 18)</f>
        <v>18</v>
      </c>
      <c r="CC67">
        <f>HYPERLINK("http://exon.niaid.nih.gov/transcriptome/Anopheles_sialome/links/cluster-b/anopheline-sialome-cds-pep-larger-orf65-50SimCLTL18.txt", 17)</f>
        <v>17</v>
      </c>
      <c r="CD67">
        <f>HYPERLINK("http://exon.niaid.nih.gov/transcriptome/Anopheles_sialome/links/cluster-b/anopheline-sialome-cds-pep-larger-orf70-50SimCLU34.txt", 34)</f>
        <v>34</v>
      </c>
      <c r="CE67">
        <f>HYPERLINK("http://exon.niaid.nih.gov/transcriptome/Anopheles_sialome/links/cluster-b/anopheline-sialome-cds-pep-larger-orf70-50SimCLTL34.txt", 13)</f>
        <v>13</v>
      </c>
      <c r="CF67">
        <f>HYPERLINK("http://exon.niaid.nih.gov/transcriptome/Anopheles_sialome/links/cluster-b/anopheline-sialome-cds-pep-larger-orf75-50SimCLU46.txt", 46)</f>
        <v>46</v>
      </c>
      <c r="CG67">
        <f>HYPERLINK("http://exon.niaid.nih.gov/transcriptome/Anopheles_sialome/links/cluster-b/anopheline-sialome-cds-pep-larger-orf75-50SimCLTL46.txt", 5)</f>
        <v>5</v>
      </c>
      <c r="CH67">
        <f>HYPERLINK("http://exon.niaid.nih.gov/transcriptome/Anopheles_sialome/links/cluster-b/anopheline-sialome-cds-pep-larger-orf80-50SimCLU52.txt", 52)</f>
        <v>52</v>
      </c>
      <c r="CI67">
        <f>HYPERLINK("http://exon.niaid.nih.gov/transcriptome/Anopheles_sialome/links/cluster-b/anopheline-sialome-cds-pep-larger-orf80-50SimCLTL52.txt", 4)</f>
        <v>4</v>
      </c>
      <c r="CJ67">
        <f>HYPERLINK("http://exon.niaid.nih.gov/transcriptome/Anopheles_sialome/links/cluster-b/anopheline-sialome-cds-pep-larger-orf85-50SimCLU88.txt", 88)</f>
        <v>88</v>
      </c>
      <c r="CK67">
        <f>HYPERLINK("http://exon.niaid.nih.gov/transcriptome/Anopheles_sialome/links/cluster-b/anopheline-sialome-cds-pep-larger-orf85-50SimCLTL88.txt", 2)</f>
        <v>2</v>
      </c>
      <c r="CL67">
        <v>292</v>
      </c>
      <c r="CM67">
        <v>1</v>
      </c>
      <c r="CN67">
        <v>329</v>
      </c>
      <c r="CO67">
        <v>1</v>
      </c>
    </row>
    <row r="68" spans="1:93">
      <c r="A68" s="2" t="str">
        <f>HYPERLINK("http://exon.niaid.nih.gov/transcriptome/Anopheles_sialome/links/cds/anomin_Sal_amy-cds.txt","anomin_Sal_amy")</f>
        <v>anomin_Sal_amy</v>
      </c>
      <c r="B68">
        <v>2205</v>
      </c>
      <c r="C68" t="s">
        <v>326</v>
      </c>
      <c r="D68" t="s">
        <v>7</v>
      </c>
      <c r="E68" t="s">
        <v>5</v>
      </c>
      <c r="F68" t="s">
        <v>1</v>
      </c>
      <c r="G68" t="str">
        <f>HYPERLINK("http://exon.niaid.nih.gov/transcriptome/Anopheles_sialome/links/pep/anomin_Sal_amy-pep.txt","anomin_Sal_amy")</f>
        <v>anomin_Sal_amy</v>
      </c>
      <c r="H68">
        <v>734</v>
      </c>
      <c r="I68">
        <v>2</v>
      </c>
      <c r="J68" s="3" t="str">
        <f>HYPERLINK("http://exon.niaid.nih.gov/transcriptome/Anopheles_sialome/links/Sigp/anomin_Sal_amy-SigP.txt","BL")</f>
        <v>BL</v>
      </c>
      <c r="K68" t="s">
        <v>1536</v>
      </c>
      <c r="L68">
        <v>79.536000000000001</v>
      </c>
      <c r="M68">
        <v>5.25</v>
      </c>
      <c r="N68">
        <v>78.138000000000005</v>
      </c>
      <c r="O68">
        <v>5.25</v>
      </c>
      <c r="P68" t="s">
        <v>1537</v>
      </c>
      <c r="Q68" s="3">
        <v>0</v>
      </c>
      <c r="R68" t="s">
        <v>128</v>
      </c>
      <c r="S68" t="s">
        <v>128</v>
      </c>
      <c r="T68" t="s">
        <v>128</v>
      </c>
      <c r="U68" t="s">
        <v>128</v>
      </c>
      <c r="V68" t="s">
        <v>128</v>
      </c>
      <c r="W68" s="3" t="str">
        <f>HYPERLINK("http://exon.niaid.nih.gov/transcriptome/Anopheles_sialome/links/netoglyc/anomin_Sal_amy-netoglyc.txt","0")</f>
        <v>0</v>
      </c>
      <c r="X68">
        <v>17.399999999999999</v>
      </c>
      <c r="Y68">
        <v>7.2</v>
      </c>
      <c r="Z68">
        <v>6.4</v>
      </c>
      <c r="AA68" t="s">
        <v>654</v>
      </c>
      <c r="AB68" t="s">
        <v>128</v>
      </c>
      <c r="AC68" s="2" t="str">
        <f>HYPERLINK("http://exon.niaid.nih.gov/transcriptome/Anopheles_sialome/links/DIPTERA/anomin_Sal_amy-DIPTERA.txt","AGAP006371-PA-like protein")</f>
        <v>AGAP006371-PA-like protein</v>
      </c>
      <c r="AD68" t="str">
        <f t="shared" si="26"/>
        <v>0.0</v>
      </c>
      <c r="AE68" t="str">
        <f t="shared" si="27"/>
        <v>gi|668461036</v>
      </c>
      <c r="AF68">
        <v>60</v>
      </c>
      <c r="AG68">
        <v>73</v>
      </c>
      <c r="AH68">
        <v>101</v>
      </c>
      <c r="AI68" t="s">
        <v>2277</v>
      </c>
      <c r="AJ68" s="2" t="str">
        <f>HYPERLINK("http://exon.niaid.nih.gov/transcriptome/Anopheles_sialome/links/CULICOMORPHA/anomin_Sal_amy-CULICOMORPHA.txt","AGAP006371-PA-like protein")</f>
        <v>AGAP006371-PA-like protein</v>
      </c>
      <c r="AK68" t="str">
        <f t="shared" si="28"/>
        <v>0.0</v>
      </c>
      <c r="AL68" t="str">
        <f t="shared" si="29"/>
        <v>gi|668461036</v>
      </c>
      <c r="AM68">
        <v>60</v>
      </c>
      <c r="AN68">
        <v>73</v>
      </c>
      <c r="AO68">
        <v>101</v>
      </c>
      <c r="AP68" t="s">
        <v>2277</v>
      </c>
      <c r="AQ68" s="2" t="str">
        <f>HYPERLINK("http://exon.niaid.nih.gov/transcriptome/Anopheles_sialome/links/NR-LIGHT/anomin_Sal_amy-NR-LIGHT.txt","AGAP006371-PA-like protein")</f>
        <v>AGAP006371-PA-like protein</v>
      </c>
      <c r="AR68" t="str">
        <f t="shared" si="30"/>
        <v>0.0</v>
      </c>
      <c r="AS68" t="str">
        <f t="shared" si="31"/>
        <v>gi|668461036</v>
      </c>
      <c r="AT68">
        <v>60</v>
      </c>
      <c r="AU68">
        <v>73</v>
      </c>
      <c r="AV68">
        <v>101</v>
      </c>
      <c r="AW68" t="s">
        <v>2277</v>
      </c>
      <c r="AX68" s="2" t="str">
        <f>HYPERLINK("http://exon.niaid.nih.gov/transcriptome/Anopheles_sialome/links/CDD/anomin_Sal_amy-CDD.txt","AmyAc_bac_euk_A")</f>
        <v>AmyAc_bac_euk_A</v>
      </c>
      <c r="AY68" t="str">
        <f>HYPERLINK("http://www.ncbi.nlm.nih.gov/Structure/cdd/cddsrv.cgi?uid=cd11317&amp;version=v4.0","1E-146")</f>
        <v>1E-146</v>
      </c>
      <c r="AZ68" t="s">
        <v>2762</v>
      </c>
      <c r="BA68" s="2" t="str">
        <f>HYPERLINK("http://exon.niaid.nih.gov/transcriptome/Anopheles_sialome/links/KOG/anomin_Sal_amy-KOG.txt","Alpha-amylase")</f>
        <v>Alpha-amylase</v>
      </c>
      <c r="BB68" t="str">
        <f>HYPERLINK("http://www.ncbi.nlm.nih.gov/Structure/cdd/cddsrv.cgi?uid=KOG2212","1E-160")</f>
        <v>1E-160</v>
      </c>
      <c r="BC68" t="s">
        <v>2308</v>
      </c>
      <c r="BD68" t="str">
        <f>HYPERLINK("http://exon.niaid.nih.gov/transcriptome/Anopheles_sialome/links/KOG/anomin_Sal_amy-KOG.txt","KOG2212")</f>
        <v>KOG2212</v>
      </c>
      <c r="BE68" t="str">
        <f>HYPERLINK("http://exon.niaid.nih.gov/transcriptome/Anopheles_sialome/links/PFAM/anomin_Sal_amy-PFAM.txt","Alpha-amylase")</f>
        <v>Alpha-amylase</v>
      </c>
      <c r="BF68" t="str">
        <f>HYPERLINK("http://pfam.sanger.ac.uk/family?acc=PF00128","6E-020")</f>
        <v>6E-020</v>
      </c>
      <c r="BG68" s="2" t="str">
        <f>HYPERLINK("http://exon.niaid.nih.gov/transcriptome/Anopheles_sialome/links/SMART/anomin_Sal_amy-SMART.txt","Aamy")</f>
        <v>Aamy</v>
      </c>
      <c r="BH68" t="str">
        <f>HYPERLINK("http://smart.embl-heidelberg.de/smart/do_annotation.pl?DOMAIN=Aamy&amp;BLAST=DUMMY","2E-026")</f>
        <v>2E-026</v>
      </c>
      <c r="BI68" t="s">
        <v>128</v>
      </c>
      <c r="BJ68" s="2" t="s">
        <v>128</v>
      </c>
      <c r="BK68" t="s">
        <v>1535</v>
      </c>
      <c r="BL68">
        <f>HYPERLINK("http://exon.niaid.nih.gov/transcriptome/Anopheles_sialome/links/cluster-b/anopheline-sialome-cds-pep-larger-orf25-50SimCLU15.txt", 15)</f>
        <v>15</v>
      </c>
      <c r="BM68">
        <f>HYPERLINK("http://exon.niaid.nih.gov/transcriptome/Anopheles_sialome/links/cluster-b/anopheline-sialome-cds-pep-larger-orf25-50SimCLTL15.txt", 17)</f>
        <v>17</v>
      </c>
      <c r="BN68">
        <f>HYPERLINK("http://exon.niaid.nih.gov/transcriptome/Anopheles_sialome/links/cluster-b/anopheline-sialome-cds-pep-larger-orf30-50SimCLU15.txt", 15)</f>
        <v>15</v>
      </c>
      <c r="BO68">
        <f>HYPERLINK("http://exon.niaid.nih.gov/transcriptome/Anopheles_sialome/links/cluster-b/anopheline-sialome-cds-pep-larger-orf30-50SimCLTL15.txt", 17)</f>
        <v>17</v>
      </c>
      <c r="BP68">
        <f>HYPERLINK("http://exon.niaid.nih.gov/transcriptome/Anopheles_sialome/links/cluster-b/anopheline-sialome-cds-pep-larger-orf35-50SimCLU17.txt", 17)</f>
        <v>17</v>
      </c>
      <c r="BQ68">
        <f>HYPERLINK("http://exon.niaid.nih.gov/transcriptome/Anopheles_sialome/links/cluster-b/anopheline-sialome-cds-pep-larger-orf35-50SimCLTL17.txt", 17)</f>
        <v>17</v>
      </c>
      <c r="BR68">
        <f>HYPERLINK("http://exon.niaid.nih.gov/transcriptome/Anopheles_sialome/links/cluster-b/anopheline-sialome-cds-pep-larger-orf40-50SimCLU21.txt", 21)</f>
        <v>21</v>
      </c>
      <c r="BS68">
        <f>HYPERLINK("http://exon.niaid.nih.gov/transcriptome/Anopheles_sialome/links/cluster-b/anopheline-sialome-cds-pep-larger-orf40-50SimCLTL21.txt", 17)</f>
        <v>17</v>
      </c>
      <c r="BT68">
        <f>HYPERLINK("http://exon.niaid.nih.gov/transcriptome/Anopheles_sialome/links/cluster-b/anopheline-sialome-cds-pep-larger-orf45-50SimCLU25.txt", 25)</f>
        <v>25</v>
      </c>
      <c r="BU68">
        <f>HYPERLINK("http://exon.niaid.nih.gov/transcriptome/Anopheles_sialome/links/cluster-b/anopheline-sialome-cds-pep-larger-orf45-50SimCLTL25.txt", 17)</f>
        <v>17</v>
      </c>
      <c r="BV68">
        <f>HYPERLINK("http://exon.niaid.nih.gov/transcriptome/Anopheles_sialome/links/cluster-b/anopheline-sialome-cds-pep-larger-orf50-50SimCLU24.txt", 24)</f>
        <v>24</v>
      </c>
      <c r="BW68">
        <f>HYPERLINK("http://exon.niaid.nih.gov/transcriptome/Anopheles_sialome/links/cluster-b/anopheline-sialome-cds-pep-larger-orf50-50SimCLTL24.txt", 17)</f>
        <v>17</v>
      </c>
      <c r="BX68">
        <f>HYPERLINK("http://exon.niaid.nih.gov/transcriptome/Anopheles_sialome/links/cluster-b/anopheline-sialome-cds-pep-larger-orf55-50SimCLU24.txt", 24)</f>
        <v>24</v>
      </c>
      <c r="BY68">
        <f>HYPERLINK("http://exon.niaid.nih.gov/transcriptome/Anopheles_sialome/links/cluster-b/anopheline-sialome-cds-pep-larger-orf55-50SimCLTL24.txt", 17)</f>
        <v>17</v>
      </c>
      <c r="BZ68">
        <f>HYPERLINK("http://exon.niaid.nih.gov/transcriptome/Anopheles_sialome/links/cluster-b/anopheline-sialome-cds-pep-larger-orf60-50SimCLU20.txt", 20)</f>
        <v>20</v>
      </c>
      <c r="CA68">
        <f>HYPERLINK("http://exon.niaid.nih.gov/transcriptome/Anopheles_sialome/links/cluster-b/anopheline-sialome-cds-pep-larger-orf60-50SimCLTL20.txt", 17)</f>
        <v>17</v>
      </c>
      <c r="CB68">
        <f>HYPERLINK("http://exon.niaid.nih.gov/transcriptome/Anopheles_sialome/links/cluster-b/anopheline-sialome-cds-pep-larger-orf65-50SimCLU18.txt", 18)</f>
        <v>18</v>
      </c>
      <c r="CC68">
        <f>HYPERLINK("http://exon.niaid.nih.gov/transcriptome/Anopheles_sialome/links/cluster-b/anopheline-sialome-cds-pep-larger-orf65-50SimCLTL18.txt", 17)</f>
        <v>17</v>
      </c>
      <c r="CD68">
        <f>HYPERLINK("http://exon.niaid.nih.gov/transcriptome/Anopheles_sialome/links/cluster-b/anopheline-sialome-cds-pep-larger-orf70-50SimCLU34.txt", 34)</f>
        <v>34</v>
      </c>
      <c r="CE68">
        <f>HYPERLINK("http://exon.niaid.nih.gov/transcriptome/Anopheles_sialome/links/cluster-b/anopheline-sialome-cds-pep-larger-orf70-50SimCLTL34.txt", 13)</f>
        <v>13</v>
      </c>
      <c r="CF68">
        <f>HYPERLINK("http://exon.niaid.nih.gov/transcriptome/Anopheles_sialome/links/cluster-b/anopheline-sialome-cds-pep-larger-orf75-50SimCLU46.txt", 46)</f>
        <v>46</v>
      </c>
      <c r="CG68">
        <f>HYPERLINK("http://exon.niaid.nih.gov/transcriptome/Anopheles_sialome/links/cluster-b/anopheline-sialome-cds-pep-larger-orf75-50SimCLTL46.txt", 5)</f>
        <v>5</v>
      </c>
      <c r="CH68">
        <f>HYPERLINK("http://exon.niaid.nih.gov/transcriptome/Anopheles_sialome/links/cluster-b/anopheline-sialome-cds-pep-larger-orf80-50SimCLU52.txt", 52)</f>
        <v>52</v>
      </c>
      <c r="CI68">
        <f>HYPERLINK("http://exon.niaid.nih.gov/transcriptome/Anopheles_sialome/links/cluster-b/anopheline-sialome-cds-pep-larger-orf80-50SimCLTL52.txt", 4)</f>
        <v>4</v>
      </c>
      <c r="CJ68">
        <f>HYPERLINK("http://exon.niaid.nih.gov/transcriptome/Anopheles_sialome/links/cluster-b/anopheline-sialome-cds-pep-larger-orf85-50SimCLU88.txt", 88)</f>
        <v>88</v>
      </c>
      <c r="CK68">
        <f>HYPERLINK("http://exon.niaid.nih.gov/transcriptome/Anopheles_sialome/links/cluster-b/anopheline-sialome-cds-pep-larger-orf85-50SimCLTL88.txt", 2)</f>
        <v>2</v>
      </c>
      <c r="CL68">
        <v>293</v>
      </c>
      <c r="CM68">
        <v>1</v>
      </c>
      <c r="CN68">
        <v>330</v>
      </c>
      <c r="CO68">
        <v>1</v>
      </c>
    </row>
    <row r="69" spans="1:93">
      <c r="A69" s="2" t="str">
        <f>HYPERLINK("http://exon.niaid.nih.gov/transcriptome/Anopheles_sialome/links/cds/anocul_Sal_amy-cds.txt","anocul_Sal_amy")</f>
        <v>anocul_Sal_amy</v>
      </c>
      <c r="B69">
        <v>2370</v>
      </c>
      <c r="C69" t="s">
        <v>327</v>
      </c>
      <c r="D69" t="s">
        <v>7</v>
      </c>
      <c r="E69" t="s">
        <v>5</v>
      </c>
      <c r="F69" t="s">
        <v>1</v>
      </c>
      <c r="G69" t="str">
        <f>HYPERLINK("http://exon.niaid.nih.gov/transcriptome/Anopheles_sialome/links/pep/anocul_Sal_amy-pep.txt","anocul_Sal_amy")</f>
        <v>anocul_Sal_amy</v>
      </c>
      <c r="H69">
        <v>789</v>
      </c>
      <c r="I69">
        <v>2</v>
      </c>
      <c r="J69" s="3" t="str">
        <f>HYPERLINK("http://exon.niaid.nih.gov/transcriptome/Anopheles_sialome/links/Sigp/anocul_Sal_amy-SigP.txt","SIG")</f>
        <v>SIG</v>
      </c>
      <c r="K69" t="s">
        <v>692</v>
      </c>
      <c r="L69">
        <v>85.352999999999994</v>
      </c>
      <c r="M69">
        <v>5.32</v>
      </c>
      <c r="N69">
        <v>83.227999999999994</v>
      </c>
      <c r="O69">
        <v>5.32</v>
      </c>
      <c r="P69" t="s">
        <v>1539</v>
      </c>
      <c r="Q69" s="3">
        <v>0</v>
      </c>
      <c r="R69" t="s">
        <v>128</v>
      </c>
      <c r="S69" t="s">
        <v>128</v>
      </c>
      <c r="T69" t="s">
        <v>128</v>
      </c>
      <c r="U69" t="s">
        <v>128</v>
      </c>
      <c r="V69" t="s">
        <v>128</v>
      </c>
      <c r="W69" s="3" t="str">
        <f>HYPERLINK("http://exon.niaid.nih.gov/transcriptome/Anopheles_sialome/links/netoglyc/anocul_Sal_amy-netoglyc.txt","2")</f>
        <v>2</v>
      </c>
      <c r="X69">
        <v>18</v>
      </c>
      <c r="Y69">
        <v>7.2</v>
      </c>
      <c r="Z69">
        <v>7.1</v>
      </c>
      <c r="AA69" t="s">
        <v>654</v>
      </c>
      <c r="AB69" t="s">
        <v>128</v>
      </c>
      <c r="AC69" s="2" t="str">
        <f>HYPERLINK("http://exon.niaid.nih.gov/transcriptome/Anopheles_sialome/links/DIPTERA/anocul_Sal_amy-DIPTERA.txt","AGAP006371-PA-like protein")</f>
        <v>AGAP006371-PA-like protein</v>
      </c>
      <c r="AD69" t="str">
        <f t="shared" si="26"/>
        <v>0.0</v>
      </c>
      <c r="AE69" t="str">
        <f t="shared" si="27"/>
        <v>gi|668461036</v>
      </c>
      <c r="AF69">
        <v>59</v>
      </c>
      <c r="AG69">
        <v>69</v>
      </c>
      <c r="AH69">
        <v>107</v>
      </c>
      <c r="AI69" t="s">
        <v>2277</v>
      </c>
      <c r="AJ69" s="2" t="str">
        <f>HYPERLINK("http://exon.niaid.nih.gov/transcriptome/Anopheles_sialome/links/CULICOMORPHA/anocul_Sal_amy-CULICOMORPHA.txt","AGAP006371-PA-like protein")</f>
        <v>AGAP006371-PA-like protein</v>
      </c>
      <c r="AK69" t="str">
        <f t="shared" si="28"/>
        <v>0.0</v>
      </c>
      <c r="AL69" t="str">
        <f t="shared" si="29"/>
        <v>gi|668461036</v>
      </c>
      <c r="AM69">
        <v>59</v>
      </c>
      <c r="AN69">
        <v>69</v>
      </c>
      <c r="AO69">
        <v>107</v>
      </c>
      <c r="AP69" t="s">
        <v>2277</v>
      </c>
      <c r="AQ69" s="2" t="str">
        <f>HYPERLINK("http://exon.niaid.nih.gov/transcriptome/Anopheles_sialome/links/NR-LIGHT/anocul_Sal_amy-NR-LIGHT.txt","AGAP006371-PA-like protein")</f>
        <v>AGAP006371-PA-like protein</v>
      </c>
      <c r="AR69" t="str">
        <f t="shared" si="30"/>
        <v>0.0</v>
      </c>
      <c r="AS69" t="str">
        <f t="shared" si="31"/>
        <v>gi|668461036</v>
      </c>
      <c r="AT69">
        <v>59</v>
      </c>
      <c r="AU69">
        <v>69</v>
      </c>
      <c r="AV69">
        <v>107</v>
      </c>
      <c r="AW69" t="s">
        <v>2277</v>
      </c>
      <c r="AX69" s="2" t="str">
        <f>HYPERLINK("http://exon.niaid.nih.gov/transcriptome/Anopheles_sialome/links/CDD/anocul_Sal_amy-CDD.txt","AmyAc_bac_euk_A")</f>
        <v>AmyAc_bac_euk_A</v>
      </c>
      <c r="AY69" t="str">
        <f>HYPERLINK("http://www.ncbi.nlm.nih.gov/Structure/cdd/cddsrv.cgi?uid=cd11317&amp;version=v4.0","1E-145")</f>
        <v>1E-145</v>
      </c>
      <c r="AZ69" t="s">
        <v>2763</v>
      </c>
      <c r="BA69" s="2" t="str">
        <f>HYPERLINK("http://exon.niaid.nih.gov/transcriptome/Anopheles_sialome/links/KOG/anocul_Sal_amy-KOG.txt","Alpha-amylase")</f>
        <v>Alpha-amylase</v>
      </c>
      <c r="BB69" t="str">
        <f>HYPERLINK("http://www.ncbi.nlm.nih.gov/Structure/cdd/cddsrv.cgi?uid=KOG2212","1E-158")</f>
        <v>1E-158</v>
      </c>
      <c r="BC69" t="s">
        <v>2308</v>
      </c>
      <c r="BD69" t="str">
        <f>HYPERLINK("http://exon.niaid.nih.gov/transcriptome/Anopheles_sialome/links/KOG/anocul_Sal_amy-KOG.txt","KOG2212")</f>
        <v>KOG2212</v>
      </c>
      <c r="BE69" t="str">
        <f>HYPERLINK("http://exon.niaid.nih.gov/transcriptome/Anopheles_sialome/links/PFAM/anocul_Sal_amy-PFAM.txt","Alpha-amylase")</f>
        <v>Alpha-amylase</v>
      </c>
      <c r="BF69" t="str">
        <f>HYPERLINK("http://pfam.sanger.ac.uk/family?acc=PF00128","4E-018")</f>
        <v>4E-018</v>
      </c>
      <c r="BG69" s="2" t="str">
        <f>HYPERLINK("http://exon.niaid.nih.gov/transcriptome/Anopheles_sialome/links/SMART/anocul_Sal_amy-SMART.txt","Aamy")</f>
        <v>Aamy</v>
      </c>
      <c r="BH69" t="str">
        <f>HYPERLINK("http://smart.embl-heidelberg.de/smart/do_annotation.pl?DOMAIN=Aamy&amp;BLAST=DUMMY","2E-025")</f>
        <v>2E-025</v>
      </c>
      <c r="BI69" t="s">
        <v>128</v>
      </c>
      <c r="BJ69" s="2" t="s">
        <v>128</v>
      </c>
      <c r="BK69" t="s">
        <v>1538</v>
      </c>
      <c r="BL69">
        <f>HYPERLINK("http://exon.niaid.nih.gov/transcriptome/Anopheles_sialome/links/cluster-b/anopheline-sialome-cds-pep-larger-orf25-50SimCLU15.txt", 15)</f>
        <v>15</v>
      </c>
      <c r="BM69">
        <f>HYPERLINK("http://exon.niaid.nih.gov/transcriptome/Anopheles_sialome/links/cluster-b/anopheline-sialome-cds-pep-larger-orf25-50SimCLTL15.txt", 17)</f>
        <v>17</v>
      </c>
      <c r="BN69">
        <f>HYPERLINK("http://exon.niaid.nih.gov/transcriptome/Anopheles_sialome/links/cluster-b/anopheline-sialome-cds-pep-larger-orf30-50SimCLU15.txt", 15)</f>
        <v>15</v>
      </c>
      <c r="BO69">
        <f>HYPERLINK("http://exon.niaid.nih.gov/transcriptome/Anopheles_sialome/links/cluster-b/anopheline-sialome-cds-pep-larger-orf30-50SimCLTL15.txt", 17)</f>
        <v>17</v>
      </c>
      <c r="BP69">
        <f>HYPERLINK("http://exon.niaid.nih.gov/transcriptome/Anopheles_sialome/links/cluster-b/anopheline-sialome-cds-pep-larger-orf35-50SimCLU17.txt", 17)</f>
        <v>17</v>
      </c>
      <c r="BQ69">
        <f>HYPERLINK("http://exon.niaid.nih.gov/transcriptome/Anopheles_sialome/links/cluster-b/anopheline-sialome-cds-pep-larger-orf35-50SimCLTL17.txt", 17)</f>
        <v>17</v>
      </c>
      <c r="BR69">
        <f>HYPERLINK("http://exon.niaid.nih.gov/transcriptome/Anopheles_sialome/links/cluster-b/anopheline-sialome-cds-pep-larger-orf40-50SimCLU21.txt", 21)</f>
        <v>21</v>
      </c>
      <c r="BS69">
        <f>HYPERLINK("http://exon.niaid.nih.gov/transcriptome/Anopheles_sialome/links/cluster-b/anopheline-sialome-cds-pep-larger-orf40-50SimCLTL21.txt", 17)</f>
        <v>17</v>
      </c>
      <c r="BT69">
        <f>HYPERLINK("http://exon.niaid.nih.gov/transcriptome/Anopheles_sialome/links/cluster-b/anopheline-sialome-cds-pep-larger-orf45-50SimCLU25.txt", 25)</f>
        <v>25</v>
      </c>
      <c r="BU69">
        <f>HYPERLINK("http://exon.niaid.nih.gov/transcriptome/Anopheles_sialome/links/cluster-b/anopheline-sialome-cds-pep-larger-orf45-50SimCLTL25.txt", 17)</f>
        <v>17</v>
      </c>
      <c r="BV69">
        <f>HYPERLINK("http://exon.niaid.nih.gov/transcriptome/Anopheles_sialome/links/cluster-b/anopheline-sialome-cds-pep-larger-orf50-50SimCLU24.txt", 24)</f>
        <v>24</v>
      </c>
      <c r="BW69">
        <f>HYPERLINK("http://exon.niaid.nih.gov/transcriptome/Anopheles_sialome/links/cluster-b/anopheline-sialome-cds-pep-larger-orf50-50SimCLTL24.txt", 17)</f>
        <v>17</v>
      </c>
      <c r="BX69">
        <f>HYPERLINK("http://exon.niaid.nih.gov/transcriptome/Anopheles_sialome/links/cluster-b/anopheline-sialome-cds-pep-larger-orf55-50SimCLU24.txt", 24)</f>
        <v>24</v>
      </c>
      <c r="BY69">
        <f>HYPERLINK("http://exon.niaid.nih.gov/transcriptome/Anopheles_sialome/links/cluster-b/anopheline-sialome-cds-pep-larger-orf55-50SimCLTL24.txt", 17)</f>
        <v>17</v>
      </c>
      <c r="BZ69">
        <f>HYPERLINK("http://exon.niaid.nih.gov/transcriptome/Anopheles_sialome/links/cluster-b/anopheline-sialome-cds-pep-larger-orf60-50SimCLU20.txt", 20)</f>
        <v>20</v>
      </c>
      <c r="CA69">
        <f>HYPERLINK("http://exon.niaid.nih.gov/transcriptome/Anopheles_sialome/links/cluster-b/anopheline-sialome-cds-pep-larger-orf60-50SimCLTL20.txt", 17)</f>
        <v>17</v>
      </c>
      <c r="CB69">
        <f>HYPERLINK("http://exon.niaid.nih.gov/transcriptome/Anopheles_sialome/links/cluster-b/anopheline-sialome-cds-pep-larger-orf65-50SimCLU18.txt", 18)</f>
        <v>18</v>
      </c>
      <c r="CC69">
        <f>HYPERLINK("http://exon.niaid.nih.gov/transcriptome/Anopheles_sialome/links/cluster-b/anopheline-sialome-cds-pep-larger-orf65-50SimCLTL18.txt", 17)</f>
        <v>17</v>
      </c>
      <c r="CD69">
        <f>HYPERLINK("http://exon.niaid.nih.gov/transcriptome/Anopheles_sialome/links/cluster-b/anopheline-sialome-cds-pep-larger-orf70-50SimCLU34.txt", 34)</f>
        <v>34</v>
      </c>
      <c r="CE69">
        <f>HYPERLINK("http://exon.niaid.nih.gov/transcriptome/Anopheles_sialome/links/cluster-b/anopheline-sialome-cds-pep-larger-orf70-50SimCLTL34.txt", 13)</f>
        <v>13</v>
      </c>
      <c r="CF69">
        <f>HYPERLINK("http://exon.niaid.nih.gov/transcriptome/Anopheles_sialome/links/cluster-b/anopheline-sialome-cds-pep-larger-orf75-50SimCLU46.txt", 46)</f>
        <v>46</v>
      </c>
      <c r="CG69">
        <f>HYPERLINK("http://exon.niaid.nih.gov/transcriptome/Anopheles_sialome/links/cluster-b/anopheline-sialome-cds-pep-larger-orf75-50SimCLTL46.txt", 5)</f>
        <v>5</v>
      </c>
      <c r="CH69">
        <f>HYPERLINK("http://exon.niaid.nih.gov/transcriptome/Anopheles_sialome/links/cluster-b/anopheline-sialome-cds-pep-larger-orf80-50SimCLU52.txt", 52)</f>
        <v>52</v>
      </c>
      <c r="CI69">
        <f>HYPERLINK("http://exon.niaid.nih.gov/transcriptome/Anopheles_sialome/links/cluster-b/anopheline-sialome-cds-pep-larger-orf80-50SimCLTL52.txt", 4)</f>
        <v>4</v>
      </c>
      <c r="CJ69">
        <v>242</v>
      </c>
      <c r="CK69">
        <v>1</v>
      </c>
      <c r="CL69">
        <v>294</v>
      </c>
      <c r="CM69">
        <v>1</v>
      </c>
      <c r="CN69">
        <v>331</v>
      </c>
      <c r="CO69">
        <v>1</v>
      </c>
    </row>
    <row r="70" spans="1:93">
      <c r="A70" s="2" t="str">
        <f>HYPERLINK("http://exon.niaid.nih.gov/transcriptome/Anopheles_sialome/links/cds/anoste_Sal_amy-cds.txt","anoste_Sal_amy")</f>
        <v>anoste_Sal_amy</v>
      </c>
      <c r="B70">
        <v>2295</v>
      </c>
      <c r="C70" t="s">
        <v>328</v>
      </c>
      <c r="D70" t="s">
        <v>7</v>
      </c>
      <c r="E70" t="s">
        <v>5</v>
      </c>
      <c r="F70" t="s">
        <v>1</v>
      </c>
      <c r="G70" t="str">
        <f>HYPERLINK("http://exon.niaid.nih.gov/transcriptome/Anopheles_sialome/links/pep/anoste_Sal_amy-pep.txt","anoste_Sal_amy")</f>
        <v>anoste_Sal_amy</v>
      </c>
      <c r="H70">
        <v>764</v>
      </c>
      <c r="I70">
        <v>5</v>
      </c>
      <c r="J70" s="3" t="str">
        <f>HYPERLINK("http://exon.niaid.nih.gov/transcriptome/Anopheles_sialome/links/Sigp/anoste_Sal_amy-SigP.txt","SIG")</f>
        <v>SIG</v>
      </c>
      <c r="K70" t="s">
        <v>689</v>
      </c>
      <c r="L70">
        <v>82.433000000000007</v>
      </c>
      <c r="M70">
        <v>5.54</v>
      </c>
      <c r="N70">
        <v>80.328999999999994</v>
      </c>
      <c r="O70">
        <v>5.48</v>
      </c>
      <c r="P70" t="s">
        <v>1541</v>
      </c>
      <c r="Q70" s="3">
        <v>0</v>
      </c>
      <c r="R70" t="s">
        <v>128</v>
      </c>
      <c r="S70" t="s">
        <v>128</v>
      </c>
      <c r="T70" t="s">
        <v>128</v>
      </c>
      <c r="U70" t="s">
        <v>128</v>
      </c>
      <c r="V70" t="s">
        <v>128</v>
      </c>
      <c r="W70" s="3" t="str">
        <f>HYPERLINK("http://exon.niaid.nih.gov/transcriptome/Anopheles_sialome/links/netoglyc/anoste_Sal_amy-netoglyc.txt","2")</f>
        <v>2</v>
      </c>
      <c r="X70">
        <v>16.600000000000001</v>
      </c>
      <c r="Y70">
        <v>7.5</v>
      </c>
      <c r="Z70">
        <v>6.8</v>
      </c>
      <c r="AA70" t="s">
        <v>654</v>
      </c>
      <c r="AB70" t="s">
        <v>128</v>
      </c>
      <c r="AC70" s="2" t="str">
        <f>HYPERLINK("http://exon.niaid.nih.gov/transcriptome/Anopheles_sialome/links/DIPTERA/anoste_Sal_amy-DIPTERA.txt","AGAP006371-PA-like protein")</f>
        <v>AGAP006371-PA-like protein</v>
      </c>
      <c r="AD70" t="str">
        <f t="shared" si="26"/>
        <v>0.0</v>
      </c>
      <c r="AE70" t="str">
        <f t="shared" si="27"/>
        <v>gi|668461036</v>
      </c>
      <c r="AF70">
        <v>56</v>
      </c>
      <c r="AG70">
        <v>68</v>
      </c>
      <c r="AH70">
        <v>106</v>
      </c>
      <c r="AI70" t="s">
        <v>2277</v>
      </c>
      <c r="AJ70" s="2" t="str">
        <f>HYPERLINK("http://exon.niaid.nih.gov/transcriptome/Anopheles_sialome/links/CULICOMORPHA/anoste_Sal_amy-CULICOMORPHA.txt","AGAP006371-PA-like protein")</f>
        <v>AGAP006371-PA-like protein</v>
      </c>
      <c r="AK70" t="str">
        <f t="shared" si="28"/>
        <v>0.0</v>
      </c>
      <c r="AL70" t="str">
        <f t="shared" si="29"/>
        <v>gi|668461036</v>
      </c>
      <c r="AM70">
        <v>56</v>
      </c>
      <c r="AN70">
        <v>68</v>
      </c>
      <c r="AO70">
        <v>106</v>
      </c>
      <c r="AP70" t="s">
        <v>2277</v>
      </c>
      <c r="AQ70" s="2" t="str">
        <f>HYPERLINK("http://exon.niaid.nih.gov/transcriptome/Anopheles_sialome/links/NR-LIGHT/anoste_Sal_amy-NR-LIGHT.txt","AGAP006371-PA-like protein")</f>
        <v>AGAP006371-PA-like protein</v>
      </c>
      <c r="AR70" t="str">
        <f t="shared" si="30"/>
        <v>0.0</v>
      </c>
      <c r="AS70" t="str">
        <f t="shared" si="31"/>
        <v>gi|668461036</v>
      </c>
      <c r="AT70">
        <v>56</v>
      </c>
      <c r="AU70">
        <v>68</v>
      </c>
      <c r="AV70">
        <v>106</v>
      </c>
      <c r="AW70" t="s">
        <v>2277</v>
      </c>
      <c r="AX70" s="2" t="str">
        <f>HYPERLINK("http://exon.niaid.nih.gov/transcriptome/Anopheles_sialome/links/CDD/anoste_Sal_amy-CDD.txt","AmyAc_bac_euk_A")</f>
        <v>AmyAc_bac_euk_A</v>
      </c>
      <c r="AY70" t="str">
        <f>HYPERLINK("http://www.ncbi.nlm.nih.gov/Structure/cdd/cddsrv.cgi?uid=cd11317&amp;version=v4.0","1E-146")</f>
        <v>1E-146</v>
      </c>
      <c r="AZ70" t="s">
        <v>2764</v>
      </c>
      <c r="BA70" s="2" t="str">
        <f>HYPERLINK("http://exon.niaid.nih.gov/transcriptome/Anopheles_sialome/links/KOG/anoste_Sal_amy-KOG.txt","Alpha-amylase")</f>
        <v>Alpha-amylase</v>
      </c>
      <c r="BB70" t="str">
        <f>HYPERLINK("http://www.ncbi.nlm.nih.gov/Structure/cdd/cddsrv.cgi?uid=KOG2212","1E-159")</f>
        <v>1E-159</v>
      </c>
      <c r="BC70" t="s">
        <v>2308</v>
      </c>
      <c r="BD70" t="str">
        <f>HYPERLINK("http://exon.niaid.nih.gov/transcriptome/Anopheles_sialome/links/KOG/anoste_Sal_amy-KOG.txt","KOG2212")</f>
        <v>KOG2212</v>
      </c>
      <c r="BE70" t="str">
        <f>HYPERLINK("http://exon.niaid.nih.gov/transcriptome/Anopheles_sialome/links/PFAM/anoste_Sal_amy-PFAM.txt","Alpha-amylase")</f>
        <v>Alpha-amylase</v>
      </c>
      <c r="BF70" t="str">
        <f>HYPERLINK("http://pfam.sanger.ac.uk/family?acc=PF00128","4E-018")</f>
        <v>4E-018</v>
      </c>
      <c r="BG70" s="2" t="str">
        <f>HYPERLINK("http://exon.niaid.nih.gov/transcriptome/Anopheles_sialome/links/SMART/anoste_Sal_amy-SMART.txt","Aamy")</f>
        <v>Aamy</v>
      </c>
      <c r="BH70" t="str">
        <f>HYPERLINK("http://smart.embl-heidelberg.de/smart/do_annotation.pl?DOMAIN=Aamy&amp;BLAST=DUMMY","1E-026")</f>
        <v>1E-026</v>
      </c>
      <c r="BI70" t="s">
        <v>128</v>
      </c>
      <c r="BJ70" s="2" t="s">
        <v>128</v>
      </c>
      <c r="BK70" t="s">
        <v>1540</v>
      </c>
      <c r="BL70">
        <f>HYPERLINK("http://exon.niaid.nih.gov/transcriptome/Anopheles_sialome/links/cluster-b/anopheline-sialome-cds-pep-larger-orf25-50SimCLU15.txt", 15)</f>
        <v>15</v>
      </c>
      <c r="BM70">
        <f>HYPERLINK("http://exon.niaid.nih.gov/transcriptome/Anopheles_sialome/links/cluster-b/anopheline-sialome-cds-pep-larger-orf25-50SimCLTL15.txt", 17)</f>
        <v>17</v>
      </c>
      <c r="BN70">
        <f>HYPERLINK("http://exon.niaid.nih.gov/transcriptome/Anopheles_sialome/links/cluster-b/anopheline-sialome-cds-pep-larger-orf30-50SimCLU15.txt", 15)</f>
        <v>15</v>
      </c>
      <c r="BO70">
        <f>HYPERLINK("http://exon.niaid.nih.gov/transcriptome/Anopheles_sialome/links/cluster-b/anopheline-sialome-cds-pep-larger-orf30-50SimCLTL15.txt", 17)</f>
        <v>17</v>
      </c>
      <c r="BP70">
        <f>HYPERLINK("http://exon.niaid.nih.gov/transcriptome/Anopheles_sialome/links/cluster-b/anopheline-sialome-cds-pep-larger-orf35-50SimCLU17.txt", 17)</f>
        <v>17</v>
      </c>
      <c r="BQ70">
        <f>HYPERLINK("http://exon.niaid.nih.gov/transcriptome/Anopheles_sialome/links/cluster-b/anopheline-sialome-cds-pep-larger-orf35-50SimCLTL17.txt", 17)</f>
        <v>17</v>
      </c>
      <c r="BR70">
        <f>HYPERLINK("http://exon.niaid.nih.gov/transcriptome/Anopheles_sialome/links/cluster-b/anopheline-sialome-cds-pep-larger-orf40-50SimCLU21.txt", 21)</f>
        <v>21</v>
      </c>
      <c r="BS70">
        <f>HYPERLINK("http://exon.niaid.nih.gov/transcriptome/Anopheles_sialome/links/cluster-b/anopheline-sialome-cds-pep-larger-orf40-50SimCLTL21.txt", 17)</f>
        <v>17</v>
      </c>
      <c r="BT70">
        <f>HYPERLINK("http://exon.niaid.nih.gov/transcriptome/Anopheles_sialome/links/cluster-b/anopheline-sialome-cds-pep-larger-orf45-50SimCLU25.txt", 25)</f>
        <v>25</v>
      </c>
      <c r="BU70">
        <f>HYPERLINK("http://exon.niaid.nih.gov/transcriptome/Anopheles_sialome/links/cluster-b/anopheline-sialome-cds-pep-larger-orf45-50SimCLTL25.txt", 17)</f>
        <v>17</v>
      </c>
      <c r="BV70">
        <f>HYPERLINK("http://exon.niaid.nih.gov/transcriptome/Anopheles_sialome/links/cluster-b/anopheline-sialome-cds-pep-larger-orf50-50SimCLU24.txt", 24)</f>
        <v>24</v>
      </c>
      <c r="BW70">
        <f>HYPERLINK("http://exon.niaid.nih.gov/transcriptome/Anopheles_sialome/links/cluster-b/anopheline-sialome-cds-pep-larger-orf50-50SimCLTL24.txt", 17)</f>
        <v>17</v>
      </c>
      <c r="BX70">
        <f>HYPERLINK("http://exon.niaid.nih.gov/transcriptome/Anopheles_sialome/links/cluster-b/anopheline-sialome-cds-pep-larger-orf55-50SimCLU24.txt", 24)</f>
        <v>24</v>
      </c>
      <c r="BY70">
        <f>HYPERLINK("http://exon.niaid.nih.gov/transcriptome/Anopheles_sialome/links/cluster-b/anopheline-sialome-cds-pep-larger-orf55-50SimCLTL24.txt", 17)</f>
        <v>17</v>
      </c>
      <c r="BZ70">
        <f>HYPERLINK("http://exon.niaid.nih.gov/transcriptome/Anopheles_sialome/links/cluster-b/anopheline-sialome-cds-pep-larger-orf60-50SimCLU20.txt", 20)</f>
        <v>20</v>
      </c>
      <c r="CA70">
        <f>HYPERLINK("http://exon.niaid.nih.gov/transcriptome/Anopheles_sialome/links/cluster-b/anopheline-sialome-cds-pep-larger-orf60-50SimCLTL20.txt", 17)</f>
        <v>17</v>
      </c>
      <c r="CB70">
        <f>HYPERLINK("http://exon.niaid.nih.gov/transcriptome/Anopheles_sialome/links/cluster-b/anopheline-sialome-cds-pep-larger-orf65-50SimCLU18.txt", 18)</f>
        <v>18</v>
      </c>
      <c r="CC70">
        <f>HYPERLINK("http://exon.niaid.nih.gov/transcriptome/Anopheles_sialome/links/cluster-b/anopheline-sialome-cds-pep-larger-orf65-50SimCLTL18.txt", 17)</f>
        <v>17</v>
      </c>
      <c r="CD70">
        <f>HYPERLINK("http://exon.niaid.nih.gov/transcriptome/Anopheles_sialome/links/cluster-b/anopheline-sialome-cds-pep-larger-orf70-50SimCLU34.txt", 34)</f>
        <v>34</v>
      </c>
      <c r="CE70">
        <f>HYPERLINK("http://exon.niaid.nih.gov/transcriptome/Anopheles_sialome/links/cluster-b/anopheline-sialome-cds-pep-larger-orf70-50SimCLTL34.txt", 13)</f>
        <v>13</v>
      </c>
      <c r="CF70">
        <f>HYPERLINK("http://exon.niaid.nih.gov/transcriptome/Anopheles_sialome/links/cluster-b/anopheline-sialome-cds-pep-larger-orf75-50SimCLU46.txt", 46)</f>
        <v>46</v>
      </c>
      <c r="CG70">
        <f>HYPERLINK("http://exon.niaid.nih.gov/transcriptome/Anopheles_sialome/links/cluster-b/anopheline-sialome-cds-pep-larger-orf75-50SimCLTL46.txt", 5)</f>
        <v>5</v>
      </c>
      <c r="CH70">
        <f>HYPERLINK("http://exon.niaid.nih.gov/transcriptome/Anopheles_sialome/links/cluster-b/anopheline-sialome-cds-pep-larger-orf80-50SimCLU52.txt", 52)</f>
        <v>52</v>
      </c>
      <c r="CI70">
        <f>HYPERLINK("http://exon.niaid.nih.gov/transcriptome/Anopheles_sialome/links/cluster-b/anopheline-sialome-cds-pep-larger-orf80-50SimCLTL52.txt", 4)</f>
        <v>4</v>
      </c>
      <c r="CJ70">
        <v>243</v>
      </c>
      <c r="CK70">
        <v>1</v>
      </c>
      <c r="CL70">
        <v>295</v>
      </c>
      <c r="CM70">
        <v>1</v>
      </c>
      <c r="CN70">
        <v>332</v>
      </c>
      <c r="CO70">
        <v>1</v>
      </c>
    </row>
    <row r="71" spans="1:93">
      <c r="A71" s="2" t="str">
        <f>HYPERLINK("http://exon.niaid.nih.gov/transcriptome/Anopheles_sialome/links/cds/anofar_Sal_amy-cds.txt","anofar_Sal_amy")</f>
        <v>anofar_Sal_amy</v>
      </c>
      <c r="B71">
        <v>1797</v>
      </c>
      <c r="C71" t="s">
        <v>329</v>
      </c>
      <c r="D71" t="s">
        <v>4</v>
      </c>
      <c r="E71" t="s">
        <v>5</v>
      </c>
      <c r="F71" t="s">
        <v>1</v>
      </c>
      <c r="G71" t="str">
        <f>HYPERLINK("http://exon.niaid.nih.gov/transcriptome/Anopheles_sialome/links/pep/anofar_Sal_amy-pep.txt","anofar_Sal_amy")</f>
        <v>anofar_Sal_amy</v>
      </c>
      <c r="H71">
        <v>598</v>
      </c>
      <c r="I71">
        <v>2</v>
      </c>
      <c r="J71" s="3" t="str">
        <f>HYPERLINK("http://exon.niaid.nih.gov/transcriptome/Anopheles_sialome/links/Sigp/anofar_Sal_amy-SigP.txt","SIG")</f>
        <v>SIG</v>
      </c>
      <c r="K71" t="s">
        <v>692</v>
      </c>
      <c r="L71">
        <v>65.664000000000001</v>
      </c>
      <c r="M71">
        <v>5.3</v>
      </c>
      <c r="N71">
        <v>63.515000000000001</v>
      </c>
      <c r="O71">
        <v>5.3</v>
      </c>
      <c r="P71" t="s">
        <v>1543</v>
      </c>
      <c r="Q71" s="3">
        <v>0</v>
      </c>
      <c r="R71" t="s">
        <v>128</v>
      </c>
      <c r="S71" t="s">
        <v>128</v>
      </c>
      <c r="T71" t="s">
        <v>128</v>
      </c>
      <c r="U71" t="s">
        <v>128</v>
      </c>
      <c r="V71" t="s">
        <v>128</v>
      </c>
      <c r="W71" s="3" t="str">
        <f>HYPERLINK("http://exon.niaid.nih.gov/transcriptome/Anopheles_sialome/links/netoglyc/anofar_Sal_amy-netoglyc.txt","8")</f>
        <v>8</v>
      </c>
      <c r="X71">
        <v>14.2</v>
      </c>
      <c r="Y71">
        <v>8.4</v>
      </c>
      <c r="Z71">
        <v>7.4</v>
      </c>
      <c r="AA71" t="s">
        <v>654</v>
      </c>
      <c r="AB71" t="s">
        <v>128</v>
      </c>
      <c r="AC71" s="2" t="str">
        <f>HYPERLINK("http://exon.niaid.nih.gov/transcriptome/Anopheles_sialome/links/DIPTERA/anofar_Sal_amy-DIPTERA.txt","AGAP006371-PA-like protein")</f>
        <v>AGAP006371-PA-like protein</v>
      </c>
      <c r="AD71" t="str">
        <f t="shared" si="26"/>
        <v>0.0</v>
      </c>
      <c r="AE71" t="str">
        <f t="shared" si="27"/>
        <v>gi|668461036</v>
      </c>
      <c r="AF71">
        <v>73</v>
      </c>
      <c r="AG71">
        <v>81</v>
      </c>
      <c r="AH71">
        <v>70</v>
      </c>
      <c r="AI71" t="s">
        <v>2277</v>
      </c>
      <c r="AJ71" s="2" t="str">
        <f>HYPERLINK("http://exon.niaid.nih.gov/transcriptome/Anopheles_sialome/links/CULICOMORPHA/anofar_Sal_amy-CULICOMORPHA.txt","AGAP006371-PA-like protein")</f>
        <v>AGAP006371-PA-like protein</v>
      </c>
      <c r="AK71" t="str">
        <f t="shared" si="28"/>
        <v>0.0</v>
      </c>
      <c r="AL71" t="str">
        <f t="shared" si="29"/>
        <v>gi|668461036</v>
      </c>
      <c r="AM71">
        <v>73</v>
      </c>
      <c r="AN71">
        <v>81</v>
      </c>
      <c r="AO71">
        <v>70</v>
      </c>
      <c r="AP71" t="s">
        <v>2277</v>
      </c>
      <c r="AQ71" s="2" t="str">
        <f>HYPERLINK("http://exon.niaid.nih.gov/transcriptome/Anopheles_sialome/links/NR-LIGHT/anofar_Sal_amy-NR-LIGHT.txt","AGAP006371-PA-like protein")</f>
        <v>AGAP006371-PA-like protein</v>
      </c>
      <c r="AR71" t="str">
        <f t="shared" si="30"/>
        <v>0.0</v>
      </c>
      <c r="AS71" t="str">
        <f t="shared" si="31"/>
        <v>gi|668461036</v>
      </c>
      <c r="AT71">
        <v>73</v>
      </c>
      <c r="AU71">
        <v>81</v>
      </c>
      <c r="AV71">
        <v>70</v>
      </c>
      <c r="AW71" t="s">
        <v>2277</v>
      </c>
      <c r="AX71" s="2" t="str">
        <f>HYPERLINK("http://exon.niaid.nih.gov/transcriptome/Anopheles_sialome/links/CDD/anofar_Sal_amy-CDD.txt","AmyAc_bac_euk_A")</f>
        <v>AmyAc_bac_euk_A</v>
      </c>
      <c r="AY71" t="str">
        <f>HYPERLINK("http://www.ncbi.nlm.nih.gov/Structure/cdd/cddsrv.cgi?uid=cd11317&amp;version=v4.0","1E-152")</f>
        <v>1E-152</v>
      </c>
      <c r="AZ71" t="s">
        <v>2765</v>
      </c>
      <c r="BA71" s="2" t="str">
        <f>HYPERLINK("http://exon.niaid.nih.gov/transcriptome/Anopheles_sialome/links/KOG/anofar_Sal_amy-KOG.txt","Alpha-amylase")</f>
        <v>Alpha-amylase</v>
      </c>
      <c r="BB71" t="str">
        <f>HYPERLINK("http://www.ncbi.nlm.nih.gov/Structure/cdd/cddsrv.cgi?uid=KOG2212","1E-166")</f>
        <v>1E-166</v>
      </c>
      <c r="BC71" t="s">
        <v>2308</v>
      </c>
      <c r="BD71" t="str">
        <f>HYPERLINK("http://exon.niaid.nih.gov/transcriptome/Anopheles_sialome/links/KOG/anofar_Sal_amy-KOG.txt","KOG2212")</f>
        <v>KOG2212</v>
      </c>
      <c r="BE71" t="str">
        <f>HYPERLINK("http://exon.niaid.nih.gov/transcriptome/Anopheles_sialome/links/PFAM/anofar_Sal_amy-PFAM.txt","Alpha-amylase")</f>
        <v>Alpha-amylase</v>
      </c>
      <c r="BF71" t="str">
        <f>HYPERLINK("http://pfam.sanger.ac.uk/family?acc=PF00128","4E-020")</f>
        <v>4E-020</v>
      </c>
      <c r="BG71" s="2" t="str">
        <f>HYPERLINK("http://exon.niaid.nih.gov/transcriptome/Anopheles_sialome/links/SMART/anofar_Sal_amy-SMART.txt","Aamy")</f>
        <v>Aamy</v>
      </c>
      <c r="BH71" t="str">
        <f>HYPERLINK("http://smart.embl-heidelberg.de/smart/do_annotation.pl?DOMAIN=Aamy&amp;BLAST=DUMMY","5E-025")</f>
        <v>5E-025</v>
      </c>
      <c r="BI71" t="s">
        <v>128</v>
      </c>
      <c r="BJ71" s="2" t="s">
        <v>128</v>
      </c>
      <c r="BK71" t="s">
        <v>1542</v>
      </c>
      <c r="BL71">
        <f>HYPERLINK("http://exon.niaid.nih.gov/transcriptome/Anopheles_sialome/links/cluster-b/anopheline-sialome-cds-pep-larger-orf25-50SimCLU15.txt", 15)</f>
        <v>15</v>
      </c>
      <c r="BM71">
        <f>HYPERLINK("http://exon.niaid.nih.gov/transcriptome/Anopheles_sialome/links/cluster-b/anopheline-sialome-cds-pep-larger-orf25-50SimCLTL15.txt", 17)</f>
        <v>17</v>
      </c>
      <c r="BN71">
        <f>HYPERLINK("http://exon.niaid.nih.gov/transcriptome/Anopheles_sialome/links/cluster-b/anopheline-sialome-cds-pep-larger-orf30-50SimCLU15.txt", 15)</f>
        <v>15</v>
      </c>
      <c r="BO71">
        <f>HYPERLINK("http://exon.niaid.nih.gov/transcriptome/Anopheles_sialome/links/cluster-b/anopheline-sialome-cds-pep-larger-orf30-50SimCLTL15.txt", 17)</f>
        <v>17</v>
      </c>
      <c r="BP71">
        <f>HYPERLINK("http://exon.niaid.nih.gov/transcriptome/Anopheles_sialome/links/cluster-b/anopheline-sialome-cds-pep-larger-orf35-50SimCLU17.txt", 17)</f>
        <v>17</v>
      </c>
      <c r="BQ71">
        <f>HYPERLINK("http://exon.niaid.nih.gov/transcriptome/Anopheles_sialome/links/cluster-b/anopheline-sialome-cds-pep-larger-orf35-50SimCLTL17.txt", 17)</f>
        <v>17</v>
      </c>
      <c r="BR71">
        <f>HYPERLINK("http://exon.niaid.nih.gov/transcriptome/Anopheles_sialome/links/cluster-b/anopheline-sialome-cds-pep-larger-orf40-50SimCLU21.txt", 21)</f>
        <v>21</v>
      </c>
      <c r="BS71">
        <f>HYPERLINK("http://exon.niaid.nih.gov/transcriptome/Anopheles_sialome/links/cluster-b/anopheline-sialome-cds-pep-larger-orf40-50SimCLTL21.txt", 17)</f>
        <v>17</v>
      </c>
      <c r="BT71">
        <f>HYPERLINK("http://exon.niaid.nih.gov/transcriptome/Anopheles_sialome/links/cluster-b/anopheline-sialome-cds-pep-larger-orf45-50SimCLU25.txt", 25)</f>
        <v>25</v>
      </c>
      <c r="BU71">
        <f>HYPERLINK("http://exon.niaid.nih.gov/transcriptome/Anopheles_sialome/links/cluster-b/anopheline-sialome-cds-pep-larger-orf45-50SimCLTL25.txt", 17)</f>
        <v>17</v>
      </c>
      <c r="BV71">
        <f>HYPERLINK("http://exon.niaid.nih.gov/transcriptome/Anopheles_sialome/links/cluster-b/anopheline-sialome-cds-pep-larger-orf50-50SimCLU24.txt", 24)</f>
        <v>24</v>
      </c>
      <c r="BW71">
        <f>HYPERLINK("http://exon.niaid.nih.gov/transcriptome/Anopheles_sialome/links/cluster-b/anopheline-sialome-cds-pep-larger-orf50-50SimCLTL24.txt", 17)</f>
        <v>17</v>
      </c>
      <c r="BX71">
        <f>HYPERLINK("http://exon.niaid.nih.gov/transcriptome/Anopheles_sialome/links/cluster-b/anopheline-sialome-cds-pep-larger-orf55-50SimCLU24.txt", 24)</f>
        <v>24</v>
      </c>
      <c r="BY71">
        <f>HYPERLINK("http://exon.niaid.nih.gov/transcriptome/Anopheles_sialome/links/cluster-b/anopheline-sialome-cds-pep-larger-orf55-50SimCLTL24.txt", 17)</f>
        <v>17</v>
      </c>
      <c r="BZ71">
        <f>HYPERLINK("http://exon.niaid.nih.gov/transcriptome/Anopheles_sialome/links/cluster-b/anopheline-sialome-cds-pep-larger-orf60-50SimCLU20.txt", 20)</f>
        <v>20</v>
      </c>
      <c r="CA71">
        <f>HYPERLINK("http://exon.niaid.nih.gov/transcriptome/Anopheles_sialome/links/cluster-b/anopheline-sialome-cds-pep-larger-orf60-50SimCLTL20.txt", 17)</f>
        <v>17</v>
      </c>
      <c r="CB71">
        <f>HYPERLINK("http://exon.niaid.nih.gov/transcriptome/Anopheles_sialome/links/cluster-b/anopheline-sialome-cds-pep-larger-orf65-50SimCLU18.txt", 18)</f>
        <v>18</v>
      </c>
      <c r="CC71">
        <f>HYPERLINK("http://exon.niaid.nih.gov/transcriptome/Anopheles_sialome/links/cluster-b/anopheline-sialome-cds-pep-larger-orf65-50SimCLTL18.txt", 17)</f>
        <v>17</v>
      </c>
      <c r="CD71">
        <f>HYPERLINK("http://exon.niaid.nih.gov/transcriptome/Anopheles_sialome/links/cluster-b/anopheline-sialome-cds-pep-larger-orf70-50SimCLU58.txt", 58)</f>
        <v>58</v>
      </c>
      <c r="CE71">
        <f>HYPERLINK("http://exon.niaid.nih.gov/transcriptome/Anopheles_sialome/links/cluster-b/anopheline-sialome-cds-pep-larger-orf70-50SimCLTL58.txt", 2)</f>
        <v>2</v>
      </c>
      <c r="CF71">
        <f>HYPERLINK("http://exon.niaid.nih.gov/transcriptome/Anopheles_sialome/links/cluster-b/anopheline-sialome-cds-pep-larger-orf75-50SimCLU75.txt", 75)</f>
        <v>75</v>
      </c>
      <c r="CG71">
        <f>HYPERLINK("http://exon.niaid.nih.gov/transcriptome/Anopheles_sialome/links/cluster-b/anopheline-sialome-cds-pep-larger-orf75-50SimCLTL75.txt", 2)</f>
        <v>2</v>
      </c>
      <c r="CH71">
        <f>HYPERLINK("http://exon.niaid.nih.gov/transcriptome/Anopheles_sialome/links/cluster-b/anopheline-sialome-cds-pep-larger-orf80-50SimCLU87.txt", 87)</f>
        <v>87</v>
      </c>
      <c r="CI71">
        <f>HYPERLINK("http://exon.niaid.nih.gov/transcriptome/Anopheles_sialome/links/cluster-b/anopheline-sialome-cds-pep-larger-orf80-50SimCLTL87.txt", 2)</f>
        <v>2</v>
      </c>
      <c r="CJ71">
        <v>244</v>
      </c>
      <c r="CK71">
        <v>1</v>
      </c>
      <c r="CL71">
        <v>296</v>
      </c>
      <c r="CM71">
        <v>1</v>
      </c>
      <c r="CN71">
        <v>333</v>
      </c>
      <c r="CO71">
        <v>1</v>
      </c>
    </row>
    <row r="72" spans="1:93">
      <c r="A72" s="2" t="str">
        <f>HYPERLINK("http://exon.niaid.nih.gov/transcriptome/Anopheles_sialome/links/cds/anodir_Sal_amy-cds.txt","anodir_Sal_amy")</f>
        <v>anodir_Sal_amy</v>
      </c>
      <c r="B72">
        <v>1887</v>
      </c>
      <c r="C72" t="s">
        <v>330</v>
      </c>
      <c r="D72" t="s">
        <v>4</v>
      </c>
      <c r="E72" t="s">
        <v>5</v>
      </c>
      <c r="F72" t="s">
        <v>1</v>
      </c>
      <c r="G72" t="str">
        <f>HYPERLINK("http://exon.niaid.nih.gov/transcriptome/Anopheles_sialome/links/pep/anodir_Sal_amy-pep.txt","anodir_Sal_amy")</f>
        <v>anodir_Sal_amy</v>
      </c>
      <c r="H72">
        <v>628</v>
      </c>
      <c r="I72">
        <v>5</v>
      </c>
      <c r="J72" s="3" t="str">
        <f>HYPERLINK("http://exon.niaid.nih.gov/transcriptome/Anopheles_sialome/links/Sigp/anodir_Sal_amy-SigP.txt","SIG")</f>
        <v>SIG</v>
      </c>
      <c r="K72" t="s">
        <v>708</v>
      </c>
      <c r="L72">
        <v>68.838999999999999</v>
      </c>
      <c r="M72">
        <v>5.88</v>
      </c>
      <c r="N72">
        <v>66.382000000000005</v>
      </c>
      <c r="O72">
        <v>5.78</v>
      </c>
      <c r="P72" t="s">
        <v>1545</v>
      </c>
      <c r="Q72" s="3" t="str">
        <f>HYPERLINK("http://exon.niaid.nih.gov/transcriptome/Anopheles_sialome/links/tmhmm/anodir_Sal_amy-tmhmm.txt","1")</f>
        <v>1</v>
      </c>
      <c r="R72">
        <v>3.5</v>
      </c>
      <c r="S72">
        <v>95.4</v>
      </c>
      <c r="T72">
        <v>1.1000000000000001</v>
      </c>
      <c r="U72" t="s">
        <v>128</v>
      </c>
      <c r="V72">
        <v>599</v>
      </c>
      <c r="W72" s="3" t="str">
        <f>HYPERLINK("http://exon.niaid.nih.gov/transcriptome/Anopheles_sialome/links/netoglyc/anodir_Sal_amy-netoglyc.txt","4")</f>
        <v>4</v>
      </c>
      <c r="X72">
        <v>13.9</v>
      </c>
      <c r="Y72">
        <v>9.1</v>
      </c>
      <c r="Z72">
        <v>7.5</v>
      </c>
      <c r="AA72" t="s">
        <v>654</v>
      </c>
      <c r="AB72" t="s">
        <v>128</v>
      </c>
      <c r="AC72" s="2" t="str">
        <f>HYPERLINK("http://exon.niaid.nih.gov/transcriptome/Anopheles_sialome/links/DIPTERA/anodir_Sal_amy-DIPTERA.txt","AGAP006371-PA-like protein")</f>
        <v>AGAP006371-PA-like protein</v>
      </c>
      <c r="AD72" t="str">
        <f t="shared" si="26"/>
        <v>0.0</v>
      </c>
      <c r="AE72" t="str">
        <f t="shared" si="27"/>
        <v>gi|668461036</v>
      </c>
      <c r="AF72">
        <v>65</v>
      </c>
      <c r="AG72">
        <v>75</v>
      </c>
      <c r="AH72">
        <v>80</v>
      </c>
      <c r="AI72" t="s">
        <v>2277</v>
      </c>
      <c r="AJ72" s="2" t="str">
        <f>HYPERLINK("http://exon.niaid.nih.gov/transcriptome/Anopheles_sialome/links/CULICOMORPHA/anodir_Sal_amy-CULICOMORPHA.txt","AGAP006371-PA-like protein")</f>
        <v>AGAP006371-PA-like protein</v>
      </c>
      <c r="AK72" t="str">
        <f t="shared" si="28"/>
        <v>0.0</v>
      </c>
      <c r="AL72" t="str">
        <f t="shared" si="29"/>
        <v>gi|668461036</v>
      </c>
      <c r="AM72">
        <v>65</v>
      </c>
      <c r="AN72">
        <v>75</v>
      </c>
      <c r="AO72">
        <v>80</v>
      </c>
      <c r="AP72" t="s">
        <v>2277</v>
      </c>
      <c r="AQ72" s="2" t="str">
        <f>HYPERLINK("http://exon.niaid.nih.gov/transcriptome/Anopheles_sialome/links/NR-LIGHT/anodir_Sal_amy-NR-LIGHT.txt","AGAP006371-PA-like protein")</f>
        <v>AGAP006371-PA-like protein</v>
      </c>
      <c r="AR72" t="str">
        <f t="shared" si="30"/>
        <v>0.0</v>
      </c>
      <c r="AS72" t="str">
        <f t="shared" si="31"/>
        <v>gi|668461036</v>
      </c>
      <c r="AT72">
        <v>65</v>
      </c>
      <c r="AU72">
        <v>75</v>
      </c>
      <c r="AV72">
        <v>80</v>
      </c>
      <c r="AW72" t="s">
        <v>2277</v>
      </c>
      <c r="AX72" s="2" t="str">
        <f>HYPERLINK("http://exon.niaid.nih.gov/transcriptome/Anopheles_sialome/links/CDD/anodir_Sal_amy-CDD.txt","AmyAc_bac_euk_A")</f>
        <v>AmyAc_bac_euk_A</v>
      </c>
      <c r="AY72" t="str">
        <f>HYPERLINK("http://www.ncbi.nlm.nih.gov/Structure/cdd/cddsrv.cgi?uid=cd11317&amp;version=v4.0","1E-147")</f>
        <v>1E-147</v>
      </c>
      <c r="AZ72" t="s">
        <v>2766</v>
      </c>
      <c r="BA72" s="2" t="str">
        <f>HYPERLINK("http://exon.niaid.nih.gov/transcriptome/Anopheles_sialome/links/KOG/anodir_Sal_amy-KOG.txt","Alpha-amylase")</f>
        <v>Alpha-amylase</v>
      </c>
      <c r="BB72" t="str">
        <f>HYPERLINK("http://www.ncbi.nlm.nih.gov/Structure/cdd/cddsrv.cgi?uid=KOG2212","1E-162")</f>
        <v>1E-162</v>
      </c>
      <c r="BC72" t="s">
        <v>2308</v>
      </c>
      <c r="BD72" t="str">
        <f>HYPERLINK("http://exon.niaid.nih.gov/transcriptome/Anopheles_sialome/links/KOG/anodir_Sal_amy-KOG.txt","KOG2212")</f>
        <v>KOG2212</v>
      </c>
      <c r="BE72" t="str">
        <f>HYPERLINK("http://exon.niaid.nih.gov/transcriptome/Anopheles_sialome/links/PFAM/anodir_Sal_amy-PFAM.txt","Alpha-amylase")</f>
        <v>Alpha-amylase</v>
      </c>
      <c r="BF72" t="str">
        <f>HYPERLINK("http://pfam.sanger.ac.uk/family?acc=PF00128","5E-020")</f>
        <v>5E-020</v>
      </c>
      <c r="BG72" s="2" t="str">
        <f>HYPERLINK("http://exon.niaid.nih.gov/transcriptome/Anopheles_sialome/links/SMART/anodir_Sal_amy-SMART.txt","Aamy")</f>
        <v>Aamy</v>
      </c>
      <c r="BH72" t="str">
        <f>HYPERLINK("http://smart.embl-heidelberg.de/smart/do_annotation.pl?DOMAIN=Aamy&amp;BLAST=DUMMY","2E-023")</f>
        <v>2E-023</v>
      </c>
      <c r="BI72" t="s">
        <v>128</v>
      </c>
      <c r="BJ72" s="2" t="s">
        <v>128</v>
      </c>
      <c r="BK72" t="s">
        <v>1544</v>
      </c>
      <c r="BL72">
        <f>HYPERLINK("http://exon.niaid.nih.gov/transcriptome/Anopheles_sialome/links/cluster-b/anopheline-sialome-cds-pep-larger-orf25-50SimCLU15.txt", 15)</f>
        <v>15</v>
      </c>
      <c r="BM72">
        <f>HYPERLINK("http://exon.niaid.nih.gov/transcriptome/Anopheles_sialome/links/cluster-b/anopheline-sialome-cds-pep-larger-orf25-50SimCLTL15.txt", 17)</f>
        <v>17</v>
      </c>
      <c r="BN72">
        <f>HYPERLINK("http://exon.niaid.nih.gov/transcriptome/Anopheles_sialome/links/cluster-b/anopheline-sialome-cds-pep-larger-orf30-50SimCLU15.txt", 15)</f>
        <v>15</v>
      </c>
      <c r="BO72">
        <f>HYPERLINK("http://exon.niaid.nih.gov/transcriptome/Anopheles_sialome/links/cluster-b/anopheline-sialome-cds-pep-larger-orf30-50SimCLTL15.txt", 17)</f>
        <v>17</v>
      </c>
      <c r="BP72">
        <f>HYPERLINK("http://exon.niaid.nih.gov/transcriptome/Anopheles_sialome/links/cluster-b/anopheline-sialome-cds-pep-larger-orf35-50SimCLU17.txt", 17)</f>
        <v>17</v>
      </c>
      <c r="BQ72">
        <f>HYPERLINK("http://exon.niaid.nih.gov/transcriptome/Anopheles_sialome/links/cluster-b/anopheline-sialome-cds-pep-larger-orf35-50SimCLTL17.txt", 17)</f>
        <v>17</v>
      </c>
      <c r="BR72">
        <f>HYPERLINK("http://exon.niaid.nih.gov/transcriptome/Anopheles_sialome/links/cluster-b/anopheline-sialome-cds-pep-larger-orf40-50SimCLU21.txt", 21)</f>
        <v>21</v>
      </c>
      <c r="BS72">
        <f>HYPERLINK("http://exon.niaid.nih.gov/transcriptome/Anopheles_sialome/links/cluster-b/anopheline-sialome-cds-pep-larger-orf40-50SimCLTL21.txt", 17)</f>
        <v>17</v>
      </c>
      <c r="BT72">
        <f>HYPERLINK("http://exon.niaid.nih.gov/transcriptome/Anopheles_sialome/links/cluster-b/anopheline-sialome-cds-pep-larger-orf45-50SimCLU25.txt", 25)</f>
        <v>25</v>
      </c>
      <c r="BU72">
        <f>HYPERLINK("http://exon.niaid.nih.gov/transcriptome/Anopheles_sialome/links/cluster-b/anopheline-sialome-cds-pep-larger-orf45-50SimCLTL25.txt", 17)</f>
        <v>17</v>
      </c>
      <c r="BV72">
        <f>HYPERLINK("http://exon.niaid.nih.gov/transcriptome/Anopheles_sialome/links/cluster-b/anopheline-sialome-cds-pep-larger-orf50-50SimCLU24.txt", 24)</f>
        <v>24</v>
      </c>
      <c r="BW72">
        <f>HYPERLINK("http://exon.niaid.nih.gov/transcriptome/Anopheles_sialome/links/cluster-b/anopheline-sialome-cds-pep-larger-orf50-50SimCLTL24.txt", 17)</f>
        <v>17</v>
      </c>
      <c r="BX72">
        <f>HYPERLINK("http://exon.niaid.nih.gov/transcriptome/Anopheles_sialome/links/cluster-b/anopheline-sialome-cds-pep-larger-orf55-50SimCLU24.txt", 24)</f>
        <v>24</v>
      </c>
      <c r="BY72">
        <f>HYPERLINK("http://exon.niaid.nih.gov/transcriptome/Anopheles_sialome/links/cluster-b/anopheline-sialome-cds-pep-larger-orf55-50SimCLTL24.txt", 17)</f>
        <v>17</v>
      </c>
      <c r="BZ72">
        <f>HYPERLINK("http://exon.niaid.nih.gov/transcriptome/Anopheles_sialome/links/cluster-b/anopheline-sialome-cds-pep-larger-orf60-50SimCLU20.txt", 20)</f>
        <v>20</v>
      </c>
      <c r="CA72">
        <f>HYPERLINK("http://exon.niaid.nih.gov/transcriptome/Anopheles_sialome/links/cluster-b/anopheline-sialome-cds-pep-larger-orf60-50SimCLTL20.txt", 17)</f>
        <v>17</v>
      </c>
      <c r="CB72">
        <f>HYPERLINK("http://exon.niaid.nih.gov/transcriptome/Anopheles_sialome/links/cluster-b/anopheline-sialome-cds-pep-larger-orf65-50SimCLU18.txt", 18)</f>
        <v>18</v>
      </c>
      <c r="CC72">
        <f>HYPERLINK("http://exon.niaid.nih.gov/transcriptome/Anopheles_sialome/links/cluster-b/anopheline-sialome-cds-pep-larger-orf65-50SimCLTL18.txt", 17)</f>
        <v>17</v>
      </c>
      <c r="CD72">
        <f>HYPERLINK("http://exon.niaid.nih.gov/transcriptome/Anopheles_sialome/links/cluster-b/anopheline-sialome-cds-pep-larger-orf70-50SimCLU58.txt", 58)</f>
        <v>58</v>
      </c>
      <c r="CE72">
        <f>HYPERLINK("http://exon.niaid.nih.gov/transcriptome/Anopheles_sialome/links/cluster-b/anopheline-sialome-cds-pep-larger-orf70-50SimCLTL58.txt", 2)</f>
        <v>2</v>
      </c>
      <c r="CF72">
        <f>HYPERLINK("http://exon.niaid.nih.gov/transcriptome/Anopheles_sialome/links/cluster-b/anopheline-sialome-cds-pep-larger-orf75-50SimCLU75.txt", 75)</f>
        <v>75</v>
      </c>
      <c r="CG72">
        <f>HYPERLINK("http://exon.niaid.nih.gov/transcriptome/Anopheles_sialome/links/cluster-b/anopheline-sialome-cds-pep-larger-orf75-50SimCLTL75.txt", 2)</f>
        <v>2</v>
      </c>
      <c r="CH72">
        <f>HYPERLINK("http://exon.niaid.nih.gov/transcriptome/Anopheles_sialome/links/cluster-b/anopheline-sialome-cds-pep-larger-orf80-50SimCLU87.txt", 87)</f>
        <v>87</v>
      </c>
      <c r="CI72">
        <f>HYPERLINK("http://exon.niaid.nih.gov/transcriptome/Anopheles_sialome/links/cluster-b/anopheline-sialome-cds-pep-larger-orf80-50SimCLTL87.txt", 2)</f>
        <v>2</v>
      </c>
      <c r="CJ72">
        <v>245</v>
      </c>
      <c r="CK72">
        <v>1</v>
      </c>
      <c r="CL72">
        <v>297</v>
      </c>
      <c r="CM72">
        <v>1</v>
      </c>
      <c r="CN72">
        <v>334</v>
      </c>
      <c r="CO72">
        <v>1</v>
      </c>
    </row>
    <row r="73" spans="1:93">
      <c r="A73" s="2" t="str">
        <f>HYPERLINK("http://exon.niaid.nih.gov/transcriptome/Anopheles_sialome/links/cds/anoatro_Sal_amy-cds.txt","anoatro_Sal_amy")</f>
        <v>anoatro_Sal_amy</v>
      </c>
      <c r="B73">
        <v>2214</v>
      </c>
      <c r="C73" t="s">
        <v>331</v>
      </c>
      <c r="D73" t="s">
        <v>7</v>
      </c>
      <c r="E73" t="s">
        <v>5</v>
      </c>
      <c r="F73" t="s">
        <v>1</v>
      </c>
      <c r="G73" t="str">
        <f>HYPERLINK("http://exon.niaid.nih.gov/transcriptome/Anopheles_sialome/links/pep/anoatro_Sal_amy-pep.txt","anoatro_Sal_amy")</f>
        <v>anoatro_Sal_amy</v>
      </c>
      <c r="H73">
        <v>737</v>
      </c>
      <c r="I73">
        <v>1</v>
      </c>
      <c r="J73" s="3" t="str">
        <f>HYPERLINK("http://exon.niaid.nih.gov/transcriptome/Anopheles_sialome/links/Sigp/anoatro_Sal_amy-SigP.txt","SIG")</f>
        <v>SIG</v>
      </c>
      <c r="K73" t="s">
        <v>708</v>
      </c>
      <c r="L73">
        <v>79.924000000000007</v>
      </c>
      <c r="M73">
        <v>5.87</v>
      </c>
      <c r="N73">
        <v>77.343999999999994</v>
      </c>
      <c r="O73">
        <v>5.87</v>
      </c>
      <c r="P73" t="s">
        <v>1547</v>
      </c>
      <c r="Q73" s="3">
        <v>0</v>
      </c>
      <c r="R73" t="s">
        <v>128</v>
      </c>
      <c r="S73" t="s">
        <v>128</v>
      </c>
      <c r="T73" t="s">
        <v>128</v>
      </c>
      <c r="U73" t="s">
        <v>128</v>
      </c>
      <c r="V73" t="s">
        <v>128</v>
      </c>
      <c r="W73" s="3" t="str">
        <f>HYPERLINK("http://exon.niaid.nih.gov/transcriptome/Anopheles_sialome/links/netoglyc/anoatro_Sal_amy-netoglyc.txt","3")</f>
        <v>3</v>
      </c>
      <c r="X73">
        <v>16.3</v>
      </c>
      <c r="Y73">
        <v>9.1999999999999993</v>
      </c>
      <c r="Z73">
        <v>6.9</v>
      </c>
      <c r="AA73" t="s">
        <v>654</v>
      </c>
      <c r="AB73" t="s">
        <v>128</v>
      </c>
      <c r="AC73" s="2" t="str">
        <f>HYPERLINK("http://exon.niaid.nih.gov/transcriptome/Anopheles_sialome/links/DIPTERA/anoatro_Sal_amy-DIPTERA.txt","AGAP006371-PA-like protein")</f>
        <v>AGAP006371-PA-like protein</v>
      </c>
      <c r="AD73" t="str">
        <f t="shared" si="26"/>
        <v>0.0</v>
      </c>
      <c r="AE73" t="str">
        <f t="shared" si="27"/>
        <v>gi|668461036</v>
      </c>
      <c r="AF73">
        <v>76</v>
      </c>
      <c r="AG73">
        <v>83</v>
      </c>
      <c r="AH73">
        <v>102</v>
      </c>
      <c r="AI73" t="s">
        <v>2277</v>
      </c>
      <c r="AJ73" s="2" t="str">
        <f>HYPERLINK("http://exon.niaid.nih.gov/transcriptome/Anopheles_sialome/links/CULICOMORPHA/anoatro_Sal_amy-CULICOMORPHA.txt","AGAP006371-PA-like protein")</f>
        <v>AGAP006371-PA-like protein</v>
      </c>
      <c r="AK73" t="str">
        <f t="shared" si="28"/>
        <v>0.0</v>
      </c>
      <c r="AL73" t="str">
        <f t="shared" si="29"/>
        <v>gi|668461036</v>
      </c>
      <c r="AM73">
        <v>76</v>
      </c>
      <c r="AN73">
        <v>83</v>
      </c>
      <c r="AO73">
        <v>102</v>
      </c>
      <c r="AP73" t="s">
        <v>2277</v>
      </c>
      <c r="AQ73" s="2" t="str">
        <f>HYPERLINK("http://exon.niaid.nih.gov/transcriptome/Anopheles_sialome/links/NR-LIGHT/anoatro_Sal_amy-NR-LIGHT.txt","AGAP006371-PA-like protein")</f>
        <v>AGAP006371-PA-like protein</v>
      </c>
      <c r="AR73" t="str">
        <f t="shared" si="30"/>
        <v>0.0</v>
      </c>
      <c r="AS73" t="str">
        <f t="shared" si="31"/>
        <v>gi|668461036</v>
      </c>
      <c r="AT73">
        <v>76</v>
      </c>
      <c r="AU73">
        <v>83</v>
      </c>
      <c r="AV73">
        <v>102</v>
      </c>
      <c r="AW73" t="s">
        <v>2277</v>
      </c>
      <c r="AX73" s="2" t="str">
        <f>HYPERLINK("http://exon.niaid.nih.gov/transcriptome/Anopheles_sialome/links/CDD/anoatro_Sal_amy-CDD.txt","AmyAc_bac_euk_A")</f>
        <v>AmyAc_bac_euk_A</v>
      </c>
      <c r="AY73" t="str">
        <f>HYPERLINK("http://www.ncbi.nlm.nih.gov/Structure/cdd/cddsrv.cgi?uid=cd11317&amp;version=v4.0","1E-151")</f>
        <v>1E-151</v>
      </c>
      <c r="AZ73" t="s">
        <v>2767</v>
      </c>
      <c r="BA73" s="2" t="str">
        <f>HYPERLINK("http://exon.niaid.nih.gov/transcriptome/Anopheles_sialome/links/KOG/anoatro_Sal_amy-KOG.txt","Alpha-amylase")</f>
        <v>Alpha-amylase</v>
      </c>
      <c r="BB73" t="str">
        <f>HYPERLINK("http://www.ncbi.nlm.nih.gov/Structure/cdd/cddsrv.cgi?uid=KOG2212","1E-162")</f>
        <v>1E-162</v>
      </c>
      <c r="BC73" t="s">
        <v>2308</v>
      </c>
      <c r="BD73" t="str">
        <f>HYPERLINK("http://exon.niaid.nih.gov/transcriptome/Anopheles_sialome/links/KOG/anoatro_Sal_amy-KOG.txt","KOG2212")</f>
        <v>KOG2212</v>
      </c>
      <c r="BE73" t="str">
        <f>HYPERLINK("http://exon.niaid.nih.gov/transcriptome/Anopheles_sialome/links/PFAM/anoatro_Sal_amy-PFAM.txt","Alpha-amylase")</f>
        <v>Alpha-amylase</v>
      </c>
      <c r="BF73" t="str">
        <f>HYPERLINK("http://pfam.sanger.ac.uk/family?acc=PF00128","7E-017")</f>
        <v>7E-017</v>
      </c>
      <c r="BG73" s="2" t="str">
        <f>HYPERLINK("http://exon.niaid.nih.gov/transcriptome/Anopheles_sialome/links/SMART/anoatro_Sal_amy-SMART.txt","Aamy")</f>
        <v>Aamy</v>
      </c>
      <c r="BH73" t="str">
        <f>HYPERLINK("http://smart.embl-heidelberg.de/smart/do_annotation.pl?DOMAIN=Aamy&amp;BLAST=DUMMY","5E-025")</f>
        <v>5E-025</v>
      </c>
      <c r="BI73" t="s">
        <v>128</v>
      </c>
      <c r="BJ73" s="2" t="s">
        <v>128</v>
      </c>
      <c r="BK73" t="s">
        <v>1546</v>
      </c>
      <c r="BL73">
        <f>HYPERLINK("http://exon.niaid.nih.gov/transcriptome/Anopheles_sialome/links/cluster-b/anopheline-sialome-cds-pep-larger-orf25-50SimCLU15.txt", 15)</f>
        <v>15</v>
      </c>
      <c r="BM73">
        <f>HYPERLINK("http://exon.niaid.nih.gov/transcriptome/Anopheles_sialome/links/cluster-b/anopheline-sialome-cds-pep-larger-orf25-50SimCLTL15.txt", 17)</f>
        <v>17</v>
      </c>
      <c r="BN73">
        <f>HYPERLINK("http://exon.niaid.nih.gov/transcriptome/Anopheles_sialome/links/cluster-b/anopheline-sialome-cds-pep-larger-orf30-50SimCLU15.txt", 15)</f>
        <v>15</v>
      </c>
      <c r="BO73">
        <f>HYPERLINK("http://exon.niaid.nih.gov/transcriptome/Anopheles_sialome/links/cluster-b/anopheline-sialome-cds-pep-larger-orf30-50SimCLTL15.txt", 17)</f>
        <v>17</v>
      </c>
      <c r="BP73">
        <f>HYPERLINK("http://exon.niaid.nih.gov/transcriptome/Anopheles_sialome/links/cluster-b/anopheline-sialome-cds-pep-larger-orf35-50SimCLU17.txt", 17)</f>
        <v>17</v>
      </c>
      <c r="BQ73">
        <f>HYPERLINK("http://exon.niaid.nih.gov/transcriptome/Anopheles_sialome/links/cluster-b/anopheline-sialome-cds-pep-larger-orf35-50SimCLTL17.txt", 17)</f>
        <v>17</v>
      </c>
      <c r="BR73">
        <f>HYPERLINK("http://exon.niaid.nih.gov/transcriptome/Anopheles_sialome/links/cluster-b/anopheline-sialome-cds-pep-larger-orf40-50SimCLU21.txt", 21)</f>
        <v>21</v>
      </c>
      <c r="BS73">
        <f>HYPERLINK("http://exon.niaid.nih.gov/transcriptome/Anopheles_sialome/links/cluster-b/anopheline-sialome-cds-pep-larger-orf40-50SimCLTL21.txt", 17)</f>
        <v>17</v>
      </c>
      <c r="BT73">
        <f>HYPERLINK("http://exon.niaid.nih.gov/transcriptome/Anopheles_sialome/links/cluster-b/anopheline-sialome-cds-pep-larger-orf45-50SimCLU25.txt", 25)</f>
        <v>25</v>
      </c>
      <c r="BU73">
        <f>HYPERLINK("http://exon.niaid.nih.gov/transcriptome/Anopheles_sialome/links/cluster-b/anopheline-sialome-cds-pep-larger-orf45-50SimCLTL25.txt", 17)</f>
        <v>17</v>
      </c>
      <c r="BV73">
        <f>HYPERLINK("http://exon.niaid.nih.gov/transcriptome/Anopheles_sialome/links/cluster-b/anopheline-sialome-cds-pep-larger-orf50-50SimCLU24.txt", 24)</f>
        <v>24</v>
      </c>
      <c r="BW73">
        <f>HYPERLINK("http://exon.niaid.nih.gov/transcriptome/Anopheles_sialome/links/cluster-b/anopheline-sialome-cds-pep-larger-orf50-50SimCLTL24.txt", 17)</f>
        <v>17</v>
      </c>
      <c r="BX73">
        <f>HYPERLINK("http://exon.niaid.nih.gov/transcriptome/Anopheles_sialome/links/cluster-b/anopheline-sialome-cds-pep-larger-orf55-50SimCLU24.txt", 24)</f>
        <v>24</v>
      </c>
      <c r="BY73">
        <f>HYPERLINK("http://exon.niaid.nih.gov/transcriptome/Anopheles_sialome/links/cluster-b/anopheline-sialome-cds-pep-larger-orf55-50SimCLTL24.txt", 17)</f>
        <v>17</v>
      </c>
      <c r="BZ73">
        <f>HYPERLINK("http://exon.niaid.nih.gov/transcriptome/Anopheles_sialome/links/cluster-b/anopheline-sialome-cds-pep-larger-orf60-50SimCLU20.txt", 20)</f>
        <v>20</v>
      </c>
      <c r="CA73">
        <f>HYPERLINK("http://exon.niaid.nih.gov/transcriptome/Anopheles_sialome/links/cluster-b/anopheline-sialome-cds-pep-larger-orf60-50SimCLTL20.txt", 17)</f>
        <v>17</v>
      </c>
      <c r="CB73">
        <f>HYPERLINK("http://exon.niaid.nih.gov/transcriptome/Anopheles_sialome/links/cluster-b/anopheline-sialome-cds-pep-larger-orf65-50SimCLU18.txt", 18)</f>
        <v>18</v>
      </c>
      <c r="CC73">
        <f>HYPERLINK("http://exon.niaid.nih.gov/transcriptome/Anopheles_sialome/links/cluster-b/anopheline-sialome-cds-pep-larger-orf65-50SimCLTL18.txt", 17)</f>
        <v>17</v>
      </c>
      <c r="CD73">
        <f>HYPERLINK("http://exon.niaid.nih.gov/transcriptome/Anopheles_sialome/links/cluster-b/anopheline-sialome-cds-pep-larger-orf70-50SimCLU34.txt", 34)</f>
        <v>34</v>
      </c>
      <c r="CE73">
        <f>HYPERLINK("http://exon.niaid.nih.gov/transcriptome/Anopheles_sialome/links/cluster-b/anopheline-sialome-cds-pep-larger-orf70-50SimCLTL34.txt", 13)</f>
        <v>13</v>
      </c>
      <c r="CF73">
        <f>HYPERLINK("http://exon.niaid.nih.gov/transcriptome/Anopheles_sialome/links/cluster-b/anopheline-sialome-cds-pep-larger-orf75-50SimCLU76.txt", 76)</f>
        <v>76</v>
      </c>
      <c r="CG73">
        <f>HYPERLINK("http://exon.niaid.nih.gov/transcriptome/Anopheles_sialome/links/cluster-b/anopheline-sialome-cds-pep-larger-orf75-50SimCLTL76.txt", 2)</f>
        <v>2</v>
      </c>
      <c r="CH73">
        <f>HYPERLINK("http://exon.niaid.nih.gov/transcriptome/Anopheles_sialome/links/cluster-b/anopheline-sialome-cds-pep-larger-orf80-50SimCLU88.txt", 88)</f>
        <v>88</v>
      </c>
      <c r="CI73">
        <f>HYPERLINK("http://exon.niaid.nih.gov/transcriptome/Anopheles_sialome/links/cluster-b/anopheline-sialome-cds-pep-larger-orf80-50SimCLTL88.txt", 2)</f>
        <v>2</v>
      </c>
      <c r="CJ73">
        <v>246</v>
      </c>
      <c r="CK73">
        <v>1</v>
      </c>
      <c r="CL73">
        <v>298</v>
      </c>
      <c r="CM73">
        <v>1</v>
      </c>
      <c r="CN73">
        <v>335</v>
      </c>
      <c r="CO73">
        <v>1</v>
      </c>
    </row>
    <row r="74" spans="1:93">
      <c r="A74" s="2" t="str">
        <f>HYPERLINK("http://exon.niaid.nih.gov/transcriptome/Anopheles_sialome/links/cds/anosin_Sal_Amy-cds.txt","anosin_Sal_Amy")</f>
        <v>anosin_Sal_Amy</v>
      </c>
      <c r="B74">
        <v>2175</v>
      </c>
      <c r="C74" t="s">
        <v>332</v>
      </c>
      <c r="D74" t="s">
        <v>7</v>
      </c>
      <c r="E74" t="s">
        <v>5</v>
      </c>
      <c r="F74" t="s">
        <v>1</v>
      </c>
      <c r="G74" t="str">
        <f>HYPERLINK("http://exon.niaid.nih.gov/transcriptome/Anopheles_sialome/links/pep/anosin_Sal_Amy-pep.txt","anosin_Sal_Amy")</f>
        <v>anosin_Sal_Amy</v>
      </c>
      <c r="H74">
        <v>724</v>
      </c>
      <c r="I74">
        <v>3</v>
      </c>
      <c r="J74" s="3" t="str">
        <f>HYPERLINK("http://exon.niaid.nih.gov/transcriptome/Anopheles_sialome/links/Sigp/anosin_Sal_Amy-SigP.txt","SIG")</f>
        <v>SIG</v>
      </c>
      <c r="K74" t="s">
        <v>695</v>
      </c>
      <c r="L74">
        <v>78.433999999999997</v>
      </c>
      <c r="M74">
        <v>5.53</v>
      </c>
      <c r="N74">
        <v>76.061999999999998</v>
      </c>
      <c r="O74">
        <v>5.48</v>
      </c>
      <c r="P74" t="s">
        <v>1549</v>
      </c>
      <c r="Q74" s="3">
        <v>0</v>
      </c>
      <c r="R74" t="s">
        <v>128</v>
      </c>
      <c r="S74" t="s">
        <v>128</v>
      </c>
      <c r="T74" t="s">
        <v>128</v>
      </c>
      <c r="U74" t="s">
        <v>128</v>
      </c>
      <c r="V74" t="s">
        <v>128</v>
      </c>
      <c r="W74" s="3" t="str">
        <f>HYPERLINK("http://exon.niaid.nih.gov/transcriptome/Anopheles_sialome/links/netoglyc/anosin_Sal_Amy-netoglyc.txt","0")</f>
        <v>0</v>
      </c>
      <c r="X74">
        <v>14.8</v>
      </c>
      <c r="Y74">
        <v>9.4</v>
      </c>
      <c r="Z74">
        <v>6.6</v>
      </c>
      <c r="AA74" t="s">
        <v>654</v>
      </c>
      <c r="AB74" t="s">
        <v>128</v>
      </c>
      <c r="AC74" s="2" t="str">
        <f>HYPERLINK("http://exon.niaid.nih.gov/transcriptome/Anopheles_sialome/links/DIPTERA/anosin_Sal_Amy-DIPTERA.txt","AGAP006371-PA-like protein")</f>
        <v>AGAP006371-PA-like protein</v>
      </c>
      <c r="AD74" t="str">
        <f t="shared" si="26"/>
        <v>0.0</v>
      </c>
      <c r="AE74" t="str">
        <f t="shared" si="27"/>
        <v>gi|668461036</v>
      </c>
      <c r="AF74">
        <v>97</v>
      </c>
      <c r="AG74">
        <v>98</v>
      </c>
      <c r="AH74">
        <v>100</v>
      </c>
      <c r="AI74" t="s">
        <v>2277</v>
      </c>
      <c r="AJ74" s="2" t="str">
        <f>HYPERLINK("http://exon.niaid.nih.gov/transcriptome/Anopheles_sialome/links/CULICOMORPHA/anosin_Sal_Amy-CULICOMORPHA.txt","AGAP006371-PA-like protein")</f>
        <v>AGAP006371-PA-like protein</v>
      </c>
      <c r="AK74" t="str">
        <f t="shared" si="28"/>
        <v>0.0</v>
      </c>
      <c r="AL74" t="str">
        <f t="shared" si="29"/>
        <v>gi|668461036</v>
      </c>
      <c r="AM74">
        <v>97</v>
      </c>
      <c r="AN74">
        <v>98</v>
      </c>
      <c r="AO74">
        <v>100</v>
      </c>
      <c r="AP74" t="s">
        <v>2277</v>
      </c>
      <c r="AQ74" s="2" t="str">
        <f>HYPERLINK("http://exon.niaid.nih.gov/transcriptome/Anopheles_sialome/links/NR-LIGHT/anosin_Sal_Amy-NR-LIGHT.txt","AGAP006371-PA-like protein")</f>
        <v>AGAP006371-PA-like protein</v>
      </c>
      <c r="AR74" t="str">
        <f t="shared" si="30"/>
        <v>0.0</v>
      </c>
      <c r="AS74" t="str">
        <f t="shared" si="31"/>
        <v>gi|668461036</v>
      </c>
      <c r="AT74">
        <v>97</v>
      </c>
      <c r="AU74">
        <v>98</v>
      </c>
      <c r="AV74">
        <v>100</v>
      </c>
      <c r="AW74" t="s">
        <v>2277</v>
      </c>
      <c r="AX74" s="2" t="str">
        <f>HYPERLINK("http://exon.niaid.nih.gov/transcriptome/Anopheles_sialome/links/CDD/anosin_Sal_Amy-CDD.txt","AmyAc_bac_euk_A")</f>
        <v>AmyAc_bac_euk_A</v>
      </c>
      <c r="AY74" t="str">
        <f>HYPERLINK("http://www.ncbi.nlm.nih.gov/Structure/cdd/cddsrv.cgi?uid=cd11317&amp;version=v4.0","1E-151")</f>
        <v>1E-151</v>
      </c>
      <c r="AZ74" t="s">
        <v>2768</v>
      </c>
      <c r="BA74" s="2" t="str">
        <f>HYPERLINK("http://exon.niaid.nih.gov/transcriptome/Anopheles_sialome/links/KOG/anosin_Sal_Amy-KOG.txt","Alpha-amylase")</f>
        <v>Alpha-amylase</v>
      </c>
      <c r="BB74" t="str">
        <f>HYPERLINK("http://www.ncbi.nlm.nih.gov/Structure/cdd/cddsrv.cgi?uid=KOG2212","1E-164")</f>
        <v>1E-164</v>
      </c>
      <c r="BC74" t="s">
        <v>2308</v>
      </c>
      <c r="BD74" t="str">
        <f>HYPERLINK("http://exon.niaid.nih.gov/transcriptome/Anopheles_sialome/links/KOG/anosin_Sal_Amy-KOG.txt","KOG2212")</f>
        <v>KOG2212</v>
      </c>
      <c r="BE74" t="str">
        <f>HYPERLINK("http://exon.niaid.nih.gov/transcriptome/Anopheles_sialome/links/PFAM/anosin_Sal_Amy-PFAM.txt","Alpha-amylase")</f>
        <v>Alpha-amylase</v>
      </c>
      <c r="BF74" t="str">
        <f>HYPERLINK("http://pfam.sanger.ac.uk/family?acc=PF00128","2E-017")</f>
        <v>2E-017</v>
      </c>
      <c r="BG74" s="2" t="str">
        <f>HYPERLINK("http://exon.niaid.nih.gov/transcriptome/Anopheles_sialome/links/SMART/anosin_Sal_Amy-SMART.txt","Aamy")</f>
        <v>Aamy</v>
      </c>
      <c r="BH74" t="str">
        <f>HYPERLINK("http://smart.embl-heidelberg.de/smart/do_annotation.pl?DOMAIN=Aamy&amp;BLAST=DUMMY","2E-025")</f>
        <v>2E-025</v>
      </c>
      <c r="BI74" t="s">
        <v>128</v>
      </c>
      <c r="BJ74" s="2" t="s">
        <v>128</v>
      </c>
      <c r="BK74" t="s">
        <v>1548</v>
      </c>
      <c r="BL74">
        <f>HYPERLINK("http://exon.niaid.nih.gov/transcriptome/Anopheles_sialome/links/cluster-b/anopheline-sialome-cds-pep-larger-orf25-50SimCLU15.txt", 15)</f>
        <v>15</v>
      </c>
      <c r="BM74">
        <f>HYPERLINK("http://exon.niaid.nih.gov/transcriptome/Anopheles_sialome/links/cluster-b/anopheline-sialome-cds-pep-larger-orf25-50SimCLTL15.txt", 17)</f>
        <v>17</v>
      </c>
      <c r="BN74">
        <f>HYPERLINK("http://exon.niaid.nih.gov/transcriptome/Anopheles_sialome/links/cluster-b/anopheline-sialome-cds-pep-larger-orf30-50SimCLU15.txt", 15)</f>
        <v>15</v>
      </c>
      <c r="BO74">
        <f>HYPERLINK("http://exon.niaid.nih.gov/transcriptome/Anopheles_sialome/links/cluster-b/anopheline-sialome-cds-pep-larger-orf30-50SimCLTL15.txt", 17)</f>
        <v>17</v>
      </c>
      <c r="BP74">
        <f>HYPERLINK("http://exon.niaid.nih.gov/transcriptome/Anopheles_sialome/links/cluster-b/anopheline-sialome-cds-pep-larger-orf35-50SimCLU17.txt", 17)</f>
        <v>17</v>
      </c>
      <c r="BQ74">
        <f>HYPERLINK("http://exon.niaid.nih.gov/transcriptome/Anopheles_sialome/links/cluster-b/anopheline-sialome-cds-pep-larger-orf35-50SimCLTL17.txt", 17)</f>
        <v>17</v>
      </c>
      <c r="BR74">
        <f>HYPERLINK("http://exon.niaid.nih.gov/transcriptome/Anopheles_sialome/links/cluster-b/anopheline-sialome-cds-pep-larger-orf40-50SimCLU21.txt", 21)</f>
        <v>21</v>
      </c>
      <c r="BS74">
        <f>HYPERLINK("http://exon.niaid.nih.gov/transcriptome/Anopheles_sialome/links/cluster-b/anopheline-sialome-cds-pep-larger-orf40-50SimCLTL21.txt", 17)</f>
        <v>17</v>
      </c>
      <c r="BT74">
        <f>HYPERLINK("http://exon.niaid.nih.gov/transcriptome/Anopheles_sialome/links/cluster-b/anopheline-sialome-cds-pep-larger-orf45-50SimCLU25.txt", 25)</f>
        <v>25</v>
      </c>
      <c r="BU74">
        <f>HYPERLINK("http://exon.niaid.nih.gov/transcriptome/Anopheles_sialome/links/cluster-b/anopheline-sialome-cds-pep-larger-orf45-50SimCLTL25.txt", 17)</f>
        <v>17</v>
      </c>
      <c r="BV74">
        <f>HYPERLINK("http://exon.niaid.nih.gov/transcriptome/Anopheles_sialome/links/cluster-b/anopheline-sialome-cds-pep-larger-orf50-50SimCLU24.txt", 24)</f>
        <v>24</v>
      </c>
      <c r="BW74">
        <f>HYPERLINK("http://exon.niaid.nih.gov/transcriptome/Anopheles_sialome/links/cluster-b/anopheline-sialome-cds-pep-larger-orf50-50SimCLTL24.txt", 17)</f>
        <v>17</v>
      </c>
      <c r="BX74">
        <f>HYPERLINK("http://exon.niaid.nih.gov/transcriptome/Anopheles_sialome/links/cluster-b/anopheline-sialome-cds-pep-larger-orf55-50SimCLU24.txt", 24)</f>
        <v>24</v>
      </c>
      <c r="BY74">
        <f>HYPERLINK("http://exon.niaid.nih.gov/transcriptome/Anopheles_sialome/links/cluster-b/anopheline-sialome-cds-pep-larger-orf55-50SimCLTL24.txt", 17)</f>
        <v>17</v>
      </c>
      <c r="BZ74">
        <f>HYPERLINK("http://exon.niaid.nih.gov/transcriptome/Anopheles_sialome/links/cluster-b/anopheline-sialome-cds-pep-larger-orf60-50SimCLU20.txt", 20)</f>
        <v>20</v>
      </c>
      <c r="CA74">
        <f>HYPERLINK("http://exon.niaid.nih.gov/transcriptome/Anopheles_sialome/links/cluster-b/anopheline-sialome-cds-pep-larger-orf60-50SimCLTL20.txt", 17)</f>
        <v>17</v>
      </c>
      <c r="CB74">
        <f>HYPERLINK("http://exon.niaid.nih.gov/transcriptome/Anopheles_sialome/links/cluster-b/anopheline-sialome-cds-pep-larger-orf65-50SimCLU18.txt", 18)</f>
        <v>18</v>
      </c>
      <c r="CC74">
        <f>HYPERLINK("http://exon.niaid.nih.gov/transcriptome/Anopheles_sialome/links/cluster-b/anopheline-sialome-cds-pep-larger-orf65-50SimCLTL18.txt", 17)</f>
        <v>17</v>
      </c>
      <c r="CD74">
        <f>HYPERLINK("http://exon.niaid.nih.gov/transcriptome/Anopheles_sialome/links/cluster-b/anopheline-sialome-cds-pep-larger-orf70-50SimCLU34.txt", 34)</f>
        <v>34</v>
      </c>
      <c r="CE74">
        <f>HYPERLINK("http://exon.niaid.nih.gov/transcriptome/Anopheles_sialome/links/cluster-b/anopheline-sialome-cds-pep-larger-orf70-50SimCLTL34.txt", 13)</f>
        <v>13</v>
      </c>
      <c r="CF74">
        <f>HYPERLINK("http://exon.niaid.nih.gov/transcriptome/Anopheles_sialome/links/cluster-b/anopheline-sialome-cds-pep-larger-orf75-50SimCLU76.txt", 76)</f>
        <v>76</v>
      </c>
      <c r="CG74">
        <f>HYPERLINK("http://exon.niaid.nih.gov/transcriptome/Anopheles_sialome/links/cluster-b/anopheline-sialome-cds-pep-larger-orf75-50SimCLTL76.txt", 2)</f>
        <v>2</v>
      </c>
      <c r="CH74">
        <f>HYPERLINK("http://exon.niaid.nih.gov/transcriptome/Anopheles_sialome/links/cluster-b/anopheline-sialome-cds-pep-larger-orf80-50SimCLU88.txt", 88)</f>
        <v>88</v>
      </c>
      <c r="CI74">
        <f>HYPERLINK("http://exon.niaid.nih.gov/transcriptome/Anopheles_sialome/links/cluster-b/anopheline-sialome-cds-pep-larger-orf80-50SimCLTL88.txt", 2)</f>
        <v>2</v>
      </c>
      <c r="CJ74">
        <v>247</v>
      </c>
      <c r="CK74">
        <v>1</v>
      </c>
      <c r="CL74">
        <v>299</v>
      </c>
      <c r="CM74">
        <v>1</v>
      </c>
      <c r="CN74">
        <v>336</v>
      </c>
      <c r="CO74">
        <v>1</v>
      </c>
    </row>
    <row r="75" spans="1:93">
      <c r="A75" s="2" t="str">
        <f>HYPERLINK("http://exon.niaid.nih.gov/transcriptome/Anopheles_sialome/links/cds/anoalb_Sal_amy-cds.txt","anoalb_Sal_amy")</f>
        <v>anoalb_Sal_amy</v>
      </c>
      <c r="B75">
        <v>2358</v>
      </c>
      <c r="C75" t="s">
        <v>333</v>
      </c>
      <c r="D75" t="s">
        <v>4</v>
      </c>
      <c r="E75" t="s">
        <v>5</v>
      </c>
      <c r="F75" t="s">
        <v>1</v>
      </c>
      <c r="G75" t="str">
        <f>HYPERLINK("http://exon.niaid.nih.gov/transcriptome/Anopheles_sialome/links/pep/anoalb_Sal_amy-pep.txt","anoalb_Sal_amy")</f>
        <v>anoalb_Sal_amy</v>
      </c>
      <c r="H75">
        <v>785</v>
      </c>
      <c r="I75">
        <v>3</v>
      </c>
      <c r="J75" s="3" t="str">
        <f>HYPERLINK("http://exon.niaid.nih.gov/transcriptome/Anopheles_sialome/links/Sigp/anoalb_Sal_amy-SigP.txt","SIG")</f>
        <v>SIG</v>
      </c>
      <c r="K75" t="s">
        <v>715</v>
      </c>
      <c r="L75">
        <v>84.997</v>
      </c>
      <c r="M75">
        <v>5.52</v>
      </c>
      <c r="N75">
        <v>82.382999999999996</v>
      </c>
      <c r="O75">
        <v>5.36</v>
      </c>
      <c r="P75" t="s">
        <v>1551</v>
      </c>
      <c r="Q75" s="3">
        <v>0</v>
      </c>
      <c r="R75" t="s">
        <v>128</v>
      </c>
      <c r="S75" t="s">
        <v>128</v>
      </c>
      <c r="T75" t="s">
        <v>128</v>
      </c>
      <c r="U75" t="s">
        <v>128</v>
      </c>
      <c r="V75" t="s">
        <v>128</v>
      </c>
      <c r="W75" s="3" t="str">
        <f>HYPERLINK("http://exon.niaid.nih.gov/transcriptome/Anopheles_sialome/links/netoglyc/anoalb_Sal_amy-netoglyc.txt","3")</f>
        <v>3</v>
      </c>
      <c r="X75">
        <v>15.9</v>
      </c>
      <c r="Y75">
        <v>7.8</v>
      </c>
      <c r="Z75">
        <v>6.5</v>
      </c>
      <c r="AA75" t="s">
        <v>654</v>
      </c>
      <c r="AB75" t="s">
        <v>128</v>
      </c>
      <c r="AC75" s="2" t="str">
        <f>HYPERLINK("http://exon.niaid.nih.gov/transcriptome/Anopheles_sialome/links/DIPTERA/anoalb_Sal_amy-DIPTERA.txt","alpha-amylase I")</f>
        <v>alpha-amylase I</v>
      </c>
      <c r="AD75" t="str">
        <f>HYPERLINK("http://www.ncbi.nlm.nih.gov/sutils/blink.cgi?pid=568256398","0.0")</f>
        <v>0.0</v>
      </c>
      <c r="AE75" t="str">
        <f>HYPERLINK("http://www.ncbi.nlm.nih.gov/protein/568256398","gi|568256398")</f>
        <v>gi|568256398</v>
      </c>
      <c r="AF75">
        <v>79</v>
      </c>
      <c r="AG75">
        <v>89</v>
      </c>
      <c r="AH75">
        <v>100</v>
      </c>
      <c r="AI75" t="s">
        <v>2283</v>
      </c>
      <c r="AJ75" s="2" t="str">
        <f>HYPERLINK("http://exon.niaid.nih.gov/transcriptome/Anopheles_sialome/links/CULICOMORPHA/anoalb_Sal_amy-CULICOMORPHA.txt","alpha-amylase I")</f>
        <v>alpha-amylase I</v>
      </c>
      <c r="AK75" t="str">
        <f>HYPERLINK("http://www.ncbi.nlm.nih.gov/sutils/blink.cgi?pid=568256398","0.0")</f>
        <v>0.0</v>
      </c>
      <c r="AL75" t="str">
        <f>HYPERLINK("http://www.ncbi.nlm.nih.gov/protein/568256398","gi|568256398")</f>
        <v>gi|568256398</v>
      </c>
      <c r="AM75">
        <v>79</v>
      </c>
      <c r="AN75">
        <v>89</v>
      </c>
      <c r="AO75">
        <v>100</v>
      </c>
      <c r="AP75" t="s">
        <v>2283</v>
      </c>
      <c r="AQ75" s="2" t="str">
        <f>HYPERLINK("http://exon.niaid.nih.gov/transcriptome/Anopheles_sialome/links/NR-LIGHT/anoalb_Sal_amy-NR-LIGHT.txt","alpha-amylase I")</f>
        <v>alpha-amylase I</v>
      </c>
      <c r="AR75" t="str">
        <f>HYPERLINK("http://www.ncbi.nlm.nih.gov/sutils/blink.cgi?pid=568256398","0.0")</f>
        <v>0.0</v>
      </c>
      <c r="AS75" t="str">
        <f>HYPERLINK("http://www.ncbi.nlm.nih.gov/protein/568256398","gi|568256398")</f>
        <v>gi|568256398</v>
      </c>
      <c r="AT75">
        <v>79</v>
      </c>
      <c r="AU75">
        <v>89</v>
      </c>
      <c r="AV75">
        <v>100</v>
      </c>
      <c r="AW75" t="s">
        <v>2283</v>
      </c>
      <c r="AX75" s="2" t="str">
        <f>HYPERLINK("http://exon.niaid.nih.gov/transcriptome/Anopheles_sialome/links/CDD/anoalb_Sal_amy-CDD.txt","AmyAc_bac_euk_A")</f>
        <v>AmyAc_bac_euk_A</v>
      </c>
      <c r="AY75" t="str">
        <f>HYPERLINK("http://www.ncbi.nlm.nih.gov/Structure/cdd/cddsrv.cgi?uid=cd11317&amp;version=v4.0","1E-125")</f>
        <v>1E-125</v>
      </c>
      <c r="AZ75" t="s">
        <v>2769</v>
      </c>
      <c r="BA75" s="2" t="str">
        <f>HYPERLINK("http://exon.niaid.nih.gov/transcriptome/Anopheles_sialome/links/KOG/anoalb_Sal_amy-KOG.txt","Alpha-amylase")</f>
        <v>Alpha-amylase</v>
      </c>
      <c r="BB75" t="str">
        <f>HYPERLINK("http://www.ncbi.nlm.nih.gov/Structure/cdd/cddsrv.cgi?uid=KOG2212","1E-135")</f>
        <v>1E-135</v>
      </c>
      <c r="BC75" t="s">
        <v>2308</v>
      </c>
      <c r="BD75" t="str">
        <f>HYPERLINK("http://exon.niaid.nih.gov/transcriptome/Anopheles_sialome/links/KOG/anoalb_Sal_amy-KOG.txt","KOG2212")</f>
        <v>KOG2212</v>
      </c>
      <c r="BE75" t="str">
        <f>HYPERLINK("http://exon.niaid.nih.gov/transcriptome/Anopheles_sialome/links/PFAM/anoalb_Sal_amy-PFAM.txt","Alpha-amylase")</f>
        <v>Alpha-amylase</v>
      </c>
      <c r="BF75" t="str">
        <f>HYPERLINK("http://pfam.sanger.ac.uk/family?acc=PF00128","2E-015")</f>
        <v>2E-015</v>
      </c>
      <c r="BG75" s="2" t="str">
        <f>HYPERLINK("http://exon.niaid.nih.gov/transcriptome/Anopheles_sialome/links/SMART/anoalb_Sal_amy-SMART.txt","Aamy")</f>
        <v>Aamy</v>
      </c>
      <c r="BH75" t="str">
        <f>HYPERLINK("http://smart.embl-heidelberg.de/smart/do_annotation.pl?DOMAIN=Aamy&amp;BLAST=DUMMY","4E-024")</f>
        <v>4E-024</v>
      </c>
      <c r="BI75" t="s">
        <v>128</v>
      </c>
      <c r="BJ75" s="2" t="s">
        <v>128</v>
      </c>
      <c r="BK75" t="s">
        <v>1550</v>
      </c>
      <c r="BL75">
        <f>HYPERLINK("http://exon.niaid.nih.gov/transcriptome/Anopheles_sialome/links/cluster-b/anopheline-sialome-cds-pep-larger-orf25-50SimCLU15.txt", 15)</f>
        <v>15</v>
      </c>
      <c r="BM75">
        <f>HYPERLINK("http://exon.niaid.nih.gov/transcriptome/Anopheles_sialome/links/cluster-b/anopheline-sialome-cds-pep-larger-orf25-50SimCLTL15.txt", 17)</f>
        <v>17</v>
      </c>
      <c r="BN75">
        <f>HYPERLINK("http://exon.niaid.nih.gov/transcriptome/Anopheles_sialome/links/cluster-b/anopheline-sialome-cds-pep-larger-orf30-50SimCLU15.txt", 15)</f>
        <v>15</v>
      </c>
      <c r="BO75">
        <f>HYPERLINK("http://exon.niaid.nih.gov/transcriptome/Anopheles_sialome/links/cluster-b/anopheline-sialome-cds-pep-larger-orf30-50SimCLTL15.txt", 17)</f>
        <v>17</v>
      </c>
      <c r="BP75">
        <f>HYPERLINK("http://exon.niaid.nih.gov/transcriptome/Anopheles_sialome/links/cluster-b/anopheline-sialome-cds-pep-larger-orf35-50SimCLU17.txt", 17)</f>
        <v>17</v>
      </c>
      <c r="BQ75">
        <f>HYPERLINK("http://exon.niaid.nih.gov/transcriptome/Anopheles_sialome/links/cluster-b/anopheline-sialome-cds-pep-larger-orf35-50SimCLTL17.txt", 17)</f>
        <v>17</v>
      </c>
      <c r="BR75">
        <f>HYPERLINK("http://exon.niaid.nih.gov/transcriptome/Anopheles_sialome/links/cluster-b/anopheline-sialome-cds-pep-larger-orf40-50SimCLU21.txt", 21)</f>
        <v>21</v>
      </c>
      <c r="BS75">
        <f>HYPERLINK("http://exon.niaid.nih.gov/transcriptome/Anopheles_sialome/links/cluster-b/anopheline-sialome-cds-pep-larger-orf40-50SimCLTL21.txt", 17)</f>
        <v>17</v>
      </c>
      <c r="BT75">
        <f>HYPERLINK("http://exon.niaid.nih.gov/transcriptome/Anopheles_sialome/links/cluster-b/anopheline-sialome-cds-pep-larger-orf45-50SimCLU25.txt", 25)</f>
        <v>25</v>
      </c>
      <c r="BU75">
        <f>HYPERLINK("http://exon.niaid.nih.gov/transcriptome/Anopheles_sialome/links/cluster-b/anopheline-sialome-cds-pep-larger-orf45-50SimCLTL25.txt", 17)</f>
        <v>17</v>
      </c>
      <c r="BV75">
        <f>HYPERLINK("http://exon.niaid.nih.gov/transcriptome/Anopheles_sialome/links/cluster-b/anopheline-sialome-cds-pep-larger-orf50-50SimCLU24.txt", 24)</f>
        <v>24</v>
      </c>
      <c r="BW75">
        <f>HYPERLINK("http://exon.niaid.nih.gov/transcriptome/Anopheles_sialome/links/cluster-b/anopheline-sialome-cds-pep-larger-orf50-50SimCLTL24.txt", 17)</f>
        <v>17</v>
      </c>
      <c r="BX75">
        <f>HYPERLINK("http://exon.niaid.nih.gov/transcriptome/Anopheles_sialome/links/cluster-b/anopheline-sialome-cds-pep-larger-orf55-50SimCLU24.txt", 24)</f>
        <v>24</v>
      </c>
      <c r="BY75">
        <f>HYPERLINK("http://exon.niaid.nih.gov/transcriptome/Anopheles_sialome/links/cluster-b/anopheline-sialome-cds-pep-larger-orf55-50SimCLTL24.txt", 17)</f>
        <v>17</v>
      </c>
      <c r="BZ75">
        <f>HYPERLINK("http://exon.niaid.nih.gov/transcriptome/Anopheles_sialome/links/cluster-b/anopheline-sialome-cds-pep-larger-orf60-50SimCLU20.txt", 20)</f>
        <v>20</v>
      </c>
      <c r="CA75">
        <f>HYPERLINK("http://exon.niaid.nih.gov/transcriptome/Anopheles_sialome/links/cluster-b/anopheline-sialome-cds-pep-larger-orf60-50SimCLTL20.txt", 17)</f>
        <v>17</v>
      </c>
      <c r="CB75">
        <f>HYPERLINK("http://exon.niaid.nih.gov/transcriptome/Anopheles_sialome/links/cluster-b/anopheline-sialome-cds-pep-larger-orf65-50SimCLU18.txt", 18)</f>
        <v>18</v>
      </c>
      <c r="CC75">
        <f>HYPERLINK("http://exon.niaid.nih.gov/transcriptome/Anopheles_sialome/links/cluster-b/anopheline-sialome-cds-pep-larger-orf65-50SimCLTL18.txt", 17)</f>
        <v>17</v>
      </c>
      <c r="CD75">
        <f>HYPERLINK("http://exon.niaid.nih.gov/transcriptome/Anopheles_sialome/links/cluster-b/anopheline-sialome-cds-pep-larger-orf70-50SimCLU59.txt", 59)</f>
        <v>59</v>
      </c>
      <c r="CE75">
        <f>HYPERLINK("http://exon.niaid.nih.gov/transcriptome/Anopheles_sialome/links/cluster-b/anopheline-sialome-cds-pep-larger-orf70-50SimCLTL59.txt", 2)</f>
        <v>2</v>
      </c>
      <c r="CF75">
        <f>HYPERLINK("http://exon.niaid.nih.gov/transcriptome/Anopheles_sialome/links/cluster-b/anopheline-sialome-cds-pep-larger-orf75-50SimCLU77.txt", 77)</f>
        <v>77</v>
      </c>
      <c r="CG75">
        <f>HYPERLINK("http://exon.niaid.nih.gov/transcriptome/Anopheles_sialome/links/cluster-b/anopheline-sialome-cds-pep-larger-orf75-50SimCLTL77.txt", 2)</f>
        <v>2</v>
      </c>
      <c r="CH75">
        <f>HYPERLINK("http://exon.niaid.nih.gov/transcriptome/Anopheles_sialome/links/cluster-b/anopheline-sialome-cds-pep-larger-orf80-50SimCLU89.txt", 89)</f>
        <v>89</v>
      </c>
      <c r="CI75">
        <f>HYPERLINK("http://exon.niaid.nih.gov/transcriptome/Anopheles_sialome/links/cluster-b/anopheline-sialome-cds-pep-larger-orf80-50SimCLTL89.txt", 2)</f>
        <v>2</v>
      </c>
      <c r="CJ75">
        <f>HYPERLINK("http://exon.niaid.nih.gov/transcriptome/Anopheles_sialome/links/cluster-b/anopheline-sialome-cds-pep-larger-orf85-50SimCLU89.txt", 89)</f>
        <v>89</v>
      </c>
      <c r="CK75">
        <f>HYPERLINK("http://exon.niaid.nih.gov/transcriptome/Anopheles_sialome/links/cluster-b/anopheline-sialome-cds-pep-larger-orf85-50SimCLTL89.txt", 2)</f>
        <v>2</v>
      </c>
      <c r="CL75">
        <v>300</v>
      </c>
      <c r="CM75">
        <v>1</v>
      </c>
      <c r="CN75">
        <v>337</v>
      </c>
      <c r="CO75">
        <v>1</v>
      </c>
    </row>
    <row r="76" spans="1:93">
      <c r="A76" s="2" t="str">
        <f>HYPERLINK("http://exon.niaid.nih.gov/transcriptome/Anopheles_sialome/links/cds/anodar_Sal_amy-cds.txt","anodar_Sal_amy")</f>
        <v>anodar_Sal_amy</v>
      </c>
      <c r="B76">
        <v>2370</v>
      </c>
      <c r="C76" t="s">
        <v>334</v>
      </c>
      <c r="D76" t="s">
        <v>4</v>
      </c>
      <c r="E76" t="s">
        <v>5</v>
      </c>
      <c r="F76" t="s">
        <v>1</v>
      </c>
      <c r="G76" t="str">
        <f>HYPERLINK("http://exon.niaid.nih.gov/transcriptome/Anopheles_sialome/links/pep/anodar_Sal_amy-pep.txt","anodar_Sal_amy")</f>
        <v>anodar_Sal_amy</v>
      </c>
      <c r="H76">
        <v>789</v>
      </c>
      <c r="I76">
        <v>1</v>
      </c>
      <c r="J76" s="3" t="str">
        <f>HYPERLINK("http://exon.niaid.nih.gov/transcriptome/Anopheles_sialome/links/Sigp/anodar_Sal_amy-SigP.txt","SIG")</f>
        <v>SIG</v>
      </c>
      <c r="K76" t="s">
        <v>715</v>
      </c>
      <c r="L76">
        <v>85.817999999999998</v>
      </c>
      <c r="M76">
        <v>5.15</v>
      </c>
      <c r="N76">
        <v>83.141999999999996</v>
      </c>
      <c r="O76">
        <v>5.03</v>
      </c>
      <c r="P76" t="s">
        <v>1553</v>
      </c>
      <c r="Q76" s="3" t="str">
        <f>HYPERLINK("http://exon.niaid.nih.gov/transcriptome/Anopheles_sialome/links/tmhmm/anodar_Sal_amy-tmhmm.txt","1")</f>
        <v>1</v>
      </c>
      <c r="R76">
        <v>2.8</v>
      </c>
      <c r="S76">
        <v>96.3</v>
      </c>
      <c r="T76">
        <v>0.9</v>
      </c>
      <c r="U76" t="s">
        <v>128</v>
      </c>
      <c r="V76">
        <v>760</v>
      </c>
      <c r="W76" s="3" t="str">
        <f>HYPERLINK("http://exon.niaid.nih.gov/transcriptome/Anopheles_sialome/links/netoglyc/anodar_Sal_amy-netoglyc.txt","2")</f>
        <v>2</v>
      </c>
      <c r="X76">
        <v>17.2</v>
      </c>
      <c r="Y76">
        <v>7.2</v>
      </c>
      <c r="Z76">
        <v>6</v>
      </c>
      <c r="AA76" t="s">
        <v>654</v>
      </c>
      <c r="AB76" t="s">
        <v>128</v>
      </c>
      <c r="AC76" s="2" t="str">
        <f>HYPERLINK("http://exon.niaid.nih.gov/transcriptome/Anopheles_sialome/links/DIPTERA/anodar_Sal_amy-DIPTERA.txt","alpha-amylase I")</f>
        <v>alpha-amylase I</v>
      </c>
      <c r="AD76" t="str">
        <f>HYPERLINK("http://www.ncbi.nlm.nih.gov/sutils/blink.cgi?pid=568256398","0.0")</f>
        <v>0.0</v>
      </c>
      <c r="AE76" t="str">
        <f>HYPERLINK("http://www.ncbi.nlm.nih.gov/protein/568256398","gi|568256398")</f>
        <v>gi|568256398</v>
      </c>
      <c r="AF76">
        <v>100</v>
      </c>
      <c r="AG76">
        <v>100</v>
      </c>
      <c r="AH76">
        <v>100</v>
      </c>
      <c r="AI76" t="s">
        <v>2283</v>
      </c>
      <c r="AJ76" s="2" t="str">
        <f>HYPERLINK("http://exon.niaid.nih.gov/transcriptome/Anopheles_sialome/links/CULICOMORPHA/anodar_Sal_amy-CULICOMORPHA.txt","alpha-amylase I")</f>
        <v>alpha-amylase I</v>
      </c>
      <c r="AK76" t="str">
        <f>HYPERLINK("http://www.ncbi.nlm.nih.gov/sutils/blink.cgi?pid=568256398","0.0")</f>
        <v>0.0</v>
      </c>
      <c r="AL76" t="str">
        <f>HYPERLINK("http://www.ncbi.nlm.nih.gov/protein/568256398","gi|568256398")</f>
        <v>gi|568256398</v>
      </c>
      <c r="AM76">
        <v>100</v>
      </c>
      <c r="AN76">
        <v>100</v>
      </c>
      <c r="AO76">
        <v>100</v>
      </c>
      <c r="AP76" t="s">
        <v>2283</v>
      </c>
      <c r="AQ76" s="2" t="str">
        <f>HYPERLINK("http://exon.niaid.nih.gov/transcriptome/Anopheles_sialome/links/NR-LIGHT/anodar_Sal_amy-NR-LIGHT.txt","alpha-amylase I")</f>
        <v>alpha-amylase I</v>
      </c>
      <c r="AR76" t="str">
        <f>HYPERLINK("http://www.ncbi.nlm.nih.gov/sutils/blink.cgi?pid=568256398","0.0")</f>
        <v>0.0</v>
      </c>
      <c r="AS76" t="str">
        <f>HYPERLINK("http://www.ncbi.nlm.nih.gov/protein/568256398","gi|568256398")</f>
        <v>gi|568256398</v>
      </c>
      <c r="AT76">
        <v>100</v>
      </c>
      <c r="AU76">
        <v>100</v>
      </c>
      <c r="AV76">
        <v>100</v>
      </c>
      <c r="AW76" t="s">
        <v>2283</v>
      </c>
      <c r="AX76" s="2" t="str">
        <f>HYPERLINK("http://exon.niaid.nih.gov/transcriptome/Anopheles_sialome/links/CDD/anodar_Sal_amy-CDD.txt","AmyAc_bac_euk_A")</f>
        <v>AmyAc_bac_euk_A</v>
      </c>
      <c r="AY76" t="str">
        <f>HYPERLINK("http://www.ncbi.nlm.nih.gov/Structure/cdd/cddsrv.cgi?uid=cd11317&amp;version=v4.0","1E-117")</f>
        <v>1E-117</v>
      </c>
      <c r="AZ76" t="s">
        <v>2770</v>
      </c>
      <c r="BA76" s="2" t="str">
        <f>HYPERLINK("http://exon.niaid.nih.gov/transcriptome/Anopheles_sialome/links/KOG/anodar_Sal_amy-KOG.txt","Alpha-amylase")</f>
        <v>Alpha-amylase</v>
      </c>
      <c r="BB76" t="str">
        <f>HYPERLINK("http://www.ncbi.nlm.nih.gov/Structure/cdd/cddsrv.cgi?uid=KOG2212","1E-134")</f>
        <v>1E-134</v>
      </c>
      <c r="BC76" t="s">
        <v>2308</v>
      </c>
      <c r="BD76" t="str">
        <f>HYPERLINK("http://exon.niaid.nih.gov/transcriptome/Anopheles_sialome/links/KOG/anodar_Sal_amy-KOG.txt","KOG2212")</f>
        <v>KOG2212</v>
      </c>
      <c r="BE76" t="str">
        <f>HYPERLINK("http://exon.niaid.nih.gov/transcriptome/Anopheles_sialome/links/PFAM/anodar_Sal_amy-PFAM.txt","Alpha-amylase_C")</f>
        <v>Alpha-amylase_C</v>
      </c>
      <c r="BF76" t="str">
        <f>HYPERLINK("http://pfam.sanger.ac.uk/family?acc=PF02806","1E-007")</f>
        <v>1E-007</v>
      </c>
      <c r="BG76" s="2" t="str">
        <f>HYPERLINK("http://exon.niaid.nih.gov/transcriptome/Anopheles_sialome/links/SMART/anodar_Sal_amy-SMART.txt","Aamy")</f>
        <v>Aamy</v>
      </c>
      <c r="BH76" t="str">
        <f>HYPERLINK("http://smart.embl-heidelberg.de/smart/do_annotation.pl?DOMAIN=Aamy&amp;BLAST=DUMMY","2E-020")</f>
        <v>2E-020</v>
      </c>
      <c r="BI76" t="s">
        <v>128</v>
      </c>
      <c r="BJ76" s="2" t="s">
        <v>128</v>
      </c>
      <c r="BK76" t="s">
        <v>1552</v>
      </c>
      <c r="BL76">
        <f>HYPERLINK("http://exon.niaid.nih.gov/transcriptome/Anopheles_sialome/links/cluster-b/anopheline-sialome-cds-pep-larger-orf25-50SimCLU15.txt", 15)</f>
        <v>15</v>
      </c>
      <c r="BM76">
        <f>HYPERLINK("http://exon.niaid.nih.gov/transcriptome/Anopheles_sialome/links/cluster-b/anopheline-sialome-cds-pep-larger-orf25-50SimCLTL15.txt", 17)</f>
        <v>17</v>
      </c>
      <c r="BN76">
        <f>HYPERLINK("http://exon.niaid.nih.gov/transcriptome/Anopheles_sialome/links/cluster-b/anopheline-sialome-cds-pep-larger-orf30-50SimCLU15.txt", 15)</f>
        <v>15</v>
      </c>
      <c r="BO76">
        <f>HYPERLINK("http://exon.niaid.nih.gov/transcriptome/Anopheles_sialome/links/cluster-b/anopheline-sialome-cds-pep-larger-orf30-50SimCLTL15.txt", 17)</f>
        <v>17</v>
      </c>
      <c r="BP76">
        <f>HYPERLINK("http://exon.niaid.nih.gov/transcriptome/Anopheles_sialome/links/cluster-b/anopheline-sialome-cds-pep-larger-orf35-50SimCLU17.txt", 17)</f>
        <v>17</v>
      </c>
      <c r="BQ76">
        <f>HYPERLINK("http://exon.niaid.nih.gov/transcriptome/Anopheles_sialome/links/cluster-b/anopheline-sialome-cds-pep-larger-orf35-50SimCLTL17.txt", 17)</f>
        <v>17</v>
      </c>
      <c r="BR76">
        <f>HYPERLINK("http://exon.niaid.nih.gov/transcriptome/Anopheles_sialome/links/cluster-b/anopheline-sialome-cds-pep-larger-orf40-50SimCLU21.txt", 21)</f>
        <v>21</v>
      </c>
      <c r="BS76">
        <f>HYPERLINK("http://exon.niaid.nih.gov/transcriptome/Anopheles_sialome/links/cluster-b/anopheline-sialome-cds-pep-larger-orf40-50SimCLTL21.txt", 17)</f>
        <v>17</v>
      </c>
      <c r="BT76">
        <f>HYPERLINK("http://exon.niaid.nih.gov/transcriptome/Anopheles_sialome/links/cluster-b/anopheline-sialome-cds-pep-larger-orf45-50SimCLU25.txt", 25)</f>
        <v>25</v>
      </c>
      <c r="BU76">
        <f>HYPERLINK("http://exon.niaid.nih.gov/transcriptome/Anopheles_sialome/links/cluster-b/anopheline-sialome-cds-pep-larger-orf45-50SimCLTL25.txt", 17)</f>
        <v>17</v>
      </c>
      <c r="BV76">
        <f>HYPERLINK("http://exon.niaid.nih.gov/transcriptome/Anopheles_sialome/links/cluster-b/anopheline-sialome-cds-pep-larger-orf50-50SimCLU24.txt", 24)</f>
        <v>24</v>
      </c>
      <c r="BW76">
        <f>HYPERLINK("http://exon.niaid.nih.gov/transcriptome/Anopheles_sialome/links/cluster-b/anopheline-sialome-cds-pep-larger-orf50-50SimCLTL24.txt", 17)</f>
        <v>17</v>
      </c>
      <c r="BX76">
        <f>HYPERLINK("http://exon.niaid.nih.gov/transcriptome/Anopheles_sialome/links/cluster-b/anopheline-sialome-cds-pep-larger-orf55-50SimCLU24.txt", 24)</f>
        <v>24</v>
      </c>
      <c r="BY76">
        <f>HYPERLINK("http://exon.niaid.nih.gov/transcriptome/Anopheles_sialome/links/cluster-b/anopheline-sialome-cds-pep-larger-orf55-50SimCLTL24.txt", 17)</f>
        <v>17</v>
      </c>
      <c r="BZ76">
        <f>HYPERLINK("http://exon.niaid.nih.gov/transcriptome/Anopheles_sialome/links/cluster-b/anopheline-sialome-cds-pep-larger-orf60-50SimCLU20.txt", 20)</f>
        <v>20</v>
      </c>
      <c r="CA76">
        <f>HYPERLINK("http://exon.niaid.nih.gov/transcriptome/Anopheles_sialome/links/cluster-b/anopheline-sialome-cds-pep-larger-orf60-50SimCLTL20.txt", 17)</f>
        <v>17</v>
      </c>
      <c r="CB76">
        <f>HYPERLINK("http://exon.niaid.nih.gov/transcriptome/Anopheles_sialome/links/cluster-b/anopheline-sialome-cds-pep-larger-orf65-50SimCLU18.txt", 18)</f>
        <v>18</v>
      </c>
      <c r="CC76">
        <f>HYPERLINK("http://exon.niaid.nih.gov/transcriptome/Anopheles_sialome/links/cluster-b/anopheline-sialome-cds-pep-larger-orf65-50SimCLTL18.txt", 17)</f>
        <v>17</v>
      </c>
      <c r="CD76">
        <f>HYPERLINK("http://exon.niaid.nih.gov/transcriptome/Anopheles_sialome/links/cluster-b/anopheline-sialome-cds-pep-larger-orf70-50SimCLU59.txt", 59)</f>
        <v>59</v>
      </c>
      <c r="CE76">
        <f>HYPERLINK("http://exon.niaid.nih.gov/transcriptome/Anopheles_sialome/links/cluster-b/anopheline-sialome-cds-pep-larger-orf70-50SimCLTL59.txt", 2)</f>
        <v>2</v>
      </c>
      <c r="CF76">
        <f>HYPERLINK("http://exon.niaid.nih.gov/transcriptome/Anopheles_sialome/links/cluster-b/anopheline-sialome-cds-pep-larger-orf75-50SimCLU77.txt", 77)</f>
        <v>77</v>
      </c>
      <c r="CG76">
        <f>HYPERLINK("http://exon.niaid.nih.gov/transcriptome/Anopheles_sialome/links/cluster-b/anopheline-sialome-cds-pep-larger-orf75-50SimCLTL77.txt", 2)</f>
        <v>2</v>
      </c>
      <c r="CH76">
        <f>HYPERLINK("http://exon.niaid.nih.gov/transcriptome/Anopheles_sialome/links/cluster-b/anopheline-sialome-cds-pep-larger-orf80-50SimCLU89.txt", 89)</f>
        <v>89</v>
      </c>
      <c r="CI76">
        <f>HYPERLINK("http://exon.niaid.nih.gov/transcriptome/Anopheles_sialome/links/cluster-b/anopheline-sialome-cds-pep-larger-orf80-50SimCLTL89.txt", 2)</f>
        <v>2</v>
      </c>
      <c r="CJ76">
        <f>HYPERLINK("http://exon.niaid.nih.gov/transcriptome/Anopheles_sialome/links/cluster-b/anopheline-sialome-cds-pep-larger-orf85-50SimCLU89.txt", 89)</f>
        <v>89</v>
      </c>
      <c r="CK76">
        <f>HYPERLINK("http://exon.niaid.nih.gov/transcriptome/Anopheles_sialome/links/cluster-b/anopheline-sialome-cds-pep-larger-orf85-50SimCLTL89.txt", 2)</f>
        <v>2</v>
      </c>
      <c r="CL76">
        <v>301</v>
      </c>
      <c r="CM76">
        <v>1</v>
      </c>
      <c r="CN76">
        <v>338</v>
      </c>
      <c r="CO76">
        <v>1</v>
      </c>
    </row>
    <row r="77" spans="1:93">
      <c r="A77" s="14" t="s">
        <v>3151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</row>
    <row r="78" spans="1:93">
      <c r="A78" s="2" t="str">
        <f>HYPERLINK("http://exon.niaid.nih.gov/transcriptome/Anopheles_sialome/links/cds/anoga_Sal_Maltase-cds.txt","anoga_Sal_Maltase")</f>
        <v>anoga_Sal_Maltase</v>
      </c>
      <c r="B78">
        <v>1782</v>
      </c>
      <c r="C78" t="s">
        <v>335</v>
      </c>
      <c r="D78" t="s">
        <v>4</v>
      </c>
      <c r="E78" t="s">
        <v>5</v>
      </c>
      <c r="F78" t="s">
        <v>1</v>
      </c>
      <c r="G78" t="str">
        <f>HYPERLINK("http://exon.niaid.nih.gov/transcriptome/Anopheles_sialome/links/pep/anoga_Sal_Maltase-pep.txt","anoga_Sal_Maltase")</f>
        <v>anoga_Sal_Maltase</v>
      </c>
      <c r="H78">
        <v>593</v>
      </c>
      <c r="I78">
        <v>4</v>
      </c>
      <c r="J78" s="3" t="str">
        <f>HYPERLINK("http://exon.niaid.nih.gov/transcriptome/Anopheles_sialome/links/Sigp/anoga_Sal_Maltase-SigP.txt","SIG")</f>
        <v>SIG</v>
      </c>
      <c r="K78" t="s">
        <v>652</v>
      </c>
      <c r="L78">
        <v>67.299000000000007</v>
      </c>
      <c r="M78">
        <v>5.64</v>
      </c>
      <c r="N78">
        <v>65.385000000000005</v>
      </c>
      <c r="O78">
        <v>5.59</v>
      </c>
      <c r="P78" t="s">
        <v>1256</v>
      </c>
      <c r="Q78" s="3">
        <v>0</v>
      </c>
      <c r="R78" t="s">
        <v>128</v>
      </c>
      <c r="S78" t="s">
        <v>128</v>
      </c>
      <c r="T78" t="s">
        <v>128</v>
      </c>
      <c r="U78" t="s">
        <v>128</v>
      </c>
      <c r="V78" t="s">
        <v>128</v>
      </c>
      <c r="W78" s="3" t="str">
        <f>HYPERLINK("http://exon.niaid.nih.gov/transcriptome/Anopheles_sialome/links/netoglyc/anoga_Sal_Maltase-netoglyc.txt","0")</f>
        <v>0</v>
      </c>
      <c r="X78">
        <v>11.8</v>
      </c>
      <c r="Y78">
        <v>7.1</v>
      </c>
      <c r="Z78">
        <v>6.1</v>
      </c>
      <c r="AA78" t="s">
        <v>654</v>
      </c>
      <c r="AB78" t="s">
        <v>1555</v>
      </c>
      <c r="AC78" s="2" t="str">
        <f>HYPERLINK("http://exon.niaid.nih.gov/transcriptome/Anopheles_sialome/links/DIPTERA/anoga_Sal_Maltase-DIPTERA.txt","AGAP002102-PA")</f>
        <v>AGAP002102-PA</v>
      </c>
      <c r="AD78" t="str">
        <f t="shared" ref="AD78" si="32">HYPERLINK("http://www.ncbi.nlm.nih.gov/sutils/blink.cgi?pid=116115877","0.0")</f>
        <v>0.0</v>
      </c>
      <c r="AE78" t="str">
        <f t="shared" ref="AE78" si="33">HYPERLINK("http://www.ncbi.nlm.nih.gov/protein/116115877","gi|116115877")</f>
        <v>gi|116115877</v>
      </c>
      <c r="AF78">
        <v>100</v>
      </c>
      <c r="AG78">
        <v>100</v>
      </c>
      <c r="AH78">
        <v>100</v>
      </c>
      <c r="AI78" t="s">
        <v>2285</v>
      </c>
      <c r="AJ78" s="2" t="str">
        <f>HYPERLINK("http://exon.niaid.nih.gov/transcriptome/Anopheles_sialome/links/CULICOMORPHA/anoga_Sal_Maltase-CULICOMORPHA.txt","AGAP002102-PA")</f>
        <v>AGAP002102-PA</v>
      </c>
      <c r="AK78" t="str">
        <f t="shared" ref="AK78" si="34">HYPERLINK("http://www.ncbi.nlm.nih.gov/sutils/blink.cgi?pid=116115877","0.0")</f>
        <v>0.0</v>
      </c>
      <c r="AL78" t="str">
        <f t="shared" ref="AL78" si="35">HYPERLINK("http://www.ncbi.nlm.nih.gov/protein/116115877","gi|116115877")</f>
        <v>gi|116115877</v>
      </c>
      <c r="AM78">
        <v>100</v>
      </c>
      <c r="AN78">
        <v>100</v>
      </c>
      <c r="AO78">
        <v>100</v>
      </c>
      <c r="AP78" t="s">
        <v>2285</v>
      </c>
      <c r="AQ78" s="2" t="str">
        <f>HYPERLINK("http://exon.niaid.nih.gov/transcriptome/Anopheles_sialome/links/NR-LIGHT/anoga_Sal_Maltase-NR-LIGHT.txt","AGAP002102-PA")</f>
        <v>AGAP002102-PA</v>
      </c>
      <c r="AR78" t="str">
        <f t="shared" ref="AR78" si="36">HYPERLINK("http://www.ncbi.nlm.nih.gov/sutils/blink.cgi?pid=118793578","0.0")</f>
        <v>0.0</v>
      </c>
      <c r="AS78" t="str">
        <f t="shared" ref="AS78" si="37">HYPERLINK("http://www.ncbi.nlm.nih.gov/protein/118793578","gi|118793578")</f>
        <v>gi|118793578</v>
      </c>
      <c r="AT78">
        <v>100</v>
      </c>
      <c r="AU78">
        <v>100</v>
      </c>
      <c r="AV78">
        <v>100</v>
      </c>
      <c r="AW78" t="s">
        <v>2285</v>
      </c>
      <c r="AX78" s="2" t="str">
        <f>HYPERLINK("http://exon.niaid.nih.gov/transcriptome/Anopheles_sialome/links/CDD/anoga_Sal_Maltase-CDD.txt","AmyAc_maltase")</f>
        <v>AmyAc_maltase</v>
      </c>
      <c r="AY78" t="str">
        <f t="shared" ref="AY78:AY94" si="38">HYPERLINK("http://www.ncbi.nlm.nih.gov/Structure/cdd/cddsrv.cgi?uid=cd11328&amp;version=v4.0","0.0")</f>
        <v>0.0</v>
      </c>
      <c r="AZ78" t="s">
        <v>2771</v>
      </c>
      <c r="BA78" s="2" t="str">
        <f>HYPERLINK("http://exon.niaid.nih.gov/transcriptome/Anopheles_sialome/links/KOG/anoga_Sal_Maltase-KOG.txt","Alpha-amylase")</f>
        <v>Alpha-amylase</v>
      </c>
      <c r="BB78" t="str">
        <f>HYPERLINK("http://www.ncbi.nlm.nih.gov/Structure/cdd/cddsrv.cgi?uid=KOG0471","1E-136")</f>
        <v>1E-136</v>
      </c>
      <c r="BC78" t="s">
        <v>2308</v>
      </c>
      <c r="BD78" t="str">
        <f>HYPERLINK("http://exon.niaid.nih.gov/transcriptome/Anopheles_sialome/links/KOG/anoga_Sal_Maltase-KOG.txt","KOG0471")</f>
        <v>KOG0471</v>
      </c>
      <c r="BE78" t="str">
        <f>HYPERLINK("http://exon.niaid.nih.gov/transcriptome/Anopheles_sialome/links/PFAM/anoga_Sal_Maltase-PFAM.txt","Alpha-amylase")</f>
        <v>Alpha-amylase</v>
      </c>
      <c r="BF78" t="str">
        <f>HYPERLINK("http://pfam.sanger.ac.uk/family?acc=PF00128","4E-085")</f>
        <v>4E-085</v>
      </c>
      <c r="BG78" s="2" t="str">
        <f>HYPERLINK("http://exon.niaid.nih.gov/transcriptome/Anopheles_sialome/links/SMART/anoga_Sal_Maltase-SMART.txt","Aamy")</f>
        <v>Aamy</v>
      </c>
      <c r="BH78" t="str">
        <f>HYPERLINK("http://smart.embl-heidelberg.de/smart/do_annotation.pl?DOMAIN=Aamy&amp;BLAST=DUMMY","1E-037")</f>
        <v>1E-037</v>
      </c>
      <c r="BI78" t="s">
        <v>128</v>
      </c>
      <c r="BJ78" s="2" t="s">
        <v>128</v>
      </c>
      <c r="BK78" t="s">
        <v>1554</v>
      </c>
      <c r="BL78">
        <f>HYPERLINK("http://exon.niaid.nih.gov/transcriptome/Anopheles_sialome/links/cluster-b/anopheline-sialome-cds-pep-larger-orf25-50SimCLU16.txt", 16)</f>
        <v>16</v>
      </c>
      <c r="BM78">
        <f>HYPERLINK("http://exon.niaid.nih.gov/transcriptome/Anopheles_sialome/links/cluster-b/anopheline-sialome-cds-pep-larger-orf25-50SimCLTL16.txt", 17)</f>
        <v>17</v>
      </c>
      <c r="BN78">
        <f>HYPERLINK("http://exon.niaid.nih.gov/transcriptome/Anopheles_sialome/links/cluster-b/anopheline-sialome-cds-pep-larger-orf30-50SimCLU16.txt", 16)</f>
        <v>16</v>
      </c>
      <c r="BO78">
        <f>HYPERLINK("http://exon.niaid.nih.gov/transcriptome/Anopheles_sialome/links/cluster-b/anopheline-sialome-cds-pep-larger-orf30-50SimCLTL16.txt", 17)</f>
        <v>17</v>
      </c>
      <c r="BP78">
        <f>HYPERLINK("http://exon.niaid.nih.gov/transcriptome/Anopheles_sialome/links/cluster-b/anopheline-sialome-cds-pep-larger-orf35-50SimCLU18.txt", 18)</f>
        <v>18</v>
      </c>
      <c r="BQ78">
        <f>HYPERLINK("http://exon.niaid.nih.gov/transcriptome/Anopheles_sialome/links/cluster-b/anopheline-sialome-cds-pep-larger-orf35-50SimCLTL18.txt", 17)</f>
        <v>17</v>
      </c>
      <c r="BR78">
        <f>HYPERLINK("http://exon.niaid.nih.gov/transcriptome/Anopheles_sialome/links/cluster-b/anopheline-sialome-cds-pep-larger-orf40-50SimCLU22.txt", 22)</f>
        <v>22</v>
      </c>
      <c r="BS78">
        <f>HYPERLINK("http://exon.niaid.nih.gov/transcriptome/Anopheles_sialome/links/cluster-b/anopheline-sialome-cds-pep-larger-orf40-50SimCLTL22.txt", 17)</f>
        <v>17</v>
      </c>
      <c r="BT78">
        <f>HYPERLINK("http://exon.niaid.nih.gov/transcriptome/Anopheles_sialome/links/cluster-b/anopheline-sialome-cds-pep-larger-orf45-50SimCLU26.txt", 26)</f>
        <v>26</v>
      </c>
      <c r="BU78">
        <f>HYPERLINK("http://exon.niaid.nih.gov/transcriptome/Anopheles_sialome/links/cluster-b/anopheline-sialome-cds-pep-larger-orf45-50SimCLTL26.txt", 17)</f>
        <v>17</v>
      </c>
      <c r="BV78">
        <f>HYPERLINK("http://exon.niaid.nih.gov/transcriptome/Anopheles_sialome/links/cluster-b/anopheline-sialome-cds-pep-larger-orf50-50SimCLU25.txt", 25)</f>
        <v>25</v>
      </c>
      <c r="BW78">
        <f>HYPERLINK("http://exon.niaid.nih.gov/transcriptome/Anopheles_sialome/links/cluster-b/anopheline-sialome-cds-pep-larger-orf50-50SimCLTL25.txt", 17)</f>
        <v>17</v>
      </c>
      <c r="BX78">
        <f>HYPERLINK("http://exon.niaid.nih.gov/transcriptome/Anopheles_sialome/links/cluster-b/anopheline-sialome-cds-pep-larger-orf55-50SimCLU25.txt", 25)</f>
        <v>25</v>
      </c>
      <c r="BY78">
        <f>HYPERLINK("http://exon.niaid.nih.gov/transcriptome/Anopheles_sialome/links/cluster-b/anopheline-sialome-cds-pep-larger-orf55-50SimCLTL25.txt", 17)</f>
        <v>17</v>
      </c>
      <c r="BZ78">
        <f>HYPERLINK("http://exon.niaid.nih.gov/transcriptome/Anopheles_sialome/links/cluster-b/anopheline-sialome-cds-pep-larger-orf60-50SimCLU21.txt", 21)</f>
        <v>21</v>
      </c>
      <c r="CA78">
        <f>HYPERLINK("http://exon.niaid.nih.gov/transcriptome/Anopheles_sialome/links/cluster-b/anopheline-sialome-cds-pep-larger-orf60-50SimCLTL21.txt", 17)</f>
        <v>17</v>
      </c>
      <c r="CB78">
        <f>HYPERLINK("http://exon.niaid.nih.gov/transcriptome/Anopheles_sialome/links/cluster-b/anopheline-sialome-cds-pep-larger-orf65-50SimCLU19.txt", 19)</f>
        <v>19</v>
      </c>
      <c r="CC78">
        <f>HYPERLINK("http://exon.niaid.nih.gov/transcriptome/Anopheles_sialome/links/cluster-b/anopheline-sialome-cds-pep-larger-orf65-50SimCLTL19.txt", 17)</f>
        <v>17</v>
      </c>
      <c r="CD78">
        <f>HYPERLINK("http://exon.niaid.nih.gov/transcriptome/Anopheles_sialome/links/cluster-b/anopheline-sialome-cds-pep-larger-orf70-50SimCLU20.txt", 20)</f>
        <v>20</v>
      </c>
      <c r="CE78">
        <f>HYPERLINK("http://exon.niaid.nih.gov/transcriptome/Anopheles_sialome/links/cluster-b/anopheline-sialome-cds-pep-larger-orf70-50SimCLTL20.txt", 17)</f>
        <v>17</v>
      </c>
      <c r="CF78">
        <f>HYPERLINK("http://exon.niaid.nih.gov/transcriptome/Anopheles_sialome/links/cluster-b/anopheline-sialome-cds-pep-larger-orf75-50SimCLU13.txt", 13)</f>
        <v>13</v>
      </c>
      <c r="CG78">
        <f>HYPERLINK("http://exon.niaid.nih.gov/transcriptome/Anopheles_sialome/links/cluster-b/anopheline-sialome-cds-pep-larger-orf75-50SimCLTL13.txt", 17)</f>
        <v>17</v>
      </c>
      <c r="CH78">
        <f>HYPERLINK("http://exon.niaid.nih.gov/transcriptome/Anopheles_sialome/links/cluster-b/anopheline-sialome-cds-pep-larger-orf80-50SimCLU10.txt", 10)</f>
        <v>10</v>
      </c>
      <c r="CI78">
        <f>HYPERLINK("http://exon.niaid.nih.gov/transcriptome/Anopheles_sialome/links/cluster-b/anopheline-sialome-cds-pep-larger-orf80-50SimCLTL10.txt", 17)</f>
        <v>17</v>
      </c>
      <c r="CJ78">
        <f>HYPERLINK("http://exon.niaid.nih.gov/transcriptome/Anopheles_sialome/links/cluster-b/anopheline-sialome-cds-pep-larger-orf85-50SimCLU5.txt", 5)</f>
        <v>5</v>
      </c>
      <c r="CK78">
        <f>HYPERLINK("http://exon.niaid.nih.gov/transcriptome/Anopheles_sialome/links/cluster-b/anopheline-sialome-cds-pep-larger-orf85-50SimCLTL5.txt", 17)</f>
        <v>17</v>
      </c>
      <c r="CL78">
        <f>HYPERLINK("http://exon.niaid.nih.gov/transcriptome/Anopheles_sialome/links/cluster-b/anopheline-sialome-cds-pep-larger-orf90-50SimCLU7.txt", 7)</f>
        <v>7</v>
      </c>
      <c r="CM78">
        <f>HYPERLINK("http://exon.niaid.nih.gov/transcriptome/Anopheles_sialome/links/cluster-b/anopheline-sialome-cds-pep-larger-orf90-50SimCLTL7.txt", 13)</f>
        <v>13</v>
      </c>
      <c r="CN78">
        <f>HYPERLINK("http://exon.niaid.nih.gov/transcriptome/Anopheles_sialome/links/cluster-b/anopheline-sialome-cds-pep-larger-orf95-50SimCLU39.txt", 39)</f>
        <v>39</v>
      </c>
      <c r="CO78">
        <f>HYPERLINK("http://exon.niaid.nih.gov/transcriptome/Anopheles_sialome/links/cluster-b/anopheline-sialome-cds-pep-larger-orf95-50SimCLTL39.txt", 5)</f>
        <v>5</v>
      </c>
    </row>
    <row r="79" spans="1:93">
      <c r="A79" s="2" t="str">
        <f>HYPERLINK("http://exon.niaid.nih.gov/transcriptome/Anopheles_sialome/links/cds/anocol_Sal_Maltase-cds.txt","anocol_Sal_Maltase")</f>
        <v>anocol_Sal_Maltase</v>
      </c>
      <c r="B79">
        <v>1782</v>
      </c>
      <c r="C79" t="s">
        <v>336</v>
      </c>
      <c r="D79" t="s">
        <v>4</v>
      </c>
      <c r="E79" t="s">
        <v>5</v>
      </c>
      <c r="F79" t="s">
        <v>1</v>
      </c>
      <c r="G79" t="str">
        <f>HYPERLINK("http://exon.niaid.nih.gov/transcriptome/Anopheles_sialome/links/pep/anocol_Sal_Maltase-pep.txt","anocol_Sal_Maltase")</f>
        <v>anocol_Sal_Maltase</v>
      </c>
      <c r="H79">
        <v>593</v>
      </c>
      <c r="I79">
        <v>4</v>
      </c>
      <c r="J79" s="3" t="str">
        <f>HYPERLINK("http://exon.niaid.nih.gov/transcriptome/Anopheles_sialome/links/Sigp/anocol_Sal_Maltase-SigP.txt","SIG")</f>
        <v>SIG</v>
      </c>
      <c r="K79" t="s">
        <v>652</v>
      </c>
      <c r="L79">
        <v>67.227999999999994</v>
      </c>
      <c r="M79">
        <v>5.59</v>
      </c>
      <c r="N79">
        <v>65.331999999999994</v>
      </c>
      <c r="O79">
        <v>5.54</v>
      </c>
      <c r="P79" t="s">
        <v>1256</v>
      </c>
      <c r="Q79" s="3">
        <v>0</v>
      </c>
      <c r="R79" t="s">
        <v>128</v>
      </c>
      <c r="S79" t="s">
        <v>128</v>
      </c>
      <c r="T79" t="s">
        <v>128</v>
      </c>
      <c r="U79" t="s">
        <v>128</v>
      </c>
      <c r="V79" t="s">
        <v>128</v>
      </c>
      <c r="W79" s="3" t="str">
        <f>HYPERLINK("http://exon.niaid.nih.gov/transcriptome/Anopheles_sialome/links/netoglyc/anocol_Sal_Maltase-netoglyc.txt","0")</f>
        <v>0</v>
      </c>
      <c r="X79">
        <v>11.6</v>
      </c>
      <c r="Y79">
        <v>7.1</v>
      </c>
      <c r="Z79">
        <v>6.1</v>
      </c>
      <c r="AA79" t="s">
        <v>654</v>
      </c>
      <c r="AB79" t="s">
        <v>1555</v>
      </c>
      <c r="AC79" s="2" t="str">
        <f>HYPERLINK("http://exon.niaid.nih.gov/transcriptome/Anopheles_sialome/links/DIPTERA/anocol_Sal_Maltase-DIPTERA.txt","AGAP002102-PA")</f>
        <v>AGAP002102-PA</v>
      </c>
      <c r="AD79" t="str">
        <f>HYPERLINK("http://www.ncbi.nlm.nih.gov/sutils/blink.cgi?pid=116115877","0.0")</f>
        <v>0.0</v>
      </c>
      <c r="AE79" t="str">
        <f>HYPERLINK("http://www.ncbi.nlm.nih.gov/protein/116115877","gi|116115877")</f>
        <v>gi|116115877</v>
      </c>
      <c r="AF79">
        <v>99</v>
      </c>
      <c r="AG79">
        <v>99</v>
      </c>
      <c r="AH79">
        <v>100</v>
      </c>
      <c r="AI79" t="s">
        <v>2285</v>
      </c>
      <c r="AJ79" s="2" t="str">
        <f>HYPERLINK("http://exon.niaid.nih.gov/transcriptome/Anopheles_sialome/links/CULICOMORPHA/anocol_Sal_Maltase-CULICOMORPHA.txt","AGAP002102-PA")</f>
        <v>AGAP002102-PA</v>
      </c>
      <c r="AK79" t="str">
        <f>HYPERLINK("http://www.ncbi.nlm.nih.gov/sutils/blink.cgi?pid=116115877","0.0")</f>
        <v>0.0</v>
      </c>
      <c r="AL79" t="str">
        <f>HYPERLINK("http://www.ncbi.nlm.nih.gov/protein/116115877","gi|116115877")</f>
        <v>gi|116115877</v>
      </c>
      <c r="AM79">
        <v>99</v>
      </c>
      <c r="AN79">
        <v>99</v>
      </c>
      <c r="AO79">
        <v>100</v>
      </c>
      <c r="AP79" t="s">
        <v>2285</v>
      </c>
      <c r="AQ79" s="2" t="str">
        <f>HYPERLINK("http://exon.niaid.nih.gov/transcriptome/Anopheles_sialome/links/NR-LIGHT/anocol_Sal_Maltase-NR-LIGHT.txt","AGAP002102-PA")</f>
        <v>AGAP002102-PA</v>
      </c>
      <c r="AR79" t="str">
        <f>HYPERLINK("http://www.ncbi.nlm.nih.gov/sutils/blink.cgi?pid=118793578","0.0")</f>
        <v>0.0</v>
      </c>
      <c r="AS79" t="str">
        <f>HYPERLINK("http://www.ncbi.nlm.nih.gov/protein/118793578","gi|118793578")</f>
        <v>gi|118793578</v>
      </c>
      <c r="AT79">
        <v>99</v>
      </c>
      <c r="AU79">
        <v>99</v>
      </c>
      <c r="AV79">
        <v>100</v>
      </c>
      <c r="AW79" t="s">
        <v>2285</v>
      </c>
      <c r="AX79" s="2" t="str">
        <f>HYPERLINK("http://exon.niaid.nih.gov/transcriptome/Anopheles_sialome/links/CDD/anocol_Sal_Maltase-CDD.txt","AmyAc_maltase")</f>
        <v>AmyAc_maltase</v>
      </c>
      <c r="AY79" t="str">
        <f t="shared" si="38"/>
        <v>0.0</v>
      </c>
      <c r="AZ79" t="s">
        <v>2772</v>
      </c>
      <c r="BA79" s="2" t="str">
        <f>HYPERLINK("http://exon.niaid.nih.gov/transcriptome/Anopheles_sialome/links/KOG/anocol_Sal_Maltase-KOG.txt","Alpha-amylase")</f>
        <v>Alpha-amylase</v>
      </c>
      <c r="BB79" t="str">
        <f>HYPERLINK("http://www.ncbi.nlm.nih.gov/Structure/cdd/cddsrv.cgi?uid=KOG0471","1E-136")</f>
        <v>1E-136</v>
      </c>
      <c r="BC79" t="s">
        <v>2308</v>
      </c>
      <c r="BD79" t="str">
        <f>HYPERLINK("http://exon.niaid.nih.gov/transcriptome/Anopheles_sialome/links/KOG/anocol_Sal_Maltase-KOG.txt","KOG0471")</f>
        <v>KOG0471</v>
      </c>
      <c r="BE79" t="str">
        <f>HYPERLINK("http://exon.niaid.nih.gov/transcriptome/Anopheles_sialome/links/PFAM/anocol_Sal_Maltase-PFAM.txt","Alpha-amylase")</f>
        <v>Alpha-amylase</v>
      </c>
      <c r="BF79" t="str">
        <f>HYPERLINK("http://pfam.sanger.ac.uk/family?acc=PF00128","3E-085")</f>
        <v>3E-085</v>
      </c>
      <c r="BG79" s="2" t="str">
        <f>HYPERLINK("http://exon.niaid.nih.gov/transcriptome/Anopheles_sialome/links/SMART/anocol_Sal_Maltase-SMART.txt","Aamy")</f>
        <v>Aamy</v>
      </c>
      <c r="BH79" t="str">
        <f>HYPERLINK("http://smart.embl-heidelberg.de/smart/do_annotation.pl?DOMAIN=Aamy&amp;BLAST=DUMMY","9E-038")</f>
        <v>9E-038</v>
      </c>
      <c r="BI79" t="s">
        <v>128</v>
      </c>
      <c r="BJ79" s="2" t="s">
        <v>128</v>
      </c>
      <c r="BK79" t="s">
        <v>1556</v>
      </c>
      <c r="BL79">
        <f>HYPERLINK("http://exon.niaid.nih.gov/transcriptome/Anopheles_sialome/links/cluster-b/anopheline-sialome-cds-pep-larger-orf25-50SimCLU16.txt", 16)</f>
        <v>16</v>
      </c>
      <c r="BM79">
        <f>HYPERLINK("http://exon.niaid.nih.gov/transcriptome/Anopheles_sialome/links/cluster-b/anopheline-sialome-cds-pep-larger-orf25-50SimCLTL16.txt", 17)</f>
        <v>17</v>
      </c>
      <c r="BN79">
        <f>HYPERLINK("http://exon.niaid.nih.gov/transcriptome/Anopheles_sialome/links/cluster-b/anopheline-sialome-cds-pep-larger-orf30-50SimCLU16.txt", 16)</f>
        <v>16</v>
      </c>
      <c r="BO79">
        <f>HYPERLINK("http://exon.niaid.nih.gov/transcriptome/Anopheles_sialome/links/cluster-b/anopheline-sialome-cds-pep-larger-orf30-50SimCLTL16.txt", 17)</f>
        <v>17</v>
      </c>
      <c r="BP79">
        <f>HYPERLINK("http://exon.niaid.nih.gov/transcriptome/Anopheles_sialome/links/cluster-b/anopheline-sialome-cds-pep-larger-orf35-50SimCLU18.txt", 18)</f>
        <v>18</v>
      </c>
      <c r="BQ79">
        <f>HYPERLINK("http://exon.niaid.nih.gov/transcriptome/Anopheles_sialome/links/cluster-b/anopheline-sialome-cds-pep-larger-orf35-50SimCLTL18.txt", 17)</f>
        <v>17</v>
      </c>
      <c r="BR79">
        <f>HYPERLINK("http://exon.niaid.nih.gov/transcriptome/Anopheles_sialome/links/cluster-b/anopheline-sialome-cds-pep-larger-orf40-50SimCLU22.txt", 22)</f>
        <v>22</v>
      </c>
      <c r="BS79">
        <f>HYPERLINK("http://exon.niaid.nih.gov/transcriptome/Anopheles_sialome/links/cluster-b/anopheline-sialome-cds-pep-larger-orf40-50SimCLTL22.txt", 17)</f>
        <v>17</v>
      </c>
      <c r="BT79">
        <f>HYPERLINK("http://exon.niaid.nih.gov/transcriptome/Anopheles_sialome/links/cluster-b/anopheline-sialome-cds-pep-larger-orf45-50SimCLU26.txt", 26)</f>
        <v>26</v>
      </c>
      <c r="BU79">
        <f>HYPERLINK("http://exon.niaid.nih.gov/transcriptome/Anopheles_sialome/links/cluster-b/anopheline-sialome-cds-pep-larger-orf45-50SimCLTL26.txt", 17)</f>
        <v>17</v>
      </c>
      <c r="BV79">
        <f>HYPERLINK("http://exon.niaid.nih.gov/transcriptome/Anopheles_sialome/links/cluster-b/anopheline-sialome-cds-pep-larger-orf50-50SimCLU25.txt", 25)</f>
        <v>25</v>
      </c>
      <c r="BW79">
        <f>HYPERLINK("http://exon.niaid.nih.gov/transcriptome/Anopheles_sialome/links/cluster-b/anopheline-sialome-cds-pep-larger-orf50-50SimCLTL25.txt", 17)</f>
        <v>17</v>
      </c>
      <c r="BX79">
        <f>HYPERLINK("http://exon.niaid.nih.gov/transcriptome/Anopheles_sialome/links/cluster-b/anopheline-sialome-cds-pep-larger-orf55-50SimCLU25.txt", 25)</f>
        <v>25</v>
      </c>
      <c r="BY79">
        <f>HYPERLINK("http://exon.niaid.nih.gov/transcriptome/Anopheles_sialome/links/cluster-b/anopheline-sialome-cds-pep-larger-orf55-50SimCLTL25.txt", 17)</f>
        <v>17</v>
      </c>
      <c r="BZ79">
        <f>HYPERLINK("http://exon.niaid.nih.gov/transcriptome/Anopheles_sialome/links/cluster-b/anopheline-sialome-cds-pep-larger-orf60-50SimCLU21.txt", 21)</f>
        <v>21</v>
      </c>
      <c r="CA79">
        <f>HYPERLINK("http://exon.niaid.nih.gov/transcriptome/Anopheles_sialome/links/cluster-b/anopheline-sialome-cds-pep-larger-orf60-50SimCLTL21.txt", 17)</f>
        <v>17</v>
      </c>
      <c r="CB79">
        <f>HYPERLINK("http://exon.niaid.nih.gov/transcriptome/Anopheles_sialome/links/cluster-b/anopheline-sialome-cds-pep-larger-orf65-50SimCLU19.txt", 19)</f>
        <v>19</v>
      </c>
      <c r="CC79">
        <f>HYPERLINK("http://exon.niaid.nih.gov/transcriptome/Anopheles_sialome/links/cluster-b/anopheline-sialome-cds-pep-larger-orf65-50SimCLTL19.txt", 17)</f>
        <v>17</v>
      </c>
      <c r="CD79">
        <f>HYPERLINK("http://exon.niaid.nih.gov/transcriptome/Anopheles_sialome/links/cluster-b/anopheline-sialome-cds-pep-larger-orf70-50SimCLU20.txt", 20)</f>
        <v>20</v>
      </c>
      <c r="CE79">
        <f>HYPERLINK("http://exon.niaid.nih.gov/transcriptome/Anopheles_sialome/links/cluster-b/anopheline-sialome-cds-pep-larger-orf70-50SimCLTL20.txt", 17)</f>
        <v>17</v>
      </c>
      <c r="CF79">
        <f>HYPERLINK("http://exon.niaid.nih.gov/transcriptome/Anopheles_sialome/links/cluster-b/anopheline-sialome-cds-pep-larger-orf75-50SimCLU13.txt", 13)</f>
        <v>13</v>
      </c>
      <c r="CG79">
        <f>HYPERLINK("http://exon.niaid.nih.gov/transcriptome/Anopheles_sialome/links/cluster-b/anopheline-sialome-cds-pep-larger-orf75-50SimCLTL13.txt", 17)</f>
        <v>17</v>
      </c>
      <c r="CH79">
        <f>HYPERLINK("http://exon.niaid.nih.gov/transcriptome/Anopheles_sialome/links/cluster-b/anopheline-sialome-cds-pep-larger-orf80-50SimCLU10.txt", 10)</f>
        <v>10</v>
      </c>
      <c r="CI79">
        <f>HYPERLINK("http://exon.niaid.nih.gov/transcriptome/Anopheles_sialome/links/cluster-b/anopheline-sialome-cds-pep-larger-orf80-50SimCLTL10.txt", 17)</f>
        <v>17</v>
      </c>
      <c r="CJ79">
        <f>HYPERLINK("http://exon.niaid.nih.gov/transcriptome/Anopheles_sialome/links/cluster-b/anopheline-sialome-cds-pep-larger-orf85-50SimCLU5.txt", 5)</f>
        <v>5</v>
      </c>
      <c r="CK79">
        <f>HYPERLINK("http://exon.niaid.nih.gov/transcriptome/Anopheles_sialome/links/cluster-b/anopheline-sialome-cds-pep-larger-orf85-50SimCLTL5.txt", 17)</f>
        <v>17</v>
      </c>
      <c r="CL79">
        <f>HYPERLINK("http://exon.niaid.nih.gov/transcriptome/Anopheles_sialome/links/cluster-b/anopheline-sialome-cds-pep-larger-orf90-50SimCLU7.txt", 7)</f>
        <v>7</v>
      </c>
      <c r="CM79">
        <f>HYPERLINK("http://exon.niaid.nih.gov/transcriptome/Anopheles_sialome/links/cluster-b/anopheline-sialome-cds-pep-larger-orf90-50SimCLTL7.txt", 13)</f>
        <v>13</v>
      </c>
      <c r="CN79">
        <f>HYPERLINK("http://exon.niaid.nih.gov/transcriptome/Anopheles_sialome/links/cluster-b/anopheline-sialome-cds-pep-larger-orf95-50SimCLU39.txt", 39)</f>
        <v>39</v>
      </c>
      <c r="CO79">
        <f>HYPERLINK("http://exon.niaid.nih.gov/transcriptome/Anopheles_sialome/links/cluster-b/anopheline-sialome-cds-pep-larger-orf95-50SimCLTL39.txt", 5)</f>
        <v>5</v>
      </c>
    </row>
    <row r="80" spans="1:93">
      <c r="A80" s="2" t="str">
        <f>HYPERLINK("http://exon.niaid.nih.gov/transcriptome/Anopheles_sialome/links/cds/anoara_Sal_Maltase-cds.txt","anoara_Sal_Maltase")</f>
        <v>anoara_Sal_Maltase</v>
      </c>
      <c r="B80">
        <v>1782</v>
      </c>
      <c r="C80" t="s">
        <v>337</v>
      </c>
      <c r="D80" t="s">
        <v>7</v>
      </c>
      <c r="E80" t="s">
        <v>5</v>
      </c>
      <c r="F80" t="s">
        <v>1</v>
      </c>
      <c r="G80" t="str">
        <f>HYPERLINK("http://exon.niaid.nih.gov/transcriptome/Anopheles_sialome/links/pep/anoara_Sal_Maltase-pep.txt","anoara_Sal_Maltase")</f>
        <v>anoara_Sal_Maltase</v>
      </c>
      <c r="H80">
        <v>593</v>
      </c>
      <c r="I80">
        <v>4</v>
      </c>
      <c r="J80" s="3" t="str">
        <f>HYPERLINK("http://exon.niaid.nih.gov/transcriptome/Anopheles_sialome/links/Sigp/anoara_Sal_Maltase-SigP.txt","SIG")</f>
        <v>SIG</v>
      </c>
      <c r="K80" t="s">
        <v>652</v>
      </c>
      <c r="L80">
        <v>67.23</v>
      </c>
      <c r="M80">
        <v>5.51</v>
      </c>
      <c r="N80">
        <v>65.334000000000003</v>
      </c>
      <c r="O80">
        <v>5.46</v>
      </c>
      <c r="P80" t="s">
        <v>1256</v>
      </c>
      <c r="Q80" s="3">
        <v>0</v>
      </c>
      <c r="R80" t="s">
        <v>128</v>
      </c>
      <c r="S80" t="s">
        <v>128</v>
      </c>
      <c r="T80" t="s">
        <v>128</v>
      </c>
      <c r="U80" t="s">
        <v>128</v>
      </c>
      <c r="V80" t="s">
        <v>128</v>
      </c>
      <c r="W80" s="3" t="str">
        <f>HYPERLINK("http://exon.niaid.nih.gov/transcriptome/Anopheles_sialome/links/netoglyc/anoara_Sal_Maltase-netoglyc.txt","0")</f>
        <v>0</v>
      </c>
      <c r="X80">
        <v>12</v>
      </c>
      <c r="Y80">
        <v>7.1</v>
      </c>
      <c r="Z80">
        <v>5.9</v>
      </c>
      <c r="AA80" t="s">
        <v>654</v>
      </c>
      <c r="AB80" t="s">
        <v>1558</v>
      </c>
      <c r="AC80" s="2" t="str">
        <f>HYPERLINK("http://exon.niaid.nih.gov/transcriptome/Anopheles_sialome/links/DIPTERA/anoara_Sal_Maltase-DIPTERA.txt","AGAP002102-PA")</f>
        <v>AGAP002102-PA</v>
      </c>
      <c r="AD80" t="str">
        <f>HYPERLINK("http://www.ncbi.nlm.nih.gov/sutils/blink.cgi?pid=116115877","0.0")</f>
        <v>0.0</v>
      </c>
      <c r="AE80" t="str">
        <f>HYPERLINK("http://www.ncbi.nlm.nih.gov/protein/116115877","gi|116115877")</f>
        <v>gi|116115877</v>
      </c>
      <c r="AF80">
        <v>99</v>
      </c>
      <c r="AG80">
        <v>99</v>
      </c>
      <c r="AH80">
        <v>100</v>
      </c>
      <c r="AI80" t="s">
        <v>2285</v>
      </c>
      <c r="AJ80" s="2" t="str">
        <f>HYPERLINK("http://exon.niaid.nih.gov/transcriptome/Anopheles_sialome/links/CULICOMORPHA/anoara_Sal_Maltase-CULICOMORPHA.txt","AGAP002102-PA")</f>
        <v>AGAP002102-PA</v>
      </c>
      <c r="AK80" t="str">
        <f>HYPERLINK("http://www.ncbi.nlm.nih.gov/sutils/blink.cgi?pid=116115877","0.0")</f>
        <v>0.0</v>
      </c>
      <c r="AL80" t="str">
        <f>HYPERLINK("http://www.ncbi.nlm.nih.gov/protein/116115877","gi|116115877")</f>
        <v>gi|116115877</v>
      </c>
      <c r="AM80">
        <v>99</v>
      </c>
      <c r="AN80">
        <v>99</v>
      </c>
      <c r="AO80">
        <v>100</v>
      </c>
      <c r="AP80" t="s">
        <v>2285</v>
      </c>
      <c r="AQ80" s="2" t="str">
        <f>HYPERLINK("http://exon.niaid.nih.gov/transcriptome/Anopheles_sialome/links/NR-LIGHT/anoara_Sal_Maltase-NR-LIGHT.txt","AGAP002102-PA")</f>
        <v>AGAP002102-PA</v>
      </c>
      <c r="AR80" t="str">
        <f>HYPERLINK("http://www.ncbi.nlm.nih.gov/sutils/blink.cgi?pid=118793578","0.0")</f>
        <v>0.0</v>
      </c>
      <c r="AS80" t="str">
        <f>HYPERLINK("http://www.ncbi.nlm.nih.gov/protein/118793578","gi|118793578")</f>
        <v>gi|118793578</v>
      </c>
      <c r="AT80">
        <v>99</v>
      </c>
      <c r="AU80">
        <v>99</v>
      </c>
      <c r="AV80">
        <v>100</v>
      </c>
      <c r="AW80" t="s">
        <v>2285</v>
      </c>
      <c r="AX80" s="2" t="str">
        <f>HYPERLINK("http://exon.niaid.nih.gov/transcriptome/Anopheles_sialome/links/CDD/anoara_Sal_Maltase-CDD.txt","AmyAc_maltase")</f>
        <v>AmyAc_maltase</v>
      </c>
      <c r="AY80" t="str">
        <f t="shared" si="38"/>
        <v>0.0</v>
      </c>
      <c r="AZ80" t="s">
        <v>2773</v>
      </c>
      <c r="BA80" s="2" t="str">
        <f>HYPERLINK("http://exon.niaid.nih.gov/transcriptome/Anopheles_sialome/links/KOG/anoara_Sal_Maltase-KOG.txt","Alpha-amylase")</f>
        <v>Alpha-amylase</v>
      </c>
      <c r="BB80" t="str">
        <f>HYPERLINK("http://www.ncbi.nlm.nih.gov/Structure/cdd/cddsrv.cgi?uid=KOG0471","1E-137")</f>
        <v>1E-137</v>
      </c>
      <c r="BC80" t="s">
        <v>2308</v>
      </c>
      <c r="BD80" t="str">
        <f>HYPERLINK("http://exon.niaid.nih.gov/transcriptome/Anopheles_sialome/links/KOG/anoara_Sal_Maltase-KOG.txt","KOG0471")</f>
        <v>KOG0471</v>
      </c>
      <c r="BE80" t="str">
        <f>HYPERLINK("http://exon.niaid.nih.gov/transcriptome/Anopheles_sialome/links/PFAM/anoara_Sal_Maltase-PFAM.txt","Alpha-amylase")</f>
        <v>Alpha-amylase</v>
      </c>
      <c r="BF80" t="str">
        <f>HYPERLINK("http://pfam.sanger.ac.uk/family?acc=PF00128","2E-084")</f>
        <v>2E-084</v>
      </c>
      <c r="BG80" s="2" t="str">
        <f>HYPERLINK("http://exon.niaid.nih.gov/transcriptome/Anopheles_sialome/links/SMART/anoara_Sal_Maltase-SMART.txt","Aamy")</f>
        <v>Aamy</v>
      </c>
      <c r="BH80" t="str">
        <f>HYPERLINK("http://smart.embl-heidelberg.de/smart/do_annotation.pl?DOMAIN=Aamy&amp;BLAST=DUMMY","2E-037")</f>
        <v>2E-037</v>
      </c>
      <c r="BI80" t="s">
        <v>128</v>
      </c>
      <c r="BJ80" s="2" t="s">
        <v>128</v>
      </c>
      <c r="BK80" t="s">
        <v>1557</v>
      </c>
      <c r="BL80">
        <f>HYPERLINK("http://exon.niaid.nih.gov/transcriptome/Anopheles_sialome/links/cluster-b/anopheline-sialome-cds-pep-larger-orf25-50SimCLU16.txt", 16)</f>
        <v>16</v>
      </c>
      <c r="BM80">
        <f>HYPERLINK("http://exon.niaid.nih.gov/transcriptome/Anopheles_sialome/links/cluster-b/anopheline-sialome-cds-pep-larger-orf25-50SimCLTL16.txt", 17)</f>
        <v>17</v>
      </c>
      <c r="BN80">
        <f>HYPERLINK("http://exon.niaid.nih.gov/transcriptome/Anopheles_sialome/links/cluster-b/anopheline-sialome-cds-pep-larger-orf30-50SimCLU16.txt", 16)</f>
        <v>16</v>
      </c>
      <c r="BO80">
        <f>HYPERLINK("http://exon.niaid.nih.gov/transcriptome/Anopheles_sialome/links/cluster-b/anopheline-sialome-cds-pep-larger-orf30-50SimCLTL16.txt", 17)</f>
        <v>17</v>
      </c>
      <c r="BP80">
        <f>HYPERLINK("http://exon.niaid.nih.gov/transcriptome/Anopheles_sialome/links/cluster-b/anopheline-sialome-cds-pep-larger-orf35-50SimCLU18.txt", 18)</f>
        <v>18</v>
      </c>
      <c r="BQ80">
        <f>HYPERLINK("http://exon.niaid.nih.gov/transcriptome/Anopheles_sialome/links/cluster-b/anopheline-sialome-cds-pep-larger-orf35-50SimCLTL18.txt", 17)</f>
        <v>17</v>
      </c>
      <c r="BR80">
        <f>HYPERLINK("http://exon.niaid.nih.gov/transcriptome/Anopheles_sialome/links/cluster-b/anopheline-sialome-cds-pep-larger-orf40-50SimCLU22.txt", 22)</f>
        <v>22</v>
      </c>
      <c r="BS80">
        <f>HYPERLINK("http://exon.niaid.nih.gov/transcriptome/Anopheles_sialome/links/cluster-b/anopheline-sialome-cds-pep-larger-orf40-50SimCLTL22.txt", 17)</f>
        <v>17</v>
      </c>
      <c r="BT80">
        <f>HYPERLINK("http://exon.niaid.nih.gov/transcriptome/Anopheles_sialome/links/cluster-b/anopheline-sialome-cds-pep-larger-orf45-50SimCLU26.txt", 26)</f>
        <v>26</v>
      </c>
      <c r="BU80">
        <f>HYPERLINK("http://exon.niaid.nih.gov/transcriptome/Anopheles_sialome/links/cluster-b/anopheline-sialome-cds-pep-larger-orf45-50SimCLTL26.txt", 17)</f>
        <v>17</v>
      </c>
      <c r="BV80">
        <f>HYPERLINK("http://exon.niaid.nih.gov/transcriptome/Anopheles_sialome/links/cluster-b/anopheline-sialome-cds-pep-larger-orf50-50SimCLU25.txt", 25)</f>
        <v>25</v>
      </c>
      <c r="BW80">
        <f>HYPERLINK("http://exon.niaid.nih.gov/transcriptome/Anopheles_sialome/links/cluster-b/anopheline-sialome-cds-pep-larger-orf50-50SimCLTL25.txt", 17)</f>
        <v>17</v>
      </c>
      <c r="BX80">
        <f>HYPERLINK("http://exon.niaid.nih.gov/transcriptome/Anopheles_sialome/links/cluster-b/anopheline-sialome-cds-pep-larger-orf55-50SimCLU25.txt", 25)</f>
        <v>25</v>
      </c>
      <c r="BY80">
        <f>HYPERLINK("http://exon.niaid.nih.gov/transcriptome/Anopheles_sialome/links/cluster-b/anopheline-sialome-cds-pep-larger-orf55-50SimCLTL25.txt", 17)</f>
        <v>17</v>
      </c>
      <c r="BZ80">
        <f>HYPERLINK("http://exon.niaid.nih.gov/transcriptome/Anopheles_sialome/links/cluster-b/anopheline-sialome-cds-pep-larger-orf60-50SimCLU21.txt", 21)</f>
        <v>21</v>
      </c>
      <c r="CA80">
        <f>HYPERLINK("http://exon.niaid.nih.gov/transcriptome/Anopheles_sialome/links/cluster-b/anopheline-sialome-cds-pep-larger-orf60-50SimCLTL21.txt", 17)</f>
        <v>17</v>
      </c>
      <c r="CB80">
        <f>HYPERLINK("http://exon.niaid.nih.gov/transcriptome/Anopheles_sialome/links/cluster-b/anopheline-sialome-cds-pep-larger-orf65-50SimCLU19.txt", 19)</f>
        <v>19</v>
      </c>
      <c r="CC80">
        <f>HYPERLINK("http://exon.niaid.nih.gov/transcriptome/Anopheles_sialome/links/cluster-b/anopheline-sialome-cds-pep-larger-orf65-50SimCLTL19.txt", 17)</f>
        <v>17</v>
      </c>
      <c r="CD80">
        <f>HYPERLINK("http://exon.niaid.nih.gov/transcriptome/Anopheles_sialome/links/cluster-b/anopheline-sialome-cds-pep-larger-orf70-50SimCLU20.txt", 20)</f>
        <v>20</v>
      </c>
      <c r="CE80">
        <f>HYPERLINK("http://exon.niaid.nih.gov/transcriptome/Anopheles_sialome/links/cluster-b/anopheline-sialome-cds-pep-larger-orf70-50SimCLTL20.txt", 17)</f>
        <v>17</v>
      </c>
      <c r="CF80">
        <f>HYPERLINK("http://exon.niaid.nih.gov/transcriptome/Anopheles_sialome/links/cluster-b/anopheline-sialome-cds-pep-larger-orf75-50SimCLU13.txt", 13)</f>
        <v>13</v>
      </c>
      <c r="CG80">
        <f>HYPERLINK("http://exon.niaid.nih.gov/transcriptome/Anopheles_sialome/links/cluster-b/anopheline-sialome-cds-pep-larger-orf75-50SimCLTL13.txt", 17)</f>
        <v>17</v>
      </c>
      <c r="CH80">
        <f>HYPERLINK("http://exon.niaid.nih.gov/transcriptome/Anopheles_sialome/links/cluster-b/anopheline-sialome-cds-pep-larger-orf80-50SimCLU10.txt", 10)</f>
        <v>10</v>
      </c>
      <c r="CI80">
        <f>HYPERLINK("http://exon.niaid.nih.gov/transcriptome/Anopheles_sialome/links/cluster-b/anopheline-sialome-cds-pep-larger-orf80-50SimCLTL10.txt", 17)</f>
        <v>17</v>
      </c>
      <c r="CJ80">
        <f>HYPERLINK("http://exon.niaid.nih.gov/transcriptome/Anopheles_sialome/links/cluster-b/anopheline-sialome-cds-pep-larger-orf85-50SimCLU5.txt", 5)</f>
        <v>5</v>
      </c>
      <c r="CK80">
        <f>HYPERLINK("http://exon.niaid.nih.gov/transcriptome/Anopheles_sialome/links/cluster-b/anopheline-sialome-cds-pep-larger-orf85-50SimCLTL5.txt", 17)</f>
        <v>17</v>
      </c>
      <c r="CL80">
        <f>HYPERLINK("http://exon.niaid.nih.gov/transcriptome/Anopheles_sialome/links/cluster-b/anopheline-sialome-cds-pep-larger-orf90-50SimCLU7.txt", 7)</f>
        <v>7</v>
      </c>
      <c r="CM80">
        <f>HYPERLINK("http://exon.niaid.nih.gov/transcriptome/Anopheles_sialome/links/cluster-b/anopheline-sialome-cds-pep-larger-orf90-50SimCLTL7.txt", 13)</f>
        <v>13</v>
      </c>
      <c r="CN80">
        <f>HYPERLINK("http://exon.niaid.nih.gov/transcriptome/Anopheles_sialome/links/cluster-b/anopheline-sialome-cds-pep-larger-orf95-50SimCLU39.txt", 39)</f>
        <v>39</v>
      </c>
      <c r="CO80">
        <f>HYPERLINK("http://exon.niaid.nih.gov/transcriptome/Anopheles_sialome/links/cluster-b/anopheline-sialome-cds-pep-larger-orf95-50SimCLTL39.txt", 5)</f>
        <v>5</v>
      </c>
    </row>
    <row r="81" spans="1:93">
      <c r="A81" s="2" t="str">
        <f>HYPERLINK("http://exon.niaid.nih.gov/transcriptome/Anopheles_sialome/links/cds/anoqua_Sal_Maltase-cds.txt","anoqua_Sal_Maltase")</f>
        <v>anoqua_Sal_Maltase</v>
      </c>
      <c r="B81">
        <v>1782</v>
      </c>
      <c r="C81" t="s">
        <v>338</v>
      </c>
      <c r="D81" t="s">
        <v>7</v>
      </c>
      <c r="E81" t="s">
        <v>5</v>
      </c>
      <c r="F81" t="s">
        <v>1</v>
      </c>
      <c r="G81" t="str">
        <f>HYPERLINK("http://exon.niaid.nih.gov/transcriptome/Anopheles_sialome/links/pep/anoqua_Sal_Maltase-pep.txt","anoqua_Sal_Maltase")</f>
        <v>anoqua_Sal_Maltase</v>
      </c>
      <c r="H81">
        <v>593</v>
      </c>
      <c r="I81">
        <v>4</v>
      </c>
      <c r="J81" s="3" t="str">
        <f>HYPERLINK("http://exon.niaid.nih.gov/transcriptome/Anopheles_sialome/links/Sigp/anoqua_Sal_Maltase-SigP.txt","SIG")</f>
        <v>SIG</v>
      </c>
      <c r="K81" t="s">
        <v>652</v>
      </c>
      <c r="L81">
        <v>67.119</v>
      </c>
      <c r="M81">
        <v>5.64</v>
      </c>
      <c r="N81">
        <v>65.222999999999999</v>
      </c>
      <c r="O81">
        <v>5.59</v>
      </c>
      <c r="P81" t="s">
        <v>1256</v>
      </c>
      <c r="Q81" s="3">
        <v>0</v>
      </c>
      <c r="R81" t="s">
        <v>128</v>
      </c>
      <c r="S81" t="s">
        <v>128</v>
      </c>
      <c r="T81" t="s">
        <v>128</v>
      </c>
      <c r="U81" t="s">
        <v>128</v>
      </c>
      <c r="V81" t="s">
        <v>128</v>
      </c>
      <c r="W81" s="3" t="str">
        <f>HYPERLINK("http://exon.niaid.nih.gov/transcriptome/Anopheles_sialome/links/netoglyc/anoqua_Sal_Maltase-netoglyc.txt","0")</f>
        <v>0</v>
      </c>
      <c r="X81">
        <v>11.8</v>
      </c>
      <c r="Y81">
        <v>7.1</v>
      </c>
      <c r="Z81">
        <v>6.1</v>
      </c>
      <c r="AA81" t="s">
        <v>654</v>
      </c>
      <c r="AB81" t="s">
        <v>1555</v>
      </c>
      <c r="AC81" s="2" t="str">
        <f>HYPERLINK("http://exon.niaid.nih.gov/transcriptome/Anopheles_sialome/links/DIPTERA/anoqua_Sal_Maltase-DIPTERA.txt","AGAP002102-PA")</f>
        <v>AGAP002102-PA</v>
      </c>
      <c r="AD81" t="str">
        <f t="shared" ref="AD81:AD82" si="39">HYPERLINK("http://www.ncbi.nlm.nih.gov/sutils/blink.cgi?pid=116115877","0.0")</f>
        <v>0.0</v>
      </c>
      <c r="AE81" t="str">
        <f t="shared" ref="AE81:AE82" si="40">HYPERLINK("http://www.ncbi.nlm.nih.gov/protein/116115877","gi|116115877")</f>
        <v>gi|116115877</v>
      </c>
      <c r="AF81">
        <v>99</v>
      </c>
      <c r="AG81">
        <v>99</v>
      </c>
      <c r="AH81">
        <v>100</v>
      </c>
      <c r="AI81" t="s">
        <v>2285</v>
      </c>
      <c r="AJ81" s="2" t="str">
        <f>HYPERLINK("http://exon.niaid.nih.gov/transcriptome/Anopheles_sialome/links/CULICOMORPHA/anoqua_Sal_Maltase-CULICOMORPHA.txt","AGAP002102-PA")</f>
        <v>AGAP002102-PA</v>
      </c>
      <c r="AK81" t="str">
        <f t="shared" ref="AK81:AK82" si="41">HYPERLINK("http://www.ncbi.nlm.nih.gov/sutils/blink.cgi?pid=116115877","0.0")</f>
        <v>0.0</v>
      </c>
      <c r="AL81" t="str">
        <f t="shared" ref="AL81:AL82" si="42">HYPERLINK("http://www.ncbi.nlm.nih.gov/protein/116115877","gi|116115877")</f>
        <v>gi|116115877</v>
      </c>
      <c r="AM81">
        <v>99</v>
      </c>
      <c r="AN81">
        <v>99</v>
      </c>
      <c r="AO81">
        <v>100</v>
      </c>
      <c r="AP81" t="s">
        <v>2285</v>
      </c>
      <c r="AQ81" s="2" t="str">
        <f>HYPERLINK("http://exon.niaid.nih.gov/transcriptome/Anopheles_sialome/links/NR-LIGHT/anoqua_Sal_Maltase-NR-LIGHT.txt","AGAP002102-PA")</f>
        <v>AGAP002102-PA</v>
      </c>
      <c r="AR81" t="str">
        <f t="shared" ref="AR81:AR82" si="43">HYPERLINK("http://www.ncbi.nlm.nih.gov/sutils/blink.cgi?pid=118793578","0.0")</f>
        <v>0.0</v>
      </c>
      <c r="AS81" t="str">
        <f t="shared" ref="AS81:AS82" si="44">HYPERLINK("http://www.ncbi.nlm.nih.gov/protein/118793578","gi|118793578")</f>
        <v>gi|118793578</v>
      </c>
      <c r="AT81">
        <v>99</v>
      </c>
      <c r="AU81">
        <v>99</v>
      </c>
      <c r="AV81">
        <v>100</v>
      </c>
      <c r="AW81" t="s">
        <v>2285</v>
      </c>
      <c r="AX81" s="2" t="str">
        <f>HYPERLINK("http://exon.niaid.nih.gov/transcriptome/Anopheles_sialome/links/CDD/anoqua_Sal_Maltase-CDD.txt","AmyAc_maltase")</f>
        <v>AmyAc_maltase</v>
      </c>
      <c r="AY81" t="str">
        <f t="shared" si="38"/>
        <v>0.0</v>
      </c>
      <c r="AZ81" t="s">
        <v>2774</v>
      </c>
      <c r="BA81" s="2" t="str">
        <f>HYPERLINK("http://exon.niaid.nih.gov/transcriptome/Anopheles_sialome/links/KOG/anoqua_Sal_Maltase-KOG.txt","Alpha-amylase")</f>
        <v>Alpha-amylase</v>
      </c>
      <c r="BB81" t="str">
        <f>HYPERLINK("http://www.ncbi.nlm.nih.gov/Structure/cdd/cddsrv.cgi?uid=KOG0471","1E-136")</f>
        <v>1E-136</v>
      </c>
      <c r="BC81" t="s">
        <v>2308</v>
      </c>
      <c r="BD81" t="str">
        <f>HYPERLINK("http://exon.niaid.nih.gov/transcriptome/Anopheles_sialome/links/KOG/anoqua_Sal_Maltase-KOG.txt","KOG0471")</f>
        <v>KOG0471</v>
      </c>
      <c r="BE81" t="str">
        <f>HYPERLINK("http://exon.niaid.nih.gov/transcriptome/Anopheles_sialome/links/PFAM/anoqua_Sal_Maltase-PFAM.txt","Alpha-amylase")</f>
        <v>Alpha-amylase</v>
      </c>
      <c r="BF81" t="str">
        <f>HYPERLINK("http://pfam.sanger.ac.uk/family?acc=PF00128","1E-085")</f>
        <v>1E-085</v>
      </c>
      <c r="BG81" s="2" t="str">
        <f>HYPERLINK("http://exon.niaid.nih.gov/transcriptome/Anopheles_sialome/links/SMART/anoqua_Sal_Maltase-SMART.txt","Aamy")</f>
        <v>Aamy</v>
      </c>
      <c r="BH81" t="str">
        <f>HYPERLINK("http://smart.embl-heidelberg.de/smart/do_annotation.pl?DOMAIN=Aamy&amp;BLAST=DUMMY","8E-038")</f>
        <v>8E-038</v>
      </c>
      <c r="BI81" t="s">
        <v>128</v>
      </c>
      <c r="BJ81" s="2" t="s">
        <v>128</v>
      </c>
      <c r="BK81" t="s">
        <v>1559</v>
      </c>
      <c r="BL81">
        <f>HYPERLINK("http://exon.niaid.nih.gov/transcriptome/Anopheles_sialome/links/cluster-b/anopheline-sialome-cds-pep-larger-orf25-50SimCLU16.txt", 16)</f>
        <v>16</v>
      </c>
      <c r="BM81">
        <f>HYPERLINK("http://exon.niaid.nih.gov/transcriptome/Anopheles_sialome/links/cluster-b/anopheline-sialome-cds-pep-larger-orf25-50SimCLTL16.txt", 17)</f>
        <v>17</v>
      </c>
      <c r="BN81">
        <f>HYPERLINK("http://exon.niaid.nih.gov/transcriptome/Anopheles_sialome/links/cluster-b/anopheline-sialome-cds-pep-larger-orf30-50SimCLU16.txt", 16)</f>
        <v>16</v>
      </c>
      <c r="BO81">
        <f>HYPERLINK("http://exon.niaid.nih.gov/transcriptome/Anopheles_sialome/links/cluster-b/anopheline-sialome-cds-pep-larger-orf30-50SimCLTL16.txt", 17)</f>
        <v>17</v>
      </c>
      <c r="BP81">
        <f>HYPERLINK("http://exon.niaid.nih.gov/transcriptome/Anopheles_sialome/links/cluster-b/anopheline-sialome-cds-pep-larger-orf35-50SimCLU18.txt", 18)</f>
        <v>18</v>
      </c>
      <c r="BQ81">
        <f>HYPERLINK("http://exon.niaid.nih.gov/transcriptome/Anopheles_sialome/links/cluster-b/anopheline-sialome-cds-pep-larger-orf35-50SimCLTL18.txt", 17)</f>
        <v>17</v>
      </c>
      <c r="BR81">
        <f>HYPERLINK("http://exon.niaid.nih.gov/transcriptome/Anopheles_sialome/links/cluster-b/anopheline-sialome-cds-pep-larger-orf40-50SimCLU22.txt", 22)</f>
        <v>22</v>
      </c>
      <c r="BS81">
        <f>HYPERLINK("http://exon.niaid.nih.gov/transcriptome/Anopheles_sialome/links/cluster-b/anopheline-sialome-cds-pep-larger-orf40-50SimCLTL22.txt", 17)</f>
        <v>17</v>
      </c>
      <c r="BT81">
        <f>HYPERLINK("http://exon.niaid.nih.gov/transcriptome/Anopheles_sialome/links/cluster-b/anopheline-sialome-cds-pep-larger-orf45-50SimCLU26.txt", 26)</f>
        <v>26</v>
      </c>
      <c r="BU81">
        <f>HYPERLINK("http://exon.niaid.nih.gov/transcriptome/Anopheles_sialome/links/cluster-b/anopheline-sialome-cds-pep-larger-orf45-50SimCLTL26.txt", 17)</f>
        <v>17</v>
      </c>
      <c r="BV81">
        <f>HYPERLINK("http://exon.niaid.nih.gov/transcriptome/Anopheles_sialome/links/cluster-b/anopheline-sialome-cds-pep-larger-orf50-50SimCLU25.txt", 25)</f>
        <v>25</v>
      </c>
      <c r="BW81">
        <f>HYPERLINK("http://exon.niaid.nih.gov/transcriptome/Anopheles_sialome/links/cluster-b/anopheline-sialome-cds-pep-larger-orf50-50SimCLTL25.txt", 17)</f>
        <v>17</v>
      </c>
      <c r="BX81">
        <f>HYPERLINK("http://exon.niaid.nih.gov/transcriptome/Anopheles_sialome/links/cluster-b/anopheline-sialome-cds-pep-larger-orf55-50SimCLU25.txt", 25)</f>
        <v>25</v>
      </c>
      <c r="BY81">
        <f>HYPERLINK("http://exon.niaid.nih.gov/transcriptome/Anopheles_sialome/links/cluster-b/anopheline-sialome-cds-pep-larger-orf55-50SimCLTL25.txt", 17)</f>
        <v>17</v>
      </c>
      <c r="BZ81">
        <f>HYPERLINK("http://exon.niaid.nih.gov/transcriptome/Anopheles_sialome/links/cluster-b/anopheline-sialome-cds-pep-larger-orf60-50SimCLU21.txt", 21)</f>
        <v>21</v>
      </c>
      <c r="CA81">
        <f>HYPERLINK("http://exon.niaid.nih.gov/transcriptome/Anopheles_sialome/links/cluster-b/anopheline-sialome-cds-pep-larger-orf60-50SimCLTL21.txt", 17)</f>
        <v>17</v>
      </c>
      <c r="CB81">
        <f>HYPERLINK("http://exon.niaid.nih.gov/transcriptome/Anopheles_sialome/links/cluster-b/anopheline-sialome-cds-pep-larger-orf65-50SimCLU19.txt", 19)</f>
        <v>19</v>
      </c>
      <c r="CC81">
        <f>HYPERLINK("http://exon.niaid.nih.gov/transcriptome/Anopheles_sialome/links/cluster-b/anopheline-sialome-cds-pep-larger-orf65-50SimCLTL19.txt", 17)</f>
        <v>17</v>
      </c>
      <c r="CD81">
        <f>HYPERLINK("http://exon.niaid.nih.gov/transcriptome/Anopheles_sialome/links/cluster-b/anopheline-sialome-cds-pep-larger-orf70-50SimCLU20.txt", 20)</f>
        <v>20</v>
      </c>
      <c r="CE81">
        <f>HYPERLINK("http://exon.niaid.nih.gov/transcriptome/Anopheles_sialome/links/cluster-b/anopheline-sialome-cds-pep-larger-orf70-50SimCLTL20.txt", 17)</f>
        <v>17</v>
      </c>
      <c r="CF81">
        <f>HYPERLINK("http://exon.niaid.nih.gov/transcriptome/Anopheles_sialome/links/cluster-b/anopheline-sialome-cds-pep-larger-orf75-50SimCLU13.txt", 13)</f>
        <v>13</v>
      </c>
      <c r="CG81">
        <f>HYPERLINK("http://exon.niaid.nih.gov/transcriptome/Anopheles_sialome/links/cluster-b/anopheline-sialome-cds-pep-larger-orf75-50SimCLTL13.txt", 17)</f>
        <v>17</v>
      </c>
      <c r="CH81">
        <f>HYPERLINK("http://exon.niaid.nih.gov/transcriptome/Anopheles_sialome/links/cluster-b/anopheline-sialome-cds-pep-larger-orf80-50SimCLU10.txt", 10)</f>
        <v>10</v>
      </c>
      <c r="CI81">
        <f>HYPERLINK("http://exon.niaid.nih.gov/transcriptome/Anopheles_sialome/links/cluster-b/anopheline-sialome-cds-pep-larger-orf80-50SimCLTL10.txt", 17)</f>
        <v>17</v>
      </c>
      <c r="CJ81">
        <f>HYPERLINK("http://exon.niaid.nih.gov/transcriptome/Anopheles_sialome/links/cluster-b/anopheline-sialome-cds-pep-larger-orf85-50SimCLU5.txt", 5)</f>
        <v>5</v>
      </c>
      <c r="CK81">
        <f>HYPERLINK("http://exon.niaid.nih.gov/transcriptome/Anopheles_sialome/links/cluster-b/anopheline-sialome-cds-pep-larger-orf85-50SimCLTL5.txt", 17)</f>
        <v>17</v>
      </c>
      <c r="CL81">
        <f>HYPERLINK("http://exon.niaid.nih.gov/transcriptome/Anopheles_sialome/links/cluster-b/anopheline-sialome-cds-pep-larger-orf90-50SimCLU7.txt", 7)</f>
        <v>7</v>
      </c>
      <c r="CM81">
        <f>HYPERLINK("http://exon.niaid.nih.gov/transcriptome/Anopheles_sialome/links/cluster-b/anopheline-sialome-cds-pep-larger-orf90-50SimCLTL7.txt", 13)</f>
        <v>13</v>
      </c>
      <c r="CN81">
        <f>HYPERLINK("http://exon.niaid.nih.gov/transcriptome/Anopheles_sialome/links/cluster-b/anopheline-sialome-cds-pep-larger-orf95-50SimCLU39.txt", 39)</f>
        <v>39</v>
      </c>
      <c r="CO81">
        <f>HYPERLINK("http://exon.niaid.nih.gov/transcriptome/Anopheles_sialome/links/cluster-b/anopheline-sialome-cds-pep-larger-orf95-50SimCLTL39.txt", 5)</f>
        <v>5</v>
      </c>
    </row>
    <row r="82" spans="1:93">
      <c r="A82" s="2" t="str">
        <f>HYPERLINK("http://exon.niaid.nih.gov/transcriptome/Anopheles_sialome/links/cds/anomer_Sal_Maltase-cds.txt","anomer_Sal_Maltase")</f>
        <v>anomer_Sal_Maltase</v>
      </c>
      <c r="B82">
        <v>1782</v>
      </c>
      <c r="C82" t="s">
        <v>339</v>
      </c>
      <c r="D82" t="s">
        <v>4</v>
      </c>
      <c r="E82" t="s">
        <v>5</v>
      </c>
      <c r="F82" t="s">
        <v>1</v>
      </c>
      <c r="G82" t="str">
        <f>HYPERLINK("http://exon.niaid.nih.gov/transcriptome/Anopheles_sialome/links/pep/anomer_Sal_Maltase-pep.txt","anomer_Sal_Maltase")</f>
        <v>anomer_Sal_Maltase</v>
      </c>
      <c r="H82">
        <v>593</v>
      </c>
      <c r="I82">
        <v>4</v>
      </c>
      <c r="J82" s="3" t="str">
        <f>HYPERLINK("http://exon.niaid.nih.gov/transcriptome/Anopheles_sialome/links/Sigp/anomer_Sal_Maltase-SigP.txt","SIG")</f>
        <v>SIG</v>
      </c>
      <c r="K82" t="s">
        <v>652</v>
      </c>
      <c r="L82">
        <v>67.106999999999999</v>
      </c>
      <c r="M82">
        <v>5.56</v>
      </c>
      <c r="N82">
        <v>65.210999999999999</v>
      </c>
      <c r="O82">
        <v>5.51</v>
      </c>
      <c r="P82" t="s">
        <v>922</v>
      </c>
      <c r="Q82" s="3">
        <v>0</v>
      </c>
      <c r="R82" t="s">
        <v>128</v>
      </c>
      <c r="S82" t="s">
        <v>128</v>
      </c>
      <c r="T82" t="s">
        <v>128</v>
      </c>
      <c r="U82" t="s">
        <v>128</v>
      </c>
      <c r="V82" t="s">
        <v>128</v>
      </c>
      <c r="W82" s="3" t="str">
        <f>HYPERLINK("http://exon.niaid.nih.gov/transcriptome/Anopheles_sialome/links/netoglyc/anomer_Sal_Maltase-netoglyc.txt","0")</f>
        <v>0</v>
      </c>
      <c r="X82">
        <v>11.8</v>
      </c>
      <c r="Y82">
        <v>7.1</v>
      </c>
      <c r="Z82">
        <v>6.1</v>
      </c>
      <c r="AA82" t="s">
        <v>654</v>
      </c>
      <c r="AB82" t="s">
        <v>1555</v>
      </c>
      <c r="AC82" s="2" t="str">
        <f>HYPERLINK("http://exon.niaid.nih.gov/transcriptome/Anopheles_sialome/links/DIPTERA/anomer_Sal_Maltase-DIPTERA.txt","AGAP002102-PA")</f>
        <v>AGAP002102-PA</v>
      </c>
      <c r="AD82" t="str">
        <f t="shared" si="39"/>
        <v>0.0</v>
      </c>
      <c r="AE82" t="str">
        <f t="shared" si="40"/>
        <v>gi|116115877</v>
      </c>
      <c r="AF82">
        <v>98</v>
      </c>
      <c r="AG82">
        <v>99</v>
      </c>
      <c r="AH82">
        <v>100</v>
      </c>
      <c r="AI82" t="s">
        <v>2285</v>
      </c>
      <c r="AJ82" s="2" t="str">
        <f>HYPERLINK("http://exon.niaid.nih.gov/transcriptome/Anopheles_sialome/links/CULICOMORPHA/anomer_Sal_Maltase-CULICOMORPHA.txt","AGAP002102-PA")</f>
        <v>AGAP002102-PA</v>
      </c>
      <c r="AK82" t="str">
        <f t="shared" si="41"/>
        <v>0.0</v>
      </c>
      <c r="AL82" t="str">
        <f t="shared" si="42"/>
        <v>gi|116115877</v>
      </c>
      <c r="AM82">
        <v>98</v>
      </c>
      <c r="AN82">
        <v>99</v>
      </c>
      <c r="AO82">
        <v>100</v>
      </c>
      <c r="AP82" t="s">
        <v>2285</v>
      </c>
      <c r="AQ82" s="2" t="str">
        <f>HYPERLINK("http://exon.niaid.nih.gov/transcriptome/Anopheles_sialome/links/NR-LIGHT/anomer_Sal_Maltase-NR-LIGHT.txt","AGAP002102-PA")</f>
        <v>AGAP002102-PA</v>
      </c>
      <c r="AR82" t="str">
        <f t="shared" si="43"/>
        <v>0.0</v>
      </c>
      <c r="AS82" t="str">
        <f t="shared" si="44"/>
        <v>gi|118793578</v>
      </c>
      <c r="AT82">
        <v>98</v>
      </c>
      <c r="AU82">
        <v>99</v>
      </c>
      <c r="AV82">
        <v>100</v>
      </c>
      <c r="AW82" t="s">
        <v>2285</v>
      </c>
      <c r="AX82" s="2" t="str">
        <f>HYPERLINK("http://exon.niaid.nih.gov/transcriptome/Anopheles_sialome/links/CDD/anomer_Sal_Maltase-CDD.txt","AmyAc_maltase")</f>
        <v>AmyAc_maltase</v>
      </c>
      <c r="AY82" t="str">
        <f t="shared" si="38"/>
        <v>0.0</v>
      </c>
      <c r="AZ82" t="s">
        <v>2775</v>
      </c>
      <c r="BA82" s="2" t="str">
        <f>HYPERLINK("http://exon.niaid.nih.gov/transcriptome/Anopheles_sialome/links/KOG/anomer_Sal_Maltase-KOG.txt","Alpha-amylase")</f>
        <v>Alpha-amylase</v>
      </c>
      <c r="BB82" t="str">
        <f>HYPERLINK("http://www.ncbi.nlm.nih.gov/Structure/cdd/cddsrv.cgi?uid=KOG0471","1E-135")</f>
        <v>1E-135</v>
      </c>
      <c r="BC82" t="s">
        <v>2308</v>
      </c>
      <c r="BD82" t="str">
        <f>HYPERLINK("http://exon.niaid.nih.gov/transcriptome/Anopheles_sialome/links/KOG/anomer_Sal_Maltase-KOG.txt","KOG0471")</f>
        <v>KOG0471</v>
      </c>
      <c r="BE82" t="str">
        <f>HYPERLINK("http://exon.niaid.nih.gov/transcriptome/Anopheles_sialome/links/PFAM/anomer_Sal_Maltase-PFAM.txt","Alpha-amylase")</f>
        <v>Alpha-amylase</v>
      </c>
      <c r="BF82" t="str">
        <f>HYPERLINK("http://pfam.sanger.ac.uk/family?acc=PF00128","4E-085")</f>
        <v>4E-085</v>
      </c>
      <c r="BG82" s="2" t="str">
        <f>HYPERLINK("http://exon.niaid.nih.gov/transcriptome/Anopheles_sialome/links/SMART/anomer_Sal_Maltase-SMART.txt","Aamy")</f>
        <v>Aamy</v>
      </c>
      <c r="BH82" t="str">
        <f>HYPERLINK("http://smart.embl-heidelberg.de/smart/do_annotation.pl?DOMAIN=Aamy&amp;BLAST=DUMMY","1E-037")</f>
        <v>1E-037</v>
      </c>
      <c r="BI82" t="s">
        <v>128</v>
      </c>
      <c r="BJ82" s="2" t="s">
        <v>128</v>
      </c>
      <c r="BK82" t="s">
        <v>1560</v>
      </c>
      <c r="BL82">
        <f>HYPERLINK("http://exon.niaid.nih.gov/transcriptome/Anopheles_sialome/links/cluster-b/anopheline-sialome-cds-pep-larger-orf25-50SimCLU16.txt", 16)</f>
        <v>16</v>
      </c>
      <c r="BM82">
        <f>HYPERLINK("http://exon.niaid.nih.gov/transcriptome/Anopheles_sialome/links/cluster-b/anopheline-sialome-cds-pep-larger-orf25-50SimCLTL16.txt", 17)</f>
        <v>17</v>
      </c>
      <c r="BN82">
        <f>HYPERLINK("http://exon.niaid.nih.gov/transcriptome/Anopheles_sialome/links/cluster-b/anopheline-sialome-cds-pep-larger-orf30-50SimCLU16.txt", 16)</f>
        <v>16</v>
      </c>
      <c r="BO82">
        <f>HYPERLINK("http://exon.niaid.nih.gov/transcriptome/Anopheles_sialome/links/cluster-b/anopheline-sialome-cds-pep-larger-orf30-50SimCLTL16.txt", 17)</f>
        <v>17</v>
      </c>
      <c r="BP82">
        <f>HYPERLINK("http://exon.niaid.nih.gov/transcriptome/Anopheles_sialome/links/cluster-b/anopheline-sialome-cds-pep-larger-orf35-50SimCLU18.txt", 18)</f>
        <v>18</v>
      </c>
      <c r="BQ82">
        <f>HYPERLINK("http://exon.niaid.nih.gov/transcriptome/Anopheles_sialome/links/cluster-b/anopheline-sialome-cds-pep-larger-orf35-50SimCLTL18.txt", 17)</f>
        <v>17</v>
      </c>
      <c r="BR82">
        <f>HYPERLINK("http://exon.niaid.nih.gov/transcriptome/Anopheles_sialome/links/cluster-b/anopheline-sialome-cds-pep-larger-orf40-50SimCLU22.txt", 22)</f>
        <v>22</v>
      </c>
      <c r="BS82">
        <f>HYPERLINK("http://exon.niaid.nih.gov/transcriptome/Anopheles_sialome/links/cluster-b/anopheline-sialome-cds-pep-larger-orf40-50SimCLTL22.txt", 17)</f>
        <v>17</v>
      </c>
      <c r="BT82">
        <f>HYPERLINK("http://exon.niaid.nih.gov/transcriptome/Anopheles_sialome/links/cluster-b/anopheline-sialome-cds-pep-larger-orf45-50SimCLU26.txt", 26)</f>
        <v>26</v>
      </c>
      <c r="BU82">
        <f>HYPERLINK("http://exon.niaid.nih.gov/transcriptome/Anopheles_sialome/links/cluster-b/anopheline-sialome-cds-pep-larger-orf45-50SimCLTL26.txt", 17)</f>
        <v>17</v>
      </c>
      <c r="BV82">
        <f>HYPERLINK("http://exon.niaid.nih.gov/transcriptome/Anopheles_sialome/links/cluster-b/anopheline-sialome-cds-pep-larger-orf50-50SimCLU25.txt", 25)</f>
        <v>25</v>
      </c>
      <c r="BW82">
        <f>HYPERLINK("http://exon.niaid.nih.gov/transcriptome/Anopheles_sialome/links/cluster-b/anopheline-sialome-cds-pep-larger-orf50-50SimCLTL25.txt", 17)</f>
        <v>17</v>
      </c>
      <c r="BX82">
        <f>HYPERLINK("http://exon.niaid.nih.gov/transcriptome/Anopheles_sialome/links/cluster-b/anopheline-sialome-cds-pep-larger-orf55-50SimCLU25.txt", 25)</f>
        <v>25</v>
      </c>
      <c r="BY82">
        <f>HYPERLINK("http://exon.niaid.nih.gov/transcriptome/Anopheles_sialome/links/cluster-b/anopheline-sialome-cds-pep-larger-orf55-50SimCLTL25.txt", 17)</f>
        <v>17</v>
      </c>
      <c r="BZ82">
        <f>HYPERLINK("http://exon.niaid.nih.gov/transcriptome/Anopheles_sialome/links/cluster-b/anopheline-sialome-cds-pep-larger-orf60-50SimCLU21.txt", 21)</f>
        <v>21</v>
      </c>
      <c r="CA82">
        <f>HYPERLINK("http://exon.niaid.nih.gov/transcriptome/Anopheles_sialome/links/cluster-b/anopheline-sialome-cds-pep-larger-orf60-50SimCLTL21.txt", 17)</f>
        <v>17</v>
      </c>
      <c r="CB82">
        <f>HYPERLINK("http://exon.niaid.nih.gov/transcriptome/Anopheles_sialome/links/cluster-b/anopheline-sialome-cds-pep-larger-orf65-50SimCLU19.txt", 19)</f>
        <v>19</v>
      </c>
      <c r="CC82">
        <f>HYPERLINK("http://exon.niaid.nih.gov/transcriptome/Anopheles_sialome/links/cluster-b/anopheline-sialome-cds-pep-larger-orf65-50SimCLTL19.txt", 17)</f>
        <v>17</v>
      </c>
      <c r="CD82">
        <f>HYPERLINK("http://exon.niaid.nih.gov/transcriptome/Anopheles_sialome/links/cluster-b/anopheline-sialome-cds-pep-larger-orf70-50SimCLU20.txt", 20)</f>
        <v>20</v>
      </c>
      <c r="CE82">
        <f>HYPERLINK("http://exon.niaid.nih.gov/transcriptome/Anopheles_sialome/links/cluster-b/anopheline-sialome-cds-pep-larger-orf70-50SimCLTL20.txt", 17)</f>
        <v>17</v>
      </c>
      <c r="CF82">
        <f>HYPERLINK("http://exon.niaid.nih.gov/transcriptome/Anopheles_sialome/links/cluster-b/anopheline-sialome-cds-pep-larger-orf75-50SimCLU13.txt", 13)</f>
        <v>13</v>
      </c>
      <c r="CG82">
        <f>HYPERLINK("http://exon.niaid.nih.gov/transcriptome/Anopheles_sialome/links/cluster-b/anopheline-sialome-cds-pep-larger-orf75-50SimCLTL13.txt", 17)</f>
        <v>17</v>
      </c>
      <c r="CH82">
        <f>HYPERLINK("http://exon.niaid.nih.gov/transcriptome/Anopheles_sialome/links/cluster-b/anopheline-sialome-cds-pep-larger-orf80-50SimCLU10.txt", 10)</f>
        <v>10</v>
      </c>
      <c r="CI82">
        <f>HYPERLINK("http://exon.niaid.nih.gov/transcriptome/Anopheles_sialome/links/cluster-b/anopheline-sialome-cds-pep-larger-orf80-50SimCLTL10.txt", 17)</f>
        <v>17</v>
      </c>
      <c r="CJ82">
        <f>HYPERLINK("http://exon.niaid.nih.gov/transcriptome/Anopheles_sialome/links/cluster-b/anopheline-sialome-cds-pep-larger-orf85-50SimCLU5.txt", 5)</f>
        <v>5</v>
      </c>
      <c r="CK82">
        <f>HYPERLINK("http://exon.niaid.nih.gov/transcriptome/Anopheles_sialome/links/cluster-b/anopheline-sialome-cds-pep-larger-orf85-50SimCLTL5.txt", 17)</f>
        <v>17</v>
      </c>
      <c r="CL82">
        <f>HYPERLINK("http://exon.niaid.nih.gov/transcriptome/Anopheles_sialome/links/cluster-b/anopheline-sialome-cds-pep-larger-orf90-50SimCLU7.txt", 7)</f>
        <v>7</v>
      </c>
      <c r="CM82">
        <f>HYPERLINK("http://exon.niaid.nih.gov/transcriptome/Anopheles_sialome/links/cluster-b/anopheline-sialome-cds-pep-larger-orf90-50SimCLTL7.txt", 13)</f>
        <v>13</v>
      </c>
      <c r="CN82">
        <f>HYPERLINK("http://exon.niaid.nih.gov/transcriptome/Anopheles_sialome/links/cluster-b/anopheline-sialome-cds-pep-larger-orf95-50SimCLU39.txt", 39)</f>
        <v>39</v>
      </c>
      <c r="CO82">
        <f>HYPERLINK("http://exon.niaid.nih.gov/transcriptome/Anopheles_sialome/links/cluster-b/anopheline-sialome-cds-pep-larger-orf95-50SimCLTL39.txt", 5)</f>
        <v>5</v>
      </c>
    </row>
    <row r="83" spans="1:93">
      <c r="A83" s="2" t="str">
        <f>HYPERLINK("http://exon.niaid.nih.gov/transcriptome/Anopheles_sialome/links/cds/anochris_Sal_Maltase-cds.txt","anochris_Sal_Maltase")</f>
        <v>anochris_Sal_Maltase</v>
      </c>
      <c r="B83">
        <v>1785</v>
      </c>
      <c r="C83" t="s">
        <v>4</v>
      </c>
      <c r="D83" t="s">
        <v>3178</v>
      </c>
      <c r="E83" t="s">
        <v>5</v>
      </c>
      <c r="F83" t="s">
        <v>1</v>
      </c>
      <c r="G83" t="str">
        <f>HYPERLINK("http://exon.niaid.nih.gov/transcriptome/Anopheles_sialome/links/pep/anochris_Sal_Maltase-pep.txt","anochris_Sal_Maltase")</f>
        <v>anochris_Sal_Maltase</v>
      </c>
      <c r="H83">
        <v>594</v>
      </c>
      <c r="I83">
        <v>4</v>
      </c>
      <c r="J83" s="3" t="str">
        <f>HYPERLINK("http://exon.niaid.nih.gov/transcriptome/Anopheles_sialome/links/Sigp/anochris_Sal_Maltase-SigP.txt","SIG")</f>
        <v>SIG</v>
      </c>
      <c r="K83" t="s">
        <v>695</v>
      </c>
      <c r="L83">
        <v>67.366</v>
      </c>
      <c r="M83">
        <v>5.77</v>
      </c>
      <c r="N83">
        <v>65.150999999999996</v>
      </c>
      <c r="O83">
        <v>5.66</v>
      </c>
      <c r="P83" t="s">
        <v>1029</v>
      </c>
      <c r="Q83" s="3">
        <v>0</v>
      </c>
      <c r="R83" t="s">
        <v>128</v>
      </c>
      <c r="S83" t="s">
        <v>128</v>
      </c>
      <c r="T83" t="s">
        <v>128</v>
      </c>
      <c r="U83" t="s">
        <v>128</v>
      </c>
      <c r="V83" t="s">
        <v>128</v>
      </c>
      <c r="W83" s="3" t="str">
        <f>HYPERLINK("http://exon.niaid.nih.gov/transcriptome/Anopheles_sialome/links/netoglyc/anochris_Sal_Maltase-netoglyc.txt","0")</f>
        <v>0</v>
      </c>
      <c r="X83">
        <v>11.8</v>
      </c>
      <c r="Y83">
        <v>7.4</v>
      </c>
      <c r="Z83">
        <v>5.4</v>
      </c>
      <c r="AA83" t="s">
        <v>654</v>
      </c>
      <c r="AB83" t="s">
        <v>1562</v>
      </c>
      <c r="AC83" s="2" t="str">
        <f>HYPERLINK("http://exon.niaid.nih.gov/transcriptome/Anopheles_sialome/links/DIPTERA/anochris_Sal_Maltase-DIPTERA.txt","AGAP002102-PA")</f>
        <v>AGAP002102-PA</v>
      </c>
      <c r="AD83" t="str">
        <f>HYPERLINK("http://www.ncbi.nlm.nih.gov/sutils/blink.cgi?pid=116115877","0.0")</f>
        <v>0.0</v>
      </c>
      <c r="AE83" t="str">
        <f>HYPERLINK("http://www.ncbi.nlm.nih.gov/protein/116115877","gi|116115877")</f>
        <v>gi|116115877</v>
      </c>
      <c r="AF83">
        <v>88</v>
      </c>
      <c r="AG83">
        <v>92</v>
      </c>
      <c r="AH83">
        <v>100</v>
      </c>
      <c r="AI83" t="s">
        <v>2285</v>
      </c>
      <c r="AJ83" s="2" t="str">
        <f>HYPERLINK("http://exon.niaid.nih.gov/transcriptome/Anopheles_sialome/links/CULICOMORPHA/anochris_Sal_Maltase-CULICOMORPHA.txt","AGAP002102-PA")</f>
        <v>AGAP002102-PA</v>
      </c>
      <c r="AK83" t="str">
        <f>HYPERLINK("http://www.ncbi.nlm.nih.gov/sutils/blink.cgi?pid=116115877","0.0")</f>
        <v>0.0</v>
      </c>
      <c r="AL83" t="str">
        <f>HYPERLINK("http://www.ncbi.nlm.nih.gov/protein/116115877","gi|116115877")</f>
        <v>gi|116115877</v>
      </c>
      <c r="AM83">
        <v>88</v>
      </c>
      <c r="AN83">
        <v>92</v>
      </c>
      <c r="AO83">
        <v>100</v>
      </c>
      <c r="AP83" t="s">
        <v>2285</v>
      </c>
      <c r="AQ83" s="2" t="str">
        <f>HYPERLINK("http://exon.niaid.nih.gov/transcriptome/Anopheles_sialome/links/NR-LIGHT/anochris_Sal_Maltase-NR-LIGHT.txt","AGAP002102-PA")</f>
        <v>AGAP002102-PA</v>
      </c>
      <c r="AR83" t="str">
        <f>HYPERLINK("http://www.ncbi.nlm.nih.gov/sutils/blink.cgi?pid=118793578","0.0")</f>
        <v>0.0</v>
      </c>
      <c r="AS83" t="str">
        <f>HYPERLINK("http://www.ncbi.nlm.nih.gov/protein/118793578","gi|118793578")</f>
        <v>gi|118793578</v>
      </c>
      <c r="AT83">
        <v>88</v>
      </c>
      <c r="AU83">
        <v>92</v>
      </c>
      <c r="AV83">
        <v>100</v>
      </c>
      <c r="AW83" t="s">
        <v>2285</v>
      </c>
      <c r="AX83" s="2" t="str">
        <f>HYPERLINK("http://exon.niaid.nih.gov/transcriptome/Anopheles_sialome/links/CDD/anochris_Sal_Maltase-CDD.txt","AmyAc_maltase")</f>
        <v>AmyAc_maltase</v>
      </c>
      <c r="AY83" t="str">
        <f t="shared" si="38"/>
        <v>0.0</v>
      </c>
      <c r="AZ83" t="s">
        <v>2776</v>
      </c>
      <c r="BA83" s="2" t="str">
        <f>HYPERLINK("http://exon.niaid.nih.gov/transcriptome/Anopheles_sialome/links/KOG/anochris_Sal_Maltase-KOG.txt","Alpha-amylase")</f>
        <v>Alpha-amylase</v>
      </c>
      <c r="BB83" t="str">
        <f>HYPERLINK("http://www.ncbi.nlm.nih.gov/Structure/cdd/cddsrv.cgi?uid=KOG0471","1E-129")</f>
        <v>1E-129</v>
      </c>
      <c r="BC83" t="s">
        <v>2308</v>
      </c>
      <c r="BD83" t="str">
        <f>HYPERLINK("http://exon.niaid.nih.gov/transcriptome/Anopheles_sialome/links/KOG/anochris_Sal_Maltase-KOG.txt","KOG0471")</f>
        <v>KOG0471</v>
      </c>
      <c r="BE83" t="str">
        <f>HYPERLINK("http://exon.niaid.nih.gov/transcriptome/Anopheles_sialome/links/PFAM/anochris_Sal_Maltase-PFAM.txt","Alpha-amylase")</f>
        <v>Alpha-amylase</v>
      </c>
      <c r="BF83" t="str">
        <f>HYPERLINK("http://pfam.sanger.ac.uk/family?acc=PF00128","5E-082")</f>
        <v>5E-082</v>
      </c>
      <c r="BG83" s="2" t="str">
        <f>HYPERLINK("http://exon.niaid.nih.gov/transcriptome/Anopheles_sialome/links/SMART/anochris_Sal_Maltase-SMART.txt","Aamy")</f>
        <v>Aamy</v>
      </c>
      <c r="BH83" t="str">
        <f>HYPERLINK("http://smart.embl-heidelberg.de/smart/do_annotation.pl?DOMAIN=Aamy&amp;BLAST=DUMMY","1E-036")</f>
        <v>1E-036</v>
      </c>
      <c r="BI83" t="s">
        <v>128</v>
      </c>
      <c r="BJ83" s="2" t="s">
        <v>128</v>
      </c>
      <c r="BK83" t="s">
        <v>1561</v>
      </c>
      <c r="BL83">
        <f>HYPERLINK("http://exon.niaid.nih.gov/transcriptome/Anopheles_sialome/links/cluster-b/anopheline-sialome-cds-pep-larger-orf25-50SimCLU16.txt", 16)</f>
        <v>16</v>
      </c>
      <c r="BM83">
        <f>HYPERLINK("http://exon.niaid.nih.gov/transcriptome/Anopheles_sialome/links/cluster-b/anopheline-sialome-cds-pep-larger-orf25-50SimCLTL16.txt", 17)</f>
        <v>17</v>
      </c>
      <c r="BN83">
        <f>HYPERLINK("http://exon.niaid.nih.gov/transcriptome/Anopheles_sialome/links/cluster-b/anopheline-sialome-cds-pep-larger-orf30-50SimCLU16.txt", 16)</f>
        <v>16</v>
      </c>
      <c r="BO83">
        <f>HYPERLINK("http://exon.niaid.nih.gov/transcriptome/Anopheles_sialome/links/cluster-b/anopheline-sialome-cds-pep-larger-orf30-50SimCLTL16.txt", 17)</f>
        <v>17</v>
      </c>
      <c r="BP83">
        <f>HYPERLINK("http://exon.niaid.nih.gov/transcriptome/Anopheles_sialome/links/cluster-b/anopheline-sialome-cds-pep-larger-orf35-50SimCLU18.txt", 18)</f>
        <v>18</v>
      </c>
      <c r="BQ83">
        <f>HYPERLINK("http://exon.niaid.nih.gov/transcriptome/Anopheles_sialome/links/cluster-b/anopheline-sialome-cds-pep-larger-orf35-50SimCLTL18.txt", 17)</f>
        <v>17</v>
      </c>
      <c r="BR83">
        <f>HYPERLINK("http://exon.niaid.nih.gov/transcriptome/Anopheles_sialome/links/cluster-b/anopheline-sialome-cds-pep-larger-orf40-50SimCLU22.txt", 22)</f>
        <v>22</v>
      </c>
      <c r="BS83">
        <f>HYPERLINK("http://exon.niaid.nih.gov/transcriptome/Anopheles_sialome/links/cluster-b/anopheline-sialome-cds-pep-larger-orf40-50SimCLTL22.txt", 17)</f>
        <v>17</v>
      </c>
      <c r="BT83">
        <f>HYPERLINK("http://exon.niaid.nih.gov/transcriptome/Anopheles_sialome/links/cluster-b/anopheline-sialome-cds-pep-larger-orf45-50SimCLU26.txt", 26)</f>
        <v>26</v>
      </c>
      <c r="BU83">
        <f>HYPERLINK("http://exon.niaid.nih.gov/transcriptome/Anopheles_sialome/links/cluster-b/anopheline-sialome-cds-pep-larger-orf45-50SimCLTL26.txt", 17)</f>
        <v>17</v>
      </c>
      <c r="BV83">
        <f>HYPERLINK("http://exon.niaid.nih.gov/transcriptome/Anopheles_sialome/links/cluster-b/anopheline-sialome-cds-pep-larger-orf50-50SimCLU25.txt", 25)</f>
        <v>25</v>
      </c>
      <c r="BW83">
        <f>HYPERLINK("http://exon.niaid.nih.gov/transcriptome/Anopheles_sialome/links/cluster-b/anopheline-sialome-cds-pep-larger-orf50-50SimCLTL25.txt", 17)</f>
        <v>17</v>
      </c>
      <c r="BX83">
        <f>HYPERLINK("http://exon.niaid.nih.gov/transcriptome/Anopheles_sialome/links/cluster-b/anopheline-sialome-cds-pep-larger-orf55-50SimCLU25.txt", 25)</f>
        <v>25</v>
      </c>
      <c r="BY83">
        <f>HYPERLINK("http://exon.niaid.nih.gov/transcriptome/Anopheles_sialome/links/cluster-b/anopheline-sialome-cds-pep-larger-orf55-50SimCLTL25.txt", 17)</f>
        <v>17</v>
      </c>
      <c r="BZ83">
        <f>HYPERLINK("http://exon.niaid.nih.gov/transcriptome/Anopheles_sialome/links/cluster-b/anopheline-sialome-cds-pep-larger-orf60-50SimCLU21.txt", 21)</f>
        <v>21</v>
      </c>
      <c r="CA83">
        <f>HYPERLINK("http://exon.niaid.nih.gov/transcriptome/Anopheles_sialome/links/cluster-b/anopheline-sialome-cds-pep-larger-orf60-50SimCLTL21.txt", 17)</f>
        <v>17</v>
      </c>
      <c r="CB83">
        <f>HYPERLINK("http://exon.niaid.nih.gov/transcriptome/Anopheles_sialome/links/cluster-b/anopheline-sialome-cds-pep-larger-orf65-50SimCLU19.txt", 19)</f>
        <v>19</v>
      </c>
      <c r="CC83">
        <f>HYPERLINK("http://exon.niaid.nih.gov/transcriptome/Anopheles_sialome/links/cluster-b/anopheline-sialome-cds-pep-larger-orf65-50SimCLTL19.txt", 17)</f>
        <v>17</v>
      </c>
      <c r="CD83">
        <f>HYPERLINK("http://exon.niaid.nih.gov/transcriptome/Anopheles_sialome/links/cluster-b/anopheline-sialome-cds-pep-larger-orf70-50SimCLU20.txt", 20)</f>
        <v>20</v>
      </c>
      <c r="CE83">
        <f>HYPERLINK("http://exon.niaid.nih.gov/transcriptome/Anopheles_sialome/links/cluster-b/anopheline-sialome-cds-pep-larger-orf70-50SimCLTL20.txt", 17)</f>
        <v>17</v>
      </c>
      <c r="CF83">
        <f>HYPERLINK("http://exon.niaid.nih.gov/transcriptome/Anopheles_sialome/links/cluster-b/anopheline-sialome-cds-pep-larger-orf75-50SimCLU13.txt", 13)</f>
        <v>13</v>
      </c>
      <c r="CG83">
        <f>HYPERLINK("http://exon.niaid.nih.gov/transcriptome/Anopheles_sialome/links/cluster-b/anopheline-sialome-cds-pep-larger-orf75-50SimCLTL13.txt", 17)</f>
        <v>17</v>
      </c>
      <c r="CH83">
        <f>HYPERLINK("http://exon.niaid.nih.gov/transcriptome/Anopheles_sialome/links/cluster-b/anopheline-sialome-cds-pep-larger-orf80-50SimCLU10.txt", 10)</f>
        <v>10</v>
      </c>
      <c r="CI83">
        <f>HYPERLINK("http://exon.niaid.nih.gov/transcriptome/Anopheles_sialome/links/cluster-b/anopheline-sialome-cds-pep-larger-orf80-50SimCLTL10.txt", 17)</f>
        <v>17</v>
      </c>
      <c r="CJ83">
        <f>HYPERLINK("http://exon.niaid.nih.gov/transcriptome/Anopheles_sialome/links/cluster-b/anopheline-sialome-cds-pep-larger-orf85-50SimCLU5.txt", 5)</f>
        <v>5</v>
      </c>
      <c r="CK83">
        <f>HYPERLINK("http://exon.niaid.nih.gov/transcriptome/Anopheles_sialome/links/cluster-b/anopheline-sialome-cds-pep-larger-orf85-50SimCLTL5.txt", 17)</f>
        <v>17</v>
      </c>
      <c r="CL83">
        <f>HYPERLINK("http://exon.niaid.nih.gov/transcriptome/Anopheles_sialome/links/cluster-b/anopheline-sialome-cds-pep-larger-orf90-50SimCLU7.txt", 7)</f>
        <v>7</v>
      </c>
      <c r="CM83">
        <f>HYPERLINK("http://exon.niaid.nih.gov/transcriptome/Anopheles_sialome/links/cluster-b/anopheline-sialome-cds-pep-larger-orf90-50SimCLTL7.txt", 13)</f>
        <v>13</v>
      </c>
      <c r="CN83">
        <v>339</v>
      </c>
      <c r="CO83">
        <v>1</v>
      </c>
    </row>
    <row r="84" spans="1:93">
      <c r="A84" s="2" t="str">
        <f>HYPERLINK("http://exon.niaid.nih.gov/transcriptome/Anopheles_sialome/links/cds/anoepi_Sal_Maltase-cds.txt","anoepi_Sal_Maltase")</f>
        <v>anoepi_Sal_Maltase</v>
      </c>
      <c r="B84">
        <v>1782</v>
      </c>
      <c r="C84" t="s">
        <v>340</v>
      </c>
      <c r="D84" t="s">
        <v>7</v>
      </c>
      <c r="E84" t="s">
        <v>5</v>
      </c>
      <c r="F84" t="s">
        <v>1</v>
      </c>
      <c r="G84" t="str">
        <f>HYPERLINK("http://exon.niaid.nih.gov/transcriptome/Anopheles_sialome/links/pep/anoepi_Sal_Maltase-pep.txt","anoepi_Sal_Maltase")</f>
        <v>anoepi_Sal_Maltase</v>
      </c>
      <c r="H84">
        <v>593</v>
      </c>
      <c r="I84">
        <v>3</v>
      </c>
      <c r="J84" s="3" t="str">
        <f>HYPERLINK("http://exon.niaid.nih.gov/transcriptome/Anopheles_sialome/links/Sigp/anoepi_Sal_Maltase-SigP.txt","SIG")</f>
        <v>SIG</v>
      </c>
      <c r="K84" t="s">
        <v>718</v>
      </c>
      <c r="L84">
        <v>67.364999999999995</v>
      </c>
      <c r="M84">
        <v>5.75</v>
      </c>
      <c r="N84">
        <v>65.597999999999999</v>
      </c>
      <c r="O84">
        <v>5.62</v>
      </c>
      <c r="P84" t="s">
        <v>1564</v>
      </c>
      <c r="Q84" s="3">
        <v>0</v>
      </c>
      <c r="R84" t="s">
        <v>128</v>
      </c>
      <c r="S84" t="s">
        <v>128</v>
      </c>
      <c r="T84" t="s">
        <v>128</v>
      </c>
      <c r="U84" t="s">
        <v>128</v>
      </c>
      <c r="V84" t="s">
        <v>128</v>
      </c>
      <c r="W84" s="3" t="str">
        <f>HYPERLINK("http://exon.niaid.nih.gov/transcriptome/Anopheles_sialome/links/netoglyc/anoepi_Sal_Maltase-netoglyc.txt","0")</f>
        <v>0</v>
      </c>
      <c r="X84">
        <v>12.1</v>
      </c>
      <c r="Y84">
        <v>6.2</v>
      </c>
      <c r="Z84">
        <v>5.9</v>
      </c>
      <c r="AA84" t="s">
        <v>654</v>
      </c>
      <c r="AB84" t="s">
        <v>1565</v>
      </c>
      <c r="AC84" s="2" t="str">
        <f>HYPERLINK("http://exon.niaid.nih.gov/transcriptome/Anopheles_sialome/links/DIPTERA/anoepi_Sal_Maltase-DIPTERA.txt","AGAP002102-PA")</f>
        <v>AGAP002102-PA</v>
      </c>
      <c r="AD84" t="str">
        <f t="shared" ref="AD84:AD86" si="45">HYPERLINK("http://www.ncbi.nlm.nih.gov/sutils/blink.cgi?pid=116115877","0.0")</f>
        <v>0.0</v>
      </c>
      <c r="AE84" t="str">
        <f t="shared" ref="AE84:AE86" si="46">HYPERLINK("http://www.ncbi.nlm.nih.gov/protein/116115877","gi|116115877")</f>
        <v>gi|116115877</v>
      </c>
      <c r="AF84">
        <v>89</v>
      </c>
      <c r="AG84">
        <v>93</v>
      </c>
      <c r="AH84">
        <v>100</v>
      </c>
      <c r="AI84" t="s">
        <v>2285</v>
      </c>
      <c r="AJ84" s="2" t="str">
        <f>HYPERLINK("http://exon.niaid.nih.gov/transcriptome/Anopheles_sialome/links/CULICOMORPHA/anoepi_Sal_Maltase-CULICOMORPHA.txt","AGAP002102-PA")</f>
        <v>AGAP002102-PA</v>
      </c>
      <c r="AK84" t="str">
        <f t="shared" ref="AK84:AK86" si="47">HYPERLINK("http://www.ncbi.nlm.nih.gov/sutils/blink.cgi?pid=116115877","0.0")</f>
        <v>0.0</v>
      </c>
      <c r="AL84" t="str">
        <f t="shared" ref="AL84:AL86" si="48">HYPERLINK("http://www.ncbi.nlm.nih.gov/protein/116115877","gi|116115877")</f>
        <v>gi|116115877</v>
      </c>
      <c r="AM84">
        <v>89</v>
      </c>
      <c r="AN84">
        <v>93</v>
      </c>
      <c r="AO84">
        <v>100</v>
      </c>
      <c r="AP84" t="s">
        <v>2285</v>
      </c>
      <c r="AQ84" s="2" t="str">
        <f>HYPERLINK("http://exon.niaid.nih.gov/transcriptome/Anopheles_sialome/links/NR-LIGHT/anoepi_Sal_Maltase-NR-LIGHT.txt","AGAP002102-PA")</f>
        <v>AGAP002102-PA</v>
      </c>
      <c r="AR84" t="str">
        <f t="shared" ref="AR84:AR86" si="49">HYPERLINK("http://www.ncbi.nlm.nih.gov/sutils/blink.cgi?pid=118793578","0.0")</f>
        <v>0.0</v>
      </c>
      <c r="AS84" t="str">
        <f t="shared" ref="AS84:AS86" si="50">HYPERLINK("http://www.ncbi.nlm.nih.gov/protein/118793578","gi|118793578")</f>
        <v>gi|118793578</v>
      </c>
      <c r="AT84">
        <v>89</v>
      </c>
      <c r="AU84">
        <v>93</v>
      </c>
      <c r="AV84">
        <v>100</v>
      </c>
      <c r="AW84" t="s">
        <v>2285</v>
      </c>
      <c r="AX84" s="2" t="str">
        <f>HYPERLINK("http://exon.niaid.nih.gov/transcriptome/Anopheles_sialome/links/CDD/anoepi_Sal_Maltase-CDD.txt","AmyAc_maltase")</f>
        <v>AmyAc_maltase</v>
      </c>
      <c r="AY84" t="str">
        <f t="shared" si="38"/>
        <v>0.0</v>
      </c>
      <c r="AZ84" t="s">
        <v>2777</v>
      </c>
      <c r="BA84" s="2" t="str">
        <f>HYPERLINK("http://exon.niaid.nih.gov/transcriptome/Anopheles_sialome/links/KOG/anoepi_Sal_Maltase-KOG.txt","Alpha-amylase")</f>
        <v>Alpha-amylase</v>
      </c>
      <c r="BB84" t="str">
        <f>HYPERLINK("http://www.ncbi.nlm.nih.gov/Structure/cdd/cddsrv.cgi?uid=KOG0471","1E-134")</f>
        <v>1E-134</v>
      </c>
      <c r="BC84" t="s">
        <v>2308</v>
      </c>
      <c r="BD84" t="str">
        <f>HYPERLINK("http://exon.niaid.nih.gov/transcriptome/Anopheles_sialome/links/KOG/anoepi_Sal_Maltase-KOG.txt","KOG0471")</f>
        <v>KOG0471</v>
      </c>
      <c r="BE84" t="str">
        <f>HYPERLINK("http://exon.niaid.nih.gov/transcriptome/Anopheles_sialome/links/PFAM/anoepi_Sal_Maltase-PFAM.txt","Alpha-amylase")</f>
        <v>Alpha-amylase</v>
      </c>
      <c r="BF84" t="str">
        <f>HYPERLINK("http://pfam.sanger.ac.uk/family?acc=PF00128","3E-084")</f>
        <v>3E-084</v>
      </c>
      <c r="BG84" s="2" t="str">
        <f>HYPERLINK("http://exon.niaid.nih.gov/transcriptome/Anopheles_sialome/links/SMART/anoepi_Sal_Maltase-SMART.txt","Aamy")</f>
        <v>Aamy</v>
      </c>
      <c r="BH84" t="str">
        <f>HYPERLINK("http://smart.embl-heidelberg.de/smart/do_annotation.pl?DOMAIN=Aamy&amp;BLAST=DUMMY","4E-038")</f>
        <v>4E-038</v>
      </c>
      <c r="BI84" t="s">
        <v>128</v>
      </c>
      <c r="BJ84" s="2" t="s">
        <v>128</v>
      </c>
      <c r="BK84" t="s">
        <v>1563</v>
      </c>
      <c r="BL84">
        <f>HYPERLINK("http://exon.niaid.nih.gov/transcriptome/Anopheles_sialome/links/cluster-b/anopheline-sialome-cds-pep-larger-orf25-50SimCLU16.txt", 16)</f>
        <v>16</v>
      </c>
      <c r="BM84">
        <f>HYPERLINK("http://exon.niaid.nih.gov/transcriptome/Anopheles_sialome/links/cluster-b/anopheline-sialome-cds-pep-larger-orf25-50SimCLTL16.txt", 17)</f>
        <v>17</v>
      </c>
      <c r="BN84">
        <f>HYPERLINK("http://exon.niaid.nih.gov/transcriptome/Anopheles_sialome/links/cluster-b/anopheline-sialome-cds-pep-larger-orf30-50SimCLU16.txt", 16)</f>
        <v>16</v>
      </c>
      <c r="BO84">
        <f>HYPERLINK("http://exon.niaid.nih.gov/transcriptome/Anopheles_sialome/links/cluster-b/anopheline-sialome-cds-pep-larger-orf30-50SimCLTL16.txt", 17)</f>
        <v>17</v>
      </c>
      <c r="BP84">
        <f>HYPERLINK("http://exon.niaid.nih.gov/transcriptome/Anopheles_sialome/links/cluster-b/anopheline-sialome-cds-pep-larger-orf35-50SimCLU18.txt", 18)</f>
        <v>18</v>
      </c>
      <c r="BQ84">
        <f>HYPERLINK("http://exon.niaid.nih.gov/transcriptome/Anopheles_sialome/links/cluster-b/anopheline-sialome-cds-pep-larger-orf35-50SimCLTL18.txt", 17)</f>
        <v>17</v>
      </c>
      <c r="BR84">
        <f>HYPERLINK("http://exon.niaid.nih.gov/transcriptome/Anopheles_sialome/links/cluster-b/anopheline-sialome-cds-pep-larger-orf40-50SimCLU22.txt", 22)</f>
        <v>22</v>
      </c>
      <c r="BS84">
        <f>HYPERLINK("http://exon.niaid.nih.gov/transcriptome/Anopheles_sialome/links/cluster-b/anopheline-sialome-cds-pep-larger-orf40-50SimCLTL22.txt", 17)</f>
        <v>17</v>
      </c>
      <c r="BT84">
        <f>HYPERLINK("http://exon.niaid.nih.gov/transcriptome/Anopheles_sialome/links/cluster-b/anopheline-sialome-cds-pep-larger-orf45-50SimCLU26.txt", 26)</f>
        <v>26</v>
      </c>
      <c r="BU84">
        <f>HYPERLINK("http://exon.niaid.nih.gov/transcriptome/Anopheles_sialome/links/cluster-b/anopheline-sialome-cds-pep-larger-orf45-50SimCLTL26.txt", 17)</f>
        <v>17</v>
      </c>
      <c r="BV84">
        <f>HYPERLINK("http://exon.niaid.nih.gov/transcriptome/Anopheles_sialome/links/cluster-b/anopheline-sialome-cds-pep-larger-orf50-50SimCLU25.txt", 25)</f>
        <v>25</v>
      </c>
      <c r="BW84">
        <f>HYPERLINK("http://exon.niaid.nih.gov/transcriptome/Anopheles_sialome/links/cluster-b/anopheline-sialome-cds-pep-larger-orf50-50SimCLTL25.txt", 17)</f>
        <v>17</v>
      </c>
      <c r="BX84">
        <f>HYPERLINK("http://exon.niaid.nih.gov/transcriptome/Anopheles_sialome/links/cluster-b/anopheline-sialome-cds-pep-larger-orf55-50SimCLU25.txt", 25)</f>
        <v>25</v>
      </c>
      <c r="BY84">
        <f>HYPERLINK("http://exon.niaid.nih.gov/transcriptome/Anopheles_sialome/links/cluster-b/anopheline-sialome-cds-pep-larger-orf55-50SimCLTL25.txt", 17)</f>
        <v>17</v>
      </c>
      <c r="BZ84">
        <f>HYPERLINK("http://exon.niaid.nih.gov/transcriptome/Anopheles_sialome/links/cluster-b/anopheline-sialome-cds-pep-larger-orf60-50SimCLU21.txt", 21)</f>
        <v>21</v>
      </c>
      <c r="CA84">
        <f>HYPERLINK("http://exon.niaid.nih.gov/transcriptome/Anopheles_sialome/links/cluster-b/anopheline-sialome-cds-pep-larger-orf60-50SimCLTL21.txt", 17)</f>
        <v>17</v>
      </c>
      <c r="CB84">
        <f>HYPERLINK("http://exon.niaid.nih.gov/transcriptome/Anopheles_sialome/links/cluster-b/anopheline-sialome-cds-pep-larger-orf65-50SimCLU19.txt", 19)</f>
        <v>19</v>
      </c>
      <c r="CC84">
        <f>HYPERLINK("http://exon.niaid.nih.gov/transcriptome/Anopheles_sialome/links/cluster-b/anopheline-sialome-cds-pep-larger-orf65-50SimCLTL19.txt", 17)</f>
        <v>17</v>
      </c>
      <c r="CD84">
        <f>HYPERLINK("http://exon.niaid.nih.gov/transcriptome/Anopheles_sialome/links/cluster-b/anopheline-sialome-cds-pep-larger-orf70-50SimCLU20.txt", 20)</f>
        <v>20</v>
      </c>
      <c r="CE84">
        <f>HYPERLINK("http://exon.niaid.nih.gov/transcriptome/Anopheles_sialome/links/cluster-b/anopheline-sialome-cds-pep-larger-orf70-50SimCLTL20.txt", 17)</f>
        <v>17</v>
      </c>
      <c r="CF84">
        <f>HYPERLINK("http://exon.niaid.nih.gov/transcriptome/Anopheles_sialome/links/cluster-b/anopheline-sialome-cds-pep-larger-orf75-50SimCLU13.txt", 13)</f>
        <v>13</v>
      </c>
      <c r="CG84">
        <f>HYPERLINK("http://exon.niaid.nih.gov/transcriptome/Anopheles_sialome/links/cluster-b/anopheline-sialome-cds-pep-larger-orf75-50SimCLTL13.txt", 17)</f>
        <v>17</v>
      </c>
      <c r="CH84">
        <f>HYPERLINK("http://exon.niaid.nih.gov/transcriptome/Anopheles_sialome/links/cluster-b/anopheline-sialome-cds-pep-larger-orf80-50SimCLU10.txt", 10)</f>
        <v>10</v>
      </c>
      <c r="CI84">
        <f>HYPERLINK("http://exon.niaid.nih.gov/transcriptome/Anopheles_sialome/links/cluster-b/anopheline-sialome-cds-pep-larger-orf80-50SimCLTL10.txt", 17)</f>
        <v>17</v>
      </c>
      <c r="CJ84">
        <f>HYPERLINK("http://exon.niaid.nih.gov/transcriptome/Anopheles_sialome/links/cluster-b/anopheline-sialome-cds-pep-larger-orf85-50SimCLU5.txt", 5)</f>
        <v>5</v>
      </c>
      <c r="CK84">
        <f>HYPERLINK("http://exon.niaid.nih.gov/transcriptome/Anopheles_sialome/links/cluster-b/anopheline-sialome-cds-pep-larger-orf85-50SimCLTL5.txt", 17)</f>
        <v>17</v>
      </c>
      <c r="CL84">
        <f>HYPERLINK("http://exon.niaid.nih.gov/transcriptome/Anopheles_sialome/links/cluster-b/anopheline-sialome-cds-pep-larger-orf90-50SimCLU7.txt", 7)</f>
        <v>7</v>
      </c>
      <c r="CM84">
        <f>HYPERLINK("http://exon.niaid.nih.gov/transcriptome/Anopheles_sialome/links/cluster-b/anopheline-sialome-cds-pep-larger-orf90-50SimCLTL7.txt", 13)</f>
        <v>13</v>
      </c>
      <c r="CN84">
        <v>340</v>
      </c>
      <c r="CO84">
        <v>1</v>
      </c>
    </row>
    <row r="85" spans="1:93">
      <c r="A85" s="2" t="str">
        <f>HYPERLINK("http://exon.niaid.nih.gov/transcriptome/Anopheles_sialome/links/cds/anofun_Sal_Maltase-cds.txt","anofun_Sal_Maltase")</f>
        <v>anofun_Sal_Maltase</v>
      </c>
      <c r="B85">
        <v>1782</v>
      </c>
      <c r="C85" t="s">
        <v>341</v>
      </c>
      <c r="D85" t="s">
        <v>7</v>
      </c>
      <c r="E85" t="s">
        <v>5</v>
      </c>
      <c r="F85" t="s">
        <v>1</v>
      </c>
      <c r="G85" t="str">
        <f>HYPERLINK("http://exon.niaid.nih.gov/transcriptome/Anopheles_sialome/links/pep/anofun_Sal_Maltase-pep.txt","anofun_Sal_Maltase")</f>
        <v>anofun_Sal_Maltase</v>
      </c>
      <c r="H85">
        <v>593</v>
      </c>
      <c r="I85">
        <v>4</v>
      </c>
      <c r="J85" s="3" t="str">
        <f>HYPERLINK("http://exon.niaid.nih.gov/transcriptome/Anopheles_sialome/links/Sigp/anofun_Sal_Maltase-SigP.txt","SIG")</f>
        <v>SIG</v>
      </c>
      <c r="K85" t="s">
        <v>652</v>
      </c>
      <c r="L85">
        <v>67.251000000000005</v>
      </c>
      <c r="M85">
        <v>5.55</v>
      </c>
      <c r="N85">
        <v>65.311999999999998</v>
      </c>
      <c r="O85">
        <v>5.44</v>
      </c>
      <c r="P85" t="s">
        <v>1567</v>
      </c>
      <c r="Q85" s="3">
        <v>0</v>
      </c>
      <c r="R85" t="s">
        <v>128</v>
      </c>
      <c r="S85" t="s">
        <v>128</v>
      </c>
      <c r="T85" t="s">
        <v>128</v>
      </c>
      <c r="U85" t="s">
        <v>128</v>
      </c>
      <c r="V85" t="s">
        <v>128</v>
      </c>
      <c r="W85" s="3" t="str">
        <f>HYPERLINK("http://exon.niaid.nih.gov/transcriptome/Anopheles_sialome/links/netoglyc/anofun_Sal_Maltase-netoglyc.txt","0")</f>
        <v>0</v>
      </c>
      <c r="X85">
        <v>11.8</v>
      </c>
      <c r="Y85">
        <v>6.9</v>
      </c>
      <c r="Z85">
        <v>6.1</v>
      </c>
      <c r="AA85" t="s">
        <v>654</v>
      </c>
      <c r="AB85" t="s">
        <v>1568</v>
      </c>
      <c r="AC85" s="2" t="str">
        <f>HYPERLINK("http://exon.niaid.nih.gov/transcriptome/Anopheles_sialome/links/DIPTERA/anofun_Sal_Maltase-DIPTERA.txt","AGAP002102-PA")</f>
        <v>AGAP002102-PA</v>
      </c>
      <c r="AD85" t="str">
        <f t="shared" si="45"/>
        <v>0.0</v>
      </c>
      <c r="AE85" t="str">
        <f t="shared" si="46"/>
        <v>gi|116115877</v>
      </c>
      <c r="AF85">
        <v>87</v>
      </c>
      <c r="AG85">
        <v>93</v>
      </c>
      <c r="AH85">
        <v>100</v>
      </c>
      <c r="AI85" t="s">
        <v>2285</v>
      </c>
      <c r="AJ85" s="2" t="str">
        <f>HYPERLINK("http://exon.niaid.nih.gov/transcriptome/Anopheles_sialome/links/CULICOMORPHA/anofun_Sal_Maltase-CULICOMORPHA.txt","AGAP002102-PA")</f>
        <v>AGAP002102-PA</v>
      </c>
      <c r="AK85" t="str">
        <f t="shared" si="47"/>
        <v>0.0</v>
      </c>
      <c r="AL85" t="str">
        <f t="shared" si="48"/>
        <v>gi|116115877</v>
      </c>
      <c r="AM85">
        <v>87</v>
      </c>
      <c r="AN85">
        <v>93</v>
      </c>
      <c r="AO85">
        <v>100</v>
      </c>
      <c r="AP85" t="s">
        <v>2285</v>
      </c>
      <c r="AQ85" s="2" t="str">
        <f>HYPERLINK("http://exon.niaid.nih.gov/transcriptome/Anopheles_sialome/links/NR-LIGHT/anofun_Sal_Maltase-NR-LIGHT.txt","AGAP002102-PA")</f>
        <v>AGAP002102-PA</v>
      </c>
      <c r="AR85" t="str">
        <f t="shared" si="49"/>
        <v>0.0</v>
      </c>
      <c r="AS85" t="str">
        <f t="shared" si="50"/>
        <v>gi|118793578</v>
      </c>
      <c r="AT85">
        <v>87</v>
      </c>
      <c r="AU85">
        <v>93</v>
      </c>
      <c r="AV85">
        <v>100</v>
      </c>
      <c r="AW85" t="s">
        <v>2285</v>
      </c>
      <c r="AX85" s="2" t="str">
        <f>HYPERLINK("http://exon.niaid.nih.gov/transcriptome/Anopheles_sialome/links/CDD/anofun_Sal_Maltase-CDD.txt","AmyAc_maltase")</f>
        <v>AmyAc_maltase</v>
      </c>
      <c r="AY85" t="str">
        <f t="shared" si="38"/>
        <v>0.0</v>
      </c>
      <c r="AZ85" t="s">
        <v>2778</v>
      </c>
      <c r="BA85" s="2" t="str">
        <f>HYPERLINK("http://exon.niaid.nih.gov/transcriptome/Anopheles_sialome/links/KOG/anofun_Sal_Maltase-KOG.txt","Alpha-amylase")</f>
        <v>Alpha-amylase</v>
      </c>
      <c r="BB85" t="str">
        <f>HYPERLINK("http://www.ncbi.nlm.nih.gov/Structure/cdd/cddsrv.cgi?uid=KOG0471","1E-132")</f>
        <v>1E-132</v>
      </c>
      <c r="BC85" t="s">
        <v>2308</v>
      </c>
      <c r="BD85" t="str">
        <f>HYPERLINK("http://exon.niaid.nih.gov/transcriptome/Anopheles_sialome/links/KOG/anofun_Sal_Maltase-KOG.txt","KOG0471")</f>
        <v>KOG0471</v>
      </c>
      <c r="BE85" t="str">
        <f>HYPERLINK("http://exon.niaid.nih.gov/transcriptome/Anopheles_sialome/links/PFAM/anofun_Sal_Maltase-PFAM.txt","Alpha-amylase")</f>
        <v>Alpha-amylase</v>
      </c>
      <c r="BF85" t="str">
        <f>HYPERLINK("http://pfam.sanger.ac.uk/family?acc=PF00128","2E-083")</f>
        <v>2E-083</v>
      </c>
      <c r="BG85" s="2" t="str">
        <f>HYPERLINK("http://exon.niaid.nih.gov/transcriptome/Anopheles_sialome/links/SMART/anofun_Sal_Maltase-SMART.txt","Aamy")</f>
        <v>Aamy</v>
      </c>
      <c r="BH85" t="str">
        <f>HYPERLINK("http://smart.embl-heidelberg.de/smart/do_annotation.pl?DOMAIN=Aamy&amp;BLAST=DUMMY","6E-038")</f>
        <v>6E-038</v>
      </c>
      <c r="BI85" t="s">
        <v>128</v>
      </c>
      <c r="BJ85" s="2" t="s">
        <v>128</v>
      </c>
      <c r="BK85" t="s">
        <v>1566</v>
      </c>
      <c r="BL85">
        <f>HYPERLINK("http://exon.niaid.nih.gov/transcriptome/Anopheles_sialome/links/cluster-b/anopheline-sialome-cds-pep-larger-orf25-50SimCLU16.txt", 16)</f>
        <v>16</v>
      </c>
      <c r="BM85">
        <f>HYPERLINK("http://exon.niaid.nih.gov/transcriptome/Anopheles_sialome/links/cluster-b/anopheline-sialome-cds-pep-larger-orf25-50SimCLTL16.txt", 17)</f>
        <v>17</v>
      </c>
      <c r="BN85">
        <f>HYPERLINK("http://exon.niaid.nih.gov/transcriptome/Anopheles_sialome/links/cluster-b/anopheline-sialome-cds-pep-larger-orf30-50SimCLU16.txt", 16)</f>
        <v>16</v>
      </c>
      <c r="BO85">
        <f>HYPERLINK("http://exon.niaid.nih.gov/transcriptome/Anopheles_sialome/links/cluster-b/anopheline-sialome-cds-pep-larger-orf30-50SimCLTL16.txt", 17)</f>
        <v>17</v>
      </c>
      <c r="BP85">
        <f>HYPERLINK("http://exon.niaid.nih.gov/transcriptome/Anopheles_sialome/links/cluster-b/anopheline-sialome-cds-pep-larger-orf35-50SimCLU18.txt", 18)</f>
        <v>18</v>
      </c>
      <c r="BQ85">
        <f>HYPERLINK("http://exon.niaid.nih.gov/transcriptome/Anopheles_sialome/links/cluster-b/anopheline-sialome-cds-pep-larger-orf35-50SimCLTL18.txt", 17)</f>
        <v>17</v>
      </c>
      <c r="BR85">
        <f>HYPERLINK("http://exon.niaid.nih.gov/transcriptome/Anopheles_sialome/links/cluster-b/anopheline-sialome-cds-pep-larger-orf40-50SimCLU22.txt", 22)</f>
        <v>22</v>
      </c>
      <c r="BS85">
        <f>HYPERLINK("http://exon.niaid.nih.gov/transcriptome/Anopheles_sialome/links/cluster-b/anopheline-sialome-cds-pep-larger-orf40-50SimCLTL22.txt", 17)</f>
        <v>17</v>
      </c>
      <c r="BT85">
        <f>HYPERLINK("http://exon.niaid.nih.gov/transcriptome/Anopheles_sialome/links/cluster-b/anopheline-sialome-cds-pep-larger-orf45-50SimCLU26.txt", 26)</f>
        <v>26</v>
      </c>
      <c r="BU85">
        <f>HYPERLINK("http://exon.niaid.nih.gov/transcriptome/Anopheles_sialome/links/cluster-b/anopheline-sialome-cds-pep-larger-orf45-50SimCLTL26.txt", 17)</f>
        <v>17</v>
      </c>
      <c r="BV85">
        <f>HYPERLINK("http://exon.niaid.nih.gov/transcriptome/Anopheles_sialome/links/cluster-b/anopheline-sialome-cds-pep-larger-orf50-50SimCLU25.txt", 25)</f>
        <v>25</v>
      </c>
      <c r="BW85">
        <f>HYPERLINK("http://exon.niaid.nih.gov/transcriptome/Anopheles_sialome/links/cluster-b/anopheline-sialome-cds-pep-larger-orf50-50SimCLTL25.txt", 17)</f>
        <v>17</v>
      </c>
      <c r="BX85">
        <f>HYPERLINK("http://exon.niaid.nih.gov/transcriptome/Anopheles_sialome/links/cluster-b/anopheline-sialome-cds-pep-larger-orf55-50SimCLU25.txt", 25)</f>
        <v>25</v>
      </c>
      <c r="BY85">
        <f>HYPERLINK("http://exon.niaid.nih.gov/transcriptome/Anopheles_sialome/links/cluster-b/anopheline-sialome-cds-pep-larger-orf55-50SimCLTL25.txt", 17)</f>
        <v>17</v>
      </c>
      <c r="BZ85">
        <f>HYPERLINK("http://exon.niaid.nih.gov/transcriptome/Anopheles_sialome/links/cluster-b/anopheline-sialome-cds-pep-larger-orf60-50SimCLU21.txt", 21)</f>
        <v>21</v>
      </c>
      <c r="CA85">
        <f>HYPERLINK("http://exon.niaid.nih.gov/transcriptome/Anopheles_sialome/links/cluster-b/anopheline-sialome-cds-pep-larger-orf60-50SimCLTL21.txt", 17)</f>
        <v>17</v>
      </c>
      <c r="CB85">
        <f>HYPERLINK("http://exon.niaid.nih.gov/transcriptome/Anopheles_sialome/links/cluster-b/anopheline-sialome-cds-pep-larger-orf65-50SimCLU19.txt", 19)</f>
        <v>19</v>
      </c>
      <c r="CC85">
        <f>HYPERLINK("http://exon.niaid.nih.gov/transcriptome/Anopheles_sialome/links/cluster-b/anopheline-sialome-cds-pep-larger-orf65-50SimCLTL19.txt", 17)</f>
        <v>17</v>
      </c>
      <c r="CD85">
        <f>HYPERLINK("http://exon.niaid.nih.gov/transcriptome/Anopheles_sialome/links/cluster-b/anopheline-sialome-cds-pep-larger-orf70-50SimCLU20.txt", 20)</f>
        <v>20</v>
      </c>
      <c r="CE85">
        <f>HYPERLINK("http://exon.niaid.nih.gov/transcriptome/Anopheles_sialome/links/cluster-b/anopheline-sialome-cds-pep-larger-orf70-50SimCLTL20.txt", 17)</f>
        <v>17</v>
      </c>
      <c r="CF85">
        <f>HYPERLINK("http://exon.niaid.nih.gov/transcriptome/Anopheles_sialome/links/cluster-b/anopheline-sialome-cds-pep-larger-orf75-50SimCLU13.txt", 13)</f>
        <v>13</v>
      </c>
      <c r="CG85">
        <f>HYPERLINK("http://exon.niaid.nih.gov/transcriptome/Anopheles_sialome/links/cluster-b/anopheline-sialome-cds-pep-larger-orf75-50SimCLTL13.txt", 17)</f>
        <v>17</v>
      </c>
      <c r="CH85">
        <f>HYPERLINK("http://exon.niaid.nih.gov/transcriptome/Anopheles_sialome/links/cluster-b/anopheline-sialome-cds-pep-larger-orf80-50SimCLU10.txt", 10)</f>
        <v>10</v>
      </c>
      <c r="CI85">
        <f>HYPERLINK("http://exon.niaid.nih.gov/transcriptome/Anopheles_sialome/links/cluster-b/anopheline-sialome-cds-pep-larger-orf80-50SimCLTL10.txt", 17)</f>
        <v>17</v>
      </c>
      <c r="CJ85">
        <f>HYPERLINK("http://exon.niaid.nih.gov/transcriptome/Anopheles_sialome/links/cluster-b/anopheline-sialome-cds-pep-larger-orf85-50SimCLU5.txt", 5)</f>
        <v>5</v>
      </c>
      <c r="CK85">
        <f>HYPERLINK("http://exon.niaid.nih.gov/transcriptome/Anopheles_sialome/links/cluster-b/anopheline-sialome-cds-pep-larger-orf85-50SimCLTL5.txt", 17)</f>
        <v>17</v>
      </c>
      <c r="CL85">
        <f>HYPERLINK("http://exon.niaid.nih.gov/transcriptome/Anopheles_sialome/links/cluster-b/anopheline-sialome-cds-pep-larger-orf90-50SimCLU7.txt", 7)</f>
        <v>7</v>
      </c>
      <c r="CM85">
        <f>HYPERLINK("http://exon.niaid.nih.gov/transcriptome/Anopheles_sialome/links/cluster-b/anopheline-sialome-cds-pep-larger-orf90-50SimCLTL7.txt", 13)</f>
        <v>13</v>
      </c>
      <c r="CN85">
        <f>HYPERLINK("http://exon.niaid.nih.gov/transcriptome/Anopheles_sialome/links/cluster-b/anopheline-sialome-cds-pep-larger-orf95-50SimCLU51.txt", 51)</f>
        <v>51</v>
      </c>
      <c r="CO85">
        <f>HYPERLINK("http://exon.niaid.nih.gov/transcriptome/Anopheles_sialome/links/cluster-b/anopheline-sialome-cds-pep-larger-orf95-50SimCLTL51.txt", 3)</f>
        <v>3</v>
      </c>
    </row>
    <row r="86" spans="1:93">
      <c r="A86" s="2" t="str">
        <f>HYPERLINK("http://exon.niaid.nih.gov/transcriptome/Anopheles_sialome/links/cds/anomin_Sal_Maltase-cds.txt","anomin_Sal_Maltase")</f>
        <v>anomin_Sal_Maltase</v>
      </c>
      <c r="B86">
        <v>1782</v>
      </c>
      <c r="C86" t="s">
        <v>342</v>
      </c>
      <c r="D86" t="s">
        <v>4</v>
      </c>
      <c r="E86" t="s">
        <v>5</v>
      </c>
      <c r="F86" t="s">
        <v>1</v>
      </c>
      <c r="G86" t="str">
        <f>HYPERLINK("http://exon.niaid.nih.gov/transcriptome/Anopheles_sialome/links/pep/anomin_Sal_Maltase-pep.txt","anomin_Sal_Maltase")</f>
        <v>anomin_Sal_Maltase</v>
      </c>
      <c r="H86">
        <v>593</v>
      </c>
      <c r="I86">
        <v>4</v>
      </c>
      <c r="J86" s="3" t="str">
        <f>HYPERLINK("http://exon.niaid.nih.gov/transcriptome/Anopheles_sialome/links/Sigp/anomin_Sal_Maltase-SigP.txt","SIG")</f>
        <v>SIG</v>
      </c>
      <c r="K86" t="s">
        <v>652</v>
      </c>
      <c r="L86">
        <v>67.447999999999993</v>
      </c>
      <c r="M86">
        <v>5.51</v>
      </c>
      <c r="N86">
        <v>65.582999999999998</v>
      </c>
      <c r="O86">
        <v>5.4</v>
      </c>
      <c r="P86" t="s">
        <v>1570</v>
      </c>
      <c r="Q86" s="3">
        <v>0</v>
      </c>
      <c r="R86" t="s">
        <v>128</v>
      </c>
      <c r="S86" t="s">
        <v>128</v>
      </c>
      <c r="T86" t="s">
        <v>128</v>
      </c>
      <c r="U86" t="s">
        <v>128</v>
      </c>
      <c r="V86" t="s">
        <v>128</v>
      </c>
      <c r="W86" s="3" t="str">
        <f>HYPERLINK("http://exon.niaid.nih.gov/transcriptome/Anopheles_sialome/links/netoglyc/anomin_Sal_Maltase-netoglyc.txt","0")</f>
        <v>0</v>
      </c>
      <c r="X86">
        <v>11.8</v>
      </c>
      <c r="Y86">
        <v>6.7</v>
      </c>
      <c r="Z86">
        <v>6.1</v>
      </c>
      <c r="AA86" t="s">
        <v>654</v>
      </c>
      <c r="AB86" t="s">
        <v>1568</v>
      </c>
      <c r="AC86" s="2" t="str">
        <f>HYPERLINK("http://exon.niaid.nih.gov/transcriptome/Anopheles_sialome/links/DIPTERA/anomin_Sal_Maltase-DIPTERA.txt","AGAP002102-PA")</f>
        <v>AGAP002102-PA</v>
      </c>
      <c r="AD86" t="str">
        <f t="shared" si="45"/>
        <v>0.0</v>
      </c>
      <c r="AE86" t="str">
        <f t="shared" si="46"/>
        <v>gi|116115877</v>
      </c>
      <c r="AF86">
        <v>87</v>
      </c>
      <c r="AG86">
        <v>92</v>
      </c>
      <c r="AH86">
        <v>100</v>
      </c>
      <c r="AI86" t="s">
        <v>2285</v>
      </c>
      <c r="AJ86" s="2" t="str">
        <f>HYPERLINK("http://exon.niaid.nih.gov/transcriptome/Anopheles_sialome/links/CULICOMORPHA/anomin_Sal_Maltase-CULICOMORPHA.txt","AGAP002102-PA")</f>
        <v>AGAP002102-PA</v>
      </c>
      <c r="AK86" t="str">
        <f t="shared" si="47"/>
        <v>0.0</v>
      </c>
      <c r="AL86" t="str">
        <f t="shared" si="48"/>
        <v>gi|116115877</v>
      </c>
      <c r="AM86">
        <v>87</v>
      </c>
      <c r="AN86">
        <v>92</v>
      </c>
      <c r="AO86">
        <v>100</v>
      </c>
      <c r="AP86" t="s">
        <v>2285</v>
      </c>
      <c r="AQ86" s="2" t="str">
        <f>HYPERLINK("http://exon.niaid.nih.gov/transcriptome/Anopheles_sialome/links/NR-LIGHT/anomin_Sal_Maltase-NR-LIGHT.txt","AGAP002102-PA")</f>
        <v>AGAP002102-PA</v>
      </c>
      <c r="AR86" t="str">
        <f t="shared" si="49"/>
        <v>0.0</v>
      </c>
      <c r="AS86" t="str">
        <f t="shared" si="50"/>
        <v>gi|118793578</v>
      </c>
      <c r="AT86">
        <v>87</v>
      </c>
      <c r="AU86">
        <v>92</v>
      </c>
      <c r="AV86">
        <v>100</v>
      </c>
      <c r="AW86" t="s">
        <v>2285</v>
      </c>
      <c r="AX86" s="2" t="str">
        <f>HYPERLINK("http://exon.niaid.nih.gov/transcriptome/Anopheles_sialome/links/CDD/anomin_Sal_Maltase-CDD.txt","AmyAc_maltase")</f>
        <v>AmyAc_maltase</v>
      </c>
      <c r="AY86" t="str">
        <f t="shared" si="38"/>
        <v>0.0</v>
      </c>
      <c r="AZ86" t="s">
        <v>2779</v>
      </c>
      <c r="BA86" s="2" t="str">
        <f>HYPERLINK("http://exon.niaid.nih.gov/transcriptome/Anopheles_sialome/links/KOG/anomin_Sal_Maltase-KOG.txt","Alpha-amylase")</f>
        <v>Alpha-amylase</v>
      </c>
      <c r="BB86" t="str">
        <f>HYPERLINK("http://www.ncbi.nlm.nih.gov/Structure/cdd/cddsrv.cgi?uid=KOG0471","1E-132")</f>
        <v>1E-132</v>
      </c>
      <c r="BC86" t="s">
        <v>2308</v>
      </c>
      <c r="BD86" t="str">
        <f>HYPERLINK("http://exon.niaid.nih.gov/transcriptome/Anopheles_sialome/links/KOG/anomin_Sal_Maltase-KOG.txt","KOG0471")</f>
        <v>KOG0471</v>
      </c>
      <c r="BE86" t="str">
        <f>HYPERLINK("http://exon.niaid.nih.gov/transcriptome/Anopheles_sialome/links/PFAM/anomin_Sal_Maltase-PFAM.txt","Alpha-amylase")</f>
        <v>Alpha-amylase</v>
      </c>
      <c r="BF86" t="str">
        <f>HYPERLINK("http://pfam.sanger.ac.uk/family?acc=PF00128","1E-084")</f>
        <v>1E-084</v>
      </c>
      <c r="BG86" s="2" t="str">
        <f>HYPERLINK("http://exon.niaid.nih.gov/transcriptome/Anopheles_sialome/links/SMART/anomin_Sal_Maltase-SMART.txt","Aamy")</f>
        <v>Aamy</v>
      </c>
      <c r="BH86" t="str">
        <f>HYPERLINK("http://smart.embl-heidelberg.de/smart/do_annotation.pl?DOMAIN=Aamy&amp;BLAST=DUMMY","2E-037")</f>
        <v>2E-037</v>
      </c>
      <c r="BI86" t="s">
        <v>128</v>
      </c>
      <c r="BJ86" s="2" t="s">
        <v>128</v>
      </c>
      <c r="BK86" t="s">
        <v>1569</v>
      </c>
      <c r="BL86">
        <f>HYPERLINK("http://exon.niaid.nih.gov/transcriptome/Anopheles_sialome/links/cluster-b/anopheline-sialome-cds-pep-larger-orf25-50SimCLU16.txt", 16)</f>
        <v>16</v>
      </c>
      <c r="BM86">
        <f>HYPERLINK("http://exon.niaid.nih.gov/transcriptome/Anopheles_sialome/links/cluster-b/anopheline-sialome-cds-pep-larger-orf25-50SimCLTL16.txt", 17)</f>
        <v>17</v>
      </c>
      <c r="BN86">
        <f>HYPERLINK("http://exon.niaid.nih.gov/transcriptome/Anopheles_sialome/links/cluster-b/anopheline-sialome-cds-pep-larger-orf30-50SimCLU16.txt", 16)</f>
        <v>16</v>
      </c>
      <c r="BO86">
        <f>HYPERLINK("http://exon.niaid.nih.gov/transcriptome/Anopheles_sialome/links/cluster-b/anopheline-sialome-cds-pep-larger-orf30-50SimCLTL16.txt", 17)</f>
        <v>17</v>
      </c>
      <c r="BP86">
        <f>HYPERLINK("http://exon.niaid.nih.gov/transcriptome/Anopheles_sialome/links/cluster-b/anopheline-sialome-cds-pep-larger-orf35-50SimCLU18.txt", 18)</f>
        <v>18</v>
      </c>
      <c r="BQ86">
        <f>HYPERLINK("http://exon.niaid.nih.gov/transcriptome/Anopheles_sialome/links/cluster-b/anopheline-sialome-cds-pep-larger-orf35-50SimCLTL18.txt", 17)</f>
        <v>17</v>
      </c>
      <c r="BR86">
        <f>HYPERLINK("http://exon.niaid.nih.gov/transcriptome/Anopheles_sialome/links/cluster-b/anopheline-sialome-cds-pep-larger-orf40-50SimCLU22.txt", 22)</f>
        <v>22</v>
      </c>
      <c r="BS86">
        <f>HYPERLINK("http://exon.niaid.nih.gov/transcriptome/Anopheles_sialome/links/cluster-b/anopheline-sialome-cds-pep-larger-orf40-50SimCLTL22.txt", 17)</f>
        <v>17</v>
      </c>
      <c r="BT86">
        <f>HYPERLINK("http://exon.niaid.nih.gov/transcriptome/Anopheles_sialome/links/cluster-b/anopheline-sialome-cds-pep-larger-orf45-50SimCLU26.txt", 26)</f>
        <v>26</v>
      </c>
      <c r="BU86">
        <f>HYPERLINK("http://exon.niaid.nih.gov/transcriptome/Anopheles_sialome/links/cluster-b/anopheline-sialome-cds-pep-larger-orf45-50SimCLTL26.txt", 17)</f>
        <v>17</v>
      </c>
      <c r="BV86">
        <f>HYPERLINK("http://exon.niaid.nih.gov/transcriptome/Anopheles_sialome/links/cluster-b/anopheline-sialome-cds-pep-larger-orf50-50SimCLU25.txt", 25)</f>
        <v>25</v>
      </c>
      <c r="BW86">
        <f>HYPERLINK("http://exon.niaid.nih.gov/transcriptome/Anopheles_sialome/links/cluster-b/anopheline-sialome-cds-pep-larger-orf50-50SimCLTL25.txt", 17)</f>
        <v>17</v>
      </c>
      <c r="BX86">
        <f>HYPERLINK("http://exon.niaid.nih.gov/transcriptome/Anopheles_sialome/links/cluster-b/anopheline-sialome-cds-pep-larger-orf55-50SimCLU25.txt", 25)</f>
        <v>25</v>
      </c>
      <c r="BY86">
        <f>HYPERLINK("http://exon.niaid.nih.gov/transcriptome/Anopheles_sialome/links/cluster-b/anopheline-sialome-cds-pep-larger-orf55-50SimCLTL25.txt", 17)</f>
        <v>17</v>
      </c>
      <c r="BZ86">
        <f>HYPERLINK("http://exon.niaid.nih.gov/transcriptome/Anopheles_sialome/links/cluster-b/anopheline-sialome-cds-pep-larger-orf60-50SimCLU21.txt", 21)</f>
        <v>21</v>
      </c>
      <c r="CA86">
        <f>HYPERLINK("http://exon.niaid.nih.gov/transcriptome/Anopheles_sialome/links/cluster-b/anopheline-sialome-cds-pep-larger-orf60-50SimCLTL21.txt", 17)</f>
        <v>17</v>
      </c>
      <c r="CB86">
        <f>HYPERLINK("http://exon.niaid.nih.gov/transcriptome/Anopheles_sialome/links/cluster-b/anopheline-sialome-cds-pep-larger-orf65-50SimCLU19.txt", 19)</f>
        <v>19</v>
      </c>
      <c r="CC86">
        <f>HYPERLINK("http://exon.niaid.nih.gov/transcriptome/Anopheles_sialome/links/cluster-b/anopheline-sialome-cds-pep-larger-orf65-50SimCLTL19.txt", 17)</f>
        <v>17</v>
      </c>
      <c r="CD86">
        <f>HYPERLINK("http://exon.niaid.nih.gov/transcriptome/Anopheles_sialome/links/cluster-b/anopheline-sialome-cds-pep-larger-orf70-50SimCLU20.txt", 20)</f>
        <v>20</v>
      </c>
      <c r="CE86">
        <f>HYPERLINK("http://exon.niaid.nih.gov/transcriptome/Anopheles_sialome/links/cluster-b/anopheline-sialome-cds-pep-larger-orf70-50SimCLTL20.txt", 17)</f>
        <v>17</v>
      </c>
      <c r="CF86">
        <f>HYPERLINK("http://exon.niaid.nih.gov/transcriptome/Anopheles_sialome/links/cluster-b/anopheline-sialome-cds-pep-larger-orf75-50SimCLU13.txt", 13)</f>
        <v>13</v>
      </c>
      <c r="CG86">
        <f>HYPERLINK("http://exon.niaid.nih.gov/transcriptome/Anopheles_sialome/links/cluster-b/anopheline-sialome-cds-pep-larger-orf75-50SimCLTL13.txt", 17)</f>
        <v>17</v>
      </c>
      <c r="CH86">
        <f>HYPERLINK("http://exon.niaid.nih.gov/transcriptome/Anopheles_sialome/links/cluster-b/anopheline-sialome-cds-pep-larger-orf80-50SimCLU10.txt", 10)</f>
        <v>10</v>
      </c>
      <c r="CI86">
        <f>HYPERLINK("http://exon.niaid.nih.gov/transcriptome/Anopheles_sialome/links/cluster-b/anopheline-sialome-cds-pep-larger-orf80-50SimCLTL10.txt", 17)</f>
        <v>17</v>
      </c>
      <c r="CJ86">
        <f>HYPERLINK("http://exon.niaid.nih.gov/transcriptome/Anopheles_sialome/links/cluster-b/anopheline-sialome-cds-pep-larger-orf85-50SimCLU5.txt", 5)</f>
        <v>5</v>
      </c>
      <c r="CK86">
        <f>HYPERLINK("http://exon.niaid.nih.gov/transcriptome/Anopheles_sialome/links/cluster-b/anopheline-sialome-cds-pep-larger-orf85-50SimCLTL5.txt", 17)</f>
        <v>17</v>
      </c>
      <c r="CL86">
        <f>HYPERLINK("http://exon.niaid.nih.gov/transcriptome/Anopheles_sialome/links/cluster-b/anopheline-sialome-cds-pep-larger-orf90-50SimCLU7.txt", 7)</f>
        <v>7</v>
      </c>
      <c r="CM86">
        <f>HYPERLINK("http://exon.niaid.nih.gov/transcriptome/Anopheles_sialome/links/cluster-b/anopheline-sialome-cds-pep-larger-orf90-50SimCLTL7.txt", 13)</f>
        <v>13</v>
      </c>
      <c r="CN86">
        <f>HYPERLINK("http://exon.niaid.nih.gov/transcriptome/Anopheles_sialome/links/cluster-b/anopheline-sialome-cds-pep-larger-orf95-50SimCLU51.txt", 51)</f>
        <v>51</v>
      </c>
      <c r="CO86">
        <f>HYPERLINK("http://exon.niaid.nih.gov/transcriptome/Anopheles_sialome/links/cluster-b/anopheline-sialome-cds-pep-larger-orf95-50SimCLTL51.txt", 3)</f>
        <v>3</v>
      </c>
    </row>
    <row r="87" spans="1:93">
      <c r="A87" s="2" t="str">
        <f>HYPERLINK("http://exon.niaid.nih.gov/transcriptome/Anopheles_sialome/links/cds/anocul_Sal_Maltase-cds.txt","anocul_Sal_Maltase")</f>
        <v>anocul_Sal_Maltase</v>
      </c>
      <c r="B87">
        <v>1785</v>
      </c>
      <c r="C87" t="s">
        <v>343</v>
      </c>
      <c r="D87" t="s">
        <v>7</v>
      </c>
      <c r="E87" t="s">
        <v>5</v>
      </c>
      <c r="F87" t="s">
        <v>1</v>
      </c>
      <c r="G87" t="str">
        <f>HYPERLINK("http://exon.niaid.nih.gov/transcriptome/Anopheles_sialome/links/pep/anocul_Sal_Maltase-pep.txt","anocul_Sal_Maltase")</f>
        <v>anocul_Sal_Maltase</v>
      </c>
      <c r="H87">
        <v>594</v>
      </c>
      <c r="I87">
        <v>3</v>
      </c>
      <c r="J87" s="3" t="str">
        <f>HYPERLINK("http://exon.niaid.nih.gov/transcriptome/Anopheles_sialome/links/Sigp/anocul_Sal_Maltase-SigP.txt","SIG")</f>
        <v>SIG</v>
      </c>
      <c r="K87" t="s">
        <v>652</v>
      </c>
      <c r="L87">
        <v>67.518000000000001</v>
      </c>
      <c r="M87">
        <v>5.49</v>
      </c>
      <c r="N87">
        <v>65.632000000000005</v>
      </c>
      <c r="O87">
        <v>5.38</v>
      </c>
      <c r="P87" t="s">
        <v>1572</v>
      </c>
      <c r="Q87" s="3">
        <v>0</v>
      </c>
      <c r="R87" t="s">
        <v>128</v>
      </c>
      <c r="S87" t="s">
        <v>128</v>
      </c>
      <c r="T87" t="s">
        <v>128</v>
      </c>
      <c r="U87" t="s">
        <v>128</v>
      </c>
      <c r="V87" t="s">
        <v>128</v>
      </c>
      <c r="W87" s="3" t="str">
        <f>HYPERLINK("http://exon.niaid.nih.gov/transcriptome/Anopheles_sialome/links/netoglyc/anocul_Sal_Maltase-netoglyc.txt","0")</f>
        <v>0</v>
      </c>
      <c r="X87">
        <v>11.8</v>
      </c>
      <c r="Y87">
        <v>6.6</v>
      </c>
      <c r="Z87">
        <v>5.4</v>
      </c>
      <c r="AA87" t="s">
        <v>654</v>
      </c>
      <c r="AB87" t="s">
        <v>1573</v>
      </c>
      <c r="AC87" s="2" t="str">
        <f>HYPERLINK("http://exon.niaid.nih.gov/transcriptome/Anopheles_sialome/links/DIPTERA/anocul_Sal_Maltase-DIPTERA.txt","AGAP002102-PA")</f>
        <v>AGAP002102-PA</v>
      </c>
      <c r="AD87" t="str">
        <f>HYPERLINK("http://www.ncbi.nlm.nih.gov/sutils/blink.cgi?pid=116115877","0.0")</f>
        <v>0.0</v>
      </c>
      <c r="AE87" t="str">
        <f>HYPERLINK("http://www.ncbi.nlm.nih.gov/protein/116115877","gi|116115877")</f>
        <v>gi|116115877</v>
      </c>
      <c r="AF87">
        <v>86</v>
      </c>
      <c r="AG87">
        <v>91</v>
      </c>
      <c r="AH87">
        <v>100</v>
      </c>
      <c r="AI87" t="s">
        <v>2285</v>
      </c>
      <c r="AJ87" s="2" t="str">
        <f>HYPERLINK("http://exon.niaid.nih.gov/transcriptome/Anopheles_sialome/links/CULICOMORPHA/anocul_Sal_Maltase-CULICOMORPHA.txt","AGAP002102-PA")</f>
        <v>AGAP002102-PA</v>
      </c>
      <c r="AK87" t="str">
        <f>HYPERLINK("http://www.ncbi.nlm.nih.gov/sutils/blink.cgi?pid=116115877","0.0")</f>
        <v>0.0</v>
      </c>
      <c r="AL87" t="str">
        <f>HYPERLINK("http://www.ncbi.nlm.nih.gov/protein/116115877","gi|116115877")</f>
        <v>gi|116115877</v>
      </c>
      <c r="AM87">
        <v>86</v>
      </c>
      <c r="AN87">
        <v>91</v>
      </c>
      <c r="AO87">
        <v>100</v>
      </c>
      <c r="AP87" t="s">
        <v>2285</v>
      </c>
      <c r="AQ87" s="2" t="str">
        <f>HYPERLINK("http://exon.niaid.nih.gov/transcriptome/Anopheles_sialome/links/NR-LIGHT/anocul_Sal_Maltase-NR-LIGHT.txt","AGAP002102-PA")</f>
        <v>AGAP002102-PA</v>
      </c>
      <c r="AR87" t="str">
        <f>HYPERLINK("http://www.ncbi.nlm.nih.gov/sutils/blink.cgi?pid=118793578","0.0")</f>
        <v>0.0</v>
      </c>
      <c r="AS87" t="str">
        <f>HYPERLINK("http://www.ncbi.nlm.nih.gov/protein/118793578","gi|118793578")</f>
        <v>gi|118793578</v>
      </c>
      <c r="AT87">
        <v>86</v>
      </c>
      <c r="AU87">
        <v>91</v>
      </c>
      <c r="AV87">
        <v>100</v>
      </c>
      <c r="AW87" t="s">
        <v>2285</v>
      </c>
      <c r="AX87" s="2" t="str">
        <f>HYPERLINK("http://exon.niaid.nih.gov/transcriptome/Anopheles_sialome/links/CDD/anocul_Sal_Maltase-CDD.txt","AmyAc_maltase")</f>
        <v>AmyAc_maltase</v>
      </c>
      <c r="AY87" t="str">
        <f t="shared" si="38"/>
        <v>0.0</v>
      </c>
      <c r="AZ87" t="s">
        <v>2780</v>
      </c>
      <c r="BA87" s="2" t="str">
        <f>HYPERLINK("http://exon.niaid.nih.gov/transcriptome/Anopheles_sialome/links/KOG/anocul_Sal_Maltase-KOG.txt","Alpha-amylase")</f>
        <v>Alpha-amylase</v>
      </c>
      <c r="BB87" t="str">
        <f>HYPERLINK("http://www.ncbi.nlm.nih.gov/Structure/cdd/cddsrv.cgi?uid=KOG0471","1E-135")</f>
        <v>1E-135</v>
      </c>
      <c r="BC87" t="s">
        <v>2308</v>
      </c>
      <c r="BD87" t="str">
        <f>HYPERLINK("http://exon.niaid.nih.gov/transcriptome/Anopheles_sialome/links/KOG/anocul_Sal_Maltase-KOG.txt","KOG0471")</f>
        <v>KOG0471</v>
      </c>
      <c r="BE87" t="str">
        <f>HYPERLINK("http://exon.niaid.nih.gov/transcriptome/Anopheles_sialome/links/PFAM/anocul_Sal_Maltase-PFAM.txt","Alpha-amylase")</f>
        <v>Alpha-amylase</v>
      </c>
      <c r="BF87" t="str">
        <f>HYPERLINK("http://pfam.sanger.ac.uk/family?acc=PF00128","1E-086")</f>
        <v>1E-086</v>
      </c>
      <c r="BG87" s="2" t="str">
        <f>HYPERLINK("http://exon.niaid.nih.gov/transcriptome/Anopheles_sialome/links/SMART/anocul_Sal_Maltase-SMART.txt","Aamy")</f>
        <v>Aamy</v>
      </c>
      <c r="BH87" t="str">
        <f>HYPERLINK("http://smart.embl-heidelberg.de/smart/do_annotation.pl?DOMAIN=Aamy&amp;BLAST=DUMMY","1E-038")</f>
        <v>1E-038</v>
      </c>
      <c r="BI87" t="s">
        <v>128</v>
      </c>
      <c r="BJ87" s="2" t="s">
        <v>128</v>
      </c>
      <c r="BK87" t="s">
        <v>1571</v>
      </c>
      <c r="BL87">
        <f>HYPERLINK("http://exon.niaid.nih.gov/transcriptome/Anopheles_sialome/links/cluster-b/anopheline-sialome-cds-pep-larger-orf25-50SimCLU16.txt", 16)</f>
        <v>16</v>
      </c>
      <c r="BM87">
        <f>HYPERLINK("http://exon.niaid.nih.gov/transcriptome/Anopheles_sialome/links/cluster-b/anopheline-sialome-cds-pep-larger-orf25-50SimCLTL16.txt", 17)</f>
        <v>17</v>
      </c>
      <c r="BN87">
        <f>HYPERLINK("http://exon.niaid.nih.gov/transcriptome/Anopheles_sialome/links/cluster-b/anopheline-sialome-cds-pep-larger-orf30-50SimCLU16.txt", 16)</f>
        <v>16</v>
      </c>
      <c r="BO87">
        <f>HYPERLINK("http://exon.niaid.nih.gov/transcriptome/Anopheles_sialome/links/cluster-b/anopheline-sialome-cds-pep-larger-orf30-50SimCLTL16.txt", 17)</f>
        <v>17</v>
      </c>
      <c r="BP87">
        <f>HYPERLINK("http://exon.niaid.nih.gov/transcriptome/Anopheles_sialome/links/cluster-b/anopheline-sialome-cds-pep-larger-orf35-50SimCLU18.txt", 18)</f>
        <v>18</v>
      </c>
      <c r="BQ87">
        <f>HYPERLINK("http://exon.niaid.nih.gov/transcriptome/Anopheles_sialome/links/cluster-b/anopheline-sialome-cds-pep-larger-orf35-50SimCLTL18.txt", 17)</f>
        <v>17</v>
      </c>
      <c r="BR87">
        <f>HYPERLINK("http://exon.niaid.nih.gov/transcriptome/Anopheles_sialome/links/cluster-b/anopheline-sialome-cds-pep-larger-orf40-50SimCLU22.txt", 22)</f>
        <v>22</v>
      </c>
      <c r="BS87">
        <f>HYPERLINK("http://exon.niaid.nih.gov/transcriptome/Anopheles_sialome/links/cluster-b/anopheline-sialome-cds-pep-larger-orf40-50SimCLTL22.txt", 17)</f>
        <v>17</v>
      </c>
      <c r="BT87">
        <f>HYPERLINK("http://exon.niaid.nih.gov/transcriptome/Anopheles_sialome/links/cluster-b/anopheline-sialome-cds-pep-larger-orf45-50SimCLU26.txt", 26)</f>
        <v>26</v>
      </c>
      <c r="BU87">
        <f>HYPERLINK("http://exon.niaid.nih.gov/transcriptome/Anopheles_sialome/links/cluster-b/anopheline-sialome-cds-pep-larger-orf45-50SimCLTL26.txt", 17)</f>
        <v>17</v>
      </c>
      <c r="BV87">
        <f>HYPERLINK("http://exon.niaid.nih.gov/transcriptome/Anopheles_sialome/links/cluster-b/anopheline-sialome-cds-pep-larger-orf50-50SimCLU25.txt", 25)</f>
        <v>25</v>
      </c>
      <c r="BW87">
        <f>HYPERLINK("http://exon.niaid.nih.gov/transcriptome/Anopheles_sialome/links/cluster-b/anopheline-sialome-cds-pep-larger-orf50-50SimCLTL25.txt", 17)</f>
        <v>17</v>
      </c>
      <c r="BX87">
        <f>HYPERLINK("http://exon.niaid.nih.gov/transcriptome/Anopheles_sialome/links/cluster-b/anopheline-sialome-cds-pep-larger-orf55-50SimCLU25.txt", 25)</f>
        <v>25</v>
      </c>
      <c r="BY87">
        <f>HYPERLINK("http://exon.niaid.nih.gov/transcriptome/Anopheles_sialome/links/cluster-b/anopheline-sialome-cds-pep-larger-orf55-50SimCLTL25.txt", 17)</f>
        <v>17</v>
      </c>
      <c r="BZ87">
        <f>HYPERLINK("http://exon.niaid.nih.gov/transcriptome/Anopheles_sialome/links/cluster-b/anopheline-sialome-cds-pep-larger-orf60-50SimCLU21.txt", 21)</f>
        <v>21</v>
      </c>
      <c r="CA87">
        <f>HYPERLINK("http://exon.niaid.nih.gov/transcriptome/Anopheles_sialome/links/cluster-b/anopheline-sialome-cds-pep-larger-orf60-50SimCLTL21.txt", 17)</f>
        <v>17</v>
      </c>
      <c r="CB87">
        <f>HYPERLINK("http://exon.niaid.nih.gov/transcriptome/Anopheles_sialome/links/cluster-b/anopheline-sialome-cds-pep-larger-orf65-50SimCLU19.txt", 19)</f>
        <v>19</v>
      </c>
      <c r="CC87">
        <f>HYPERLINK("http://exon.niaid.nih.gov/transcriptome/Anopheles_sialome/links/cluster-b/anopheline-sialome-cds-pep-larger-orf65-50SimCLTL19.txt", 17)</f>
        <v>17</v>
      </c>
      <c r="CD87">
        <f>HYPERLINK("http://exon.niaid.nih.gov/transcriptome/Anopheles_sialome/links/cluster-b/anopheline-sialome-cds-pep-larger-orf70-50SimCLU20.txt", 20)</f>
        <v>20</v>
      </c>
      <c r="CE87">
        <f>HYPERLINK("http://exon.niaid.nih.gov/transcriptome/Anopheles_sialome/links/cluster-b/anopheline-sialome-cds-pep-larger-orf70-50SimCLTL20.txt", 17)</f>
        <v>17</v>
      </c>
      <c r="CF87">
        <f>HYPERLINK("http://exon.niaid.nih.gov/transcriptome/Anopheles_sialome/links/cluster-b/anopheline-sialome-cds-pep-larger-orf75-50SimCLU13.txt", 13)</f>
        <v>13</v>
      </c>
      <c r="CG87">
        <f>HYPERLINK("http://exon.niaid.nih.gov/transcriptome/Anopheles_sialome/links/cluster-b/anopheline-sialome-cds-pep-larger-orf75-50SimCLTL13.txt", 17)</f>
        <v>17</v>
      </c>
      <c r="CH87">
        <f>HYPERLINK("http://exon.niaid.nih.gov/transcriptome/Anopheles_sialome/links/cluster-b/anopheline-sialome-cds-pep-larger-orf80-50SimCLU10.txt", 10)</f>
        <v>10</v>
      </c>
      <c r="CI87">
        <f>HYPERLINK("http://exon.niaid.nih.gov/transcriptome/Anopheles_sialome/links/cluster-b/anopheline-sialome-cds-pep-larger-orf80-50SimCLTL10.txt", 17)</f>
        <v>17</v>
      </c>
      <c r="CJ87">
        <f>HYPERLINK("http://exon.niaid.nih.gov/transcriptome/Anopheles_sialome/links/cluster-b/anopheline-sialome-cds-pep-larger-orf85-50SimCLU5.txt", 5)</f>
        <v>5</v>
      </c>
      <c r="CK87">
        <f>HYPERLINK("http://exon.niaid.nih.gov/transcriptome/Anopheles_sialome/links/cluster-b/anopheline-sialome-cds-pep-larger-orf85-50SimCLTL5.txt", 17)</f>
        <v>17</v>
      </c>
      <c r="CL87">
        <f>HYPERLINK("http://exon.niaid.nih.gov/transcriptome/Anopheles_sialome/links/cluster-b/anopheline-sialome-cds-pep-larger-orf90-50SimCLU7.txt", 7)</f>
        <v>7</v>
      </c>
      <c r="CM87">
        <f>HYPERLINK("http://exon.niaid.nih.gov/transcriptome/Anopheles_sialome/links/cluster-b/anopheline-sialome-cds-pep-larger-orf90-50SimCLTL7.txt", 13)</f>
        <v>13</v>
      </c>
      <c r="CN87">
        <f>HYPERLINK("http://exon.niaid.nih.gov/transcriptome/Anopheles_sialome/links/cluster-b/anopheline-sialome-cds-pep-larger-orf95-50SimCLU51.txt", 51)</f>
        <v>51</v>
      </c>
      <c r="CO87">
        <f>HYPERLINK("http://exon.niaid.nih.gov/transcriptome/Anopheles_sialome/links/cluster-b/anopheline-sialome-cds-pep-larger-orf95-50SimCLTL51.txt", 3)</f>
        <v>3</v>
      </c>
    </row>
    <row r="88" spans="1:93">
      <c r="A88" s="2" t="str">
        <f>HYPERLINK("http://exon.niaid.nih.gov/transcriptome/Anopheles_sialome/links/cds/anoste_Sal_Maltase-cds.txt","anoste_Sal_Maltase")</f>
        <v>anoste_Sal_Maltase</v>
      </c>
      <c r="B88">
        <v>1797</v>
      </c>
      <c r="C88" t="s">
        <v>344</v>
      </c>
      <c r="D88" t="s">
        <v>7</v>
      </c>
      <c r="E88" t="s">
        <v>5</v>
      </c>
      <c r="F88" t="s">
        <v>1</v>
      </c>
      <c r="G88" t="str">
        <f>HYPERLINK("http://exon.niaid.nih.gov/transcriptome/Anopheles_sialome/links/pep/anoste_Sal_Maltase-pep.txt","anoste_Sal_Maltase")</f>
        <v>anoste_Sal_Maltase</v>
      </c>
      <c r="H88">
        <v>598</v>
      </c>
      <c r="I88">
        <v>5</v>
      </c>
      <c r="J88" s="3" t="str">
        <f>HYPERLINK("http://exon.niaid.nih.gov/transcriptome/Anopheles_sialome/links/Sigp/anoste_Sal_Maltase-SigP.txt","SIG")</f>
        <v>SIG</v>
      </c>
      <c r="K88" t="s">
        <v>652</v>
      </c>
      <c r="L88">
        <v>67.915999999999997</v>
      </c>
      <c r="M88">
        <v>5.27</v>
      </c>
      <c r="N88">
        <v>65.965999999999994</v>
      </c>
      <c r="O88">
        <v>5.23</v>
      </c>
      <c r="P88" t="s">
        <v>1041</v>
      </c>
      <c r="Q88" s="3">
        <v>0</v>
      </c>
      <c r="R88" t="s">
        <v>128</v>
      </c>
      <c r="S88" t="s">
        <v>128</v>
      </c>
      <c r="T88" t="s">
        <v>128</v>
      </c>
      <c r="U88" t="s">
        <v>128</v>
      </c>
      <c r="V88" t="s">
        <v>128</v>
      </c>
      <c r="W88" s="3" t="str">
        <f>HYPERLINK("http://exon.niaid.nih.gov/transcriptome/Anopheles_sialome/links/netoglyc/anoste_Sal_Maltase-netoglyc.txt","0")</f>
        <v>0</v>
      </c>
      <c r="X88">
        <v>11.2</v>
      </c>
      <c r="Y88">
        <v>6.7</v>
      </c>
      <c r="Z88">
        <v>6.5</v>
      </c>
      <c r="AA88" t="s">
        <v>654</v>
      </c>
      <c r="AB88" t="s">
        <v>1575</v>
      </c>
      <c r="AC88" s="2" t="str">
        <f>HYPERLINK("http://exon.niaid.nih.gov/transcriptome/Anopheles_sialome/links/DIPTERA/anoste_Sal_Maltase-DIPTERA.txt","AGAP002102-PA")</f>
        <v>AGAP002102-PA</v>
      </c>
      <c r="AD88" t="str">
        <f>HYPERLINK("http://www.ncbi.nlm.nih.gov/sutils/blink.cgi?pid=116115877","0.0")</f>
        <v>0.0</v>
      </c>
      <c r="AE88" t="str">
        <f>HYPERLINK("http://www.ncbi.nlm.nih.gov/protein/116115877","gi|116115877")</f>
        <v>gi|116115877</v>
      </c>
      <c r="AF88">
        <v>85</v>
      </c>
      <c r="AG88">
        <v>91</v>
      </c>
      <c r="AH88">
        <v>100</v>
      </c>
      <c r="AI88" t="s">
        <v>2285</v>
      </c>
      <c r="AJ88" s="2" t="str">
        <f>HYPERLINK("http://exon.niaid.nih.gov/transcriptome/Anopheles_sialome/links/CULICOMORPHA/anoste_Sal_Maltase-CULICOMORPHA.txt","AGAP002102-PA")</f>
        <v>AGAP002102-PA</v>
      </c>
      <c r="AK88" t="str">
        <f>HYPERLINK("http://www.ncbi.nlm.nih.gov/sutils/blink.cgi?pid=116115877","0.0")</f>
        <v>0.0</v>
      </c>
      <c r="AL88" t="str">
        <f>HYPERLINK("http://www.ncbi.nlm.nih.gov/protein/116115877","gi|116115877")</f>
        <v>gi|116115877</v>
      </c>
      <c r="AM88">
        <v>85</v>
      </c>
      <c r="AN88">
        <v>91</v>
      </c>
      <c r="AO88">
        <v>100</v>
      </c>
      <c r="AP88" t="s">
        <v>2285</v>
      </c>
      <c r="AQ88" s="2" t="str">
        <f>HYPERLINK("http://exon.niaid.nih.gov/transcriptome/Anopheles_sialome/links/NR-LIGHT/anoste_Sal_Maltase-NR-LIGHT.txt","AGAP002102-PA")</f>
        <v>AGAP002102-PA</v>
      </c>
      <c r="AR88" t="str">
        <f>HYPERLINK("http://www.ncbi.nlm.nih.gov/sutils/blink.cgi?pid=118793578","0.0")</f>
        <v>0.0</v>
      </c>
      <c r="AS88" t="str">
        <f>HYPERLINK("http://www.ncbi.nlm.nih.gov/protein/118793578","gi|118793578")</f>
        <v>gi|118793578</v>
      </c>
      <c r="AT88">
        <v>85</v>
      </c>
      <c r="AU88">
        <v>91</v>
      </c>
      <c r="AV88">
        <v>100</v>
      </c>
      <c r="AW88" t="s">
        <v>2285</v>
      </c>
      <c r="AX88" s="2" t="str">
        <f>HYPERLINK("http://exon.niaid.nih.gov/transcriptome/Anopheles_sialome/links/CDD/anoste_Sal_Maltase-CDD.txt","AmyAc_maltase")</f>
        <v>AmyAc_maltase</v>
      </c>
      <c r="AY88" t="str">
        <f t="shared" si="38"/>
        <v>0.0</v>
      </c>
      <c r="AZ88" t="s">
        <v>2781</v>
      </c>
      <c r="BA88" s="2" t="str">
        <f>HYPERLINK("http://exon.niaid.nih.gov/transcriptome/Anopheles_sialome/links/KOG/anoste_Sal_Maltase-KOG.txt","Alpha-amylase")</f>
        <v>Alpha-amylase</v>
      </c>
      <c r="BB88" t="str">
        <f>HYPERLINK("http://www.ncbi.nlm.nih.gov/Structure/cdd/cddsrv.cgi?uid=KOG0471","1E-133")</f>
        <v>1E-133</v>
      </c>
      <c r="BC88" t="s">
        <v>2308</v>
      </c>
      <c r="BD88" t="str">
        <f>HYPERLINK("http://exon.niaid.nih.gov/transcriptome/Anopheles_sialome/links/KOG/anoste_Sal_Maltase-KOG.txt","KOG0471")</f>
        <v>KOG0471</v>
      </c>
      <c r="BE88" t="str">
        <f>HYPERLINK("http://exon.niaid.nih.gov/transcriptome/Anopheles_sialome/links/PFAM/anoste_Sal_Maltase-PFAM.txt","Alpha-amylase")</f>
        <v>Alpha-amylase</v>
      </c>
      <c r="BF88" t="str">
        <f>HYPERLINK("http://pfam.sanger.ac.uk/family?acc=PF00128","4E-084")</f>
        <v>4E-084</v>
      </c>
      <c r="BG88" s="2" t="str">
        <f>HYPERLINK("http://exon.niaid.nih.gov/transcriptome/Anopheles_sialome/links/SMART/anoste_Sal_Maltase-SMART.txt","Aamy")</f>
        <v>Aamy</v>
      </c>
      <c r="BH88" t="str">
        <f>HYPERLINK("http://smart.embl-heidelberg.de/smart/do_annotation.pl?DOMAIN=Aamy&amp;BLAST=DUMMY","9E-038")</f>
        <v>9E-038</v>
      </c>
      <c r="BI88" t="s">
        <v>128</v>
      </c>
      <c r="BJ88" s="2" t="s">
        <v>128</v>
      </c>
      <c r="BK88" t="s">
        <v>1574</v>
      </c>
      <c r="BL88">
        <f>HYPERLINK("http://exon.niaid.nih.gov/transcriptome/Anopheles_sialome/links/cluster-b/anopheline-sialome-cds-pep-larger-orf25-50SimCLU16.txt", 16)</f>
        <v>16</v>
      </c>
      <c r="BM88">
        <f>HYPERLINK("http://exon.niaid.nih.gov/transcriptome/Anopheles_sialome/links/cluster-b/anopheline-sialome-cds-pep-larger-orf25-50SimCLTL16.txt", 17)</f>
        <v>17</v>
      </c>
      <c r="BN88">
        <f>HYPERLINK("http://exon.niaid.nih.gov/transcriptome/Anopheles_sialome/links/cluster-b/anopheline-sialome-cds-pep-larger-orf30-50SimCLU16.txt", 16)</f>
        <v>16</v>
      </c>
      <c r="BO88">
        <f>HYPERLINK("http://exon.niaid.nih.gov/transcriptome/Anopheles_sialome/links/cluster-b/anopheline-sialome-cds-pep-larger-orf30-50SimCLTL16.txt", 17)</f>
        <v>17</v>
      </c>
      <c r="BP88">
        <f>HYPERLINK("http://exon.niaid.nih.gov/transcriptome/Anopheles_sialome/links/cluster-b/anopheline-sialome-cds-pep-larger-orf35-50SimCLU18.txt", 18)</f>
        <v>18</v>
      </c>
      <c r="BQ88">
        <f>HYPERLINK("http://exon.niaid.nih.gov/transcriptome/Anopheles_sialome/links/cluster-b/anopheline-sialome-cds-pep-larger-orf35-50SimCLTL18.txt", 17)</f>
        <v>17</v>
      </c>
      <c r="BR88">
        <f>HYPERLINK("http://exon.niaid.nih.gov/transcriptome/Anopheles_sialome/links/cluster-b/anopheline-sialome-cds-pep-larger-orf40-50SimCLU22.txt", 22)</f>
        <v>22</v>
      </c>
      <c r="BS88">
        <f>HYPERLINK("http://exon.niaid.nih.gov/transcriptome/Anopheles_sialome/links/cluster-b/anopheline-sialome-cds-pep-larger-orf40-50SimCLTL22.txt", 17)</f>
        <v>17</v>
      </c>
      <c r="BT88">
        <f>HYPERLINK("http://exon.niaid.nih.gov/transcriptome/Anopheles_sialome/links/cluster-b/anopheline-sialome-cds-pep-larger-orf45-50SimCLU26.txt", 26)</f>
        <v>26</v>
      </c>
      <c r="BU88">
        <f>HYPERLINK("http://exon.niaid.nih.gov/transcriptome/Anopheles_sialome/links/cluster-b/anopheline-sialome-cds-pep-larger-orf45-50SimCLTL26.txt", 17)</f>
        <v>17</v>
      </c>
      <c r="BV88">
        <f>HYPERLINK("http://exon.niaid.nih.gov/transcriptome/Anopheles_sialome/links/cluster-b/anopheline-sialome-cds-pep-larger-orf50-50SimCLU25.txt", 25)</f>
        <v>25</v>
      </c>
      <c r="BW88">
        <f>HYPERLINK("http://exon.niaid.nih.gov/transcriptome/Anopheles_sialome/links/cluster-b/anopheline-sialome-cds-pep-larger-orf50-50SimCLTL25.txt", 17)</f>
        <v>17</v>
      </c>
      <c r="BX88">
        <f>HYPERLINK("http://exon.niaid.nih.gov/transcriptome/Anopheles_sialome/links/cluster-b/anopheline-sialome-cds-pep-larger-orf55-50SimCLU25.txt", 25)</f>
        <v>25</v>
      </c>
      <c r="BY88">
        <f>HYPERLINK("http://exon.niaid.nih.gov/transcriptome/Anopheles_sialome/links/cluster-b/anopheline-sialome-cds-pep-larger-orf55-50SimCLTL25.txt", 17)</f>
        <v>17</v>
      </c>
      <c r="BZ88">
        <f>HYPERLINK("http://exon.niaid.nih.gov/transcriptome/Anopheles_sialome/links/cluster-b/anopheline-sialome-cds-pep-larger-orf60-50SimCLU21.txt", 21)</f>
        <v>21</v>
      </c>
      <c r="CA88">
        <f>HYPERLINK("http://exon.niaid.nih.gov/transcriptome/Anopheles_sialome/links/cluster-b/anopheline-sialome-cds-pep-larger-orf60-50SimCLTL21.txt", 17)</f>
        <v>17</v>
      </c>
      <c r="CB88">
        <f>HYPERLINK("http://exon.niaid.nih.gov/transcriptome/Anopheles_sialome/links/cluster-b/anopheline-sialome-cds-pep-larger-orf65-50SimCLU19.txt", 19)</f>
        <v>19</v>
      </c>
      <c r="CC88">
        <f>HYPERLINK("http://exon.niaid.nih.gov/transcriptome/Anopheles_sialome/links/cluster-b/anopheline-sialome-cds-pep-larger-orf65-50SimCLTL19.txt", 17)</f>
        <v>17</v>
      </c>
      <c r="CD88">
        <f>HYPERLINK("http://exon.niaid.nih.gov/transcriptome/Anopheles_sialome/links/cluster-b/anopheline-sialome-cds-pep-larger-orf70-50SimCLU20.txt", 20)</f>
        <v>20</v>
      </c>
      <c r="CE88">
        <f>HYPERLINK("http://exon.niaid.nih.gov/transcriptome/Anopheles_sialome/links/cluster-b/anopheline-sialome-cds-pep-larger-orf70-50SimCLTL20.txt", 17)</f>
        <v>17</v>
      </c>
      <c r="CF88">
        <f>HYPERLINK("http://exon.niaid.nih.gov/transcriptome/Anopheles_sialome/links/cluster-b/anopheline-sialome-cds-pep-larger-orf75-50SimCLU13.txt", 13)</f>
        <v>13</v>
      </c>
      <c r="CG88">
        <f>HYPERLINK("http://exon.niaid.nih.gov/transcriptome/Anopheles_sialome/links/cluster-b/anopheline-sialome-cds-pep-larger-orf75-50SimCLTL13.txt", 17)</f>
        <v>17</v>
      </c>
      <c r="CH88">
        <f>HYPERLINK("http://exon.niaid.nih.gov/transcriptome/Anopheles_sialome/links/cluster-b/anopheline-sialome-cds-pep-larger-orf80-50SimCLU10.txt", 10)</f>
        <v>10</v>
      </c>
      <c r="CI88">
        <f>HYPERLINK("http://exon.niaid.nih.gov/transcriptome/Anopheles_sialome/links/cluster-b/anopheline-sialome-cds-pep-larger-orf80-50SimCLTL10.txt", 17)</f>
        <v>17</v>
      </c>
      <c r="CJ88">
        <f>HYPERLINK("http://exon.niaid.nih.gov/transcriptome/Anopheles_sialome/links/cluster-b/anopheline-sialome-cds-pep-larger-orf85-50SimCLU5.txt", 5)</f>
        <v>5</v>
      </c>
      <c r="CK88">
        <f>HYPERLINK("http://exon.niaid.nih.gov/transcriptome/Anopheles_sialome/links/cluster-b/anopheline-sialome-cds-pep-larger-orf85-50SimCLTL5.txt", 17)</f>
        <v>17</v>
      </c>
      <c r="CL88">
        <f>HYPERLINK("http://exon.niaid.nih.gov/transcriptome/Anopheles_sialome/links/cluster-b/anopheline-sialome-cds-pep-larger-orf90-50SimCLU7.txt", 7)</f>
        <v>7</v>
      </c>
      <c r="CM88">
        <f>HYPERLINK("http://exon.niaid.nih.gov/transcriptome/Anopheles_sialome/links/cluster-b/anopheline-sialome-cds-pep-larger-orf90-50SimCLTL7.txt", 13)</f>
        <v>13</v>
      </c>
      <c r="CN88">
        <v>341</v>
      </c>
      <c r="CO88">
        <v>1</v>
      </c>
    </row>
    <row r="89" spans="1:93">
      <c r="A89" s="2" t="str">
        <f>HYPERLINK("http://exon.niaid.nih.gov/transcriptome/Anopheles_sialome/links/cds/anofar_Sal_Maltase-cds.txt","anofar_Sal_Maltase")</f>
        <v>anofar_Sal_Maltase</v>
      </c>
      <c r="B89">
        <v>1782</v>
      </c>
      <c r="C89" t="s">
        <v>345</v>
      </c>
      <c r="D89" t="s">
        <v>4</v>
      </c>
      <c r="E89" t="s">
        <v>5</v>
      </c>
      <c r="F89" t="s">
        <v>1</v>
      </c>
      <c r="G89" t="str">
        <f>HYPERLINK("http://exon.niaid.nih.gov/transcriptome/Anopheles_sialome/links/pep/anofar_Sal_Maltase-pep.txt","anofar_Sal_Maltase")</f>
        <v>anofar_Sal_Maltase</v>
      </c>
      <c r="H89">
        <v>593</v>
      </c>
      <c r="I89">
        <v>4</v>
      </c>
      <c r="J89" s="3" t="str">
        <f>HYPERLINK("http://exon.niaid.nih.gov/transcriptome/Anopheles_sialome/links/Sigp/anofar_Sal_Maltase-SigP.txt","SIG")</f>
        <v>SIG</v>
      </c>
      <c r="K89" t="s">
        <v>652</v>
      </c>
      <c r="L89">
        <v>67.287000000000006</v>
      </c>
      <c r="M89">
        <v>5.27</v>
      </c>
      <c r="N89">
        <v>65.334000000000003</v>
      </c>
      <c r="O89">
        <v>5.21</v>
      </c>
      <c r="P89" t="s">
        <v>1577</v>
      </c>
      <c r="Q89" s="3">
        <v>0</v>
      </c>
      <c r="R89" t="s">
        <v>128</v>
      </c>
      <c r="S89" t="s">
        <v>128</v>
      </c>
      <c r="T89" t="s">
        <v>128</v>
      </c>
      <c r="U89" t="s">
        <v>128</v>
      </c>
      <c r="V89" t="s">
        <v>128</v>
      </c>
      <c r="W89" s="3" t="str">
        <f>HYPERLINK("http://exon.niaid.nih.gov/transcriptome/Anopheles_sialome/links/netoglyc/anofar_Sal_Maltase-netoglyc.txt","0")</f>
        <v>0</v>
      </c>
      <c r="X89">
        <v>11.5</v>
      </c>
      <c r="Y89">
        <v>6.6</v>
      </c>
      <c r="Z89">
        <v>5.2</v>
      </c>
      <c r="AA89" t="s">
        <v>654</v>
      </c>
      <c r="AB89" t="s">
        <v>1578</v>
      </c>
      <c r="AC89" s="2" t="str">
        <f>HYPERLINK("http://exon.niaid.nih.gov/transcriptome/Anopheles_sialome/links/DIPTERA/anofar_Sal_Maltase-DIPTERA.txt","AGAP002102-PA")</f>
        <v>AGAP002102-PA</v>
      </c>
      <c r="AD89" t="str">
        <f t="shared" ref="AD89:AD90" si="51">HYPERLINK("http://www.ncbi.nlm.nih.gov/sutils/blink.cgi?pid=116115877","0.0")</f>
        <v>0.0</v>
      </c>
      <c r="AE89" t="str">
        <f t="shared" ref="AE89:AE90" si="52">HYPERLINK("http://www.ncbi.nlm.nih.gov/protein/116115877","gi|116115877")</f>
        <v>gi|116115877</v>
      </c>
      <c r="AF89">
        <v>82</v>
      </c>
      <c r="AG89">
        <v>89</v>
      </c>
      <c r="AH89">
        <v>100</v>
      </c>
      <c r="AI89" t="s">
        <v>2285</v>
      </c>
      <c r="AJ89" s="2" t="str">
        <f>HYPERLINK("http://exon.niaid.nih.gov/transcriptome/Anopheles_sialome/links/CULICOMORPHA/anofar_Sal_Maltase-CULICOMORPHA.txt","AGAP002102-PA")</f>
        <v>AGAP002102-PA</v>
      </c>
      <c r="AK89" t="str">
        <f t="shared" ref="AK89:AK90" si="53">HYPERLINK("http://www.ncbi.nlm.nih.gov/sutils/blink.cgi?pid=116115877","0.0")</f>
        <v>0.0</v>
      </c>
      <c r="AL89" t="str">
        <f t="shared" ref="AL89:AL90" si="54">HYPERLINK("http://www.ncbi.nlm.nih.gov/protein/116115877","gi|116115877")</f>
        <v>gi|116115877</v>
      </c>
      <c r="AM89">
        <v>82</v>
      </c>
      <c r="AN89">
        <v>89</v>
      </c>
      <c r="AO89">
        <v>100</v>
      </c>
      <c r="AP89" t="s">
        <v>2285</v>
      </c>
      <c r="AQ89" s="2" t="str">
        <f>HYPERLINK("http://exon.niaid.nih.gov/transcriptome/Anopheles_sialome/links/NR-LIGHT/anofar_Sal_Maltase-NR-LIGHT.txt","AGAP002102-PA")</f>
        <v>AGAP002102-PA</v>
      </c>
      <c r="AR89" t="str">
        <f t="shared" ref="AR89:AR90" si="55">HYPERLINK("http://www.ncbi.nlm.nih.gov/sutils/blink.cgi?pid=118793578","0.0")</f>
        <v>0.0</v>
      </c>
      <c r="AS89" t="str">
        <f t="shared" ref="AS89:AS90" si="56">HYPERLINK("http://www.ncbi.nlm.nih.gov/protein/118793578","gi|118793578")</f>
        <v>gi|118793578</v>
      </c>
      <c r="AT89">
        <v>82</v>
      </c>
      <c r="AU89">
        <v>89</v>
      </c>
      <c r="AV89">
        <v>100</v>
      </c>
      <c r="AW89" t="s">
        <v>2285</v>
      </c>
      <c r="AX89" s="2" t="str">
        <f>HYPERLINK("http://exon.niaid.nih.gov/transcriptome/Anopheles_sialome/links/CDD/anofar_Sal_Maltase-CDD.txt","AmyAc_maltase")</f>
        <v>AmyAc_maltase</v>
      </c>
      <c r="AY89" t="str">
        <f t="shared" si="38"/>
        <v>0.0</v>
      </c>
      <c r="AZ89" t="s">
        <v>2782</v>
      </c>
      <c r="BA89" s="2" t="str">
        <f>HYPERLINK("http://exon.niaid.nih.gov/transcriptome/Anopheles_sialome/links/KOG/anofar_Sal_Maltase-KOG.txt","Alpha-amylase")</f>
        <v>Alpha-amylase</v>
      </c>
      <c r="BB89" t="str">
        <f>HYPERLINK("http://www.ncbi.nlm.nih.gov/Structure/cdd/cddsrv.cgi?uid=KOG0471","1E-132")</f>
        <v>1E-132</v>
      </c>
      <c r="BC89" t="s">
        <v>2308</v>
      </c>
      <c r="BD89" t="str">
        <f>HYPERLINK("http://exon.niaid.nih.gov/transcriptome/Anopheles_sialome/links/KOG/anofar_Sal_Maltase-KOG.txt","KOG0471")</f>
        <v>KOG0471</v>
      </c>
      <c r="BE89" t="str">
        <f>HYPERLINK("http://exon.niaid.nih.gov/transcriptome/Anopheles_sialome/links/PFAM/anofar_Sal_Maltase-PFAM.txt","Alpha-amylase")</f>
        <v>Alpha-amylase</v>
      </c>
      <c r="BF89" t="str">
        <f>HYPERLINK("http://pfam.sanger.ac.uk/family?acc=PF00128","1E-083")</f>
        <v>1E-083</v>
      </c>
      <c r="BG89" s="2" t="str">
        <f>HYPERLINK("http://exon.niaid.nih.gov/transcriptome/Anopheles_sialome/links/SMART/anofar_Sal_Maltase-SMART.txt","Aamy")</f>
        <v>Aamy</v>
      </c>
      <c r="BH89" t="str">
        <f>HYPERLINK("http://smart.embl-heidelberg.de/smart/do_annotation.pl?DOMAIN=Aamy&amp;BLAST=DUMMY","8E-038")</f>
        <v>8E-038</v>
      </c>
      <c r="BI89" t="s">
        <v>128</v>
      </c>
      <c r="BJ89" s="2" t="s">
        <v>128</v>
      </c>
      <c r="BK89" t="s">
        <v>1576</v>
      </c>
      <c r="BL89">
        <f>HYPERLINK("http://exon.niaid.nih.gov/transcriptome/Anopheles_sialome/links/cluster-b/anopheline-sialome-cds-pep-larger-orf25-50SimCLU16.txt", 16)</f>
        <v>16</v>
      </c>
      <c r="BM89">
        <f>HYPERLINK("http://exon.niaid.nih.gov/transcriptome/Anopheles_sialome/links/cluster-b/anopheline-sialome-cds-pep-larger-orf25-50SimCLTL16.txt", 17)</f>
        <v>17</v>
      </c>
      <c r="BN89">
        <f>HYPERLINK("http://exon.niaid.nih.gov/transcriptome/Anopheles_sialome/links/cluster-b/anopheline-sialome-cds-pep-larger-orf30-50SimCLU16.txt", 16)</f>
        <v>16</v>
      </c>
      <c r="BO89">
        <f>HYPERLINK("http://exon.niaid.nih.gov/transcriptome/Anopheles_sialome/links/cluster-b/anopheline-sialome-cds-pep-larger-orf30-50SimCLTL16.txt", 17)</f>
        <v>17</v>
      </c>
      <c r="BP89">
        <f>HYPERLINK("http://exon.niaid.nih.gov/transcriptome/Anopheles_sialome/links/cluster-b/anopheline-sialome-cds-pep-larger-orf35-50SimCLU18.txt", 18)</f>
        <v>18</v>
      </c>
      <c r="BQ89">
        <f>HYPERLINK("http://exon.niaid.nih.gov/transcriptome/Anopheles_sialome/links/cluster-b/anopheline-sialome-cds-pep-larger-orf35-50SimCLTL18.txt", 17)</f>
        <v>17</v>
      </c>
      <c r="BR89">
        <f>HYPERLINK("http://exon.niaid.nih.gov/transcriptome/Anopheles_sialome/links/cluster-b/anopheline-sialome-cds-pep-larger-orf40-50SimCLU22.txt", 22)</f>
        <v>22</v>
      </c>
      <c r="BS89">
        <f>HYPERLINK("http://exon.niaid.nih.gov/transcriptome/Anopheles_sialome/links/cluster-b/anopheline-sialome-cds-pep-larger-orf40-50SimCLTL22.txt", 17)</f>
        <v>17</v>
      </c>
      <c r="BT89">
        <f>HYPERLINK("http://exon.niaid.nih.gov/transcriptome/Anopheles_sialome/links/cluster-b/anopheline-sialome-cds-pep-larger-orf45-50SimCLU26.txt", 26)</f>
        <v>26</v>
      </c>
      <c r="BU89">
        <f>HYPERLINK("http://exon.niaid.nih.gov/transcriptome/Anopheles_sialome/links/cluster-b/anopheline-sialome-cds-pep-larger-orf45-50SimCLTL26.txt", 17)</f>
        <v>17</v>
      </c>
      <c r="BV89">
        <f>HYPERLINK("http://exon.niaid.nih.gov/transcriptome/Anopheles_sialome/links/cluster-b/anopheline-sialome-cds-pep-larger-orf50-50SimCLU25.txt", 25)</f>
        <v>25</v>
      </c>
      <c r="BW89">
        <f>HYPERLINK("http://exon.niaid.nih.gov/transcriptome/Anopheles_sialome/links/cluster-b/anopheline-sialome-cds-pep-larger-orf50-50SimCLTL25.txt", 17)</f>
        <v>17</v>
      </c>
      <c r="BX89">
        <f>HYPERLINK("http://exon.niaid.nih.gov/transcriptome/Anopheles_sialome/links/cluster-b/anopheline-sialome-cds-pep-larger-orf55-50SimCLU25.txt", 25)</f>
        <v>25</v>
      </c>
      <c r="BY89">
        <f>HYPERLINK("http://exon.niaid.nih.gov/transcriptome/Anopheles_sialome/links/cluster-b/anopheline-sialome-cds-pep-larger-orf55-50SimCLTL25.txt", 17)</f>
        <v>17</v>
      </c>
      <c r="BZ89">
        <f>HYPERLINK("http://exon.niaid.nih.gov/transcriptome/Anopheles_sialome/links/cluster-b/anopheline-sialome-cds-pep-larger-orf60-50SimCLU21.txt", 21)</f>
        <v>21</v>
      </c>
      <c r="CA89">
        <f>HYPERLINK("http://exon.niaid.nih.gov/transcriptome/Anopheles_sialome/links/cluster-b/anopheline-sialome-cds-pep-larger-orf60-50SimCLTL21.txt", 17)</f>
        <v>17</v>
      </c>
      <c r="CB89">
        <f>HYPERLINK("http://exon.niaid.nih.gov/transcriptome/Anopheles_sialome/links/cluster-b/anopheline-sialome-cds-pep-larger-orf65-50SimCLU19.txt", 19)</f>
        <v>19</v>
      </c>
      <c r="CC89">
        <f>HYPERLINK("http://exon.niaid.nih.gov/transcriptome/Anopheles_sialome/links/cluster-b/anopheline-sialome-cds-pep-larger-orf65-50SimCLTL19.txt", 17)</f>
        <v>17</v>
      </c>
      <c r="CD89">
        <f>HYPERLINK("http://exon.niaid.nih.gov/transcriptome/Anopheles_sialome/links/cluster-b/anopheline-sialome-cds-pep-larger-orf70-50SimCLU20.txt", 20)</f>
        <v>20</v>
      </c>
      <c r="CE89">
        <f>HYPERLINK("http://exon.niaid.nih.gov/transcriptome/Anopheles_sialome/links/cluster-b/anopheline-sialome-cds-pep-larger-orf70-50SimCLTL20.txt", 17)</f>
        <v>17</v>
      </c>
      <c r="CF89">
        <f>HYPERLINK("http://exon.niaid.nih.gov/transcriptome/Anopheles_sialome/links/cluster-b/anopheline-sialome-cds-pep-larger-orf75-50SimCLU13.txt", 13)</f>
        <v>13</v>
      </c>
      <c r="CG89">
        <f>HYPERLINK("http://exon.niaid.nih.gov/transcriptome/Anopheles_sialome/links/cluster-b/anopheline-sialome-cds-pep-larger-orf75-50SimCLTL13.txt", 17)</f>
        <v>17</v>
      </c>
      <c r="CH89">
        <f>HYPERLINK("http://exon.niaid.nih.gov/transcriptome/Anopheles_sialome/links/cluster-b/anopheline-sialome-cds-pep-larger-orf80-50SimCLU10.txt", 10)</f>
        <v>10</v>
      </c>
      <c r="CI89">
        <f>HYPERLINK("http://exon.niaid.nih.gov/transcriptome/Anopheles_sialome/links/cluster-b/anopheline-sialome-cds-pep-larger-orf80-50SimCLTL10.txt", 17)</f>
        <v>17</v>
      </c>
      <c r="CJ89">
        <f>HYPERLINK("http://exon.niaid.nih.gov/transcriptome/Anopheles_sialome/links/cluster-b/anopheline-sialome-cds-pep-larger-orf85-50SimCLU5.txt", 5)</f>
        <v>5</v>
      </c>
      <c r="CK89">
        <f>HYPERLINK("http://exon.niaid.nih.gov/transcriptome/Anopheles_sialome/links/cluster-b/anopheline-sialome-cds-pep-larger-orf85-50SimCLTL5.txt", 17)</f>
        <v>17</v>
      </c>
      <c r="CL89">
        <f>HYPERLINK("http://exon.niaid.nih.gov/transcriptome/Anopheles_sialome/links/cluster-b/anopheline-sialome-cds-pep-larger-orf90-50SimCLU7.txt", 7)</f>
        <v>7</v>
      </c>
      <c r="CM89">
        <f>HYPERLINK("http://exon.niaid.nih.gov/transcriptome/Anopheles_sialome/links/cluster-b/anopheline-sialome-cds-pep-larger-orf90-50SimCLTL7.txt", 13)</f>
        <v>13</v>
      </c>
      <c r="CN89">
        <v>342</v>
      </c>
      <c r="CO89">
        <v>1</v>
      </c>
    </row>
    <row r="90" spans="1:93">
      <c r="A90" s="2" t="str">
        <f>HYPERLINK("http://exon.niaid.nih.gov/transcriptome/Anopheles_sialome/links/cds/anodir_Sal_Maltase-cds.txt","anodir_Sal_Maltase")</f>
        <v>anodir_Sal_Maltase</v>
      </c>
      <c r="B90">
        <v>1782</v>
      </c>
      <c r="C90" t="s">
        <v>346</v>
      </c>
      <c r="D90" t="s">
        <v>7</v>
      </c>
      <c r="E90" t="s">
        <v>5</v>
      </c>
      <c r="F90" t="s">
        <v>1</v>
      </c>
      <c r="G90" t="str">
        <f>HYPERLINK("http://exon.niaid.nih.gov/transcriptome/Anopheles_sialome/links/pep/anodir_Sal_Maltase-pep.txt","anodir_Sal_Maltase")</f>
        <v>anodir_Sal_Maltase</v>
      </c>
      <c r="H90">
        <v>593</v>
      </c>
      <c r="I90">
        <v>4</v>
      </c>
      <c r="J90" s="3" t="str">
        <f>HYPERLINK("http://exon.niaid.nih.gov/transcriptome/Anopheles_sialome/links/Sigp/anodir_Sal_Maltase-SigP.txt","SIG")</f>
        <v>SIG</v>
      </c>
      <c r="K90" t="s">
        <v>652</v>
      </c>
      <c r="L90">
        <v>66.906000000000006</v>
      </c>
      <c r="M90">
        <v>5.72</v>
      </c>
      <c r="N90">
        <v>64.873000000000005</v>
      </c>
      <c r="O90">
        <v>5.47</v>
      </c>
      <c r="P90" t="s">
        <v>1580</v>
      </c>
      <c r="Q90" s="3">
        <v>0</v>
      </c>
      <c r="R90" t="s">
        <v>128</v>
      </c>
      <c r="S90" t="s">
        <v>128</v>
      </c>
      <c r="T90" t="s">
        <v>128</v>
      </c>
      <c r="U90" t="s">
        <v>128</v>
      </c>
      <c r="V90" t="s">
        <v>128</v>
      </c>
      <c r="W90" s="3" t="str">
        <f>HYPERLINK("http://exon.niaid.nih.gov/transcriptome/Anopheles_sialome/links/netoglyc/anodir_Sal_Maltase-netoglyc.txt","0")</f>
        <v>0</v>
      </c>
      <c r="X90">
        <v>10.5</v>
      </c>
      <c r="Y90">
        <v>7.1</v>
      </c>
      <c r="Z90">
        <v>5.6</v>
      </c>
      <c r="AA90" t="s">
        <v>654</v>
      </c>
      <c r="AB90" t="s">
        <v>1581</v>
      </c>
      <c r="AC90" s="2" t="str">
        <f>HYPERLINK("http://exon.niaid.nih.gov/transcriptome/Anopheles_sialome/links/DIPTERA/anodir_Sal_Maltase-DIPTERA.txt","AGAP002102-PA")</f>
        <v>AGAP002102-PA</v>
      </c>
      <c r="AD90" t="str">
        <f t="shared" si="51"/>
        <v>0.0</v>
      </c>
      <c r="AE90" t="str">
        <f t="shared" si="52"/>
        <v>gi|116115877</v>
      </c>
      <c r="AF90">
        <v>81</v>
      </c>
      <c r="AG90">
        <v>88</v>
      </c>
      <c r="AH90">
        <v>100</v>
      </c>
      <c r="AI90" t="s">
        <v>2285</v>
      </c>
      <c r="AJ90" s="2" t="str">
        <f>HYPERLINK("http://exon.niaid.nih.gov/transcriptome/Anopheles_sialome/links/CULICOMORPHA/anodir_Sal_Maltase-CULICOMORPHA.txt","AGAP002102-PA")</f>
        <v>AGAP002102-PA</v>
      </c>
      <c r="AK90" t="str">
        <f t="shared" si="53"/>
        <v>0.0</v>
      </c>
      <c r="AL90" t="str">
        <f t="shared" si="54"/>
        <v>gi|116115877</v>
      </c>
      <c r="AM90">
        <v>81</v>
      </c>
      <c r="AN90">
        <v>88</v>
      </c>
      <c r="AO90">
        <v>100</v>
      </c>
      <c r="AP90" t="s">
        <v>2285</v>
      </c>
      <c r="AQ90" s="2" t="str">
        <f>HYPERLINK("http://exon.niaid.nih.gov/transcriptome/Anopheles_sialome/links/NR-LIGHT/anodir_Sal_Maltase-NR-LIGHT.txt","AGAP002102-PA")</f>
        <v>AGAP002102-PA</v>
      </c>
      <c r="AR90" t="str">
        <f t="shared" si="55"/>
        <v>0.0</v>
      </c>
      <c r="AS90" t="str">
        <f t="shared" si="56"/>
        <v>gi|118793578</v>
      </c>
      <c r="AT90">
        <v>81</v>
      </c>
      <c r="AU90">
        <v>88</v>
      </c>
      <c r="AV90">
        <v>100</v>
      </c>
      <c r="AW90" t="s">
        <v>2285</v>
      </c>
      <c r="AX90" s="2" t="str">
        <f>HYPERLINK("http://exon.niaid.nih.gov/transcriptome/Anopheles_sialome/links/CDD/anodir_Sal_Maltase-CDD.txt","AmyAc_maltase")</f>
        <v>AmyAc_maltase</v>
      </c>
      <c r="AY90" t="str">
        <f t="shared" si="38"/>
        <v>0.0</v>
      </c>
      <c r="AZ90" t="s">
        <v>2783</v>
      </c>
      <c r="BA90" s="2" t="str">
        <f>HYPERLINK("http://exon.niaid.nih.gov/transcriptome/Anopheles_sialome/links/KOG/anodir_Sal_Maltase-KOG.txt","Alpha-amylase")</f>
        <v>Alpha-amylase</v>
      </c>
      <c r="BB90" t="str">
        <f>HYPERLINK("http://www.ncbi.nlm.nih.gov/Structure/cdd/cddsrv.cgi?uid=KOG0471","1E-131")</f>
        <v>1E-131</v>
      </c>
      <c r="BC90" t="s">
        <v>2308</v>
      </c>
      <c r="BD90" t="str">
        <f>HYPERLINK("http://exon.niaid.nih.gov/transcriptome/Anopheles_sialome/links/KOG/anodir_Sal_Maltase-KOG.txt","KOG0471")</f>
        <v>KOG0471</v>
      </c>
      <c r="BE90" t="str">
        <f>HYPERLINK("http://exon.niaid.nih.gov/transcriptome/Anopheles_sialome/links/PFAM/anodir_Sal_Maltase-PFAM.txt","Alpha-amylase")</f>
        <v>Alpha-amylase</v>
      </c>
      <c r="BF90" t="str">
        <f>HYPERLINK("http://pfam.sanger.ac.uk/family?acc=PF00128","1E-083")</f>
        <v>1E-083</v>
      </c>
      <c r="BG90" s="2" t="str">
        <f>HYPERLINK("http://exon.niaid.nih.gov/transcriptome/Anopheles_sialome/links/SMART/anodir_Sal_Maltase-SMART.txt","Aamy")</f>
        <v>Aamy</v>
      </c>
      <c r="BH90" t="str">
        <f>HYPERLINK("http://smart.embl-heidelberg.de/smart/do_annotation.pl?DOMAIN=Aamy&amp;BLAST=DUMMY","1E-037")</f>
        <v>1E-037</v>
      </c>
      <c r="BI90" t="s">
        <v>128</v>
      </c>
      <c r="BJ90" s="2" t="s">
        <v>128</v>
      </c>
      <c r="BK90" t="s">
        <v>1579</v>
      </c>
      <c r="BL90">
        <f>HYPERLINK("http://exon.niaid.nih.gov/transcriptome/Anopheles_sialome/links/cluster-b/anopheline-sialome-cds-pep-larger-orf25-50SimCLU16.txt", 16)</f>
        <v>16</v>
      </c>
      <c r="BM90">
        <f>HYPERLINK("http://exon.niaid.nih.gov/transcriptome/Anopheles_sialome/links/cluster-b/anopheline-sialome-cds-pep-larger-orf25-50SimCLTL16.txt", 17)</f>
        <v>17</v>
      </c>
      <c r="BN90">
        <f>HYPERLINK("http://exon.niaid.nih.gov/transcriptome/Anopheles_sialome/links/cluster-b/anopheline-sialome-cds-pep-larger-orf30-50SimCLU16.txt", 16)</f>
        <v>16</v>
      </c>
      <c r="BO90">
        <f>HYPERLINK("http://exon.niaid.nih.gov/transcriptome/Anopheles_sialome/links/cluster-b/anopheline-sialome-cds-pep-larger-orf30-50SimCLTL16.txt", 17)</f>
        <v>17</v>
      </c>
      <c r="BP90">
        <f>HYPERLINK("http://exon.niaid.nih.gov/transcriptome/Anopheles_sialome/links/cluster-b/anopheline-sialome-cds-pep-larger-orf35-50SimCLU18.txt", 18)</f>
        <v>18</v>
      </c>
      <c r="BQ90">
        <f>HYPERLINK("http://exon.niaid.nih.gov/transcriptome/Anopheles_sialome/links/cluster-b/anopheline-sialome-cds-pep-larger-orf35-50SimCLTL18.txt", 17)</f>
        <v>17</v>
      </c>
      <c r="BR90">
        <f>HYPERLINK("http://exon.niaid.nih.gov/transcriptome/Anopheles_sialome/links/cluster-b/anopheline-sialome-cds-pep-larger-orf40-50SimCLU22.txt", 22)</f>
        <v>22</v>
      </c>
      <c r="BS90">
        <f>HYPERLINK("http://exon.niaid.nih.gov/transcriptome/Anopheles_sialome/links/cluster-b/anopheline-sialome-cds-pep-larger-orf40-50SimCLTL22.txt", 17)</f>
        <v>17</v>
      </c>
      <c r="BT90">
        <f>HYPERLINK("http://exon.niaid.nih.gov/transcriptome/Anopheles_sialome/links/cluster-b/anopheline-sialome-cds-pep-larger-orf45-50SimCLU26.txt", 26)</f>
        <v>26</v>
      </c>
      <c r="BU90">
        <f>HYPERLINK("http://exon.niaid.nih.gov/transcriptome/Anopheles_sialome/links/cluster-b/anopheline-sialome-cds-pep-larger-orf45-50SimCLTL26.txt", 17)</f>
        <v>17</v>
      </c>
      <c r="BV90">
        <f>HYPERLINK("http://exon.niaid.nih.gov/transcriptome/Anopheles_sialome/links/cluster-b/anopheline-sialome-cds-pep-larger-orf50-50SimCLU25.txt", 25)</f>
        <v>25</v>
      </c>
      <c r="BW90">
        <f>HYPERLINK("http://exon.niaid.nih.gov/transcriptome/Anopheles_sialome/links/cluster-b/anopheline-sialome-cds-pep-larger-orf50-50SimCLTL25.txt", 17)</f>
        <v>17</v>
      </c>
      <c r="BX90">
        <f>HYPERLINK("http://exon.niaid.nih.gov/transcriptome/Anopheles_sialome/links/cluster-b/anopheline-sialome-cds-pep-larger-orf55-50SimCLU25.txt", 25)</f>
        <v>25</v>
      </c>
      <c r="BY90">
        <f>HYPERLINK("http://exon.niaid.nih.gov/transcriptome/Anopheles_sialome/links/cluster-b/anopheline-sialome-cds-pep-larger-orf55-50SimCLTL25.txt", 17)</f>
        <v>17</v>
      </c>
      <c r="BZ90">
        <f>HYPERLINK("http://exon.niaid.nih.gov/transcriptome/Anopheles_sialome/links/cluster-b/anopheline-sialome-cds-pep-larger-orf60-50SimCLU21.txt", 21)</f>
        <v>21</v>
      </c>
      <c r="CA90">
        <f>HYPERLINK("http://exon.niaid.nih.gov/transcriptome/Anopheles_sialome/links/cluster-b/anopheline-sialome-cds-pep-larger-orf60-50SimCLTL21.txt", 17)</f>
        <v>17</v>
      </c>
      <c r="CB90">
        <f>HYPERLINK("http://exon.niaid.nih.gov/transcriptome/Anopheles_sialome/links/cluster-b/anopheline-sialome-cds-pep-larger-orf65-50SimCLU19.txt", 19)</f>
        <v>19</v>
      </c>
      <c r="CC90">
        <f>HYPERLINK("http://exon.niaid.nih.gov/transcriptome/Anopheles_sialome/links/cluster-b/anopheline-sialome-cds-pep-larger-orf65-50SimCLTL19.txt", 17)</f>
        <v>17</v>
      </c>
      <c r="CD90">
        <f>HYPERLINK("http://exon.niaid.nih.gov/transcriptome/Anopheles_sialome/links/cluster-b/anopheline-sialome-cds-pep-larger-orf70-50SimCLU20.txt", 20)</f>
        <v>20</v>
      </c>
      <c r="CE90">
        <f>HYPERLINK("http://exon.niaid.nih.gov/transcriptome/Anopheles_sialome/links/cluster-b/anopheline-sialome-cds-pep-larger-orf70-50SimCLTL20.txt", 17)</f>
        <v>17</v>
      </c>
      <c r="CF90">
        <f>HYPERLINK("http://exon.niaid.nih.gov/transcriptome/Anopheles_sialome/links/cluster-b/anopheline-sialome-cds-pep-larger-orf75-50SimCLU13.txt", 13)</f>
        <v>13</v>
      </c>
      <c r="CG90">
        <f>HYPERLINK("http://exon.niaid.nih.gov/transcriptome/Anopheles_sialome/links/cluster-b/anopheline-sialome-cds-pep-larger-orf75-50SimCLTL13.txt", 17)</f>
        <v>17</v>
      </c>
      <c r="CH90">
        <f>HYPERLINK("http://exon.niaid.nih.gov/transcriptome/Anopheles_sialome/links/cluster-b/anopheline-sialome-cds-pep-larger-orf80-50SimCLU10.txt", 10)</f>
        <v>10</v>
      </c>
      <c r="CI90">
        <f>HYPERLINK("http://exon.niaid.nih.gov/transcriptome/Anopheles_sialome/links/cluster-b/anopheline-sialome-cds-pep-larger-orf80-50SimCLTL10.txt", 17)</f>
        <v>17</v>
      </c>
      <c r="CJ90">
        <f>HYPERLINK("http://exon.niaid.nih.gov/transcriptome/Anopheles_sialome/links/cluster-b/anopheline-sialome-cds-pep-larger-orf85-50SimCLU5.txt", 5)</f>
        <v>5</v>
      </c>
      <c r="CK90">
        <f>HYPERLINK("http://exon.niaid.nih.gov/transcriptome/Anopheles_sialome/links/cluster-b/anopheline-sialome-cds-pep-larger-orf85-50SimCLTL5.txt", 17)</f>
        <v>17</v>
      </c>
      <c r="CL90">
        <f>HYPERLINK("http://exon.niaid.nih.gov/transcriptome/Anopheles_sialome/links/cluster-b/anopheline-sialome-cds-pep-larger-orf90-50SimCLU7.txt", 7)</f>
        <v>7</v>
      </c>
      <c r="CM90">
        <f>HYPERLINK("http://exon.niaid.nih.gov/transcriptome/Anopheles_sialome/links/cluster-b/anopheline-sialome-cds-pep-larger-orf90-50SimCLTL7.txt", 13)</f>
        <v>13</v>
      </c>
      <c r="CN90">
        <v>343</v>
      </c>
      <c r="CO90">
        <v>1</v>
      </c>
    </row>
    <row r="91" spans="1:93">
      <c r="A91" s="2" t="str">
        <f>HYPERLINK("http://exon.niaid.nih.gov/transcriptome/Anopheles_sialome/links/cds/anoatro_Sal_Maltase-cds.txt","anoatro_Sal_Maltase")</f>
        <v>anoatro_Sal_Maltase</v>
      </c>
      <c r="B91">
        <v>1782</v>
      </c>
      <c r="C91" t="s">
        <v>347</v>
      </c>
      <c r="D91" t="s">
        <v>4</v>
      </c>
      <c r="E91" t="s">
        <v>5</v>
      </c>
      <c r="F91" t="s">
        <v>1</v>
      </c>
      <c r="G91" t="str">
        <f>HYPERLINK("http://exon.niaid.nih.gov/transcriptome/Anopheles_sialome/links/pep/anoatro_Sal_Maltase-pep.txt","anoatro_Sal_Maltase")</f>
        <v>anoatro_Sal_Maltase</v>
      </c>
      <c r="H91">
        <v>593</v>
      </c>
      <c r="I91">
        <v>4</v>
      </c>
      <c r="J91" s="3" t="str">
        <f>HYPERLINK("http://exon.niaid.nih.gov/transcriptome/Anopheles_sialome/links/Sigp/anoatro_Sal_Maltase-SigP.txt","SIG")</f>
        <v>SIG</v>
      </c>
      <c r="K91" t="s">
        <v>652</v>
      </c>
      <c r="L91">
        <v>67.14</v>
      </c>
      <c r="M91">
        <v>5.22</v>
      </c>
      <c r="N91">
        <v>65.152000000000001</v>
      </c>
      <c r="O91">
        <v>5.22</v>
      </c>
      <c r="P91" t="s">
        <v>1583</v>
      </c>
      <c r="Q91" s="3">
        <v>0</v>
      </c>
      <c r="R91" t="s">
        <v>128</v>
      </c>
      <c r="S91" t="s">
        <v>128</v>
      </c>
      <c r="T91" t="s">
        <v>128</v>
      </c>
      <c r="U91" t="s">
        <v>128</v>
      </c>
      <c r="V91" t="s">
        <v>128</v>
      </c>
      <c r="W91" s="3" t="str">
        <f>HYPERLINK("http://exon.niaid.nih.gov/transcriptome/Anopheles_sialome/links/netoglyc/anoatro_Sal_Maltase-netoglyc.txt","1")</f>
        <v>1</v>
      </c>
      <c r="X91">
        <v>12.5</v>
      </c>
      <c r="Y91">
        <v>7.3</v>
      </c>
      <c r="Z91">
        <v>5.2</v>
      </c>
      <c r="AA91" t="s">
        <v>654</v>
      </c>
      <c r="AB91" t="s">
        <v>1584</v>
      </c>
      <c r="AC91" s="2" t="str">
        <f>HYPERLINK("http://exon.niaid.nih.gov/transcriptome/Anopheles_sialome/links/DIPTERA/anoatro_Sal_Maltase-DIPTERA.txt","putative alpha-amylase, partial")</f>
        <v>putative alpha-amylase, partial</v>
      </c>
      <c r="AD91" t="str">
        <f>HYPERLINK("http://www.ncbi.nlm.nih.gov/sutils/blink.cgi?pid=520836432","0.0")</f>
        <v>0.0</v>
      </c>
      <c r="AE91" t="str">
        <f>HYPERLINK("http://www.ncbi.nlm.nih.gov/protein/520836432","gi|520836432")</f>
        <v>gi|520836432</v>
      </c>
      <c r="AF91">
        <v>95</v>
      </c>
      <c r="AG91">
        <v>97</v>
      </c>
      <c r="AH91">
        <v>100</v>
      </c>
      <c r="AI91" t="s">
        <v>2573</v>
      </c>
      <c r="AJ91" s="2" t="str">
        <f>HYPERLINK("http://exon.niaid.nih.gov/transcriptome/Anopheles_sialome/links/CULICOMORPHA/anoatro_Sal_Maltase-CULICOMORPHA.txt","putative alpha-amylase, partial")</f>
        <v>putative alpha-amylase, partial</v>
      </c>
      <c r="AK91" t="str">
        <f>HYPERLINK("http://www.ncbi.nlm.nih.gov/sutils/blink.cgi?pid=520836432","0.0")</f>
        <v>0.0</v>
      </c>
      <c r="AL91" t="str">
        <f>HYPERLINK("http://www.ncbi.nlm.nih.gov/protein/520836432","gi|520836432")</f>
        <v>gi|520836432</v>
      </c>
      <c r="AM91">
        <v>95</v>
      </c>
      <c r="AN91">
        <v>97</v>
      </c>
      <c r="AO91">
        <v>100</v>
      </c>
      <c r="AP91" t="s">
        <v>2573</v>
      </c>
      <c r="AQ91" s="2" t="str">
        <f>HYPERLINK("http://exon.niaid.nih.gov/transcriptome/Anopheles_sialome/links/NR-LIGHT/anoatro_Sal_Maltase-NR-LIGHT.txt","hypothetical protein ZHAS_00000146")</f>
        <v>hypothetical protein ZHAS_00000146</v>
      </c>
      <c r="AR91" t="str">
        <f>HYPERLINK("http://www.ncbi.nlm.nih.gov/sutils/blink.cgi?pid=668443608","0.0")</f>
        <v>0.0</v>
      </c>
      <c r="AS91" t="str">
        <f>HYPERLINK("http://www.ncbi.nlm.nih.gov/protein/668443608","gi|668443608")</f>
        <v>gi|668443608</v>
      </c>
      <c r="AT91">
        <v>86</v>
      </c>
      <c r="AU91">
        <v>93</v>
      </c>
      <c r="AV91">
        <v>32</v>
      </c>
      <c r="AW91" t="s">
        <v>2277</v>
      </c>
      <c r="AX91" s="2" t="str">
        <f>HYPERLINK("http://exon.niaid.nih.gov/transcriptome/Anopheles_sialome/links/CDD/anoatro_Sal_Maltase-CDD.txt","AmyAc_maltase")</f>
        <v>AmyAc_maltase</v>
      </c>
      <c r="AY91" t="str">
        <f t="shared" si="38"/>
        <v>0.0</v>
      </c>
      <c r="AZ91" t="s">
        <v>2784</v>
      </c>
      <c r="BA91" s="2" t="str">
        <f>HYPERLINK("http://exon.niaid.nih.gov/transcriptome/Anopheles_sialome/links/KOG/anoatro_Sal_Maltase-KOG.txt","Alpha-amylase")</f>
        <v>Alpha-amylase</v>
      </c>
      <c r="BB91" t="str">
        <f>HYPERLINK("http://www.ncbi.nlm.nih.gov/Structure/cdd/cddsrv.cgi?uid=KOG0471","1E-130")</f>
        <v>1E-130</v>
      </c>
      <c r="BC91" t="s">
        <v>2308</v>
      </c>
      <c r="BD91" t="str">
        <f>HYPERLINK("http://exon.niaid.nih.gov/transcriptome/Anopheles_sialome/links/KOG/anoatro_Sal_Maltase-KOG.txt","KOG0471")</f>
        <v>KOG0471</v>
      </c>
      <c r="BE91" t="str">
        <f>HYPERLINK("http://exon.niaid.nih.gov/transcriptome/Anopheles_sialome/links/PFAM/anoatro_Sal_Maltase-PFAM.txt","Alpha-amylase")</f>
        <v>Alpha-amylase</v>
      </c>
      <c r="BF91" t="str">
        <f>HYPERLINK("http://pfam.sanger.ac.uk/family?acc=PF00128","2E-083")</f>
        <v>2E-083</v>
      </c>
      <c r="BG91" s="2" t="str">
        <f>HYPERLINK("http://exon.niaid.nih.gov/transcriptome/Anopheles_sialome/links/SMART/anoatro_Sal_Maltase-SMART.txt","Aamy")</f>
        <v>Aamy</v>
      </c>
      <c r="BH91" t="str">
        <f>HYPERLINK("http://smart.embl-heidelberg.de/smart/do_annotation.pl?DOMAIN=Aamy&amp;BLAST=DUMMY","6E-037")</f>
        <v>6E-037</v>
      </c>
      <c r="BI91" t="s">
        <v>128</v>
      </c>
      <c r="BJ91" s="2" t="s">
        <v>128</v>
      </c>
      <c r="BK91" t="s">
        <v>1582</v>
      </c>
      <c r="BL91">
        <f>HYPERLINK("http://exon.niaid.nih.gov/transcriptome/Anopheles_sialome/links/cluster-b/anopheline-sialome-cds-pep-larger-orf25-50SimCLU16.txt", 16)</f>
        <v>16</v>
      </c>
      <c r="BM91">
        <f>HYPERLINK("http://exon.niaid.nih.gov/transcriptome/Anopheles_sialome/links/cluster-b/anopheline-sialome-cds-pep-larger-orf25-50SimCLTL16.txt", 17)</f>
        <v>17</v>
      </c>
      <c r="BN91">
        <f>HYPERLINK("http://exon.niaid.nih.gov/transcriptome/Anopheles_sialome/links/cluster-b/anopheline-sialome-cds-pep-larger-orf30-50SimCLU16.txt", 16)</f>
        <v>16</v>
      </c>
      <c r="BO91">
        <f>HYPERLINK("http://exon.niaid.nih.gov/transcriptome/Anopheles_sialome/links/cluster-b/anopheline-sialome-cds-pep-larger-orf30-50SimCLTL16.txt", 17)</f>
        <v>17</v>
      </c>
      <c r="BP91">
        <f>HYPERLINK("http://exon.niaid.nih.gov/transcriptome/Anopheles_sialome/links/cluster-b/anopheline-sialome-cds-pep-larger-orf35-50SimCLU18.txt", 18)</f>
        <v>18</v>
      </c>
      <c r="BQ91">
        <f>HYPERLINK("http://exon.niaid.nih.gov/transcriptome/Anopheles_sialome/links/cluster-b/anopheline-sialome-cds-pep-larger-orf35-50SimCLTL18.txt", 17)</f>
        <v>17</v>
      </c>
      <c r="BR91">
        <f>HYPERLINK("http://exon.niaid.nih.gov/transcriptome/Anopheles_sialome/links/cluster-b/anopheline-sialome-cds-pep-larger-orf40-50SimCLU22.txt", 22)</f>
        <v>22</v>
      </c>
      <c r="BS91">
        <f>HYPERLINK("http://exon.niaid.nih.gov/transcriptome/Anopheles_sialome/links/cluster-b/anopheline-sialome-cds-pep-larger-orf40-50SimCLTL22.txt", 17)</f>
        <v>17</v>
      </c>
      <c r="BT91">
        <f>HYPERLINK("http://exon.niaid.nih.gov/transcriptome/Anopheles_sialome/links/cluster-b/anopheline-sialome-cds-pep-larger-orf45-50SimCLU26.txt", 26)</f>
        <v>26</v>
      </c>
      <c r="BU91">
        <f>HYPERLINK("http://exon.niaid.nih.gov/transcriptome/Anopheles_sialome/links/cluster-b/anopheline-sialome-cds-pep-larger-orf45-50SimCLTL26.txt", 17)</f>
        <v>17</v>
      </c>
      <c r="BV91">
        <f>HYPERLINK("http://exon.niaid.nih.gov/transcriptome/Anopheles_sialome/links/cluster-b/anopheline-sialome-cds-pep-larger-orf50-50SimCLU25.txt", 25)</f>
        <v>25</v>
      </c>
      <c r="BW91">
        <f>HYPERLINK("http://exon.niaid.nih.gov/transcriptome/Anopheles_sialome/links/cluster-b/anopheline-sialome-cds-pep-larger-orf50-50SimCLTL25.txt", 17)</f>
        <v>17</v>
      </c>
      <c r="BX91">
        <f>HYPERLINK("http://exon.niaid.nih.gov/transcriptome/Anopheles_sialome/links/cluster-b/anopheline-sialome-cds-pep-larger-orf55-50SimCLU25.txt", 25)</f>
        <v>25</v>
      </c>
      <c r="BY91">
        <f>HYPERLINK("http://exon.niaid.nih.gov/transcriptome/Anopheles_sialome/links/cluster-b/anopheline-sialome-cds-pep-larger-orf55-50SimCLTL25.txt", 17)</f>
        <v>17</v>
      </c>
      <c r="BZ91">
        <f>HYPERLINK("http://exon.niaid.nih.gov/transcriptome/Anopheles_sialome/links/cluster-b/anopheline-sialome-cds-pep-larger-orf60-50SimCLU21.txt", 21)</f>
        <v>21</v>
      </c>
      <c r="CA91">
        <f>HYPERLINK("http://exon.niaid.nih.gov/transcriptome/Anopheles_sialome/links/cluster-b/anopheline-sialome-cds-pep-larger-orf60-50SimCLTL21.txt", 17)</f>
        <v>17</v>
      </c>
      <c r="CB91">
        <f>HYPERLINK("http://exon.niaid.nih.gov/transcriptome/Anopheles_sialome/links/cluster-b/anopheline-sialome-cds-pep-larger-orf65-50SimCLU19.txt", 19)</f>
        <v>19</v>
      </c>
      <c r="CC91">
        <f>HYPERLINK("http://exon.niaid.nih.gov/transcriptome/Anopheles_sialome/links/cluster-b/anopheline-sialome-cds-pep-larger-orf65-50SimCLTL19.txt", 17)</f>
        <v>17</v>
      </c>
      <c r="CD91">
        <f>HYPERLINK("http://exon.niaid.nih.gov/transcriptome/Anopheles_sialome/links/cluster-b/anopheline-sialome-cds-pep-larger-orf70-50SimCLU20.txt", 20)</f>
        <v>20</v>
      </c>
      <c r="CE91">
        <f>HYPERLINK("http://exon.niaid.nih.gov/transcriptome/Anopheles_sialome/links/cluster-b/anopheline-sialome-cds-pep-larger-orf70-50SimCLTL20.txt", 17)</f>
        <v>17</v>
      </c>
      <c r="CF91">
        <f>HYPERLINK("http://exon.niaid.nih.gov/transcriptome/Anopheles_sialome/links/cluster-b/anopheline-sialome-cds-pep-larger-orf75-50SimCLU13.txt", 13)</f>
        <v>13</v>
      </c>
      <c r="CG91">
        <f>HYPERLINK("http://exon.niaid.nih.gov/transcriptome/Anopheles_sialome/links/cluster-b/anopheline-sialome-cds-pep-larger-orf75-50SimCLTL13.txt", 17)</f>
        <v>17</v>
      </c>
      <c r="CH91">
        <f>HYPERLINK("http://exon.niaid.nih.gov/transcriptome/Anopheles_sialome/links/cluster-b/anopheline-sialome-cds-pep-larger-orf80-50SimCLU10.txt", 10)</f>
        <v>10</v>
      </c>
      <c r="CI91">
        <f>HYPERLINK("http://exon.niaid.nih.gov/transcriptome/Anopheles_sialome/links/cluster-b/anopheline-sialome-cds-pep-larger-orf80-50SimCLTL10.txt", 17)</f>
        <v>17</v>
      </c>
      <c r="CJ91">
        <f>HYPERLINK("http://exon.niaid.nih.gov/transcriptome/Anopheles_sialome/links/cluster-b/anopheline-sialome-cds-pep-larger-orf85-50SimCLU5.txt", 5)</f>
        <v>5</v>
      </c>
      <c r="CK91">
        <f>HYPERLINK("http://exon.niaid.nih.gov/transcriptome/Anopheles_sialome/links/cluster-b/anopheline-sialome-cds-pep-larger-orf85-50SimCLTL5.txt", 17)</f>
        <v>17</v>
      </c>
      <c r="CL91">
        <f>HYPERLINK("http://exon.niaid.nih.gov/transcriptome/Anopheles_sialome/links/cluster-b/anopheline-sialome-cds-pep-larger-orf90-50SimCLU76.txt", 76)</f>
        <v>76</v>
      </c>
      <c r="CM91">
        <f>HYPERLINK("http://exon.niaid.nih.gov/transcriptome/Anopheles_sialome/links/cluster-b/anopheline-sialome-cds-pep-larger-orf90-50SimCLTL76.txt", 2)</f>
        <v>2</v>
      </c>
      <c r="CN91">
        <v>344</v>
      </c>
      <c r="CO91">
        <v>1</v>
      </c>
    </row>
    <row r="92" spans="1:93">
      <c r="A92" s="2" t="str">
        <f>HYPERLINK("http://exon.niaid.nih.gov/transcriptome/Anopheles_sialome/links/cds/anosin_Sal_Maltase-cds.txt","anosin_Sal_Maltase")</f>
        <v>anosin_Sal_Maltase</v>
      </c>
      <c r="B92">
        <v>1782</v>
      </c>
      <c r="C92" t="s">
        <v>348</v>
      </c>
      <c r="D92" t="s">
        <v>4</v>
      </c>
      <c r="E92" t="s">
        <v>5</v>
      </c>
      <c r="F92" t="s">
        <v>1</v>
      </c>
      <c r="G92" t="str">
        <f>HYPERLINK("http://exon.niaid.nih.gov/transcriptome/Anopheles_sialome/links/pep/anosin_Sal_Maltase-pep.txt","anosin_Sal_Maltase")</f>
        <v>anosin_Sal_Maltase</v>
      </c>
      <c r="H92">
        <v>593</v>
      </c>
      <c r="I92">
        <v>4</v>
      </c>
      <c r="J92" s="3" t="str">
        <f>HYPERLINK("http://exon.niaid.nih.gov/transcriptome/Anopheles_sialome/links/Sigp/anosin_Sal_Maltase-SigP.txt","SIG")</f>
        <v>SIG</v>
      </c>
      <c r="K92" t="s">
        <v>708</v>
      </c>
      <c r="L92">
        <v>66.838999999999999</v>
      </c>
      <c r="M92">
        <v>5.3</v>
      </c>
      <c r="N92">
        <v>64.393000000000001</v>
      </c>
      <c r="O92">
        <v>5.23</v>
      </c>
      <c r="P92" t="s">
        <v>1586</v>
      </c>
      <c r="Q92" s="3">
        <v>0</v>
      </c>
      <c r="R92" t="s">
        <v>128</v>
      </c>
      <c r="S92" t="s">
        <v>128</v>
      </c>
      <c r="T92" t="s">
        <v>128</v>
      </c>
      <c r="U92" t="s">
        <v>128</v>
      </c>
      <c r="V92" t="s">
        <v>128</v>
      </c>
      <c r="W92" s="3" t="str">
        <f>HYPERLINK("http://exon.niaid.nih.gov/transcriptome/Anopheles_sialome/links/netoglyc/anosin_Sal_Maltase-netoglyc.txt","0")</f>
        <v>0</v>
      </c>
      <c r="X92">
        <v>11.5</v>
      </c>
      <c r="Y92">
        <v>6.7</v>
      </c>
      <c r="Z92">
        <v>5.0999999999999996</v>
      </c>
      <c r="AA92" t="s">
        <v>654</v>
      </c>
      <c r="AB92" t="s">
        <v>1587</v>
      </c>
      <c r="AC92" s="2" t="str">
        <f>HYPERLINK("http://exon.niaid.nih.gov/transcriptome/Anopheles_sialome/links/DIPTERA/anosin_Sal_Maltase-DIPTERA.txt","hypothetical protein ZHAS_00000146")</f>
        <v>hypothetical protein ZHAS_00000146</v>
      </c>
      <c r="AD92" t="str">
        <f>HYPERLINK("http://www.ncbi.nlm.nih.gov/sutils/blink.cgi?pid=668443608","0.0")</f>
        <v>0.0</v>
      </c>
      <c r="AE92" t="str">
        <f>HYPERLINK("http://www.ncbi.nlm.nih.gov/protein/668443608","gi|668443608")</f>
        <v>gi|668443608</v>
      </c>
      <c r="AF92">
        <v>97</v>
      </c>
      <c r="AG92">
        <v>98</v>
      </c>
      <c r="AH92">
        <v>33</v>
      </c>
      <c r="AI92" t="s">
        <v>2277</v>
      </c>
      <c r="AJ92" s="2" t="str">
        <f>HYPERLINK("http://exon.niaid.nih.gov/transcriptome/Anopheles_sialome/links/CULICOMORPHA/anosin_Sal_Maltase-CULICOMORPHA.txt","hypothetical protein ZHAS_00000146")</f>
        <v>hypothetical protein ZHAS_00000146</v>
      </c>
      <c r="AK92" t="str">
        <f>HYPERLINK("http://www.ncbi.nlm.nih.gov/sutils/blink.cgi?pid=668443608","0.0")</f>
        <v>0.0</v>
      </c>
      <c r="AL92" t="str">
        <f>HYPERLINK("http://www.ncbi.nlm.nih.gov/protein/668443608","gi|668443608")</f>
        <v>gi|668443608</v>
      </c>
      <c r="AM92">
        <v>97</v>
      </c>
      <c r="AN92">
        <v>98</v>
      </c>
      <c r="AO92">
        <v>33</v>
      </c>
      <c r="AP92" t="s">
        <v>2277</v>
      </c>
      <c r="AQ92" s="2" t="str">
        <f>HYPERLINK("http://exon.niaid.nih.gov/transcriptome/Anopheles_sialome/links/NR-LIGHT/anosin_Sal_Maltase-NR-LIGHT.txt","hypothetical protein ZHAS_00000146")</f>
        <v>hypothetical protein ZHAS_00000146</v>
      </c>
      <c r="AR92" t="str">
        <f>HYPERLINK("http://www.ncbi.nlm.nih.gov/sutils/blink.cgi?pid=668443608","0.0")</f>
        <v>0.0</v>
      </c>
      <c r="AS92" t="str">
        <f>HYPERLINK("http://www.ncbi.nlm.nih.gov/protein/668443608","gi|668443608")</f>
        <v>gi|668443608</v>
      </c>
      <c r="AT92">
        <v>97</v>
      </c>
      <c r="AU92">
        <v>98</v>
      </c>
      <c r="AV92">
        <v>33</v>
      </c>
      <c r="AW92" t="s">
        <v>2277</v>
      </c>
      <c r="AX92" s="2" t="str">
        <f>HYPERLINK("http://exon.niaid.nih.gov/transcriptome/Anopheles_sialome/links/CDD/anosin_Sal_Maltase-CDD.txt","AmyAc_maltase")</f>
        <v>AmyAc_maltase</v>
      </c>
      <c r="AY92" t="str">
        <f t="shared" si="38"/>
        <v>0.0</v>
      </c>
      <c r="AZ92" t="s">
        <v>2785</v>
      </c>
      <c r="BA92" s="2" t="str">
        <f>HYPERLINK("http://exon.niaid.nih.gov/transcriptome/Anopheles_sialome/links/KOG/anosin_Sal_Maltase-KOG.txt","Alpha-amylase")</f>
        <v>Alpha-amylase</v>
      </c>
      <c r="BB92" t="str">
        <f>HYPERLINK("http://www.ncbi.nlm.nih.gov/Structure/cdd/cddsrv.cgi?uid=KOG0471","1E-129")</f>
        <v>1E-129</v>
      </c>
      <c r="BC92" t="s">
        <v>2308</v>
      </c>
      <c r="BD92" t="str">
        <f>HYPERLINK("http://exon.niaid.nih.gov/transcriptome/Anopheles_sialome/links/KOG/anosin_Sal_Maltase-KOG.txt","KOG0471")</f>
        <v>KOG0471</v>
      </c>
      <c r="BE92" t="str">
        <f>HYPERLINK("http://exon.niaid.nih.gov/transcriptome/Anopheles_sialome/links/PFAM/anosin_Sal_Maltase-PFAM.txt","Alpha-amylase")</f>
        <v>Alpha-amylase</v>
      </c>
      <c r="BF92" t="str">
        <f>HYPERLINK("http://pfam.sanger.ac.uk/family?acc=PF00128","1E-083")</f>
        <v>1E-083</v>
      </c>
      <c r="BG92" s="2" t="str">
        <f>HYPERLINK("http://exon.niaid.nih.gov/transcriptome/Anopheles_sialome/links/SMART/anosin_Sal_Maltase-SMART.txt","Aamy")</f>
        <v>Aamy</v>
      </c>
      <c r="BH92" t="str">
        <f>HYPERLINK("http://smart.embl-heidelberg.de/smart/do_annotation.pl?DOMAIN=Aamy&amp;BLAST=DUMMY","8E-037")</f>
        <v>8E-037</v>
      </c>
      <c r="BI92" t="s">
        <v>128</v>
      </c>
      <c r="BJ92" s="2" t="s">
        <v>128</v>
      </c>
      <c r="BK92" t="s">
        <v>1585</v>
      </c>
      <c r="BL92">
        <f>HYPERLINK("http://exon.niaid.nih.gov/transcriptome/Anopheles_sialome/links/cluster-b/anopheline-sialome-cds-pep-larger-orf25-50SimCLU16.txt", 16)</f>
        <v>16</v>
      </c>
      <c r="BM92">
        <f>HYPERLINK("http://exon.niaid.nih.gov/transcriptome/Anopheles_sialome/links/cluster-b/anopheline-sialome-cds-pep-larger-orf25-50SimCLTL16.txt", 17)</f>
        <v>17</v>
      </c>
      <c r="BN92">
        <f>HYPERLINK("http://exon.niaid.nih.gov/transcriptome/Anopheles_sialome/links/cluster-b/anopheline-sialome-cds-pep-larger-orf30-50SimCLU16.txt", 16)</f>
        <v>16</v>
      </c>
      <c r="BO92">
        <f>HYPERLINK("http://exon.niaid.nih.gov/transcriptome/Anopheles_sialome/links/cluster-b/anopheline-sialome-cds-pep-larger-orf30-50SimCLTL16.txt", 17)</f>
        <v>17</v>
      </c>
      <c r="BP92">
        <f>HYPERLINK("http://exon.niaid.nih.gov/transcriptome/Anopheles_sialome/links/cluster-b/anopheline-sialome-cds-pep-larger-orf35-50SimCLU18.txt", 18)</f>
        <v>18</v>
      </c>
      <c r="BQ92">
        <f>HYPERLINK("http://exon.niaid.nih.gov/transcriptome/Anopheles_sialome/links/cluster-b/anopheline-sialome-cds-pep-larger-orf35-50SimCLTL18.txt", 17)</f>
        <v>17</v>
      </c>
      <c r="BR92">
        <f>HYPERLINK("http://exon.niaid.nih.gov/transcriptome/Anopheles_sialome/links/cluster-b/anopheline-sialome-cds-pep-larger-orf40-50SimCLU22.txt", 22)</f>
        <v>22</v>
      </c>
      <c r="BS92">
        <f>HYPERLINK("http://exon.niaid.nih.gov/transcriptome/Anopheles_sialome/links/cluster-b/anopheline-sialome-cds-pep-larger-orf40-50SimCLTL22.txt", 17)</f>
        <v>17</v>
      </c>
      <c r="BT92">
        <f>HYPERLINK("http://exon.niaid.nih.gov/transcriptome/Anopheles_sialome/links/cluster-b/anopheline-sialome-cds-pep-larger-orf45-50SimCLU26.txt", 26)</f>
        <v>26</v>
      </c>
      <c r="BU92">
        <f>HYPERLINK("http://exon.niaid.nih.gov/transcriptome/Anopheles_sialome/links/cluster-b/anopheline-sialome-cds-pep-larger-orf45-50SimCLTL26.txt", 17)</f>
        <v>17</v>
      </c>
      <c r="BV92">
        <f>HYPERLINK("http://exon.niaid.nih.gov/transcriptome/Anopheles_sialome/links/cluster-b/anopheline-sialome-cds-pep-larger-orf50-50SimCLU25.txt", 25)</f>
        <v>25</v>
      </c>
      <c r="BW92">
        <f>HYPERLINK("http://exon.niaid.nih.gov/transcriptome/Anopheles_sialome/links/cluster-b/anopheline-sialome-cds-pep-larger-orf50-50SimCLTL25.txt", 17)</f>
        <v>17</v>
      </c>
      <c r="BX92">
        <f>HYPERLINK("http://exon.niaid.nih.gov/transcriptome/Anopheles_sialome/links/cluster-b/anopheline-sialome-cds-pep-larger-orf55-50SimCLU25.txt", 25)</f>
        <v>25</v>
      </c>
      <c r="BY92">
        <f>HYPERLINK("http://exon.niaid.nih.gov/transcriptome/Anopheles_sialome/links/cluster-b/anopheline-sialome-cds-pep-larger-orf55-50SimCLTL25.txt", 17)</f>
        <v>17</v>
      </c>
      <c r="BZ92">
        <f>HYPERLINK("http://exon.niaid.nih.gov/transcriptome/Anopheles_sialome/links/cluster-b/anopheline-sialome-cds-pep-larger-orf60-50SimCLU21.txt", 21)</f>
        <v>21</v>
      </c>
      <c r="CA92">
        <f>HYPERLINK("http://exon.niaid.nih.gov/transcriptome/Anopheles_sialome/links/cluster-b/anopheline-sialome-cds-pep-larger-orf60-50SimCLTL21.txt", 17)</f>
        <v>17</v>
      </c>
      <c r="CB92">
        <f>HYPERLINK("http://exon.niaid.nih.gov/transcriptome/Anopheles_sialome/links/cluster-b/anopheline-sialome-cds-pep-larger-orf65-50SimCLU19.txt", 19)</f>
        <v>19</v>
      </c>
      <c r="CC92">
        <f>HYPERLINK("http://exon.niaid.nih.gov/transcriptome/Anopheles_sialome/links/cluster-b/anopheline-sialome-cds-pep-larger-orf65-50SimCLTL19.txt", 17)</f>
        <v>17</v>
      </c>
      <c r="CD92">
        <f>HYPERLINK("http://exon.niaid.nih.gov/transcriptome/Anopheles_sialome/links/cluster-b/anopheline-sialome-cds-pep-larger-orf70-50SimCLU20.txt", 20)</f>
        <v>20</v>
      </c>
      <c r="CE92">
        <f>HYPERLINK("http://exon.niaid.nih.gov/transcriptome/Anopheles_sialome/links/cluster-b/anopheline-sialome-cds-pep-larger-orf70-50SimCLTL20.txt", 17)</f>
        <v>17</v>
      </c>
      <c r="CF92">
        <f>HYPERLINK("http://exon.niaid.nih.gov/transcriptome/Anopheles_sialome/links/cluster-b/anopheline-sialome-cds-pep-larger-orf75-50SimCLU13.txt", 13)</f>
        <v>13</v>
      </c>
      <c r="CG92">
        <f>HYPERLINK("http://exon.niaid.nih.gov/transcriptome/Anopheles_sialome/links/cluster-b/anopheline-sialome-cds-pep-larger-orf75-50SimCLTL13.txt", 17)</f>
        <v>17</v>
      </c>
      <c r="CH92">
        <f>HYPERLINK("http://exon.niaid.nih.gov/transcriptome/Anopheles_sialome/links/cluster-b/anopheline-sialome-cds-pep-larger-orf80-50SimCLU10.txt", 10)</f>
        <v>10</v>
      </c>
      <c r="CI92">
        <f>HYPERLINK("http://exon.niaid.nih.gov/transcriptome/Anopheles_sialome/links/cluster-b/anopheline-sialome-cds-pep-larger-orf80-50SimCLTL10.txt", 17)</f>
        <v>17</v>
      </c>
      <c r="CJ92">
        <f>HYPERLINK("http://exon.niaid.nih.gov/transcriptome/Anopheles_sialome/links/cluster-b/anopheline-sialome-cds-pep-larger-orf85-50SimCLU5.txt", 5)</f>
        <v>5</v>
      </c>
      <c r="CK92">
        <f>HYPERLINK("http://exon.niaid.nih.gov/transcriptome/Anopheles_sialome/links/cluster-b/anopheline-sialome-cds-pep-larger-orf85-50SimCLTL5.txt", 17)</f>
        <v>17</v>
      </c>
      <c r="CL92">
        <f>HYPERLINK("http://exon.niaid.nih.gov/transcriptome/Anopheles_sialome/links/cluster-b/anopheline-sialome-cds-pep-larger-orf90-50SimCLU76.txt", 76)</f>
        <v>76</v>
      </c>
      <c r="CM92">
        <f>HYPERLINK("http://exon.niaid.nih.gov/transcriptome/Anopheles_sialome/links/cluster-b/anopheline-sialome-cds-pep-larger-orf90-50SimCLTL76.txt", 2)</f>
        <v>2</v>
      </c>
      <c r="CN92">
        <v>345</v>
      </c>
      <c r="CO92">
        <v>1</v>
      </c>
    </row>
    <row r="93" spans="1:93">
      <c r="A93" s="2" t="str">
        <f>HYPERLINK("http://exon.niaid.nih.gov/transcriptome/Anopheles_sialome/links/cds/anoalb_Sal_Maltase-cds.txt","anoalb_Sal_Maltase")</f>
        <v>anoalb_Sal_Maltase</v>
      </c>
      <c r="B93">
        <v>1785</v>
      </c>
      <c r="C93" t="s">
        <v>349</v>
      </c>
      <c r="D93" t="s">
        <v>4</v>
      </c>
      <c r="E93" t="s">
        <v>5</v>
      </c>
      <c r="F93" t="s">
        <v>1</v>
      </c>
      <c r="G93" t="str">
        <f>HYPERLINK("http://exon.niaid.nih.gov/transcriptome/Anopheles_sialome/links/pep/anoalb_Sal_Maltase-pep.txt","anoalb_Sal_Maltase")</f>
        <v>anoalb_Sal_Maltase</v>
      </c>
      <c r="H93">
        <v>594</v>
      </c>
      <c r="I93">
        <v>4</v>
      </c>
      <c r="J93" s="3" t="str">
        <f>HYPERLINK("http://exon.niaid.nih.gov/transcriptome/Anopheles_sialome/links/Sigp/anoalb_Sal_Maltase-SigP.txt","SIG")</f>
        <v>SIG</v>
      </c>
      <c r="K93" t="s">
        <v>919</v>
      </c>
      <c r="L93">
        <v>67.814999999999998</v>
      </c>
      <c r="M93">
        <v>5.57</v>
      </c>
      <c r="N93">
        <v>65.971999999999994</v>
      </c>
      <c r="O93">
        <v>5.49</v>
      </c>
      <c r="P93" t="s">
        <v>676</v>
      </c>
      <c r="Q93" s="3">
        <v>0</v>
      </c>
      <c r="R93" t="s">
        <v>128</v>
      </c>
      <c r="S93" t="s">
        <v>128</v>
      </c>
      <c r="T93" t="s">
        <v>128</v>
      </c>
      <c r="U93" t="s">
        <v>128</v>
      </c>
      <c r="V93" t="s">
        <v>128</v>
      </c>
      <c r="W93" s="3" t="str">
        <f>HYPERLINK("http://exon.niaid.nih.gov/transcriptome/Anopheles_sialome/links/netoglyc/anoalb_Sal_Maltase-netoglyc.txt","0")</f>
        <v>0</v>
      </c>
      <c r="X93">
        <v>11.3</v>
      </c>
      <c r="Y93">
        <v>6.4</v>
      </c>
      <c r="Z93">
        <v>4.7</v>
      </c>
      <c r="AA93" t="s">
        <v>654</v>
      </c>
      <c r="AB93" t="s">
        <v>1589</v>
      </c>
      <c r="AC93" s="2" t="str">
        <f>HYPERLINK("http://exon.niaid.nih.gov/transcriptome/Anopheles_sialome/links/DIPTERA/anoalb_Sal_Maltase-DIPTERA.txt","alpha-amylase")</f>
        <v>alpha-amylase</v>
      </c>
      <c r="AD93" t="str">
        <f>HYPERLINK("http://www.ncbi.nlm.nih.gov/sutils/blink.cgi?pid=568251708","0.0")</f>
        <v>0.0</v>
      </c>
      <c r="AE93" t="str">
        <f>HYPERLINK("http://www.ncbi.nlm.nih.gov/protein/568251708","gi|568251708")</f>
        <v>gi|568251708</v>
      </c>
      <c r="AF93">
        <v>93</v>
      </c>
      <c r="AG93">
        <v>96</v>
      </c>
      <c r="AH93">
        <v>100</v>
      </c>
      <c r="AI93" t="s">
        <v>2283</v>
      </c>
      <c r="AJ93" s="2" t="str">
        <f>HYPERLINK("http://exon.niaid.nih.gov/transcriptome/Anopheles_sialome/links/CULICOMORPHA/anoalb_Sal_Maltase-CULICOMORPHA.txt","alpha-amylase")</f>
        <v>alpha-amylase</v>
      </c>
      <c r="AK93" t="str">
        <f>HYPERLINK("http://www.ncbi.nlm.nih.gov/sutils/blink.cgi?pid=568251708","0.0")</f>
        <v>0.0</v>
      </c>
      <c r="AL93" t="str">
        <f>HYPERLINK("http://www.ncbi.nlm.nih.gov/protein/568251708","gi|568251708")</f>
        <v>gi|568251708</v>
      </c>
      <c r="AM93">
        <v>93</v>
      </c>
      <c r="AN93">
        <v>96</v>
      </c>
      <c r="AO93">
        <v>100</v>
      </c>
      <c r="AP93" t="s">
        <v>2283</v>
      </c>
      <c r="AQ93" s="2" t="str">
        <f>HYPERLINK("http://exon.niaid.nih.gov/transcriptome/Anopheles_sialome/links/NR-LIGHT/anoalb_Sal_Maltase-NR-LIGHT.txt","alpha-amylase")</f>
        <v>alpha-amylase</v>
      </c>
      <c r="AR93" t="str">
        <f>HYPERLINK("http://www.ncbi.nlm.nih.gov/sutils/blink.cgi?pid=568251708","0.0")</f>
        <v>0.0</v>
      </c>
      <c r="AS93" t="str">
        <f>HYPERLINK("http://www.ncbi.nlm.nih.gov/protein/568251708","gi|568251708")</f>
        <v>gi|568251708</v>
      </c>
      <c r="AT93">
        <v>93</v>
      </c>
      <c r="AU93">
        <v>96</v>
      </c>
      <c r="AV93">
        <v>100</v>
      </c>
      <c r="AW93" t="s">
        <v>2283</v>
      </c>
      <c r="AX93" s="2" t="str">
        <f>HYPERLINK("http://exon.niaid.nih.gov/transcriptome/Anopheles_sialome/links/CDD/anoalb_Sal_Maltase-CDD.txt","AmyAc_maltase")</f>
        <v>AmyAc_maltase</v>
      </c>
      <c r="AY93" t="str">
        <f t="shared" si="38"/>
        <v>0.0</v>
      </c>
      <c r="AZ93" t="s">
        <v>2786</v>
      </c>
      <c r="BA93" s="2" t="str">
        <f>HYPERLINK("http://exon.niaid.nih.gov/transcriptome/Anopheles_sialome/links/KOG/anoalb_Sal_Maltase-KOG.txt","Alpha-amylase")</f>
        <v>Alpha-amylase</v>
      </c>
      <c r="BB93" t="str">
        <f>HYPERLINK("http://www.ncbi.nlm.nih.gov/Structure/cdd/cddsrv.cgi?uid=KOG0471","1E-132")</f>
        <v>1E-132</v>
      </c>
      <c r="BC93" t="s">
        <v>2308</v>
      </c>
      <c r="BD93" t="str">
        <f>HYPERLINK("http://exon.niaid.nih.gov/transcriptome/Anopheles_sialome/links/KOG/anoalb_Sal_Maltase-KOG.txt","KOG0471")</f>
        <v>KOG0471</v>
      </c>
      <c r="BE93" t="str">
        <f>HYPERLINK("http://exon.niaid.nih.gov/transcriptome/Anopheles_sialome/links/PFAM/anoalb_Sal_Maltase-PFAM.txt","Alpha-amylase")</f>
        <v>Alpha-amylase</v>
      </c>
      <c r="BF93" t="str">
        <f>HYPERLINK("http://pfam.sanger.ac.uk/family?acc=PF00128","2E-087")</f>
        <v>2E-087</v>
      </c>
      <c r="BG93" s="2" t="str">
        <f>HYPERLINK("http://exon.niaid.nih.gov/transcriptome/Anopheles_sialome/links/SMART/anoalb_Sal_Maltase-SMART.txt","Aamy")</f>
        <v>Aamy</v>
      </c>
      <c r="BH93" t="str">
        <f>HYPERLINK("http://smart.embl-heidelberg.de/smart/do_annotation.pl?DOMAIN=Aamy&amp;BLAST=DUMMY","9E-038")</f>
        <v>9E-038</v>
      </c>
      <c r="BI93" t="s">
        <v>128</v>
      </c>
      <c r="BJ93" s="2" t="s">
        <v>128</v>
      </c>
      <c r="BK93" t="s">
        <v>1588</v>
      </c>
      <c r="BL93">
        <f>HYPERLINK("http://exon.niaid.nih.gov/transcriptome/Anopheles_sialome/links/cluster-b/anopheline-sialome-cds-pep-larger-orf25-50SimCLU16.txt", 16)</f>
        <v>16</v>
      </c>
      <c r="BM93">
        <f>HYPERLINK("http://exon.niaid.nih.gov/transcriptome/Anopheles_sialome/links/cluster-b/anopheline-sialome-cds-pep-larger-orf25-50SimCLTL16.txt", 17)</f>
        <v>17</v>
      </c>
      <c r="BN93">
        <f>HYPERLINK("http://exon.niaid.nih.gov/transcriptome/Anopheles_sialome/links/cluster-b/anopheline-sialome-cds-pep-larger-orf30-50SimCLU16.txt", 16)</f>
        <v>16</v>
      </c>
      <c r="BO93">
        <f>HYPERLINK("http://exon.niaid.nih.gov/transcriptome/Anopheles_sialome/links/cluster-b/anopheline-sialome-cds-pep-larger-orf30-50SimCLTL16.txt", 17)</f>
        <v>17</v>
      </c>
      <c r="BP93">
        <f>HYPERLINK("http://exon.niaid.nih.gov/transcriptome/Anopheles_sialome/links/cluster-b/anopheline-sialome-cds-pep-larger-orf35-50SimCLU18.txt", 18)</f>
        <v>18</v>
      </c>
      <c r="BQ93">
        <f>HYPERLINK("http://exon.niaid.nih.gov/transcriptome/Anopheles_sialome/links/cluster-b/anopheline-sialome-cds-pep-larger-orf35-50SimCLTL18.txt", 17)</f>
        <v>17</v>
      </c>
      <c r="BR93">
        <f>HYPERLINK("http://exon.niaid.nih.gov/transcriptome/Anopheles_sialome/links/cluster-b/anopheline-sialome-cds-pep-larger-orf40-50SimCLU22.txt", 22)</f>
        <v>22</v>
      </c>
      <c r="BS93">
        <f>HYPERLINK("http://exon.niaid.nih.gov/transcriptome/Anopheles_sialome/links/cluster-b/anopheline-sialome-cds-pep-larger-orf40-50SimCLTL22.txt", 17)</f>
        <v>17</v>
      </c>
      <c r="BT93">
        <f>HYPERLINK("http://exon.niaid.nih.gov/transcriptome/Anopheles_sialome/links/cluster-b/anopheline-sialome-cds-pep-larger-orf45-50SimCLU26.txt", 26)</f>
        <v>26</v>
      </c>
      <c r="BU93">
        <f>HYPERLINK("http://exon.niaid.nih.gov/transcriptome/Anopheles_sialome/links/cluster-b/anopheline-sialome-cds-pep-larger-orf45-50SimCLTL26.txt", 17)</f>
        <v>17</v>
      </c>
      <c r="BV93">
        <f>HYPERLINK("http://exon.niaid.nih.gov/transcriptome/Anopheles_sialome/links/cluster-b/anopheline-sialome-cds-pep-larger-orf50-50SimCLU25.txt", 25)</f>
        <v>25</v>
      </c>
      <c r="BW93">
        <f>HYPERLINK("http://exon.niaid.nih.gov/transcriptome/Anopheles_sialome/links/cluster-b/anopheline-sialome-cds-pep-larger-orf50-50SimCLTL25.txt", 17)</f>
        <v>17</v>
      </c>
      <c r="BX93">
        <f>HYPERLINK("http://exon.niaid.nih.gov/transcriptome/Anopheles_sialome/links/cluster-b/anopheline-sialome-cds-pep-larger-orf55-50SimCLU25.txt", 25)</f>
        <v>25</v>
      </c>
      <c r="BY93">
        <f>HYPERLINK("http://exon.niaid.nih.gov/transcriptome/Anopheles_sialome/links/cluster-b/anopheline-sialome-cds-pep-larger-orf55-50SimCLTL25.txt", 17)</f>
        <v>17</v>
      </c>
      <c r="BZ93">
        <f>HYPERLINK("http://exon.niaid.nih.gov/transcriptome/Anopheles_sialome/links/cluster-b/anopheline-sialome-cds-pep-larger-orf60-50SimCLU21.txt", 21)</f>
        <v>21</v>
      </c>
      <c r="CA93">
        <f>HYPERLINK("http://exon.niaid.nih.gov/transcriptome/Anopheles_sialome/links/cluster-b/anopheline-sialome-cds-pep-larger-orf60-50SimCLTL21.txt", 17)</f>
        <v>17</v>
      </c>
      <c r="CB93">
        <f>HYPERLINK("http://exon.niaid.nih.gov/transcriptome/Anopheles_sialome/links/cluster-b/anopheline-sialome-cds-pep-larger-orf65-50SimCLU19.txt", 19)</f>
        <v>19</v>
      </c>
      <c r="CC93">
        <f>HYPERLINK("http://exon.niaid.nih.gov/transcriptome/Anopheles_sialome/links/cluster-b/anopheline-sialome-cds-pep-larger-orf65-50SimCLTL19.txt", 17)</f>
        <v>17</v>
      </c>
      <c r="CD93">
        <f>HYPERLINK("http://exon.niaid.nih.gov/transcriptome/Anopheles_sialome/links/cluster-b/anopheline-sialome-cds-pep-larger-orf70-50SimCLU20.txt", 20)</f>
        <v>20</v>
      </c>
      <c r="CE93">
        <f>HYPERLINK("http://exon.niaid.nih.gov/transcriptome/Anopheles_sialome/links/cluster-b/anopheline-sialome-cds-pep-larger-orf70-50SimCLTL20.txt", 17)</f>
        <v>17</v>
      </c>
      <c r="CF93">
        <f>HYPERLINK("http://exon.niaid.nih.gov/transcriptome/Anopheles_sialome/links/cluster-b/anopheline-sialome-cds-pep-larger-orf75-50SimCLU13.txt", 13)</f>
        <v>13</v>
      </c>
      <c r="CG93">
        <f>HYPERLINK("http://exon.niaid.nih.gov/transcriptome/Anopheles_sialome/links/cluster-b/anopheline-sialome-cds-pep-larger-orf75-50SimCLTL13.txt", 17)</f>
        <v>17</v>
      </c>
      <c r="CH93">
        <f>HYPERLINK("http://exon.niaid.nih.gov/transcriptome/Anopheles_sialome/links/cluster-b/anopheline-sialome-cds-pep-larger-orf80-50SimCLU10.txt", 10)</f>
        <v>10</v>
      </c>
      <c r="CI93">
        <f>HYPERLINK("http://exon.niaid.nih.gov/transcriptome/Anopheles_sialome/links/cluster-b/anopheline-sialome-cds-pep-larger-orf80-50SimCLTL10.txt", 17)</f>
        <v>17</v>
      </c>
      <c r="CJ93">
        <f>HYPERLINK("http://exon.niaid.nih.gov/transcriptome/Anopheles_sialome/links/cluster-b/anopheline-sialome-cds-pep-larger-orf85-50SimCLU5.txt", 5)</f>
        <v>5</v>
      </c>
      <c r="CK93">
        <f>HYPERLINK("http://exon.niaid.nih.gov/transcriptome/Anopheles_sialome/links/cluster-b/anopheline-sialome-cds-pep-larger-orf85-50SimCLTL5.txt", 17)</f>
        <v>17</v>
      </c>
      <c r="CL93">
        <f>HYPERLINK("http://exon.niaid.nih.gov/transcriptome/Anopheles_sialome/links/cluster-b/anopheline-sialome-cds-pep-larger-orf90-50SimCLU77.txt", 77)</f>
        <v>77</v>
      </c>
      <c r="CM93">
        <f>HYPERLINK("http://exon.niaid.nih.gov/transcriptome/Anopheles_sialome/links/cluster-b/anopheline-sialome-cds-pep-larger-orf90-50SimCLTL77.txt", 2)</f>
        <v>2</v>
      </c>
      <c r="CN93">
        <f>HYPERLINK("http://exon.niaid.nih.gov/transcriptome/Anopheles_sialome/links/cluster-b/anopheline-sialome-cds-pep-larger-orf95-50SimCLU63.txt", 63)</f>
        <v>63</v>
      </c>
      <c r="CO93">
        <f>HYPERLINK("http://exon.niaid.nih.gov/transcriptome/Anopheles_sialome/links/cluster-b/anopheline-sialome-cds-pep-larger-orf95-50SimCLTL63.txt", 2)</f>
        <v>2</v>
      </c>
    </row>
    <row r="94" spans="1:93">
      <c r="A94" s="2" t="str">
        <f>HYPERLINK("http://exon.niaid.nih.gov/transcriptome/Anopheles_sialome/links/cds/anodar_Sal_Maltase-cds.txt","anodar_Sal_Maltase")</f>
        <v>anodar_Sal_Maltase</v>
      </c>
      <c r="B94">
        <v>1785</v>
      </c>
      <c r="C94" t="s">
        <v>350</v>
      </c>
      <c r="D94" t="s">
        <v>4</v>
      </c>
      <c r="E94" t="s">
        <v>5</v>
      </c>
      <c r="F94" t="s">
        <v>1</v>
      </c>
      <c r="G94" t="str">
        <f>HYPERLINK("http://exon.niaid.nih.gov/transcriptome/Anopheles_sialome/links/pep/anodar_Sal_Maltase-pep.txt","anodar_Sal_Maltase")</f>
        <v>anodar_Sal_Maltase</v>
      </c>
      <c r="H94">
        <v>594</v>
      </c>
      <c r="I94">
        <v>5</v>
      </c>
      <c r="J94" s="3" t="str">
        <f>HYPERLINK("http://exon.niaid.nih.gov/transcriptome/Anopheles_sialome/links/Sigp/anodar_Sal_Maltase-SigP.txt","SIG")</f>
        <v>SIG</v>
      </c>
      <c r="K94" t="s">
        <v>925</v>
      </c>
      <c r="L94">
        <v>67.716999999999999</v>
      </c>
      <c r="M94">
        <v>5.4</v>
      </c>
      <c r="N94">
        <v>65.757999999999996</v>
      </c>
      <c r="O94">
        <v>5.34</v>
      </c>
      <c r="P94" t="s">
        <v>1591</v>
      </c>
      <c r="Q94" s="3">
        <v>0</v>
      </c>
      <c r="R94" t="s">
        <v>128</v>
      </c>
      <c r="S94" t="s">
        <v>128</v>
      </c>
      <c r="T94" t="s">
        <v>128</v>
      </c>
      <c r="U94" t="s">
        <v>128</v>
      </c>
      <c r="V94" t="s">
        <v>128</v>
      </c>
      <c r="W94" s="3" t="str">
        <f>HYPERLINK("http://exon.niaid.nih.gov/transcriptome/Anopheles_sialome/links/netoglyc/anodar_Sal_Maltase-netoglyc.txt","1")</f>
        <v>1</v>
      </c>
      <c r="X94">
        <v>10.8</v>
      </c>
      <c r="Y94">
        <v>6.9</v>
      </c>
      <c r="Z94">
        <v>5.2</v>
      </c>
      <c r="AA94" t="s">
        <v>654</v>
      </c>
      <c r="AB94" t="s">
        <v>1589</v>
      </c>
      <c r="AC94" s="2" t="str">
        <f>HYPERLINK("http://exon.niaid.nih.gov/transcriptome/Anopheles_sialome/links/DIPTERA/anodar_Sal_Maltase-DIPTERA.txt","alpha-amylase")</f>
        <v>alpha-amylase</v>
      </c>
      <c r="AD94" t="str">
        <f>HYPERLINK("http://www.ncbi.nlm.nih.gov/sutils/blink.cgi?pid=568251708","0.0")</f>
        <v>0.0</v>
      </c>
      <c r="AE94" t="str">
        <f>HYPERLINK("http://www.ncbi.nlm.nih.gov/protein/568251708","gi|568251708")</f>
        <v>gi|568251708</v>
      </c>
      <c r="AF94">
        <v>100</v>
      </c>
      <c r="AG94">
        <v>100</v>
      </c>
      <c r="AH94">
        <v>100</v>
      </c>
      <c r="AI94" t="s">
        <v>2283</v>
      </c>
      <c r="AJ94" s="2" t="str">
        <f>HYPERLINK("http://exon.niaid.nih.gov/transcriptome/Anopheles_sialome/links/CULICOMORPHA/anodar_Sal_Maltase-CULICOMORPHA.txt","alpha-amylase")</f>
        <v>alpha-amylase</v>
      </c>
      <c r="AK94" t="str">
        <f>HYPERLINK("http://www.ncbi.nlm.nih.gov/sutils/blink.cgi?pid=568251708","0.0")</f>
        <v>0.0</v>
      </c>
      <c r="AL94" t="str">
        <f>HYPERLINK("http://www.ncbi.nlm.nih.gov/protein/568251708","gi|568251708")</f>
        <v>gi|568251708</v>
      </c>
      <c r="AM94">
        <v>100</v>
      </c>
      <c r="AN94">
        <v>100</v>
      </c>
      <c r="AO94">
        <v>100</v>
      </c>
      <c r="AP94" t="s">
        <v>2283</v>
      </c>
      <c r="AQ94" s="2" t="str">
        <f>HYPERLINK("http://exon.niaid.nih.gov/transcriptome/Anopheles_sialome/links/NR-LIGHT/anodar_Sal_Maltase-NR-LIGHT.txt","alpha-amylase")</f>
        <v>alpha-amylase</v>
      </c>
      <c r="AR94" t="str">
        <f>HYPERLINK("http://www.ncbi.nlm.nih.gov/sutils/blink.cgi?pid=568251708","0.0")</f>
        <v>0.0</v>
      </c>
      <c r="AS94" t="str">
        <f>HYPERLINK("http://www.ncbi.nlm.nih.gov/protein/568251708","gi|568251708")</f>
        <v>gi|568251708</v>
      </c>
      <c r="AT94">
        <v>100</v>
      </c>
      <c r="AU94">
        <v>100</v>
      </c>
      <c r="AV94">
        <v>100</v>
      </c>
      <c r="AW94" t="s">
        <v>2283</v>
      </c>
      <c r="AX94" s="2" t="str">
        <f>HYPERLINK("http://exon.niaid.nih.gov/transcriptome/Anopheles_sialome/links/CDD/anodar_Sal_Maltase-CDD.txt","AmyAc_maltase")</f>
        <v>AmyAc_maltase</v>
      </c>
      <c r="AY94" t="str">
        <f t="shared" si="38"/>
        <v>0.0</v>
      </c>
      <c r="AZ94" t="s">
        <v>2787</v>
      </c>
      <c r="BA94" s="2" t="str">
        <f>HYPERLINK("http://exon.niaid.nih.gov/transcriptome/Anopheles_sialome/links/KOG/anodar_Sal_Maltase-KOG.txt","Alpha-amylase")</f>
        <v>Alpha-amylase</v>
      </c>
      <c r="BB94" t="str">
        <f>HYPERLINK("http://www.ncbi.nlm.nih.gov/Structure/cdd/cddsrv.cgi?uid=KOG0471","1E-131")</f>
        <v>1E-131</v>
      </c>
      <c r="BC94" t="s">
        <v>2308</v>
      </c>
      <c r="BD94" t="str">
        <f>HYPERLINK("http://exon.niaid.nih.gov/transcriptome/Anopheles_sialome/links/KOG/anodar_Sal_Maltase-KOG.txt","KOG0471")</f>
        <v>KOG0471</v>
      </c>
      <c r="BE94" t="str">
        <f>HYPERLINK("http://exon.niaid.nih.gov/transcriptome/Anopheles_sialome/links/PFAM/anodar_Sal_Maltase-PFAM.txt","Alpha-amylase")</f>
        <v>Alpha-amylase</v>
      </c>
      <c r="BF94" t="str">
        <f>HYPERLINK("http://pfam.sanger.ac.uk/family?acc=PF00128","2E-086")</f>
        <v>2E-086</v>
      </c>
      <c r="BG94" s="2" t="str">
        <f>HYPERLINK("http://exon.niaid.nih.gov/transcriptome/Anopheles_sialome/links/SMART/anodar_Sal_Maltase-SMART.txt","Aamy")</f>
        <v>Aamy</v>
      </c>
      <c r="BH94" t="str">
        <f>HYPERLINK("http://smart.embl-heidelberg.de/smart/do_annotation.pl?DOMAIN=Aamy&amp;BLAST=DUMMY","2E-037")</f>
        <v>2E-037</v>
      </c>
      <c r="BI94" t="s">
        <v>128</v>
      </c>
      <c r="BJ94" s="2" t="s">
        <v>128</v>
      </c>
      <c r="BK94" t="s">
        <v>1590</v>
      </c>
      <c r="BL94">
        <f>HYPERLINK("http://exon.niaid.nih.gov/transcriptome/Anopheles_sialome/links/cluster-b/anopheline-sialome-cds-pep-larger-orf25-50SimCLU16.txt", 16)</f>
        <v>16</v>
      </c>
      <c r="BM94">
        <f>HYPERLINK("http://exon.niaid.nih.gov/transcriptome/Anopheles_sialome/links/cluster-b/anopheline-sialome-cds-pep-larger-orf25-50SimCLTL16.txt", 17)</f>
        <v>17</v>
      </c>
      <c r="BN94">
        <f>HYPERLINK("http://exon.niaid.nih.gov/transcriptome/Anopheles_sialome/links/cluster-b/anopheline-sialome-cds-pep-larger-orf30-50SimCLU16.txt", 16)</f>
        <v>16</v>
      </c>
      <c r="BO94">
        <f>HYPERLINK("http://exon.niaid.nih.gov/transcriptome/Anopheles_sialome/links/cluster-b/anopheline-sialome-cds-pep-larger-orf30-50SimCLTL16.txt", 17)</f>
        <v>17</v>
      </c>
      <c r="BP94">
        <f>HYPERLINK("http://exon.niaid.nih.gov/transcriptome/Anopheles_sialome/links/cluster-b/anopheline-sialome-cds-pep-larger-orf35-50SimCLU18.txt", 18)</f>
        <v>18</v>
      </c>
      <c r="BQ94">
        <f>HYPERLINK("http://exon.niaid.nih.gov/transcriptome/Anopheles_sialome/links/cluster-b/anopheline-sialome-cds-pep-larger-orf35-50SimCLTL18.txt", 17)</f>
        <v>17</v>
      </c>
      <c r="BR94">
        <f>HYPERLINK("http://exon.niaid.nih.gov/transcriptome/Anopheles_sialome/links/cluster-b/anopheline-sialome-cds-pep-larger-orf40-50SimCLU22.txt", 22)</f>
        <v>22</v>
      </c>
      <c r="BS94">
        <f>HYPERLINK("http://exon.niaid.nih.gov/transcriptome/Anopheles_sialome/links/cluster-b/anopheline-sialome-cds-pep-larger-orf40-50SimCLTL22.txt", 17)</f>
        <v>17</v>
      </c>
      <c r="BT94">
        <f>HYPERLINK("http://exon.niaid.nih.gov/transcriptome/Anopheles_sialome/links/cluster-b/anopheline-sialome-cds-pep-larger-orf45-50SimCLU26.txt", 26)</f>
        <v>26</v>
      </c>
      <c r="BU94">
        <f>HYPERLINK("http://exon.niaid.nih.gov/transcriptome/Anopheles_sialome/links/cluster-b/anopheline-sialome-cds-pep-larger-orf45-50SimCLTL26.txt", 17)</f>
        <v>17</v>
      </c>
      <c r="BV94">
        <f>HYPERLINK("http://exon.niaid.nih.gov/transcriptome/Anopheles_sialome/links/cluster-b/anopheline-sialome-cds-pep-larger-orf50-50SimCLU25.txt", 25)</f>
        <v>25</v>
      </c>
      <c r="BW94">
        <f>HYPERLINK("http://exon.niaid.nih.gov/transcriptome/Anopheles_sialome/links/cluster-b/anopheline-sialome-cds-pep-larger-orf50-50SimCLTL25.txt", 17)</f>
        <v>17</v>
      </c>
      <c r="BX94">
        <f>HYPERLINK("http://exon.niaid.nih.gov/transcriptome/Anopheles_sialome/links/cluster-b/anopheline-sialome-cds-pep-larger-orf55-50SimCLU25.txt", 25)</f>
        <v>25</v>
      </c>
      <c r="BY94">
        <f>HYPERLINK("http://exon.niaid.nih.gov/transcriptome/Anopheles_sialome/links/cluster-b/anopheline-sialome-cds-pep-larger-orf55-50SimCLTL25.txt", 17)</f>
        <v>17</v>
      </c>
      <c r="BZ94">
        <f>HYPERLINK("http://exon.niaid.nih.gov/transcriptome/Anopheles_sialome/links/cluster-b/anopheline-sialome-cds-pep-larger-orf60-50SimCLU21.txt", 21)</f>
        <v>21</v>
      </c>
      <c r="CA94">
        <f>HYPERLINK("http://exon.niaid.nih.gov/transcriptome/Anopheles_sialome/links/cluster-b/anopheline-sialome-cds-pep-larger-orf60-50SimCLTL21.txt", 17)</f>
        <v>17</v>
      </c>
      <c r="CB94">
        <f>HYPERLINK("http://exon.niaid.nih.gov/transcriptome/Anopheles_sialome/links/cluster-b/anopheline-sialome-cds-pep-larger-orf65-50SimCLU19.txt", 19)</f>
        <v>19</v>
      </c>
      <c r="CC94">
        <f>HYPERLINK("http://exon.niaid.nih.gov/transcriptome/Anopheles_sialome/links/cluster-b/anopheline-sialome-cds-pep-larger-orf65-50SimCLTL19.txt", 17)</f>
        <v>17</v>
      </c>
      <c r="CD94">
        <f>HYPERLINK("http://exon.niaid.nih.gov/transcriptome/Anopheles_sialome/links/cluster-b/anopheline-sialome-cds-pep-larger-orf70-50SimCLU20.txt", 20)</f>
        <v>20</v>
      </c>
      <c r="CE94">
        <f>HYPERLINK("http://exon.niaid.nih.gov/transcriptome/Anopheles_sialome/links/cluster-b/anopheline-sialome-cds-pep-larger-orf70-50SimCLTL20.txt", 17)</f>
        <v>17</v>
      </c>
      <c r="CF94">
        <f>HYPERLINK("http://exon.niaid.nih.gov/transcriptome/Anopheles_sialome/links/cluster-b/anopheline-sialome-cds-pep-larger-orf75-50SimCLU13.txt", 13)</f>
        <v>13</v>
      </c>
      <c r="CG94">
        <f>HYPERLINK("http://exon.niaid.nih.gov/transcriptome/Anopheles_sialome/links/cluster-b/anopheline-sialome-cds-pep-larger-orf75-50SimCLTL13.txt", 17)</f>
        <v>17</v>
      </c>
      <c r="CH94">
        <f>HYPERLINK("http://exon.niaid.nih.gov/transcriptome/Anopheles_sialome/links/cluster-b/anopheline-sialome-cds-pep-larger-orf80-50SimCLU10.txt", 10)</f>
        <v>10</v>
      </c>
      <c r="CI94">
        <f>HYPERLINK("http://exon.niaid.nih.gov/transcriptome/Anopheles_sialome/links/cluster-b/anopheline-sialome-cds-pep-larger-orf80-50SimCLTL10.txt", 17)</f>
        <v>17</v>
      </c>
      <c r="CJ94">
        <f>HYPERLINK("http://exon.niaid.nih.gov/transcriptome/Anopheles_sialome/links/cluster-b/anopheline-sialome-cds-pep-larger-orf85-50SimCLU5.txt", 5)</f>
        <v>5</v>
      </c>
      <c r="CK94">
        <f>HYPERLINK("http://exon.niaid.nih.gov/transcriptome/Anopheles_sialome/links/cluster-b/anopheline-sialome-cds-pep-larger-orf85-50SimCLTL5.txt", 17)</f>
        <v>17</v>
      </c>
      <c r="CL94">
        <f>HYPERLINK("http://exon.niaid.nih.gov/transcriptome/Anopheles_sialome/links/cluster-b/anopheline-sialome-cds-pep-larger-orf90-50SimCLU77.txt", 77)</f>
        <v>77</v>
      </c>
      <c r="CM94">
        <f>HYPERLINK("http://exon.niaid.nih.gov/transcriptome/Anopheles_sialome/links/cluster-b/anopheline-sialome-cds-pep-larger-orf90-50SimCLTL77.txt", 2)</f>
        <v>2</v>
      </c>
      <c r="CN94">
        <f>HYPERLINK("http://exon.niaid.nih.gov/transcriptome/Anopheles_sialome/links/cluster-b/anopheline-sialome-cds-pep-larger-orf95-50SimCLU63.txt", 63)</f>
        <v>63</v>
      </c>
      <c r="CO94">
        <f>HYPERLINK("http://exon.niaid.nih.gov/transcriptome/Anopheles_sialome/links/cluster-b/anopheline-sialome-cds-pep-larger-orf95-50SimCLTL63.txt", 2)</f>
        <v>2</v>
      </c>
    </row>
    <row r="95" spans="1:93">
      <c r="A95" s="14" t="s">
        <v>3152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</row>
    <row r="96" spans="1:93">
      <c r="A96" s="2" t="str">
        <f>HYPERLINK("http://exon.niaid.nih.gov/transcriptome/Anopheles_sialome/links/cds/anoga_Sal_Perox-cds.txt","anoga_Sal_Perox")</f>
        <v>anoga_Sal_Perox</v>
      </c>
      <c r="B96">
        <v>1773</v>
      </c>
      <c r="C96" t="s">
        <v>351</v>
      </c>
      <c r="D96" t="s">
        <v>4</v>
      </c>
      <c r="E96" t="s">
        <v>5</v>
      </c>
      <c r="F96" t="s">
        <v>1</v>
      </c>
      <c r="G96" t="str">
        <f>HYPERLINK("http://exon.niaid.nih.gov/transcriptome/Anopheles_sialome/links/pep/anoga_Sal_Perox-pep.txt","anoga_Sal_Perox")</f>
        <v>anoga_Sal_Perox</v>
      </c>
      <c r="H96">
        <v>590</v>
      </c>
      <c r="I96">
        <v>4</v>
      </c>
      <c r="J96" s="3" t="str">
        <f>HYPERLINK("http://exon.niaid.nih.gov/transcriptome/Anopheles_sialome/links/Sigp/anoga_Sal_Perox-SigP.txt","SIG")</f>
        <v>SIG</v>
      </c>
      <c r="K96" t="s">
        <v>689</v>
      </c>
      <c r="L96">
        <v>66.552999999999997</v>
      </c>
      <c r="M96">
        <v>8.68</v>
      </c>
      <c r="N96">
        <v>64.161000000000001</v>
      </c>
      <c r="O96">
        <v>8.58</v>
      </c>
      <c r="P96" t="s">
        <v>660</v>
      </c>
      <c r="Q96" s="3">
        <v>0</v>
      </c>
      <c r="R96" t="s">
        <v>128</v>
      </c>
      <c r="S96" t="s">
        <v>128</v>
      </c>
      <c r="T96" t="s">
        <v>128</v>
      </c>
      <c r="U96" t="s">
        <v>128</v>
      </c>
      <c r="V96" t="s">
        <v>128</v>
      </c>
      <c r="W96" s="3" t="str">
        <f>HYPERLINK("http://exon.niaid.nih.gov/transcriptome/Anopheles_sialome/links/netoglyc/anoga_Sal_Perox-netoglyc.txt","0")</f>
        <v>0</v>
      </c>
      <c r="X96">
        <v>12.5</v>
      </c>
      <c r="Y96">
        <v>6.6</v>
      </c>
      <c r="Z96">
        <v>5.9</v>
      </c>
      <c r="AA96" t="s">
        <v>654</v>
      </c>
      <c r="AB96" t="s">
        <v>128</v>
      </c>
      <c r="AC96" s="2" t="str">
        <f>HYPERLINK("http://exon.niaid.nih.gov/transcriptome/Anopheles_sialome/links/DIPTERA/anoga_Sal_Perox-DIPTERA.txt","AGAP010735-PA, partial")</f>
        <v>AGAP010735-PA, partial</v>
      </c>
      <c r="AD96" t="str">
        <f t="shared" ref="AD96" si="57">HYPERLINK("http://www.ncbi.nlm.nih.gov/sutils/blink.cgi?pid=157018506","0.0")</f>
        <v>0.0</v>
      </c>
      <c r="AE96" t="str">
        <f t="shared" ref="AE96" si="58">HYPERLINK("http://www.ncbi.nlm.nih.gov/protein/157018506","gi|157018506")</f>
        <v>gi|157018506</v>
      </c>
      <c r="AF96">
        <v>99</v>
      </c>
      <c r="AG96">
        <v>99</v>
      </c>
      <c r="AH96">
        <v>48</v>
      </c>
      <c r="AI96" t="s">
        <v>2285</v>
      </c>
      <c r="AJ96" s="2" t="str">
        <f>HYPERLINK("http://exon.niaid.nih.gov/transcriptome/Anopheles_sialome/links/CULICOMORPHA/anoga_Sal_Perox-CULICOMORPHA.txt","AGAP010735-PA, partial")</f>
        <v>AGAP010735-PA, partial</v>
      </c>
      <c r="AK96" t="str">
        <f t="shared" ref="AK96" si="59">HYPERLINK("http://www.ncbi.nlm.nih.gov/sutils/blink.cgi?pid=157018506","0.0")</f>
        <v>0.0</v>
      </c>
      <c r="AL96" t="str">
        <f t="shared" ref="AL96" si="60">HYPERLINK("http://www.ncbi.nlm.nih.gov/protein/157018506","gi|157018506")</f>
        <v>gi|157018506</v>
      </c>
      <c r="AM96">
        <v>99</v>
      </c>
      <c r="AN96">
        <v>99</v>
      </c>
      <c r="AO96">
        <v>48</v>
      </c>
      <c r="AP96" t="s">
        <v>2285</v>
      </c>
      <c r="AQ96" s="2" t="str">
        <f>HYPERLINK("http://exon.niaid.nih.gov/transcriptome/Anopheles_sialome/links/NR-LIGHT/anoga_Sal_Perox-NR-LIGHT.txt","AGAP010735-PA")</f>
        <v>AGAP010735-PA</v>
      </c>
      <c r="AR96" t="str">
        <f t="shared" ref="AR96" si="61">HYPERLINK("http://www.ncbi.nlm.nih.gov/sutils/blink.cgi?pid=158289809","0.0")</f>
        <v>0.0</v>
      </c>
      <c r="AS96" t="str">
        <f t="shared" ref="AS96" si="62">HYPERLINK("http://www.ncbi.nlm.nih.gov/protein/158289809","gi|158289809")</f>
        <v>gi|158289809</v>
      </c>
      <c r="AT96">
        <v>99</v>
      </c>
      <c r="AU96">
        <v>99</v>
      </c>
      <c r="AV96">
        <v>48</v>
      </c>
      <c r="AW96" t="s">
        <v>2285</v>
      </c>
      <c r="AX96" s="2" t="str">
        <f>HYPERLINK("http://exon.niaid.nih.gov/transcriptome/Anopheles_sialome/links/CDD/anoga_Sal_Perox-CDD.txt","An_peroxidase")</f>
        <v>An_peroxidase</v>
      </c>
      <c r="AY96" t="str">
        <f>HYPERLINK("http://www.ncbi.nlm.nih.gov/Structure/cdd/cddsrv.cgi?uid=pfam03098&amp;version=v4.0","1E-173")</f>
        <v>1E-173</v>
      </c>
      <c r="AZ96" t="s">
        <v>2788</v>
      </c>
      <c r="BA96" s="2" t="str">
        <f>HYPERLINK("http://exon.niaid.nih.gov/transcriptome/Anopheles_sialome/links/KOG/anoga_Sal_Perox-KOG.txt","Peroxidase/oxygenase")</f>
        <v>Peroxidase/oxygenase</v>
      </c>
      <c r="BB96" t="str">
        <f>HYPERLINK("http://www.ncbi.nlm.nih.gov/Structure/cdd/cddsrv.cgi?uid=KOG2408","1E-145")</f>
        <v>1E-145</v>
      </c>
      <c r="BC96" t="s">
        <v>2310</v>
      </c>
      <c r="BD96" t="str">
        <f>HYPERLINK("http://exon.niaid.nih.gov/transcriptome/Anopheles_sialome/links/KOG/anoga_Sal_Perox-KOG.txt","KOG2408")</f>
        <v>KOG2408</v>
      </c>
      <c r="BE96" t="str">
        <f>HYPERLINK("http://exon.niaid.nih.gov/transcriptome/Anopheles_sialome/links/PFAM/anoga_Sal_Perox-PFAM.txt","An_peroxidase")</f>
        <v>An_peroxidase</v>
      </c>
      <c r="BF96" t="str">
        <f>HYPERLINK("http://pfam.sanger.ac.uk/family?acc=PF03098","1E-174")</f>
        <v>1E-174</v>
      </c>
      <c r="BG96" s="2" t="str">
        <f>HYPERLINK("http://exon.niaid.nih.gov/transcriptome/Anopheles_sialome/links/SMART/anoga_Sal_Perox-SMART.txt","HYDRO")</f>
        <v>HYDRO</v>
      </c>
      <c r="BH96" t="str">
        <f>HYPERLINK("http://smart.embl-heidelberg.de/smart/do_annotation.pl?DOMAIN=HYDRO&amp;BLAST=DUMMY","2.9")</f>
        <v>2.9</v>
      </c>
      <c r="BI96" t="s">
        <v>128</v>
      </c>
      <c r="BJ96" s="2" t="s">
        <v>128</v>
      </c>
      <c r="BK96" t="s">
        <v>1592</v>
      </c>
      <c r="BL96">
        <f>HYPERLINK("http://exon.niaid.nih.gov/transcriptome/Anopheles_sialome/links/cluster-b/anopheline-sialome-cds-pep-larger-orf25-50SimCLU11.txt", 11)</f>
        <v>11</v>
      </c>
      <c r="BM96">
        <f>HYPERLINK("http://exon.niaid.nih.gov/transcriptome/Anopheles_sialome/links/cluster-b/anopheline-sialome-cds-pep-larger-orf25-50SimCLTL11.txt", 19)</f>
        <v>19</v>
      </c>
      <c r="BN96">
        <f>HYPERLINK("http://exon.niaid.nih.gov/transcriptome/Anopheles_sialome/links/cluster-b/anopheline-sialome-cds-pep-larger-orf30-50SimCLU10.txt", 10)</f>
        <v>10</v>
      </c>
      <c r="BO96">
        <f>HYPERLINK("http://exon.niaid.nih.gov/transcriptome/Anopheles_sialome/links/cluster-b/anopheline-sialome-cds-pep-larger-orf30-50SimCLTL10.txt", 19)</f>
        <v>19</v>
      </c>
      <c r="BP96">
        <f>HYPERLINK("http://exon.niaid.nih.gov/transcriptome/Anopheles_sialome/links/cluster-b/anopheline-sialome-cds-pep-larger-orf35-50SimCLU12.txt", 12)</f>
        <v>12</v>
      </c>
      <c r="BQ96">
        <f>HYPERLINK("http://exon.niaid.nih.gov/transcriptome/Anopheles_sialome/links/cluster-b/anopheline-sialome-cds-pep-larger-orf35-50SimCLTL12.txt", 19)</f>
        <v>19</v>
      </c>
      <c r="BR96">
        <f>HYPERLINK("http://exon.niaid.nih.gov/transcriptome/Anopheles_sialome/links/cluster-b/anopheline-sialome-cds-pep-larger-orf40-50SimCLU14.txt", 14)</f>
        <v>14</v>
      </c>
      <c r="BS96">
        <f>HYPERLINK("http://exon.niaid.nih.gov/transcriptome/Anopheles_sialome/links/cluster-b/anopheline-sialome-cds-pep-larger-orf40-50SimCLTL14.txt", 19)</f>
        <v>19</v>
      </c>
      <c r="BT96">
        <f>HYPERLINK("http://exon.niaid.nih.gov/transcriptome/Anopheles_sialome/links/cluster-b/anopheline-sialome-cds-pep-larger-orf45-50SimCLU14.txt", 14)</f>
        <v>14</v>
      </c>
      <c r="BU96">
        <f>HYPERLINK("http://exon.niaid.nih.gov/transcriptome/Anopheles_sialome/links/cluster-b/anopheline-sialome-cds-pep-larger-orf45-50SimCLTL14.txt", 19)</f>
        <v>19</v>
      </c>
      <c r="BV96">
        <f>HYPERLINK("http://exon.niaid.nih.gov/transcriptome/Anopheles_sialome/links/cluster-b/anopheline-sialome-cds-pep-larger-orf50-50SimCLU13.txt", 13)</f>
        <v>13</v>
      </c>
      <c r="BW96">
        <f>HYPERLINK("http://exon.niaid.nih.gov/transcriptome/Anopheles_sialome/links/cluster-b/anopheline-sialome-cds-pep-larger-orf50-50SimCLTL13.txt", 19)</f>
        <v>19</v>
      </c>
      <c r="BX96">
        <f>HYPERLINK("http://exon.niaid.nih.gov/transcriptome/Anopheles_sialome/links/cluster-b/anopheline-sialome-cds-pep-larger-orf55-50SimCLU14.txt", 14)</f>
        <v>14</v>
      </c>
      <c r="BY96">
        <f>HYPERLINK("http://exon.niaid.nih.gov/transcriptome/Anopheles_sialome/links/cluster-b/anopheline-sialome-cds-pep-larger-orf55-50SimCLTL14.txt", 19)</f>
        <v>19</v>
      </c>
      <c r="BZ96">
        <f>HYPERLINK("http://exon.niaid.nih.gov/transcriptome/Anopheles_sialome/links/cluster-b/anopheline-sialome-cds-pep-larger-orf60-50SimCLU13.txt", 13)</f>
        <v>13</v>
      </c>
      <c r="CA96">
        <f>HYPERLINK("http://exon.niaid.nih.gov/transcriptome/Anopheles_sialome/links/cluster-b/anopheline-sialome-cds-pep-larger-orf60-50SimCLTL13.txt", 19)</f>
        <v>19</v>
      </c>
      <c r="CB96">
        <f>HYPERLINK("http://exon.niaid.nih.gov/transcriptome/Anopheles_sialome/links/cluster-b/anopheline-sialome-cds-pep-larger-orf65-50SimCLU11.txt", 11)</f>
        <v>11</v>
      </c>
      <c r="CC96">
        <f>HYPERLINK("http://exon.niaid.nih.gov/transcriptome/Anopheles_sialome/links/cluster-b/anopheline-sialome-cds-pep-larger-orf65-50SimCLTL11.txt", 19)</f>
        <v>19</v>
      </c>
      <c r="CD96">
        <f>HYPERLINK("http://exon.niaid.nih.gov/transcriptome/Anopheles_sialome/links/cluster-b/anopheline-sialome-cds-pep-larger-orf70-50SimCLU10.txt", 10)</f>
        <v>10</v>
      </c>
      <c r="CE96">
        <f>HYPERLINK("http://exon.niaid.nih.gov/transcriptome/Anopheles_sialome/links/cluster-b/anopheline-sialome-cds-pep-larger-orf70-50SimCLTL10.txt", 19)</f>
        <v>19</v>
      </c>
      <c r="CF96">
        <f>HYPERLINK("http://exon.niaid.nih.gov/transcriptome/Anopheles_sialome/links/cluster-b/anopheline-sialome-cds-pep-larger-orf75-50SimCLU17.txt", 17)</f>
        <v>17</v>
      </c>
      <c r="CG96">
        <f>HYPERLINK("http://exon.niaid.nih.gov/transcriptome/Anopheles_sialome/links/cluster-b/anopheline-sialome-cds-pep-larger-orf75-50SimCLTL17.txt", 16)</f>
        <v>16</v>
      </c>
      <c r="CH96">
        <f>HYPERLINK("http://exon.niaid.nih.gov/transcriptome/Anopheles_sialome/links/cluster-b/anopheline-sialome-cds-pep-larger-orf80-50SimCLU11.txt", 11)</f>
        <v>11</v>
      </c>
      <c r="CI96">
        <f>HYPERLINK("http://exon.niaid.nih.gov/transcriptome/Anopheles_sialome/links/cluster-b/anopheline-sialome-cds-pep-larger-orf80-50SimCLTL11.txt", 16)</f>
        <v>16</v>
      </c>
      <c r="CJ96">
        <f>HYPERLINK("http://exon.niaid.nih.gov/transcriptome/Anopheles_sialome/links/cluster-b/anopheline-sialome-cds-pep-larger-orf85-50SimCLU7.txt", 7)</f>
        <v>7</v>
      </c>
      <c r="CK96">
        <f>HYPERLINK("http://exon.niaid.nih.gov/transcriptome/Anopheles_sialome/links/cluster-b/anopheline-sialome-cds-pep-larger-orf85-50SimCLTL7.txt", 16)</f>
        <v>16</v>
      </c>
      <c r="CL96">
        <f>HYPERLINK("http://exon.niaid.nih.gov/transcriptome/Anopheles_sialome/links/cluster-b/anopheline-sialome-cds-pep-larger-orf90-50SimCLU2.txt", 2)</f>
        <v>2</v>
      </c>
      <c r="CM96">
        <f>HYPERLINK("http://exon.niaid.nih.gov/transcriptome/Anopheles_sialome/links/cluster-b/anopheline-sialome-cds-pep-larger-orf90-50SimCLTL2.txt", 15)</f>
        <v>15</v>
      </c>
      <c r="CN96">
        <f>HYPERLINK("http://exon.niaid.nih.gov/transcriptome/Anopheles_sialome/links/cluster-b/anopheline-sialome-cds-pep-larger-orf95-50SimCLU21.txt", 21)</f>
        <v>21</v>
      </c>
      <c r="CO96">
        <f>HYPERLINK("http://exon.niaid.nih.gov/transcriptome/Anopheles_sialome/links/cluster-b/anopheline-sialome-cds-pep-larger-orf95-50SimCLTL21.txt", 6)</f>
        <v>6</v>
      </c>
    </row>
    <row r="97" spans="1:93">
      <c r="A97" s="2" t="str">
        <f>HYPERLINK("http://exon.niaid.nih.gov/transcriptome/Anopheles_sialome/links/cds/anoara_Sal_Perox-cds.txt","anoara_Sal_Perox")</f>
        <v>anoara_Sal_Perox</v>
      </c>
      <c r="B97">
        <v>1773</v>
      </c>
      <c r="C97" t="s">
        <v>352</v>
      </c>
      <c r="D97" t="s">
        <v>4</v>
      </c>
      <c r="E97" t="s">
        <v>5</v>
      </c>
      <c r="F97" t="s">
        <v>1</v>
      </c>
      <c r="G97" t="str">
        <f>HYPERLINK("http://exon.niaid.nih.gov/transcriptome/Anopheles_sialome/links/pep/anoara_Sal_Perox-pep.txt","anoara_Sal_Perox")</f>
        <v>anoara_Sal_Perox</v>
      </c>
      <c r="H97">
        <v>590</v>
      </c>
      <c r="I97">
        <v>4</v>
      </c>
      <c r="J97" s="3" t="str">
        <f>HYPERLINK("http://exon.niaid.nih.gov/transcriptome/Anopheles_sialome/links/Sigp/anoara_Sal_Perox-SigP.txt","SIG")</f>
        <v>SIG</v>
      </c>
      <c r="K97" t="s">
        <v>689</v>
      </c>
      <c r="L97">
        <v>66.587999999999994</v>
      </c>
      <c r="M97">
        <v>8.68</v>
      </c>
      <c r="N97">
        <v>64.2</v>
      </c>
      <c r="O97">
        <v>8.58</v>
      </c>
      <c r="P97" t="s">
        <v>683</v>
      </c>
      <c r="Q97" s="3">
        <v>0</v>
      </c>
      <c r="R97" t="s">
        <v>128</v>
      </c>
      <c r="S97" t="s">
        <v>128</v>
      </c>
      <c r="T97" t="s">
        <v>128</v>
      </c>
      <c r="U97" t="s">
        <v>128</v>
      </c>
      <c r="V97" t="s">
        <v>128</v>
      </c>
      <c r="W97" s="3" t="str">
        <f>HYPERLINK("http://exon.niaid.nih.gov/transcriptome/Anopheles_sialome/links/netoglyc/anoara_Sal_Perox-netoglyc.txt","0")</f>
        <v>0</v>
      </c>
      <c r="X97">
        <v>12.7</v>
      </c>
      <c r="Y97">
        <v>6.6</v>
      </c>
      <c r="Z97">
        <v>5.8</v>
      </c>
      <c r="AA97" t="s">
        <v>654</v>
      </c>
      <c r="AB97" t="s">
        <v>128</v>
      </c>
      <c r="AC97" s="2" t="str">
        <f>HYPERLINK("http://exon.niaid.nih.gov/transcriptome/Anopheles_sialome/links/DIPTERA/anoara_Sal_Perox-DIPTERA.txt","AGAP010735-PA, partial")</f>
        <v>AGAP010735-PA, partial</v>
      </c>
      <c r="AD97" t="str">
        <f>HYPERLINK("http://www.ncbi.nlm.nih.gov/sutils/blink.cgi?pid=157018506","0.0")</f>
        <v>0.0</v>
      </c>
      <c r="AE97" t="str">
        <f>HYPERLINK("http://www.ncbi.nlm.nih.gov/protein/157018506","gi|157018506")</f>
        <v>gi|157018506</v>
      </c>
      <c r="AF97">
        <v>98</v>
      </c>
      <c r="AG97">
        <v>98</v>
      </c>
      <c r="AH97">
        <v>48</v>
      </c>
      <c r="AI97" t="s">
        <v>2285</v>
      </c>
      <c r="AJ97" s="2" t="str">
        <f>HYPERLINK("http://exon.niaid.nih.gov/transcriptome/Anopheles_sialome/links/CULICOMORPHA/anoara_Sal_Perox-CULICOMORPHA.txt","AGAP010735-PA, partial")</f>
        <v>AGAP010735-PA, partial</v>
      </c>
      <c r="AK97" t="str">
        <f>HYPERLINK("http://www.ncbi.nlm.nih.gov/sutils/blink.cgi?pid=157018506","0.0")</f>
        <v>0.0</v>
      </c>
      <c r="AL97" t="str">
        <f>HYPERLINK("http://www.ncbi.nlm.nih.gov/protein/157018506","gi|157018506")</f>
        <v>gi|157018506</v>
      </c>
      <c r="AM97">
        <v>98</v>
      </c>
      <c r="AN97">
        <v>98</v>
      </c>
      <c r="AO97">
        <v>48</v>
      </c>
      <c r="AP97" t="s">
        <v>2285</v>
      </c>
      <c r="AQ97" s="2" t="str">
        <f>HYPERLINK("http://exon.niaid.nih.gov/transcriptome/Anopheles_sialome/links/NR-LIGHT/anoara_Sal_Perox-NR-LIGHT.txt","AGAP010735-PA")</f>
        <v>AGAP010735-PA</v>
      </c>
      <c r="AR97" t="str">
        <f>HYPERLINK("http://www.ncbi.nlm.nih.gov/sutils/blink.cgi?pid=158289809","0.0")</f>
        <v>0.0</v>
      </c>
      <c r="AS97" t="str">
        <f>HYPERLINK("http://www.ncbi.nlm.nih.gov/protein/158289809","gi|158289809")</f>
        <v>gi|158289809</v>
      </c>
      <c r="AT97">
        <v>98</v>
      </c>
      <c r="AU97">
        <v>98</v>
      </c>
      <c r="AV97">
        <v>48</v>
      </c>
      <c r="AW97" t="s">
        <v>2285</v>
      </c>
      <c r="AX97" s="2" t="str">
        <f>HYPERLINK("http://exon.niaid.nih.gov/transcriptome/Anopheles_sialome/links/CDD/anoara_Sal_Perox-CDD.txt","An_peroxidase")</f>
        <v>An_peroxidase</v>
      </c>
      <c r="AY97" t="str">
        <f>HYPERLINK("http://www.ncbi.nlm.nih.gov/Structure/cdd/cddsrv.cgi?uid=pfam03098&amp;version=v4.0","1E-174")</f>
        <v>1E-174</v>
      </c>
      <c r="AZ97" t="s">
        <v>2789</v>
      </c>
      <c r="BA97" s="2" t="str">
        <f>HYPERLINK("http://exon.niaid.nih.gov/transcriptome/Anopheles_sialome/links/KOG/anoara_Sal_Perox-KOG.txt","Peroxidase/oxygenase")</f>
        <v>Peroxidase/oxygenase</v>
      </c>
      <c r="BB97" t="str">
        <f>HYPERLINK("http://www.ncbi.nlm.nih.gov/Structure/cdd/cddsrv.cgi?uid=KOG2408","1E-146")</f>
        <v>1E-146</v>
      </c>
      <c r="BC97" t="s">
        <v>2310</v>
      </c>
      <c r="BD97" t="str">
        <f>HYPERLINK("http://exon.niaid.nih.gov/transcriptome/Anopheles_sialome/links/KOG/anoara_Sal_Perox-KOG.txt","KOG2408")</f>
        <v>KOG2408</v>
      </c>
      <c r="BE97" t="str">
        <f>HYPERLINK("http://exon.niaid.nih.gov/transcriptome/Anopheles_sialome/links/PFAM/anoara_Sal_Perox-PFAM.txt","An_peroxidase")</f>
        <v>An_peroxidase</v>
      </c>
      <c r="BF97" t="str">
        <f>HYPERLINK("http://pfam.sanger.ac.uk/family?acc=PF03098","1E-174")</f>
        <v>1E-174</v>
      </c>
      <c r="BG97" s="2" t="str">
        <f>HYPERLINK("http://exon.niaid.nih.gov/transcriptome/Anopheles_sialome/links/SMART/anoara_Sal_Perox-SMART.txt","HYDRO")</f>
        <v>HYDRO</v>
      </c>
      <c r="BH97" t="str">
        <f>HYPERLINK("http://smart.embl-heidelberg.de/smart/do_annotation.pl?DOMAIN=HYDRO&amp;BLAST=DUMMY","3.1")</f>
        <v>3.1</v>
      </c>
      <c r="BI97" t="s">
        <v>128</v>
      </c>
      <c r="BJ97" s="2" t="s">
        <v>128</v>
      </c>
      <c r="BK97" t="s">
        <v>1593</v>
      </c>
      <c r="BL97">
        <f>HYPERLINK("http://exon.niaid.nih.gov/transcriptome/Anopheles_sialome/links/cluster-b/anopheline-sialome-cds-pep-larger-orf25-50SimCLU11.txt", 11)</f>
        <v>11</v>
      </c>
      <c r="BM97">
        <f>HYPERLINK("http://exon.niaid.nih.gov/transcriptome/Anopheles_sialome/links/cluster-b/anopheline-sialome-cds-pep-larger-orf25-50SimCLTL11.txt", 19)</f>
        <v>19</v>
      </c>
      <c r="BN97">
        <f>HYPERLINK("http://exon.niaid.nih.gov/transcriptome/Anopheles_sialome/links/cluster-b/anopheline-sialome-cds-pep-larger-orf30-50SimCLU10.txt", 10)</f>
        <v>10</v>
      </c>
      <c r="BO97">
        <f>HYPERLINK("http://exon.niaid.nih.gov/transcriptome/Anopheles_sialome/links/cluster-b/anopheline-sialome-cds-pep-larger-orf30-50SimCLTL10.txt", 19)</f>
        <v>19</v>
      </c>
      <c r="BP97">
        <f>HYPERLINK("http://exon.niaid.nih.gov/transcriptome/Anopheles_sialome/links/cluster-b/anopheline-sialome-cds-pep-larger-orf35-50SimCLU12.txt", 12)</f>
        <v>12</v>
      </c>
      <c r="BQ97">
        <f>HYPERLINK("http://exon.niaid.nih.gov/transcriptome/Anopheles_sialome/links/cluster-b/anopheline-sialome-cds-pep-larger-orf35-50SimCLTL12.txt", 19)</f>
        <v>19</v>
      </c>
      <c r="BR97">
        <f>HYPERLINK("http://exon.niaid.nih.gov/transcriptome/Anopheles_sialome/links/cluster-b/anopheline-sialome-cds-pep-larger-orf40-50SimCLU14.txt", 14)</f>
        <v>14</v>
      </c>
      <c r="BS97">
        <f>HYPERLINK("http://exon.niaid.nih.gov/transcriptome/Anopheles_sialome/links/cluster-b/anopheline-sialome-cds-pep-larger-orf40-50SimCLTL14.txt", 19)</f>
        <v>19</v>
      </c>
      <c r="BT97">
        <f>HYPERLINK("http://exon.niaid.nih.gov/transcriptome/Anopheles_sialome/links/cluster-b/anopheline-sialome-cds-pep-larger-orf45-50SimCLU14.txt", 14)</f>
        <v>14</v>
      </c>
      <c r="BU97">
        <f>HYPERLINK("http://exon.niaid.nih.gov/transcriptome/Anopheles_sialome/links/cluster-b/anopheline-sialome-cds-pep-larger-orf45-50SimCLTL14.txt", 19)</f>
        <v>19</v>
      </c>
      <c r="BV97">
        <f>HYPERLINK("http://exon.niaid.nih.gov/transcriptome/Anopheles_sialome/links/cluster-b/anopheline-sialome-cds-pep-larger-orf50-50SimCLU13.txt", 13)</f>
        <v>13</v>
      </c>
      <c r="BW97">
        <f>HYPERLINK("http://exon.niaid.nih.gov/transcriptome/Anopheles_sialome/links/cluster-b/anopheline-sialome-cds-pep-larger-orf50-50SimCLTL13.txt", 19)</f>
        <v>19</v>
      </c>
      <c r="BX97">
        <f>HYPERLINK("http://exon.niaid.nih.gov/transcriptome/Anopheles_sialome/links/cluster-b/anopheline-sialome-cds-pep-larger-orf55-50SimCLU14.txt", 14)</f>
        <v>14</v>
      </c>
      <c r="BY97">
        <f>HYPERLINK("http://exon.niaid.nih.gov/transcriptome/Anopheles_sialome/links/cluster-b/anopheline-sialome-cds-pep-larger-orf55-50SimCLTL14.txt", 19)</f>
        <v>19</v>
      </c>
      <c r="BZ97">
        <f>HYPERLINK("http://exon.niaid.nih.gov/transcriptome/Anopheles_sialome/links/cluster-b/anopheline-sialome-cds-pep-larger-orf60-50SimCLU13.txt", 13)</f>
        <v>13</v>
      </c>
      <c r="CA97">
        <f>HYPERLINK("http://exon.niaid.nih.gov/transcriptome/Anopheles_sialome/links/cluster-b/anopheline-sialome-cds-pep-larger-orf60-50SimCLTL13.txt", 19)</f>
        <v>19</v>
      </c>
      <c r="CB97">
        <f>HYPERLINK("http://exon.niaid.nih.gov/transcriptome/Anopheles_sialome/links/cluster-b/anopheline-sialome-cds-pep-larger-orf65-50SimCLU11.txt", 11)</f>
        <v>11</v>
      </c>
      <c r="CC97">
        <f>HYPERLINK("http://exon.niaid.nih.gov/transcriptome/Anopheles_sialome/links/cluster-b/anopheline-sialome-cds-pep-larger-orf65-50SimCLTL11.txt", 19)</f>
        <v>19</v>
      </c>
      <c r="CD97">
        <f>HYPERLINK("http://exon.niaid.nih.gov/transcriptome/Anopheles_sialome/links/cluster-b/anopheline-sialome-cds-pep-larger-orf70-50SimCLU10.txt", 10)</f>
        <v>10</v>
      </c>
      <c r="CE97">
        <f>HYPERLINK("http://exon.niaid.nih.gov/transcriptome/Anopheles_sialome/links/cluster-b/anopheline-sialome-cds-pep-larger-orf70-50SimCLTL10.txt", 19)</f>
        <v>19</v>
      </c>
      <c r="CF97">
        <f>HYPERLINK("http://exon.niaid.nih.gov/transcriptome/Anopheles_sialome/links/cluster-b/anopheline-sialome-cds-pep-larger-orf75-50SimCLU17.txt", 17)</f>
        <v>17</v>
      </c>
      <c r="CG97">
        <f>HYPERLINK("http://exon.niaid.nih.gov/transcriptome/Anopheles_sialome/links/cluster-b/anopheline-sialome-cds-pep-larger-orf75-50SimCLTL17.txt", 16)</f>
        <v>16</v>
      </c>
      <c r="CH97">
        <f>HYPERLINK("http://exon.niaid.nih.gov/transcriptome/Anopheles_sialome/links/cluster-b/anopheline-sialome-cds-pep-larger-orf80-50SimCLU11.txt", 11)</f>
        <v>11</v>
      </c>
      <c r="CI97">
        <f>HYPERLINK("http://exon.niaid.nih.gov/transcriptome/Anopheles_sialome/links/cluster-b/anopheline-sialome-cds-pep-larger-orf80-50SimCLTL11.txt", 16)</f>
        <v>16</v>
      </c>
      <c r="CJ97">
        <f>HYPERLINK("http://exon.niaid.nih.gov/transcriptome/Anopheles_sialome/links/cluster-b/anopheline-sialome-cds-pep-larger-orf85-50SimCLU7.txt", 7)</f>
        <v>7</v>
      </c>
      <c r="CK97">
        <f>HYPERLINK("http://exon.niaid.nih.gov/transcriptome/Anopheles_sialome/links/cluster-b/anopheline-sialome-cds-pep-larger-orf85-50SimCLTL7.txt", 16)</f>
        <v>16</v>
      </c>
      <c r="CL97">
        <f>HYPERLINK("http://exon.niaid.nih.gov/transcriptome/Anopheles_sialome/links/cluster-b/anopheline-sialome-cds-pep-larger-orf90-50SimCLU2.txt", 2)</f>
        <v>2</v>
      </c>
      <c r="CM97">
        <f>HYPERLINK("http://exon.niaid.nih.gov/transcriptome/Anopheles_sialome/links/cluster-b/anopheline-sialome-cds-pep-larger-orf90-50SimCLTL2.txt", 15)</f>
        <v>15</v>
      </c>
      <c r="CN97">
        <f>HYPERLINK("http://exon.niaid.nih.gov/transcriptome/Anopheles_sialome/links/cluster-b/anopheline-sialome-cds-pep-larger-orf95-50SimCLU21.txt", 21)</f>
        <v>21</v>
      </c>
      <c r="CO97">
        <f>HYPERLINK("http://exon.niaid.nih.gov/transcriptome/Anopheles_sialome/links/cluster-b/anopheline-sialome-cds-pep-larger-orf95-50SimCLTL21.txt", 6)</f>
        <v>6</v>
      </c>
    </row>
    <row r="98" spans="1:93">
      <c r="A98" s="2" t="str">
        <f>HYPERLINK("http://exon.niaid.nih.gov/transcriptome/Anopheles_sialome/links/cds/anoqua_Sal_Perox-cds.txt","anoqua_Sal_Perox")</f>
        <v>anoqua_Sal_Perox</v>
      </c>
      <c r="B98">
        <v>1773</v>
      </c>
      <c r="C98" t="s">
        <v>353</v>
      </c>
      <c r="D98" t="s">
        <v>4</v>
      </c>
      <c r="E98" t="s">
        <v>5</v>
      </c>
      <c r="F98" t="s">
        <v>1</v>
      </c>
      <c r="G98" t="str">
        <f>HYPERLINK("http://exon.niaid.nih.gov/transcriptome/Anopheles_sialome/links/pep/anoqua_Sal_Perox-pep.txt","anoqua_Sal_Perox")</f>
        <v>anoqua_Sal_Perox</v>
      </c>
      <c r="H98">
        <v>590</v>
      </c>
      <c r="I98">
        <v>4</v>
      </c>
      <c r="J98" s="3" t="str">
        <f>HYPERLINK("http://exon.niaid.nih.gov/transcriptome/Anopheles_sialome/links/Sigp/anoqua_Sal_Perox-SigP.txt","SIG")</f>
        <v>SIG</v>
      </c>
      <c r="K98" t="s">
        <v>689</v>
      </c>
      <c r="L98">
        <v>66.463999999999999</v>
      </c>
      <c r="M98">
        <v>8.68</v>
      </c>
      <c r="N98">
        <v>64.105999999999995</v>
      </c>
      <c r="O98">
        <v>8.58</v>
      </c>
      <c r="P98" t="s">
        <v>1595</v>
      </c>
      <c r="Q98" s="3">
        <v>0</v>
      </c>
      <c r="R98" t="s">
        <v>128</v>
      </c>
      <c r="S98" t="s">
        <v>128</v>
      </c>
      <c r="T98" t="s">
        <v>128</v>
      </c>
      <c r="U98" t="s">
        <v>128</v>
      </c>
      <c r="V98" t="s">
        <v>128</v>
      </c>
      <c r="W98" s="3" t="str">
        <f>HYPERLINK("http://exon.niaid.nih.gov/transcriptome/Anopheles_sialome/links/netoglyc/anoqua_Sal_Perox-netoglyc.txt","0")</f>
        <v>0</v>
      </c>
      <c r="X98">
        <v>12.4</v>
      </c>
      <c r="Y98">
        <v>6.6</v>
      </c>
      <c r="Z98">
        <v>6.3</v>
      </c>
      <c r="AA98" t="s">
        <v>654</v>
      </c>
      <c r="AB98" t="s">
        <v>128</v>
      </c>
      <c r="AC98" s="2" t="str">
        <f>HYPERLINK("http://exon.niaid.nih.gov/transcriptome/Anopheles_sialome/links/DIPTERA/anoqua_Sal_Perox-DIPTERA.txt","AGAP010735-PA, partial")</f>
        <v>AGAP010735-PA, partial</v>
      </c>
      <c r="AD98" t="str">
        <f t="shared" ref="AD98" si="63">HYPERLINK("http://www.ncbi.nlm.nih.gov/sutils/blink.cgi?pid=157018506","0.0")</f>
        <v>0.0</v>
      </c>
      <c r="AE98" t="str">
        <f t="shared" ref="AE98" si="64">HYPERLINK("http://www.ncbi.nlm.nih.gov/protein/157018506","gi|157018506")</f>
        <v>gi|157018506</v>
      </c>
      <c r="AF98">
        <v>98</v>
      </c>
      <c r="AG98">
        <v>98</v>
      </c>
      <c r="AH98">
        <v>48</v>
      </c>
      <c r="AI98" t="s">
        <v>2285</v>
      </c>
      <c r="AJ98" s="2" t="str">
        <f>HYPERLINK("http://exon.niaid.nih.gov/transcriptome/Anopheles_sialome/links/CULICOMORPHA/anoqua_Sal_Perox-CULICOMORPHA.txt","AGAP010735-PA, partial")</f>
        <v>AGAP010735-PA, partial</v>
      </c>
      <c r="AK98" t="str">
        <f t="shared" ref="AK98" si="65">HYPERLINK("http://www.ncbi.nlm.nih.gov/sutils/blink.cgi?pid=157018506","0.0")</f>
        <v>0.0</v>
      </c>
      <c r="AL98" t="str">
        <f t="shared" ref="AL98" si="66">HYPERLINK("http://www.ncbi.nlm.nih.gov/protein/157018506","gi|157018506")</f>
        <v>gi|157018506</v>
      </c>
      <c r="AM98">
        <v>98</v>
      </c>
      <c r="AN98">
        <v>98</v>
      </c>
      <c r="AO98">
        <v>48</v>
      </c>
      <c r="AP98" t="s">
        <v>2285</v>
      </c>
      <c r="AQ98" s="2" t="str">
        <f>HYPERLINK("http://exon.niaid.nih.gov/transcriptome/Anopheles_sialome/links/NR-LIGHT/anoqua_Sal_Perox-NR-LIGHT.txt","AGAP010735-PA")</f>
        <v>AGAP010735-PA</v>
      </c>
      <c r="AR98" t="str">
        <f t="shared" ref="AR98" si="67">HYPERLINK("http://www.ncbi.nlm.nih.gov/sutils/blink.cgi?pid=158289809","0.0")</f>
        <v>0.0</v>
      </c>
      <c r="AS98" t="str">
        <f t="shared" ref="AS98" si="68">HYPERLINK("http://www.ncbi.nlm.nih.gov/protein/158289809","gi|158289809")</f>
        <v>gi|158289809</v>
      </c>
      <c r="AT98">
        <v>98</v>
      </c>
      <c r="AU98">
        <v>98</v>
      </c>
      <c r="AV98">
        <v>48</v>
      </c>
      <c r="AW98" t="s">
        <v>2285</v>
      </c>
      <c r="AX98" s="2" t="str">
        <f>HYPERLINK("http://exon.niaid.nih.gov/transcriptome/Anopheles_sialome/links/CDD/anoqua_Sal_Perox-CDD.txt","An_peroxidase")</f>
        <v>An_peroxidase</v>
      </c>
      <c r="AY98" t="str">
        <f>HYPERLINK("http://www.ncbi.nlm.nih.gov/Structure/cdd/cddsrv.cgi?uid=pfam03098&amp;version=v4.0","1E-174")</f>
        <v>1E-174</v>
      </c>
      <c r="AZ98" t="s">
        <v>2790</v>
      </c>
      <c r="BA98" s="2" t="str">
        <f>HYPERLINK("http://exon.niaid.nih.gov/transcriptome/Anopheles_sialome/links/KOG/anoqua_Sal_Perox-KOG.txt","Peroxidase/oxygenase")</f>
        <v>Peroxidase/oxygenase</v>
      </c>
      <c r="BB98" t="str">
        <f>HYPERLINK("http://www.ncbi.nlm.nih.gov/Structure/cdd/cddsrv.cgi?uid=KOG2408","1E-145")</f>
        <v>1E-145</v>
      </c>
      <c r="BC98" t="s">
        <v>2310</v>
      </c>
      <c r="BD98" t="str">
        <f>HYPERLINK("http://exon.niaid.nih.gov/transcriptome/Anopheles_sialome/links/KOG/anoqua_Sal_Perox-KOG.txt","KOG2408")</f>
        <v>KOG2408</v>
      </c>
      <c r="BE98" t="str">
        <f>HYPERLINK("http://exon.niaid.nih.gov/transcriptome/Anopheles_sialome/links/PFAM/anoqua_Sal_Perox-PFAM.txt","An_peroxidase")</f>
        <v>An_peroxidase</v>
      </c>
      <c r="BF98" t="str">
        <f>HYPERLINK("http://pfam.sanger.ac.uk/family?acc=PF03098","1E-175")</f>
        <v>1E-175</v>
      </c>
      <c r="BG98" s="2" t="str">
        <f>HYPERLINK("http://exon.niaid.nih.gov/transcriptome/Anopheles_sialome/links/SMART/anoqua_Sal_Perox-SMART.txt","CYCc")</f>
        <v>CYCc</v>
      </c>
      <c r="BH98" t="str">
        <f>HYPERLINK("http://smart.embl-heidelberg.de/smart/do_annotation.pl?DOMAIN=CYCc&amp;BLAST=DUMMY","2.4")</f>
        <v>2.4</v>
      </c>
      <c r="BI98" t="s">
        <v>128</v>
      </c>
      <c r="BJ98" s="2" t="s">
        <v>128</v>
      </c>
      <c r="BK98" t="s">
        <v>1594</v>
      </c>
      <c r="BL98">
        <f>HYPERLINK("http://exon.niaid.nih.gov/transcriptome/Anopheles_sialome/links/cluster-b/anopheline-sialome-cds-pep-larger-orf25-50SimCLU11.txt", 11)</f>
        <v>11</v>
      </c>
      <c r="BM98">
        <f>HYPERLINK("http://exon.niaid.nih.gov/transcriptome/Anopheles_sialome/links/cluster-b/anopheline-sialome-cds-pep-larger-orf25-50SimCLTL11.txt", 19)</f>
        <v>19</v>
      </c>
      <c r="BN98">
        <f>HYPERLINK("http://exon.niaid.nih.gov/transcriptome/Anopheles_sialome/links/cluster-b/anopheline-sialome-cds-pep-larger-orf30-50SimCLU10.txt", 10)</f>
        <v>10</v>
      </c>
      <c r="BO98">
        <f>HYPERLINK("http://exon.niaid.nih.gov/transcriptome/Anopheles_sialome/links/cluster-b/anopheline-sialome-cds-pep-larger-orf30-50SimCLTL10.txt", 19)</f>
        <v>19</v>
      </c>
      <c r="BP98">
        <f>HYPERLINK("http://exon.niaid.nih.gov/transcriptome/Anopheles_sialome/links/cluster-b/anopheline-sialome-cds-pep-larger-orf35-50SimCLU12.txt", 12)</f>
        <v>12</v>
      </c>
      <c r="BQ98">
        <f>HYPERLINK("http://exon.niaid.nih.gov/transcriptome/Anopheles_sialome/links/cluster-b/anopheline-sialome-cds-pep-larger-orf35-50SimCLTL12.txt", 19)</f>
        <v>19</v>
      </c>
      <c r="BR98">
        <f>HYPERLINK("http://exon.niaid.nih.gov/transcriptome/Anopheles_sialome/links/cluster-b/anopheline-sialome-cds-pep-larger-orf40-50SimCLU14.txt", 14)</f>
        <v>14</v>
      </c>
      <c r="BS98">
        <f>HYPERLINK("http://exon.niaid.nih.gov/transcriptome/Anopheles_sialome/links/cluster-b/anopheline-sialome-cds-pep-larger-orf40-50SimCLTL14.txt", 19)</f>
        <v>19</v>
      </c>
      <c r="BT98">
        <f>HYPERLINK("http://exon.niaid.nih.gov/transcriptome/Anopheles_sialome/links/cluster-b/anopheline-sialome-cds-pep-larger-orf45-50SimCLU14.txt", 14)</f>
        <v>14</v>
      </c>
      <c r="BU98">
        <f>HYPERLINK("http://exon.niaid.nih.gov/transcriptome/Anopheles_sialome/links/cluster-b/anopheline-sialome-cds-pep-larger-orf45-50SimCLTL14.txt", 19)</f>
        <v>19</v>
      </c>
      <c r="BV98">
        <f>HYPERLINK("http://exon.niaid.nih.gov/transcriptome/Anopheles_sialome/links/cluster-b/anopheline-sialome-cds-pep-larger-orf50-50SimCLU13.txt", 13)</f>
        <v>13</v>
      </c>
      <c r="BW98">
        <f>HYPERLINK("http://exon.niaid.nih.gov/transcriptome/Anopheles_sialome/links/cluster-b/anopheline-sialome-cds-pep-larger-orf50-50SimCLTL13.txt", 19)</f>
        <v>19</v>
      </c>
      <c r="BX98">
        <f>HYPERLINK("http://exon.niaid.nih.gov/transcriptome/Anopheles_sialome/links/cluster-b/anopheline-sialome-cds-pep-larger-orf55-50SimCLU14.txt", 14)</f>
        <v>14</v>
      </c>
      <c r="BY98">
        <f>HYPERLINK("http://exon.niaid.nih.gov/transcriptome/Anopheles_sialome/links/cluster-b/anopheline-sialome-cds-pep-larger-orf55-50SimCLTL14.txt", 19)</f>
        <v>19</v>
      </c>
      <c r="BZ98">
        <f>HYPERLINK("http://exon.niaid.nih.gov/transcriptome/Anopheles_sialome/links/cluster-b/anopheline-sialome-cds-pep-larger-orf60-50SimCLU13.txt", 13)</f>
        <v>13</v>
      </c>
      <c r="CA98">
        <f>HYPERLINK("http://exon.niaid.nih.gov/transcriptome/Anopheles_sialome/links/cluster-b/anopheline-sialome-cds-pep-larger-orf60-50SimCLTL13.txt", 19)</f>
        <v>19</v>
      </c>
      <c r="CB98">
        <f>HYPERLINK("http://exon.niaid.nih.gov/transcriptome/Anopheles_sialome/links/cluster-b/anopheline-sialome-cds-pep-larger-orf65-50SimCLU11.txt", 11)</f>
        <v>11</v>
      </c>
      <c r="CC98">
        <f>HYPERLINK("http://exon.niaid.nih.gov/transcriptome/Anopheles_sialome/links/cluster-b/anopheline-sialome-cds-pep-larger-orf65-50SimCLTL11.txt", 19)</f>
        <v>19</v>
      </c>
      <c r="CD98">
        <f>HYPERLINK("http://exon.niaid.nih.gov/transcriptome/Anopheles_sialome/links/cluster-b/anopheline-sialome-cds-pep-larger-orf70-50SimCLU10.txt", 10)</f>
        <v>10</v>
      </c>
      <c r="CE98">
        <f>HYPERLINK("http://exon.niaid.nih.gov/transcriptome/Anopheles_sialome/links/cluster-b/anopheline-sialome-cds-pep-larger-orf70-50SimCLTL10.txt", 19)</f>
        <v>19</v>
      </c>
      <c r="CF98">
        <f>HYPERLINK("http://exon.niaid.nih.gov/transcriptome/Anopheles_sialome/links/cluster-b/anopheline-sialome-cds-pep-larger-orf75-50SimCLU17.txt", 17)</f>
        <v>17</v>
      </c>
      <c r="CG98">
        <f>HYPERLINK("http://exon.niaid.nih.gov/transcriptome/Anopheles_sialome/links/cluster-b/anopheline-sialome-cds-pep-larger-orf75-50SimCLTL17.txt", 16)</f>
        <v>16</v>
      </c>
      <c r="CH98">
        <f>HYPERLINK("http://exon.niaid.nih.gov/transcriptome/Anopheles_sialome/links/cluster-b/anopheline-sialome-cds-pep-larger-orf80-50SimCLU11.txt", 11)</f>
        <v>11</v>
      </c>
      <c r="CI98">
        <f>HYPERLINK("http://exon.niaid.nih.gov/transcriptome/Anopheles_sialome/links/cluster-b/anopheline-sialome-cds-pep-larger-orf80-50SimCLTL11.txt", 16)</f>
        <v>16</v>
      </c>
      <c r="CJ98">
        <f>HYPERLINK("http://exon.niaid.nih.gov/transcriptome/Anopheles_sialome/links/cluster-b/anopheline-sialome-cds-pep-larger-orf85-50SimCLU7.txt", 7)</f>
        <v>7</v>
      </c>
      <c r="CK98">
        <f>HYPERLINK("http://exon.niaid.nih.gov/transcriptome/Anopheles_sialome/links/cluster-b/anopheline-sialome-cds-pep-larger-orf85-50SimCLTL7.txt", 16)</f>
        <v>16</v>
      </c>
      <c r="CL98">
        <f>HYPERLINK("http://exon.niaid.nih.gov/transcriptome/Anopheles_sialome/links/cluster-b/anopheline-sialome-cds-pep-larger-orf90-50SimCLU2.txt", 2)</f>
        <v>2</v>
      </c>
      <c r="CM98">
        <f>HYPERLINK("http://exon.niaid.nih.gov/transcriptome/Anopheles_sialome/links/cluster-b/anopheline-sialome-cds-pep-larger-orf90-50SimCLTL2.txt", 15)</f>
        <v>15</v>
      </c>
      <c r="CN98">
        <f>HYPERLINK("http://exon.niaid.nih.gov/transcriptome/Anopheles_sialome/links/cluster-b/anopheline-sialome-cds-pep-larger-orf95-50SimCLU21.txt", 21)</f>
        <v>21</v>
      </c>
      <c r="CO98">
        <f>HYPERLINK("http://exon.niaid.nih.gov/transcriptome/Anopheles_sialome/links/cluster-b/anopheline-sialome-cds-pep-larger-orf95-50SimCLTL21.txt", 6)</f>
        <v>6</v>
      </c>
    </row>
    <row r="99" spans="1:93">
      <c r="A99" s="2" t="str">
        <f>HYPERLINK("http://exon.niaid.nih.gov/transcriptome/Anopheles_sialome/links/cds/anomer_Sal_Perox-cds.txt","anomer_Sal_Perox")</f>
        <v>anomer_Sal_Perox</v>
      </c>
      <c r="B99">
        <v>1773</v>
      </c>
      <c r="C99" t="s">
        <v>354</v>
      </c>
      <c r="D99" t="s">
        <v>4</v>
      </c>
      <c r="E99" t="s">
        <v>5</v>
      </c>
      <c r="F99" t="s">
        <v>1</v>
      </c>
      <c r="G99" t="str">
        <f>HYPERLINK("http://exon.niaid.nih.gov/transcriptome/Anopheles_sialome/links/pep/anomer_Sal_Perox-pep.txt","anomer_Sal_Perox")</f>
        <v>anomer_Sal_Perox</v>
      </c>
      <c r="H99">
        <v>590</v>
      </c>
      <c r="I99">
        <v>4</v>
      </c>
      <c r="J99" s="3" t="str">
        <f>HYPERLINK("http://exon.niaid.nih.gov/transcriptome/Anopheles_sialome/links/Sigp/anomer_Sal_Perox-SigP.txt","SIG")</f>
        <v>SIG</v>
      </c>
      <c r="K99" t="s">
        <v>689</v>
      </c>
      <c r="L99">
        <v>66.498000000000005</v>
      </c>
      <c r="M99">
        <v>8.68</v>
      </c>
      <c r="N99">
        <v>64.134</v>
      </c>
      <c r="O99">
        <v>8.58</v>
      </c>
      <c r="P99" t="s">
        <v>943</v>
      </c>
      <c r="Q99" s="3">
        <v>0</v>
      </c>
      <c r="R99" t="s">
        <v>128</v>
      </c>
      <c r="S99" t="s">
        <v>128</v>
      </c>
      <c r="T99" t="s">
        <v>128</v>
      </c>
      <c r="U99" t="s">
        <v>128</v>
      </c>
      <c r="V99" t="s">
        <v>128</v>
      </c>
      <c r="W99" s="3" t="str">
        <f>HYPERLINK("http://exon.niaid.nih.gov/transcriptome/Anopheles_sialome/links/netoglyc/anomer_Sal_Perox-netoglyc.txt","0")</f>
        <v>0</v>
      </c>
      <c r="X99">
        <v>12.4</v>
      </c>
      <c r="Y99">
        <v>6.6</v>
      </c>
      <c r="Z99">
        <v>6.3</v>
      </c>
      <c r="AA99" t="s">
        <v>654</v>
      </c>
      <c r="AB99" t="s">
        <v>128</v>
      </c>
      <c r="AC99" s="2" t="str">
        <f>HYPERLINK("http://exon.niaid.nih.gov/transcriptome/Anopheles_sialome/links/DIPTERA/anomer_Sal_Perox-DIPTERA.txt","AGAP010735-PA, partial")</f>
        <v>AGAP010735-PA, partial</v>
      </c>
      <c r="AD99" t="str">
        <f t="shared" ref="AD99:AD100" si="69">HYPERLINK("http://www.ncbi.nlm.nih.gov/sutils/blink.cgi?pid=157018506","0.0")</f>
        <v>0.0</v>
      </c>
      <c r="AE99" t="str">
        <f t="shared" ref="AE99:AE100" si="70">HYPERLINK("http://www.ncbi.nlm.nih.gov/protein/157018506","gi|157018506")</f>
        <v>gi|157018506</v>
      </c>
      <c r="AF99">
        <v>97</v>
      </c>
      <c r="AG99">
        <v>98</v>
      </c>
      <c r="AH99">
        <v>48</v>
      </c>
      <c r="AI99" t="s">
        <v>2285</v>
      </c>
      <c r="AJ99" s="2" t="str">
        <f>HYPERLINK("http://exon.niaid.nih.gov/transcriptome/Anopheles_sialome/links/CULICOMORPHA/anomer_Sal_Perox-CULICOMORPHA.txt","AGAP010735-PA, partial")</f>
        <v>AGAP010735-PA, partial</v>
      </c>
      <c r="AK99" t="str">
        <f t="shared" ref="AK99:AK100" si="71">HYPERLINK("http://www.ncbi.nlm.nih.gov/sutils/blink.cgi?pid=157018506","0.0")</f>
        <v>0.0</v>
      </c>
      <c r="AL99" t="str">
        <f t="shared" ref="AL99:AL100" si="72">HYPERLINK("http://www.ncbi.nlm.nih.gov/protein/157018506","gi|157018506")</f>
        <v>gi|157018506</v>
      </c>
      <c r="AM99">
        <v>97</v>
      </c>
      <c r="AN99">
        <v>98</v>
      </c>
      <c r="AO99">
        <v>48</v>
      </c>
      <c r="AP99" t="s">
        <v>2285</v>
      </c>
      <c r="AQ99" s="2" t="str">
        <f>HYPERLINK("http://exon.niaid.nih.gov/transcriptome/Anopheles_sialome/links/NR-LIGHT/anomer_Sal_Perox-NR-LIGHT.txt","AGAP010735-PA")</f>
        <v>AGAP010735-PA</v>
      </c>
      <c r="AR99" t="str">
        <f t="shared" ref="AR99:AR100" si="73">HYPERLINK("http://www.ncbi.nlm.nih.gov/sutils/blink.cgi?pid=158289809","0.0")</f>
        <v>0.0</v>
      </c>
      <c r="AS99" t="str">
        <f t="shared" ref="AS99:AS100" si="74">HYPERLINK("http://www.ncbi.nlm.nih.gov/protein/158289809","gi|158289809")</f>
        <v>gi|158289809</v>
      </c>
      <c r="AT99">
        <v>97</v>
      </c>
      <c r="AU99">
        <v>98</v>
      </c>
      <c r="AV99">
        <v>48</v>
      </c>
      <c r="AW99" t="s">
        <v>2285</v>
      </c>
      <c r="AX99" s="2" t="str">
        <f>HYPERLINK("http://exon.niaid.nih.gov/transcriptome/Anopheles_sialome/links/CDD/anomer_Sal_Perox-CDD.txt","An_peroxidase")</f>
        <v>An_peroxidase</v>
      </c>
      <c r="AY99" t="str">
        <f>HYPERLINK("http://www.ncbi.nlm.nih.gov/Structure/cdd/cddsrv.cgi?uid=pfam03098&amp;version=v4.0","1E-174")</f>
        <v>1E-174</v>
      </c>
      <c r="AZ99" t="s">
        <v>2791</v>
      </c>
      <c r="BA99" s="2" t="str">
        <f>HYPERLINK("http://exon.niaid.nih.gov/transcriptome/Anopheles_sialome/links/KOG/anomer_Sal_Perox-KOG.txt","Peroxidase/oxygenase")</f>
        <v>Peroxidase/oxygenase</v>
      </c>
      <c r="BB99" t="str">
        <f>HYPERLINK("http://www.ncbi.nlm.nih.gov/Structure/cdd/cddsrv.cgi?uid=KOG2408","1E-145")</f>
        <v>1E-145</v>
      </c>
      <c r="BC99" t="s">
        <v>2310</v>
      </c>
      <c r="BD99" t="str">
        <f>HYPERLINK("http://exon.niaid.nih.gov/transcriptome/Anopheles_sialome/links/KOG/anomer_Sal_Perox-KOG.txt","KOG2408")</f>
        <v>KOG2408</v>
      </c>
      <c r="BE99" t="str">
        <f>HYPERLINK("http://exon.niaid.nih.gov/transcriptome/Anopheles_sialome/links/PFAM/anomer_Sal_Perox-PFAM.txt","An_peroxidase")</f>
        <v>An_peroxidase</v>
      </c>
      <c r="BF99" t="str">
        <f>HYPERLINK("http://pfam.sanger.ac.uk/family?acc=PF03098","1E-175")</f>
        <v>1E-175</v>
      </c>
      <c r="BG99" s="2" t="str">
        <f>HYPERLINK("http://exon.niaid.nih.gov/transcriptome/Anopheles_sialome/links/SMART/anomer_Sal_Perox-SMART.txt","TBOX")</f>
        <v>TBOX</v>
      </c>
      <c r="BH99" t="str">
        <f>HYPERLINK("http://smart.embl-heidelberg.de/smart/do_annotation.pl?DOMAIN=TBOX&amp;BLAST=DUMMY","1.4")</f>
        <v>1.4</v>
      </c>
      <c r="BI99" t="s">
        <v>128</v>
      </c>
      <c r="BJ99" s="2" t="s">
        <v>128</v>
      </c>
      <c r="BK99" t="s">
        <v>1596</v>
      </c>
      <c r="BL99">
        <f>HYPERLINK("http://exon.niaid.nih.gov/transcriptome/Anopheles_sialome/links/cluster-b/anopheline-sialome-cds-pep-larger-orf25-50SimCLU11.txt", 11)</f>
        <v>11</v>
      </c>
      <c r="BM99">
        <f>HYPERLINK("http://exon.niaid.nih.gov/transcriptome/Anopheles_sialome/links/cluster-b/anopheline-sialome-cds-pep-larger-orf25-50SimCLTL11.txt", 19)</f>
        <v>19</v>
      </c>
      <c r="BN99">
        <f>HYPERLINK("http://exon.niaid.nih.gov/transcriptome/Anopheles_sialome/links/cluster-b/anopheline-sialome-cds-pep-larger-orf30-50SimCLU10.txt", 10)</f>
        <v>10</v>
      </c>
      <c r="BO99">
        <f>HYPERLINK("http://exon.niaid.nih.gov/transcriptome/Anopheles_sialome/links/cluster-b/anopheline-sialome-cds-pep-larger-orf30-50SimCLTL10.txt", 19)</f>
        <v>19</v>
      </c>
      <c r="BP99">
        <f>HYPERLINK("http://exon.niaid.nih.gov/transcriptome/Anopheles_sialome/links/cluster-b/anopheline-sialome-cds-pep-larger-orf35-50SimCLU12.txt", 12)</f>
        <v>12</v>
      </c>
      <c r="BQ99">
        <f>HYPERLINK("http://exon.niaid.nih.gov/transcriptome/Anopheles_sialome/links/cluster-b/anopheline-sialome-cds-pep-larger-orf35-50SimCLTL12.txt", 19)</f>
        <v>19</v>
      </c>
      <c r="BR99">
        <f>HYPERLINK("http://exon.niaid.nih.gov/transcriptome/Anopheles_sialome/links/cluster-b/anopheline-sialome-cds-pep-larger-orf40-50SimCLU14.txt", 14)</f>
        <v>14</v>
      </c>
      <c r="BS99">
        <f>HYPERLINK("http://exon.niaid.nih.gov/transcriptome/Anopheles_sialome/links/cluster-b/anopheline-sialome-cds-pep-larger-orf40-50SimCLTL14.txt", 19)</f>
        <v>19</v>
      </c>
      <c r="BT99">
        <f>HYPERLINK("http://exon.niaid.nih.gov/transcriptome/Anopheles_sialome/links/cluster-b/anopheline-sialome-cds-pep-larger-orf45-50SimCLU14.txt", 14)</f>
        <v>14</v>
      </c>
      <c r="BU99">
        <f>HYPERLINK("http://exon.niaid.nih.gov/transcriptome/Anopheles_sialome/links/cluster-b/anopheline-sialome-cds-pep-larger-orf45-50SimCLTL14.txt", 19)</f>
        <v>19</v>
      </c>
      <c r="BV99">
        <f>HYPERLINK("http://exon.niaid.nih.gov/transcriptome/Anopheles_sialome/links/cluster-b/anopheline-sialome-cds-pep-larger-orf50-50SimCLU13.txt", 13)</f>
        <v>13</v>
      </c>
      <c r="BW99">
        <f>HYPERLINK("http://exon.niaid.nih.gov/transcriptome/Anopheles_sialome/links/cluster-b/anopheline-sialome-cds-pep-larger-orf50-50SimCLTL13.txt", 19)</f>
        <v>19</v>
      </c>
      <c r="BX99">
        <f>HYPERLINK("http://exon.niaid.nih.gov/transcriptome/Anopheles_sialome/links/cluster-b/anopheline-sialome-cds-pep-larger-orf55-50SimCLU14.txt", 14)</f>
        <v>14</v>
      </c>
      <c r="BY99">
        <f>HYPERLINK("http://exon.niaid.nih.gov/transcriptome/Anopheles_sialome/links/cluster-b/anopheline-sialome-cds-pep-larger-orf55-50SimCLTL14.txt", 19)</f>
        <v>19</v>
      </c>
      <c r="BZ99">
        <f>HYPERLINK("http://exon.niaid.nih.gov/transcriptome/Anopheles_sialome/links/cluster-b/anopheline-sialome-cds-pep-larger-orf60-50SimCLU13.txt", 13)</f>
        <v>13</v>
      </c>
      <c r="CA99">
        <f>HYPERLINK("http://exon.niaid.nih.gov/transcriptome/Anopheles_sialome/links/cluster-b/anopheline-sialome-cds-pep-larger-orf60-50SimCLTL13.txt", 19)</f>
        <v>19</v>
      </c>
      <c r="CB99">
        <f>HYPERLINK("http://exon.niaid.nih.gov/transcriptome/Anopheles_sialome/links/cluster-b/anopheline-sialome-cds-pep-larger-orf65-50SimCLU11.txt", 11)</f>
        <v>11</v>
      </c>
      <c r="CC99">
        <f>HYPERLINK("http://exon.niaid.nih.gov/transcriptome/Anopheles_sialome/links/cluster-b/anopheline-sialome-cds-pep-larger-orf65-50SimCLTL11.txt", 19)</f>
        <v>19</v>
      </c>
      <c r="CD99">
        <f>HYPERLINK("http://exon.niaid.nih.gov/transcriptome/Anopheles_sialome/links/cluster-b/anopheline-sialome-cds-pep-larger-orf70-50SimCLU10.txt", 10)</f>
        <v>10</v>
      </c>
      <c r="CE99">
        <f>HYPERLINK("http://exon.niaid.nih.gov/transcriptome/Anopheles_sialome/links/cluster-b/anopheline-sialome-cds-pep-larger-orf70-50SimCLTL10.txt", 19)</f>
        <v>19</v>
      </c>
      <c r="CF99">
        <f>HYPERLINK("http://exon.niaid.nih.gov/transcriptome/Anopheles_sialome/links/cluster-b/anopheline-sialome-cds-pep-larger-orf75-50SimCLU17.txt", 17)</f>
        <v>17</v>
      </c>
      <c r="CG99">
        <f>HYPERLINK("http://exon.niaid.nih.gov/transcriptome/Anopheles_sialome/links/cluster-b/anopheline-sialome-cds-pep-larger-orf75-50SimCLTL17.txt", 16)</f>
        <v>16</v>
      </c>
      <c r="CH99">
        <f>HYPERLINK("http://exon.niaid.nih.gov/transcriptome/Anopheles_sialome/links/cluster-b/anopheline-sialome-cds-pep-larger-orf80-50SimCLU11.txt", 11)</f>
        <v>11</v>
      </c>
      <c r="CI99">
        <f>HYPERLINK("http://exon.niaid.nih.gov/transcriptome/Anopheles_sialome/links/cluster-b/anopheline-sialome-cds-pep-larger-orf80-50SimCLTL11.txt", 16)</f>
        <v>16</v>
      </c>
      <c r="CJ99">
        <f>HYPERLINK("http://exon.niaid.nih.gov/transcriptome/Anopheles_sialome/links/cluster-b/anopheline-sialome-cds-pep-larger-orf85-50SimCLU7.txt", 7)</f>
        <v>7</v>
      </c>
      <c r="CK99">
        <f>HYPERLINK("http://exon.niaid.nih.gov/transcriptome/Anopheles_sialome/links/cluster-b/anopheline-sialome-cds-pep-larger-orf85-50SimCLTL7.txt", 16)</f>
        <v>16</v>
      </c>
      <c r="CL99">
        <f>HYPERLINK("http://exon.niaid.nih.gov/transcriptome/Anopheles_sialome/links/cluster-b/anopheline-sialome-cds-pep-larger-orf90-50SimCLU2.txt", 2)</f>
        <v>2</v>
      </c>
      <c r="CM99">
        <f>HYPERLINK("http://exon.niaid.nih.gov/transcriptome/Anopheles_sialome/links/cluster-b/anopheline-sialome-cds-pep-larger-orf90-50SimCLTL2.txt", 15)</f>
        <v>15</v>
      </c>
      <c r="CN99">
        <f>HYPERLINK("http://exon.niaid.nih.gov/transcriptome/Anopheles_sialome/links/cluster-b/anopheline-sialome-cds-pep-larger-orf95-50SimCLU21.txt", 21)</f>
        <v>21</v>
      </c>
      <c r="CO99">
        <f>HYPERLINK("http://exon.niaid.nih.gov/transcriptome/Anopheles_sialome/links/cluster-b/anopheline-sialome-cds-pep-larger-orf95-50SimCLTL21.txt", 6)</f>
        <v>6</v>
      </c>
    </row>
    <row r="100" spans="1:93">
      <c r="A100" s="2" t="str">
        <f>HYPERLINK("http://exon.niaid.nih.gov/transcriptome/Anopheles_sialome/links/cds/anomel_Sal_Perox-cds.txt","anomel_Sal_Perox")</f>
        <v>anomel_Sal_Perox</v>
      </c>
      <c r="B100">
        <v>1773</v>
      </c>
      <c r="C100" t="s">
        <v>355</v>
      </c>
      <c r="D100" t="s">
        <v>7</v>
      </c>
      <c r="E100" t="s">
        <v>5</v>
      </c>
      <c r="F100" t="s">
        <v>1</v>
      </c>
      <c r="G100" t="str">
        <f>HYPERLINK("http://exon.niaid.nih.gov/transcriptome/Anopheles_sialome/links/pep/anomel_Sal_Perox-pep.txt","anomel_Sal_Perox")</f>
        <v>anomel_Sal_Perox</v>
      </c>
      <c r="H100">
        <v>590</v>
      </c>
      <c r="I100">
        <v>3</v>
      </c>
      <c r="J100" s="3" t="str">
        <f>HYPERLINK("http://exon.niaid.nih.gov/transcriptome/Anopheles_sialome/links/Sigp/anomel_Sal_Perox-SigP.txt","SIG")</f>
        <v>SIG</v>
      </c>
      <c r="K100" t="s">
        <v>689</v>
      </c>
      <c r="L100">
        <v>66.399000000000001</v>
      </c>
      <c r="M100">
        <v>8.85</v>
      </c>
      <c r="N100">
        <v>64.069000000000003</v>
      </c>
      <c r="O100">
        <v>8.77</v>
      </c>
      <c r="P100" t="s">
        <v>1598</v>
      </c>
      <c r="Q100" s="3">
        <v>0</v>
      </c>
      <c r="R100" t="s">
        <v>128</v>
      </c>
      <c r="S100" t="s">
        <v>128</v>
      </c>
      <c r="T100" t="s">
        <v>128</v>
      </c>
      <c r="U100" t="s">
        <v>128</v>
      </c>
      <c r="V100" t="s">
        <v>128</v>
      </c>
      <c r="W100" s="3" t="str">
        <f>HYPERLINK("http://exon.niaid.nih.gov/transcriptome/Anopheles_sialome/links/netoglyc/anomel_Sal_Perox-netoglyc.txt","1")</f>
        <v>1</v>
      </c>
      <c r="X100">
        <v>12</v>
      </c>
      <c r="Y100">
        <v>6.6</v>
      </c>
      <c r="Z100">
        <v>6.3</v>
      </c>
      <c r="AA100" t="s">
        <v>654</v>
      </c>
      <c r="AB100" t="s">
        <v>128</v>
      </c>
      <c r="AC100" s="2" t="str">
        <f>HYPERLINK("http://exon.niaid.nih.gov/transcriptome/Anopheles_sialome/links/DIPTERA/anomel_Sal_Perox-DIPTERA.txt","AGAP010735-PA, partial")</f>
        <v>AGAP010735-PA, partial</v>
      </c>
      <c r="AD100" t="str">
        <f t="shared" si="69"/>
        <v>0.0</v>
      </c>
      <c r="AE100" t="str">
        <f t="shared" si="70"/>
        <v>gi|157018506</v>
      </c>
      <c r="AF100">
        <v>96</v>
      </c>
      <c r="AG100">
        <v>98</v>
      </c>
      <c r="AH100">
        <v>48</v>
      </c>
      <c r="AI100" t="s">
        <v>2285</v>
      </c>
      <c r="AJ100" s="2" t="str">
        <f>HYPERLINK("http://exon.niaid.nih.gov/transcriptome/Anopheles_sialome/links/CULICOMORPHA/anomel_Sal_Perox-CULICOMORPHA.txt","AGAP010735-PA, partial")</f>
        <v>AGAP010735-PA, partial</v>
      </c>
      <c r="AK100" t="str">
        <f t="shared" si="71"/>
        <v>0.0</v>
      </c>
      <c r="AL100" t="str">
        <f t="shared" si="72"/>
        <v>gi|157018506</v>
      </c>
      <c r="AM100">
        <v>96</v>
      </c>
      <c r="AN100">
        <v>98</v>
      </c>
      <c r="AO100">
        <v>48</v>
      </c>
      <c r="AP100" t="s">
        <v>2285</v>
      </c>
      <c r="AQ100" s="2" t="str">
        <f>HYPERLINK("http://exon.niaid.nih.gov/transcriptome/Anopheles_sialome/links/NR-LIGHT/anomel_Sal_Perox-NR-LIGHT.txt","AGAP010735-PA")</f>
        <v>AGAP010735-PA</v>
      </c>
      <c r="AR100" t="str">
        <f t="shared" si="73"/>
        <v>0.0</v>
      </c>
      <c r="AS100" t="str">
        <f t="shared" si="74"/>
        <v>gi|158289809</v>
      </c>
      <c r="AT100">
        <v>96</v>
      </c>
      <c r="AU100">
        <v>98</v>
      </c>
      <c r="AV100">
        <v>48</v>
      </c>
      <c r="AW100" t="s">
        <v>2285</v>
      </c>
      <c r="AX100" s="2" t="str">
        <f>HYPERLINK("http://exon.niaid.nih.gov/transcriptome/Anopheles_sialome/links/CDD/anomel_Sal_Perox-CDD.txt","An_peroxidase")</f>
        <v>An_peroxidase</v>
      </c>
      <c r="AY100" t="str">
        <f>HYPERLINK("http://www.ncbi.nlm.nih.gov/Structure/cdd/cddsrv.cgi?uid=pfam03098&amp;version=v4.0","1E-172")</f>
        <v>1E-172</v>
      </c>
      <c r="AZ100" t="s">
        <v>2792</v>
      </c>
      <c r="BA100" s="2" t="str">
        <f>HYPERLINK("http://exon.niaid.nih.gov/transcriptome/Anopheles_sialome/links/KOG/anomel_Sal_Perox-KOG.txt","Peroxidase/oxygenase")</f>
        <v>Peroxidase/oxygenase</v>
      </c>
      <c r="BB100" t="str">
        <f>HYPERLINK("http://www.ncbi.nlm.nih.gov/Structure/cdd/cddsrv.cgi?uid=KOG2408","1E-144")</f>
        <v>1E-144</v>
      </c>
      <c r="BC100" t="s">
        <v>2310</v>
      </c>
      <c r="BD100" t="str">
        <f>HYPERLINK("http://exon.niaid.nih.gov/transcriptome/Anopheles_sialome/links/KOG/anomel_Sal_Perox-KOG.txt","KOG2408")</f>
        <v>KOG2408</v>
      </c>
      <c r="BE100" t="str">
        <f>HYPERLINK("http://exon.niaid.nih.gov/transcriptome/Anopheles_sialome/links/PFAM/anomel_Sal_Perox-PFAM.txt","An_peroxidase")</f>
        <v>An_peroxidase</v>
      </c>
      <c r="BF100" t="str">
        <f>HYPERLINK("http://pfam.sanger.ac.uk/family?acc=PF03098","1E-172")</f>
        <v>1E-172</v>
      </c>
      <c r="BG100" s="2" t="str">
        <f>HYPERLINK("http://exon.niaid.nih.gov/transcriptome/Anopheles_sialome/links/SMART/anomel_Sal_Perox-SMART.txt","CYCc")</f>
        <v>CYCc</v>
      </c>
      <c r="BH100" t="str">
        <f>HYPERLINK("http://smart.embl-heidelberg.de/smart/do_annotation.pl?DOMAIN=CYCc&amp;BLAST=DUMMY","2.4")</f>
        <v>2.4</v>
      </c>
      <c r="BI100" t="s">
        <v>128</v>
      </c>
      <c r="BJ100" s="2" t="s">
        <v>128</v>
      </c>
      <c r="BK100" t="s">
        <v>1597</v>
      </c>
      <c r="BL100">
        <f>HYPERLINK("http://exon.niaid.nih.gov/transcriptome/Anopheles_sialome/links/cluster-b/anopheline-sialome-cds-pep-larger-orf25-50SimCLU11.txt", 11)</f>
        <v>11</v>
      </c>
      <c r="BM100">
        <f>HYPERLINK("http://exon.niaid.nih.gov/transcriptome/Anopheles_sialome/links/cluster-b/anopheline-sialome-cds-pep-larger-orf25-50SimCLTL11.txt", 19)</f>
        <v>19</v>
      </c>
      <c r="BN100">
        <f>HYPERLINK("http://exon.niaid.nih.gov/transcriptome/Anopheles_sialome/links/cluster-b/anopheline-sialome-cds-pep-larger-orf30-50SimCLU10.txt", 10)</f>
        <v>10</v>
      </c>
      <c r="BO100">
        <f>HYPERLINK("http://exon.niaid.nih.gov/transcriptome/Anopheles_sialome/links/cluster-b/anopheline-sialome-cds-pep-larger-orf30-50SimCLTL10.txt", 19)</f>
        <v>19</v>
      </c>
      <c r="BP100">
        <f>HYPERLINK("http://exon.niaid.nih.gov/transcriptome/Anopheles_sialome/links/cluster-b/anopheline-sialome-cds-pep-larger-orf35-50SimCLU12.txt", 12)</f>
        <v>12</v>
      </c>
      <c r="BQ100">
        <f>HYPERLINK("http://exon.niaid.nih.gov/transcriptome/Anopheles_sialome/links/cluster-b/anopheline-sialome-cds-pep-larger-orf35-50SimCLTL12.txt", 19)</f>
        <v>19</v>
      </c>
      <c r="BR100">
        <f>HYPERLINK("http://exon.niaid.nih.gov/transcriptome/Anopheles_sialome/links/cluster-b/anopheline-sialome-cds-pep-larger-orf40-50SimCLU14.txt", 14)</f>
        <v>14</v>
      </c>
      <c r="BS100">
        <f>HYPERLINK("http://exon.niaid.nih.gov/transcriptome/Anopheles_sialome/links/cluster-b/anopheline-sialome-cds-pep-larger-orf40-50SimCLTL14.txt", 19)</f>
        <v>19</v>
      </c>
      <c r="BT100">
        <f>HYPERLINK("http://exon.niaid.nih.gov/transcriptome/Anopheles_sialome/links/cluster-b/anopheline-sialome-cds-pep-larger-orf45-50SimCLU14.txt", 14)</f>
        <v>14</v>
      </c>
      <c r="BU100">
        <f>HYPERLINK("http://exon.niaid.nih.gov/transcriptome/Anopheles_sialome/links/cluster-b/anopheline-sialome-cds-pep-larger-orf45-50SimCLTL14.txt", 19)</f>
        <v>19</v>
      </c>
      <c r="BV100">
        <f>HYPERLINK("http://exon.niaid.nih.gov/transcriptome/Anopheles_sialome/links/cluster-b/anopheline-sialome-cds-pep-larger-orf50-50SimCLU13.txt", 13)</f>
        <v>13</v>
      </c>
      <c r="BW100">
        <f>HYPERLINK("http://exon.niaid.nih.gov/transcriptome/Anopheles_sialome/links/cluster-b/anopheline-sialome-cds-pep-larger-orf50-50SimCLTL13.txt", 19)</f>
        <v>19</v>
      </c>
      <c r="BX100">
        <f>HYPERLINK("http://exon.niaid.nih.gov/transcriptome/Anopheles_sialome/links/cluster-b/anopheline-sialome-cds-pep-larger-orf55-50SimCLU14.txt", 14)</f>
        <v>14</v>
      </c>
      <c r="BY100">
        <f>HYPERLINK("http://exon.niaid.nih.gov/transcriptome/Anopheles_sialome/links/cluster-b/anopheline-sialome-cds-pep-larger-orf55-50SimCLTL14.txt", 19)</f>
        <v>19</v>
      </c>
      <c r="BZ100">
        <f>HYPERLINK("http://exon.niaid.nih.gov/transcriptome/Anopheles_sialome/links/cluster-b/anopheline-sialome-cds-pep-larger-orf60-50SimCLU13.txt", 13)</f>
        <v>13</v>
      </c>
      <c r="CA100">
        <f>HYPERLINK("http://exon.niaid.nih.gov/transcriptome/Anopheles_sialome/links/cluster-b/anopheline-sialome-cds-pep-larger-orf60-50SimCLTL13.txt", 19)</f>
        <v>19</v>
      </c>
      <c r="CB100">
        <f>HYPERLINK("http://exon.niaid.nih.gov/transcriptome/Anopheles_sialome/links/cluster-b/anopheline-sialome-cds-pep-larger-orf65-50SimCLU11.txt", 11)</f>
        <v>11</v>
      </c>
      <c r="CC100">
        <f>HYPERLINK("http://exon.niaid.nih.gov/transcriptome/Anopheles_sialome/links/cluster-b/anopheline-sialome-cds-pep-larger-orf65-50SimCLTL11.txt", 19)</f>
        <v>19</v>
      </c>
      <c r="CD100">
        <f>HYPERLINK("http://exon.niaid.nih.gov/transcriptome/Anopheles_sialome/links/cluster-b/anopheline-sialome-cds-pep-larger-orf70-50SimCLU10.txt", 10)</f>
        <v>10</v>
      </c>
      <c r="CE100">
        <f>HYPERLINK("http://exon.niaid.nih.gov/transcriptome/Anopheles_sialome/links/cluster-b/anopheline-sialome-cds-pep-larger-orf70-50SimCLTL10.txt", 19)</f>
        <v>19</v>
      </c>
      <c r="CF100">
        <f>HYPERLINK("http://exon.niaid.nih.gov/transcriptome/Anopheles_sialome/links/cluster-b/anopheline-sialome-cds-pep-larger-orf75-50SimCLU17.txt", 17)</f>
        <v>17</v>
      </c>
      <c r="CG100">
        <f>HYPERLINK("http://exon.niaid.nih.gov/transcriptome/Anopheles_sialome/links/cluster-b/anopheline-sialome-cds-pep-larger-orf75-50SimCLTL17.txt", 16)</f>
        <v>16</v>
      </c>
      <c r="CH100">
        <f>HYPERLINK("http://exon.niaid.nih.gov/transcriptome/Anopheles_sialome/links/cluster-b/anopheline-sialome-cds-pep-larger-orf80-50SimCLU11.txt", 11)</f>
        <v>11</v>
      </c>
      <c r="CI100">
        <f>HYPERLINK("http://exon.niaid.nih.gov/transcriptome/Anopheles_sialome/links/cluster-b/anopheline-sialome-cds-pep-larger-orf80-50SimCLTL11.txt", 16)</f>
        <v>16</v>
      </c>
      <c r="CJ100">
        <f>HYPERLINK("http://exon.niaid.nih.gov/transcriptome/Anopheles_sialome/links/cluster-b/anopheline-sialome-cds-pep-larger-orf85-50SimCLU7.txt", 7)</f>
        <v>7</v>
      </c>
      <c r="CK100">
        <f>HYPERLINK("http://exon.niaid.nih.gov/transcriptome/Anopheles_sialome/links/cluster-b/anopheline-sialome-cds-pep-larger-orf85-50SimCLTL7.txt", 16)</f>
        <v>16</v>
      </c>
      <c r="CL100">
        <f>HYPERLINK("http://exon.niaid.nih.gov/transcriptome/Anopheles_sialome/links/cluster-b/anopheline-sialome-cds-pep-larger-orf90-50SimCLU2.txt", 2)</f>
        <v>2</v>
      </c>
      <c r="CM100">
        <f>HYPERLINK("http://exon.niaid.nih.gov/transcriptome/Anopheles_sialome/links/cluster-b/anopheline-sialome-cds-pep-larger-orf90-50SimCLTL2.txt", 15)</f>
        <v>15</v>
      </c>
      <c r="CN100">
        <f>HYPERLINK("http://exon.niaid.nih.gov/transcriptome/Anopheles_sialome/links/cluster-b/anopheline-sialome-cds-pep-larger-orf95-50SimCLU21.txt", 21)</f>
        <v>21</v>
      </c>
      <c r="CO100">
        <f>HYPERLINK("http://exon.niaid.nih.gov/transcriptome/Anopheles_sialome/links/cluster-b/anopheline-sialome-cds-pep-larger-orf95-50SimCLTL21.txt", 6)</f>
        <v>6</v>
      </c>
    </row>
    <row r="101" spans="1:93">
      <c r="A101" s="2" t="str">
        <f>HYPERLINK("http://exon.niaid.nih.gov/transcriptome/Anopheles_sialome/links/cds/anochris_Sal_Perox-cds.txt","anochris_Sal_Perox")</f>
        <v>anochris_Sal_Perox</v>
      </c>
      <c r="B101">
        <v>1773</v>
      </c>
      <c r="C101" t="s">
        <v>4</v>
      </c>
      <c r="D101" t="s">
        <v>3178</v>
      </c>
      <c r="E101" t="s">
        <v>5</v>
      </c>
      <c r="F101" t="s">
        <v>1</v>
      </c>
      <c r="G101" t="str">
        <f>HYPERLINK("http://exon.niaid.nih.gov/transcriptome/Anopheles_sialome/links/pep/anochris_Sal_Perox-pep.txt","anochris_Sal_Perox")</f>
        <v>anochris_Sal_Perox</v>
      </c>
      <c r="H101">
        <v>590</v>
      </c>
      <c r="I101">
        <v>3</v>
      </c>
      <c r="J101" s="3" t="str">
        <f>HYPERLINK("http://exon.niaid.nih.gov/transcriptome/Anopheles_sialome/links/Sigp/anochris_Sal_Perox-SigP.txt","SIG")</f>
        <v>SIG</v>
      </c>
      <c r="K101" t="s">
        <v>708</v>
      </c>
      <c r="L101">
        <v>66.676000000000002</v>
      </c>
      <c r="M101">
        <v>8.68</v>
      </c>
      <c r="N101">
        <v>64.146000000000001</v>
      </c>
      <c r="O101">
        <v>8.6199999999999992</v>
      </c>
      <c r="P101" t="s">
        <v>1600</v>
      </c>
      <c r="Q101" s="3">
        <v>0</v>
      </c>
      <c r="R101" t="s">
        <v>128</v>
      </c>
      <c r="S101" t="s">
        <v>128</v>
      </c>
      <c r="T101" t="s">
        <v>128</v>
      </c>
      <c r="U101" t="s">
        <v>128</v>
      </c>
      <c r="V101" t="s">
        <v>128</v>
      </c>
      <c r="W101" s="3" t="str">
        <f>HYPERLINK("http://exon.niaid.nih.gov/transcriptome/Anopheles_sialome/links/netoglyc/anochris_Sal_Perox-netoglyc.txt","1")</f>
        <v>1</v>
      </c>
      <c r="X101">
        <v>13.2</v>
      </c>
      <c r="Y101">
        <v>6.3</v>
      </c>
      <c r="Z101">
        <v>5.9</v>
      </c>
      <c r="AA101" t="s">
        <v>654</v>
      </c>
      <c r="AB101" t="s">
        <v>128</v>
      </c>
      <c r="AC101" s="2" t="str">
        <f>HYPERLINK("http://exon.niaid.nih.gov/transcriptome/Anopheles_sialome/links/DIPTERA/anochris_Sal_Perox-DIPTERA.txt","AGAP010735-PA, partial")</f>
        <v>AGAP010735-PA, partial</v>
      </c>
      <c r="AD101" t="str">
        <f>HYPERLINK("http://www.ncbi.nlm.nih.gov/sutils/blink.cgi?pid=157018506","0.0")</f>
        <v>0.0</v>
      </c>
      <c r="AE101" t="str">
        <f>HYPERLINK("http://www.ncbi.nlm.nih.gov/protein/157018506","gi|157018506")</f>
        <v>gi|157018506</v>
      </c>
      <c r="AF101">
        <v>91</v>
      </c>
      <c r="AG101">
        <v>95</v>
      </c>
      <c r="AH101">
        <v>48</v>
      </c>
      <c r="AI101" t="s">
        <v>2285</v>
      </c>
      <c r="AJ101" s="2" t="str">
        <f>HYPERLINK("http://exon.niaid.nih.gov/transcriptome/Anopheles_sialome/links/CULICOMORPHA/anochris_Sal_Perox-CULICOMORPHA.txt","AGAP010735-PA, partial")</f>
        <v>AGAP010735-PA, partial</v>
      </c>
      <c r="AK101" t="str">
        <f>HYPERLINK("http://www.ncbi.nlm.nih.gov/sutils/blink.cgi?pid=157018506","0.0")</f>
        <v>0.0</v>
      </c>
      <c r="AL101" t="str">
        <f>HYPERLINK("http://www.ncbi.nlm.nih.gov/protein/157018506","gi|157018506")</f>
        <v>gi|157018506</v>
      </c>
      <c r="AM101">
        <v>91</v>
      </c>
      <c r="AN101">
        <v>95</v>
      </c>
      <c r="AO101">
        <v>48</v>
      </c>
      <c r="AP101" t="s">
        <v>2285</v>
      </c>
      <c r="AQ101" s="2" t="str">
        <f>HYPERLINK("http://exon.niaid.nih.gov/transcriptome/Anopheles_sialome/links/NR-LIGHT/anochris_Sal_Perox-NR-LIGHT.txt","AGAP010735-PA")</f>
        <v>AGAP010735-PA</v>
      </c>
      <c r="AR101" t="str">
        <f>HYPERLINK("http://www.ncbi.nlm.nih.gov/sutils/blink.cgi?pid=158289809","0.0")</f>
        <v>0.0</v>
      </c>
      <c r="AS101" t="str">
        <f>HYPERLINK("http://www.ncbi.nlm.nih.gov/protein/158289809","gi|158289809")</f>
        <v>gi|158289809</v>
      </c>
      <c r="AT101">
        <v>91</v>
      </c>
      <c r="AU101">
        <v>95</v>
      </c>
      <c r="AV101">
        <v>48</v>
      </c>
      <c r="AW101" t="s">
        <v>2285</v>
      </c>
      <c r="AX101" s="2" t="str">
        <f>HYPERLINK("http://exon.niaid.nih.gov/transcriptome/Anopheles_sialome/links/CDD/anochris_Sal_Perox-CDD.txt","An_peroxidase")</f>
        <v>An_peroxidase</v>
      </c>
      <c r="AY101" t="str">
        <f>HYPERLINK("http://www.ncbi.nlm.nih.gov/Structure/cdd/cddsrv.cgi?uid=pfam03098&amp;version=v4.0","1E-171")</f>
        <v>1E-171</v>
      </c>
      <c r="AZ101" t="s">
        <v>2793</v>
      </c>
      <c r="BA101" s="2" t="str">
        <f>HYPERLINK("http://exon.niaid.nih.gov/transcriptome/Anopheles_sialome/links/KOG/anochris_Sal_Perox-KOG.txt","Peroxidase/oxygenase")</f>
        <v>Peroxidase/oxygenase</v>
      </c>
      <c r="BB101" t="str">
        <f>HYPERLINK("http://www.ncbi.nlm.nih.gov/Structure/cdd/cddsrv.cgi?uid=KOG2408","1E-143")</f>
        <v>1E-143</v>
      </c>
      <c r="BC101" t="s">
        <v>2310</v>
      </c>
      <c r="BD101" t="str">
        <f>HYPERLINK("http://exon.niaid.nih.gov/transcriptome/Anopheles_sialome/links/KOG/anochris_Sal_Perox-KOG.txt","KOG2408")</f>
        <v>KOG2408</v>
      </c>
      <c r="BE101" t="str">
        <f>HYPERLINK("http://exon.niaid.nih.gov/transcriptome/Anopheles_sialome/links/PFAM/anochris_Sal_Perox-PFAM.txt","An_peroxidase")</f>
        <v>An_peroxidase</v>
      </c>
      <c r="BF101" t="str">
        <f>HYPERLINK("http://pfam.sanger.ac.uk/family?acc=PF03098","1E-172")</f>
        <v>1E-172</v>
      </c>
      <c r="BG101" s="2" t="str">
        <f>HYPERLINK("http://exon.niaid.nih.gov/transcriptome/Anopheles_sialome/links/SMART/anochris_Sal_Perox-SMART.txt","LeuA_dimer")</f>
        <v>LeuA_dimer</v>
      </c>
      <c r="BH101" t="str">
        <f>HYPERLINK("http://smart.embl-heidelberg.de/smart/do_annotation.pl?DOMAIN=LeuA_dimer&amp;BLAST=DUMMY","4.2")</f>
        <v>4.2</v>
      </c>
      <c r="BI101" t="s">
        <v>128</v>
      </c>
      <c r="BJ101" s="2" t="s">
        <v>128</v>
      </c>
      <c r="BK101" t="s">
        <v>1599</v>
      </c>
      <c r="BL101">
        <f>HYPERLINK("http://exon.niaid.nih.gov/transcriptome/Anopheles_sialome/links/cluster-b/anopheline-sialome-cds-pep-larger-orf25-50SimCLU11.txt", 11)</f>
        <v>11</v>
      </c>
      <c r="BM101">
        <f>HYPERLINK("http://exon.niaid.nih.gov/transcriptome/Anopheles_sialome/links/cluster-b/anopheline-sialome-cds-pep-larger-orf25-50SimCLTL11.txt", 19)</f>
        <v>19</v>
      </c>
      <c r="BN101">
        <f>HYPERLINK("http://exon.niaid.nih.gov/transcriptome/Anopheles_sialome/links/cluster-b/anopheline-sialome-cds-pep-larger-orf30-50SimCLU10.txt", 10)</f>
        <v>10</v>
      </c>
      <c r="BO101">
        <f>HYPERLINK("http://exon.niaid.nih.gov/transcriptome/Anopheles_sialome/links/cluster-b/anopheline-sialome-cds-pep-larger-orf30-50SimCLTL10.txt", 19)</f>
        <v>19</v>
      </c>
      <c r="BP101">
        <f>HYPERLINK("http://exon.niaid.nih.gov/transcriptome/Anopheles_sialome/links/cluster-b/anopheline-sialome-cds-pep-larger-orf35-50SimCLU12.txt", 12)</f>
        <v>12</v>
      </c>
      <c r="BQ101">
        <f>HYPERLINK("http://exon.niaid.nih.gov/transcriptome/Anopheles_sialome/links/cluster-b/anopheline-sialome-cds-pep-larger-orf35-50SimCLTL12.txt", 19)</f>
        <v>19</v>
      </c>
      <c r="BR101">
        <f>HYPERLINK("http://exon.niaid.nih.gov/transcriptome/Anopheles_sialome/links/cluster-b/anopheline-sialome-cds-pep-larger-orf40-50SimCLU14.txt", 14)</f>
        <v>14</v>
      </c>
      <c r="BS101">
        <f>HYPERLINK("http://exon.niaid.nih.gov/transcriptome/Anopheles_sialome/links/cluster-b/anopheline-sialome-cds-pep-larger-orf40-50SimCLTL14.txt", 19)</f>
        <v>19</v>
      </c>
      <c r="BT101">
        <f>HYPERLINK("http://exon.niaid.nih.gov/transcriptome/Anopheles_sialome/links/cluster-b/anopheline-sialome-cds-pep-larger-orf45-50SimCLU14.txt", 14)</f>
        <v>14</v>
      </c>
      <c r="BU101">
        <f>HYPERLINK("http://exon.niaid.nih.gov/transcriptome/Anopheles_sialome/links/cluster-b/anopheline-sialome-cds-pep-larger-orf45-50SimCLTL14.txt", 19)</f>
        <v>19</v>
      </c>
      <c r="BV101">
        <f>HYPERLINK("http://exon.niaid.nih.gov/transcriptome/Anopheles_sialome/links/cluster-b/anopheline-sialome-cds-pep-larger-orf50-50SimCLU13.txt", 13)</f>
        <v>13</v>
      </c>
      <c r="BW101">
        <f>HYPERLINK("http://exon.niaid.nih.gov/transcriptome/Anopheles_sialome/links/cluster-b/anopheline-sialome-cds-pep-larger-orf50-50SimCLTL13.txt", 19)</f>
        <v>19</v>
      </c>
      <c r="BX101">
        <f>HYPERLINK("http://exon.niaid.nih.gov/transcriptome/Anopheles_sialome/links/cluster-b/anopheline-sialome-cds-pep-larger-orf55-50SimCLU14.txt", 14)</f>
        <v>14</v>
      </c>
      <c r="BY101">
        <f>HYPERLINK("http://exon.niaid.nih.gov/transcriptome/Anopheles_sialome/links/cluster-b/anopheline-sialome-cds-pep-larger-orf55-50SimCLTL14.txt", 19)</f>
        <v>19</v>
      </c>
      <c r="BZ101">
        <f>HYPERLINK("http://exon.niaid.nih.gov/transcriptome/Anopheles_sialome/links/cluster-b/anopheline-sialome-cds-pep-larger-orf60-50SimCLU13.txt", 13)</f>
        <v>13</v>
      </c>
      <c r="CA101">
        <f>HYPERLINK("http://exon.niaid.nih.gov/transcriptome/Anopheles_sialome/links/cluster-b/anopheline-sialome-cds-pep-larger-orf60-50SimCLTL13.txt", 19)</f>
        <v>19</v>
      </c>
      <c r="CB101">
        <f>HYPERLINK("http://exon.niaid.nih.gov/transcriptome/Anopheles_sialome/links/cluster-b/anopheline-sialome-cds-pep-larger-orf65-50SimCLU11.txt", 11)</f>
        <v>11</v>
      </c>
      <c r="CC101">
        <f>HYPERLINK("http://exon.niaid.nih.gov/transcriptome/Anopheles_sialome/links/cluster-b/anopheline-sialome-cds-pep-larger-orf65-50SimCLTL11.txt", 19)</f>
        <v>19</v>
      </c>
      <c r="CD101">
        <f>HYPERLINK("http://exon.niaid.nih.gov/transcriptome/Anopheles_sialome/links/cluster-b/anopheline-sialome-cds-pep-larger-orf70-50SimCLU10.txt", 10)</f>
        <v>10</v>
      </c>
      <c r="CE101">
        <f>HYPERLINK("http://exon.niaid.nih.gov/transcriptome/Anopheles_sialome/links/cluster-b/anopheline-sialome-cds-pep-larger-orf70-50SimCLTL10.txt", 19)</f>
        <v>19</v>
      </c>
      <c r="CF101">
        <f>HYPERLINK("http://exon.niaid.nih.gov/transcriptome/Anopheles_sialome/links/cluster-b/anopheline-sialome-cds-pep-larger-orf75-50SimCLU17.txt", 17)</f>
        <v>17</v>
      </c>
      <c r="CG101">
        <f>HYPERLINK("http://exon.niaid.nih.gov/transcriptome/Anopheles_sialome/links/cluster-b/anopheline-sialome-cds-pep-larger-orf75-50SimCLTL17.txt", 16)</f>
        <v>16</v>
      </c>
      <c r="CH101">
        <f>HYPERLINK("http://exon.niaid.nih.gov/transcriptome/Anopheles_sialome/links/cluster-b/anopheline-sialome-cds-pep-larger-orf80-50SimCLU11.txt", 11)</f>
        <v>11</v>
      </c>
      <c r="CI101">
        <f>HYPERLINK("http://exon.niaid.nih.gov/transcriptome/Anopheles_sialome/links/cluster-b/anopheline-sialome-cds-pep-larger-orf80-50SimCLTL11.txt", 16)</f>
        <v>16</v>
      </c>
      <c r="CJ101">
        <f>HYPERLINK("http://exon.niaid.nih.gov/transcriptome/Anopheles_sialome/links/cluster-b/anopheline-sialome-cds-pep-larger-orf85-50SimCLU7.txt", 7)</f>
        <v>7</v>
      </c>
      <c r="CK101">
        <f>HYPERLINK("http://exon.niaid.nih.gov/transcriptome/Anopheles_sialome/links/cluster-b/anopheline-sialome-cds-pep-larger-orf85-50SimCLTL7.txt", 16)</f>
        <v>16</v>
      </c>
      <c r="CL101">
        <f>HYPERLINK("http://exon.niaid.nih.gov/transcriptome/Anopheles_sialome/links/cluster-b/anopheline-sialome-cds-pep-larger-orf90-50SimCLU2.txt", 2)</f>
        <v>2</v>
      </c>
      <c r="CM101">
        <f>HYPERLINK("http://exon.niaid.nih.gov/transcriptome/Anopheles_sialome/links/cluster-b/anopheline-sialome-cds-pep-larger-orf90-50SimCLTL2.txt", 15)</f>
        <v>15</v>
      </c>
      <c r="CN101">
        <f>HYPERLINK("http://exon.niaid.nih.gov/transcriptome/Anopheles_sialome/links/cluster-b/anopheline-sialome-cds-pep-larger-orf95-50SimCLU21.txt", 21)</f>
        <v>21</v>
      </c>
      <c r="CO101">
        <f>HYPERLINK("http://exon.niaid.nih.gov/transcriptome/Anopheles_sialome/links/cluster-b/anopheline-sialome-cds-pep-larger-orf95-50SimCLTL21.txt", 6)</f>
        <v>6</v>
      </c>
    </row>
    <row r="102" spans="1:93">
      <c r="A102" s="2" t="str">
        <f>HYPERLINK("http://exon.niaid.nih.gov/transcriptome/Anopheles_sialome/links/cds/anoepi_Sal_Perox-cds.txt","anoepi_Sal_Perox")</f>
        <v>anoepi_Sal_Perox</v>
      </c>
      <c r="B102">
        <v>1767</v>
      </c>
      <c r="C102" t="s">
        <v>356</v>
      </c>
      <c r="D102" t="s">
        <v>7</v>
      </c>
      <c r="E102" t="s">
        <v>5</v>
      </c>
      <c r="F102" t="s">
        <v>1</v>
      </c>
      <c r="G102" t="str">
        <f>HYPERLINK("http://exon.niaid.nih.gov/transcriptome/Anopheles_sialome/links/pep/anoepi_Sal_Perox-pep.txt","anoepi_Sal_Perox")</f>
        <v>anoepi_Sal_Perox</v>
      </c>
      <c r="H102">
        <v>588</v>
      </c>
      <c r="I102">
        <v>3</v>
      </c>
      <c r="J102" s="3" t="str">
        <f>HYPERLINK("http://exon.niaid.nih.gov/transcriptome/Anopheles_sialome/links/Sigp/anoepi_Sal_Perox-SigP.txt","SIG")</f>
        <v>SIG</v>
      </c>
      <c r="K102" t="s">
        <v>652</v>
      </c>
      <c r="L102">
        <v>66.233000000000004</v>
      </c>
      <c r="M102">
        <v>8.7899999999999991</v>
      </c>
      <c r="N102">
        <v>64.135000000000005</v>
      </c>
      <c r="O102">
        <v>8.6999999999999993</v>
      </c>
      <c r="P102" t="s">
        <v>1021</v>
      </c>
      <c r="Q102" s="3">
        <v>0</v>
      </c>
      <c r="R102" t="s">
        <v>128</v>
      </c>
      <c r="S102" t="s">
        <v>128</v>
      </c>
      <c r="T102" t="s">
        <v>128</v>
      </c>
      <c r="U102" t="s">
        <v>128</v>
      </c>
      <c r="V102" t="s">
        <v>128</v>
      </c>
      <c r="W102" s="3" t="str">
        <f>HYPERLINK("http://exon.niaid.nih.gov/transcriptome/Anopheles_sialome/links/netoglyc/anoepi_Sal_Perox-netoglyc.txt","1")</f>
        <v>1</v>
      </c>
      <c r="X102">
        <v>11.2</v>
      </c>
      <c r="Y102">
        <v>6.8</v>
      </c>
      <c r="Z102">
        <v>6.5</v>
      </c>
      <c r="AA102" t="s">
        <v>654</v>
      </c>
      <c r="AB102" t="s">
        <v>128</v>
      </c>
      <c r="AC102" s="2" t="str">
        <f>HYPERLINK("http://exon.niaid.nih.gov/transcriptome/Anopheles_sialome/links/DIPTERA/anoepi_Sal_Perox-DIPTERA.txt","AGAP010735-PA, partial")</f>
        <v>AGAP010735-PA, partial</v>
      </c>
      <c r="AD102" t="str">
        <f t="shared" ref="AD102:AD104" si="75">HYPERLINK("http://www.ncbi.nlm.nih.gov/sutils/blink.cgi?pid=157018506","0.0")</f>
        <v>0.0</v>
      </c>
      <c r="AE102" t="str">
        <f t="shared" ref="AE102:AE104" si="76">HYPERLINK("http://www.ncbi.nlm.nih.gov/protein/157018506","gi|157018506")</f>
        <v>gi|157018506</v>
      </c>
      <c r="AF102">
        <v>87</v>
      </c>
      <c r="AG102">
        <v>93</v>
      </c>
      <c r="AH102">
        <v>48</v>
      </c>
      <c r="AI102" t="s">
        <v>2285</v>
      </c>
      <c r="AJ102" s="2" t="str">
        <f>HYPERLINK("http://exon.niaid.nih.gov/transcriptome/Anopheles_sialome/links/CULICOMORPHA/anoepi_Sal_Perox-CULICOMORPHA.txt","AGAP010735-PA, partial")</f>
        <v>AGAP010735-PA, partial</v>
      </c>
      <c r="AK102" t="str">
        <f t="shared" ref="AK102:AK104" si="77">HYPERLINK("http://www.ncbi.nlm.nih.gov/sutils/blink.cgi?pid=157018506","0.0")</f>
        <v>0.0</v>
      </c>
      <c r="AL102" t="str">
        <f t="shared" ref="AL102:AL104" si="78">HYPERLINK("http://www.ncbi.nlm.nih.gov/protein/157018506","gi|157018506")</f>
        <v>gi|157018506</v>
      </c>
      <c r="AM102">
        <v>87</v>
      </c>
      <c r="AN102">
        <v>93</v>
      </c>
      <c r="AO102">
        <v>48</v>
      </c>
      <c r="AP102" t="s">
        <v>2285</v>
      </c>
      <c r="AQ102" s="2" t="str">
        <f>HYPERLINK("http://exon.niaid.nih.gov/transcriptome/Anopheles_sialome/links/NR-LIGHT/anoepi_Sal_Perox-NR-LIGHT.txt","AGAP010735-PA")</f>
        <v>AGAP010735-PA</v>
      </c>
      <c r="AR102" t="str">
        <f t="shared" ref="AR102:AR104" si="79">HYPERLINK("http://www.ncbi.nlm.nih.gov/sutils/blink.cgi?pid=158289809","0.0")</f>
        <v>0.0</v>
      </c>
      <c r="AS102" t="str">
        <f t="shared" ref="AS102:AS104" si="80">HYPERLINK("http://www.ncbi.nlm.nih.gov/protein/158289809","gi|158289809")</f>
        <v>gi|158289809</v>
      </c>
      <c r="AT102">
        <v>87</v>
      </c>
      <c r="AU102">
        <v>93</v>
      </c>
      <c r="AV102">
        <v>48</v>
      </c>
      <c r="AW102" t="s">
        <v>2285</v>
      </c>
      <c r="AX102" s="2" t="str">
        <f>HYPERLINK("http://exon.niaid.nih.gov/transcriptome/Anopheles_sialome/links/CDD/anoepi_Sal_Perox-CDD.txt","An_peroxidase")</f>
        <v>An_peroxidase</v>
      </c>
      <c r="AY102" t="str">
        <f>HYPERLINK("http://www.ncbi.nlm.nih.gov/Structure/cdd/cddsrv.cgi?uid=pfam03098&amp;version=v4.0","1E-171")</f>
        <v>1E-171</v>
      </c>
      <c r="AZ102" t="s">
        <v>2794</v>
      </c>
      <c r="BA102" s="2" t="str">
        <f>HYPERLINK("http://exon.niaid.nih.gov/transcriptome/Anopheles_sialome/links/KOG/anoepi_Sal_Perox-KOG.txt","Peroxidase/oxygenase")</f>
        <v>Peroxidase/oxygenase</v>
      </c>
      <c r="BB102" t="str">
        <f>HYPERLINK("http://www.ncbi.nlm.nih.gov/Structure/cdd/cddsrv.cgi?uid=KOG2408","1E-146")</f>
        <v>1E-146</v>
      </c>
      <c r="BC102" t="s">
        <v>2310</v>
      </c>
      <c r="BD102" t="str">
        <f>HYPERLINK("http://exon.niaid.nih.gov/transcriptome/Anopheles_sialome/links/KOG/anoepi_Sal_Perox-KOG.txt","KOG2408")</f>
        <v>KOG2408</v>
      </c>
      <c r="BE102" t="str">
        <f>HYPERLINK("http://exon.niaid.nih.gov/transcriptome/Anopheles_sialome/links/PFAM/anoepi_Sal_Perox-PFAM.txt","An_peroxidase")</f>
        <v>An_peroxidase</v>
      </c>
      <c r="BF102" t="str">
        <f>HYPERLINK("http://pfam.sanger.ac.uk/family?acc=PF03098","1E-172")</f>
        <v>1E-172</v>
      </c>
      <c r="BG102" s="2" t="str">
        <f>HYPERLINK("http://exon.niaid.nih.gov/transcriptome/Anopheles_sialome/links/SMART/anoepi_Sal_Perox-SMART.txt","CG-1")</f>
        <v>CG-1</v>
      </c>
      <c r="BH102" t="str">
        <f>HYPERLINK("http://smart.embl-heidelberg.de/smart/do_annotation.pl?DOMAIN=CG-1&amp;BLAST=DUMMY","0.33")</f>
        <v>0.33</v>
      </c>
      <c r="BI102" t="s">
        <v>128</v>
      </c>
      <c r="BJ102" s="2" t="s">
        <v>128</v>
      </c>
      <c r="BK102" t="s">
        <v>1601</v>
      </c>
      <c r="BL102">
        <f>HYPERLINK("http://exon.niaid.nih.gov/transcriptome/Anopheles_sialome/links/cluster-b/anopheline-sialome-cds-pep-larger-orf25-50SimCLU11.txt", 11)</f>
        <v>11</v>
      </c>
      <c r="BM102">
        <f>HYPERLINK("http://exon.niaid.nih.gov/transcriptome/Anopheles_sialome/links/cluster-b/anopheline-sialome-cds-pep-larger-orf25-50SimCLTL11.txt", 19)</f>
        <v>19</v>
      </c>
      <c r="BN102">
        <f>HYPERLINK("http://exon.niaid.nih.gov/transcriptome/Anopheles_sialome/links/cluster-b/anopheline-sialome-cds-pep-larger-orf30-50SimCLU10.txt", 10)</f>
        <v>10</v>
      </c>
      <c r="BO102">
        <f>HYPERLINK("http://exon.niaid.nih.gov/transcriptome/Anopheles_sialome/links/cluster-b/anopheline-sialome-cds-pep-larger-orf30-50SimCLTL10.txt", 19)</f>
        <v>19</v>
      </c>
      <c r="BP102">
        <f>HYPERLINK("http://exon.niaid.nih.gov/transcriptome/Anopheles_sialome/links/cluster-b/anopheline-sialome-cds-pep-larger-orf35-50SimCLU12.txt", 12)</f>
        <v>12</v>
      </c>
      <c r="BQ102">
        <f>HYPERLINK("http://exon.niaid.nih.gov/transcriptome/Anopheles_sialome/links/cluster-b/anopheline-sialome-cds-pep-larger-orf35-50SimCLTL12.txt", 19)</f>
        <v>19</v>
      </c>
      <c r="BR102">
        <f>HYPERLINK("http://exon.niaid.nih.gov/transcriptome/Anopheles_sialome/links/cluster-b/anopheline-sialome-cds-pep-larger-orf40-50SimCLU14.txt", 14)</f>
        <v>14</v>
      </c>
      <c r="BS102">
        <f>HYPERLINK("http://exon.niaid.nih.gov/transcriptome/Anopheles_sialome/links/cluster-b/anopheline-sialome-cds-pep-larger-orf40-50SimCLTL14.txt", 19)</f>
        <v>19</v>
      </c>
      <c r="BT102">
        <f>HYPERLINK("http://exon.niaid.nih.gov/transcriptome/Anopheles_sialome/links/cluster-b/anopheline-sialome-cds-pep-larger-orf45-50SimCLU14.txt", 14)</f>
        <v>14</v>
      </c>
      <c r="BU102">
        <f>HYPERLINK("http://exon.niaid.nih.gov/transcriptome/Anopheles_sialome/links/cluster-b/anopheline-sialome-cds-pep-larger-orf45-50SimCLTL14.txt", 19)</f>
        <v>19</v>
      </c>
      <c r="BV102">
        <f>HYPERLINK("http://exon.niaid.nih.gov/transcriptome/Anopheles_sialome/links/cluster-b/anopheline-sialome-cds-pep-larger-orf50-50SimCLU13.txt", 13)</f>
        <v>13</v>
      </c>
      <c r="BW102">
        <f>HYPERLINK("http://exon.niaid.nih.gov/transcriptome/Anopheles_sialome/links/cluster-b/anopheline-sialome-cds-pep-larger-orf50-50SimCLTL13.txt", 19)</f>
        <v>19</v>
      </c>
      <c r="BX102">
        <f>HYPERLINK("http://exon.niaid.nih.gov/transcriptome/Anopheles_sialome/links/cluster-b/anopheline-sialome-cds-pep-larger-orf55-50SimCLU14.txt", 14)</f>
        <v>14</v>
      </c>
      <c r="BY102">
        <f>HYPERLINK("http://exon.niaid.nih.gov/transcriptome/Anopheles_sialome/links/cluster-b/anopheline-sialome-cds-pep-larger-orf55-50SimCLTL14.txt", 19)</f>
        <v>19</v>
      </c>
      <c r="BZ102">
        <f>HYPERLINK("http://exon.niaid.nih.gov/transcriptome/Anopheles_sialome/links/cluster-b/anopheline-sialome-cds-pep-larger-orf60-50SimCLU13.txt", 13)</f>
        <v>13</v>
      </c>
      <c r="CA102">
        <f>HYPERLINK("http://exon.niaid.nih.gov/transcriptome/Anopheles_sialome/links/cluster-b/anopheline-sialome-cds-pep-larger-orf60-50SimCLTL13.txt", 19)</f>
        <v>19</v>
      </c>
      <c r="CB102">
        <f>HYPERLINK("http://exon.niaid.nih.gov/transcriptome/Anopheles_sialome/links/cluster-b/anopheline-sialome-cds-pep-larger-orf65-50SimCLU11.txt", 11)</f>
        <v>11</v>
      </c>
      <c r="CC102">
        <f>HYPERLINK("http://exon.niaid.nih.gov/transcriptome/Anopheles_sialome/links/cluster-b/anopheline-sialome-cds-pep-larger-orf65-50SimCLTL11.txt", 19)</f>
        <v>19</v>
      </c>
      <c r="CD102">
        <f>HYPERLINK("http://exon.niaid.nih.gov/transcriptome/Anopheles_sialome/links/cluster-b/anopheline-sialome-cds-pep-larger-orf70-50SimCLU10.txt", 10)</f>
        <v>10</v>
      </c>
      <c r="CE102">
        <f>HYPERLINK("http://exon.niaid.nih.gov/transcriptome/Anopheles_sialome/links/cluster-b/anopheline-sialome-cds-pep-larger-orf70-50SimCLTL10.txt", 19)</f>
        <v>19</v>
      </c>
      <c r="CF102">
        <f>HYPERLINK("http://exon.niaid.nih.gov/transcriptome/Anopheles_sialome/links/cluster-b/anopheline-sialome-cds-pep-larger-orf75-50SimCLU17.txt", 17)</f>
        <v>17</v>
      </c>
      <c r="CG102">
        <f>HYPERLINK("http://exon.niaid.nih.gov/transcriptome/Anopheles_sialome/links/cluster-b/anopheline-sialome-cds-pep-larger-orf75-50SimCLTL17.txt", 16)</f>
        <v>16</v>
      </c>
      <c r="CH102">
        <f>HYPERLINK("http://exon.niaid.nih.gov/transcriptome/Anopheles_sialome/links/cluster-b/anopheline-sialome-cds-pep-larger-orf80-50SimCLU11.txt", 11)</f>
        <v>11</v>
      </c>
      <c r="CI102">
        <f>HYPERLINK("http://exon.niaid.nih.gov/transcriptome/Anopheles_sialome/links/cluster-b/anopheline-sialome-cds-pep-larger-orf80-50SimCLTL11.txt", 16)</f>
        <v>16</v>
      </c>
      <c r="CJ102">
        <f>HYPERLINK("http://exon.niaid.nih.gov/transcriptome/Anopheles_sialome/links/cluster-b/anopheline-sialome-cds-pep-larger-orf85-50SimCLU7.txt", 7)</f>
        <v>7</v>
      </c>
      <c r="CK102">
        <f>HYPERLINK("http://exon.niaid.nih.gov/transcriptome/Anopheles_sialome/links/cluster-b/anopheline-sialome-cds-pep-larger-orf85-50SimCLTL7.txt", 16)</f>
        <v>16</v>
      </c>
      <c r="CL102">
        <f>HYPERLINK("http://exon.niaid.nih.gov/transcriptome/Anopheles_sialome/links/cluster-b/anopheline-sialome-cds-pep-larger-orf90-50SimCLU2.txt", 2)</f>
        <v>2</v>
      </c>
      <c r="CM102">
        <f>HYPERLINK("http://exon.niaid.nih.gov/transcriptome/Anopheles_sialome/links/cluster-b/anopheline-sialome-cds-pep-larger-orf90-50SimCLTL2.txt", 15)</f>
        <v>15</v>
      </c>
      <c r="CN102">
        <v>346</v>
      </c>
      <c r="CO102">
        <v>1</v>
      </c>
    </row>
    <row r="103" spans="1:93">
      <c r="A103" s="2" t="str">
        <f>HYPERLINK("http://exon.niaid.nih.gov/transcriptome/Anopheles_sialome/links/cds/anofun_Sal_Perox-cds.txt","anofun_Sal_Perox")</f>
        <v>anofun_Sal_Perox</v>
      </c>
      <c r="B103">
        <v>1767</v>
      </c>
      <c r="C103" t="s">
        <v>357</v>
      </c>
      <c r="D103" t="s">
        <v>7</v>
      </c>
      <c r="E103" t="s">
        <v>5</v>
      </c>
      <c r="F103" t="s">
        <v>1</v>
      </c>
      <c r="G103" t="str">
        <f>HYPERLINK("http://exon.niaid.nih.gov/transcriptome/Anopheles_sialome/links/pep/anofun_Sal_Perox-pep.txt","anofun_Sal_Perox")</f>
        <v>anofun_Sal_Perox</v>
      </c>
      <c r="H103">
        <v>588</v>
      </c>
      <c r="I103">
        <v>3</v>
      </c>
      <c r="J103" s="3" t="str">
        <f>HYPERLINK("http://exon.niaid.nih.gov/transcriptome/Anopheles_sialome/links/Sigp/anofun_Sal_Perox-SigP.txt","SIG")</f>
        <v>SIG</v>
      </c>
      <c r="K103" t="s">
        <v>692</v>
      </c>
      <c r="L103">
        <v>66.587999999999994</v>
      </c>
      <c r="M103">
        <v>8.7799999999999994</v>
      </c>
      <c r="N103">
        <v>64.289000000000001</v>
      </c>
      <c r="O103">
        <v>8.59</v>
      </c>
      <c r="P103" t="s">
        <v>1185</v>
      </c>
      <c r="Q103" s="3">
        <v>0</v>
      </c>
      <c r="R103" t="s">
        <v>128</v>
      </c>
      <c r="S103" t="s">
        <v>128</v>
      </c>
      <c r="T103" t="s">
        <v>128</v>
      </c>
      <c r="U103" t="s">
        <v>128</v>
      </c>
      <c r="V103" t="s">
        <v>128</v>
      </c>
      <c r="W103" s="3" t="str">
        <f>HYPERLINK("http://exon.niaid.nih.gov/transcriptome/Anopheles_sialome/links/netoglyc/anofun_Sal_Perox-netoglyc.txt","0")</f>
        <v>0</v>
      </c>
      <c r="X103">
        <v>11.9</v>
      </c>
      <c r="Y103">
        <v>7.1</v>
      </c>
      <c r="Z103">
        <v>6.3</v>
      </c>
      <c r="AA103" t="s">
        <v>654</v>
      </c>
      <c r="AB103" t="s">
        <v>128</v>
      </c>
      <c r="AC103" s="2" t="str">
        <f>HYPERLINK("http://exon.niaid.nih.gov/transcriptome/Anopheles_sialome/links/DIPTERA/anofun_Sal_Perox-DIPTERA.txt","AGAP010735-PA, partial")</f>
        <v>AGAP010735-PA, partial</v>
      </c>
      <c r="AD103" t="str">
        <f t="shared" si="75"/>
        <v>0.0</v>
      </c>
      <c r="AE103" t="str">
        <f t="shared" si="76"/>
        <v>gi|157018506</v>
      </c>
      <c r="AF103">
        <v>83</v>
      </c>
      <c r="AG103">
        <v>91</v>
      </c>
      <c r="AH103">
        <v>48</v>
      </c>
      <c r="AI103" t="s">
        <v>2285</v>
      </c>
      <c r="AJ103" s="2" t="str">
        <f>HYPERLINK("http://exon.niaid.nih.gov/transcriptome/Anopheles_sialome/links/CULICOMORPHA/anofun_Sal_Perox-CULICOMORPHA.txt","AGAP010735-PA, partial")</f>
        <v>AGAP010735-PA, partial</v>
      </c>
      <c r="AK103" t="str">
        <f t="shared" si="77"/>
        <v>0.0</v>
      </c>
      <c r="AL103" t="str">
        <f t="shared" si="78"/>
        <v>gi|157018506</v>
      </c>
      <c r="AM103">
        <v>83</v>
      </c>
      <c r="AN103">
        <v>91</v>
      </c>
      <c r="AO103">
        <v>48</v>
      </c>
      <c r="AP103" t="s">
        <v>2285</v>
      </c>
      <c r="AQ103" s="2" t="str">
        <f>HYPERLINK("http://exon.niaid.nih.gov/transcriptome/Anopheles_sialome/links/NR-LIGHT/anofun_Sal_Perox-NR-LIGHT.txt","AGAP010735-PA")</f>
        <v>AGAP010735-PA</v>
      </c>
      <c r="AR103" t="str">
        <f t="shared" si="79"/>
        <v>0.0</v>
      </c>
      <c r="AS103" t="str">
        <f t="shared" si="80"/>
        <v>gi|158289809</v>
      </c>
      <c r="AT103">
        <v>83</v>
      </c>
      <c r="AU103">
        <v>91</v>
      </c>
      <c r="AV103">
        <v>48</v>
      </c>
      <c r="AW103" t="s">
        <v>2285</v>
      </c>
      <c r="AX103" s="2" t="str">
        <f>HYPERLINK("http://exon.niaid.nih.gov/transcriptome/Anopheles_sialome/links/CDD/anofun_Sal_Perox-CDD.txt","An_peroxidase")</f>
        <v>An_peroxidase</v>
      </c>
      <c r="AY103" t="str">
        <f>HYPERLINK("http://www.ncbi.nlm.nih.gov/Structure/cdd/cddsrv.cgi?uid=pfam03098&amp;version=v4.0","1E-173")</f>
        <v>1E-173</v>
      </c>
      <c r="AZ103" t="s">
        <v>2795</v>
      </c>
      <c r="BA103" s="2" t="str">
        <f>HYPERLINK("http://exon.niaid.nih.gov/transcriptome/Anopheles_sialome/links/KOG/anofun_Sal_Perox-KOG.txt","Peroxidase/oxygenase")</f>
        <v>Peroxidase/oxygenase</v>
      </c>
      <c r="BB103" t="str">
        <f>HYPERLINK("http://www.ncbi.nlm.nih.gov/Structure/cdd/cddsrv.cgi?uid=KOG2408","1E-146")</f>
        <v>1E-146</v>
      </c>
      <c r="BC103" t="s">
        <v>2310</v>
      </c>
      <c r="BD103" t="str">
        <f>HYPERLINK("http://exon.niaid.nih.gov/transcriptome/Anopheles_sialome/links/KOG/anofun_Sal_Perox-KOG.txt","KOG2408")</f>
        <v>KOG2408</v>
      </c>
      <c r="BE103" t="str">
        <f>HYPERLINK("http://exon.niaid.nih.gov/transcriptome/Anopheles_sialome/links/PFAM/anofun_Sal_Perox-PFAM.txt","An_peroxidase")</f>
        <v>An_peroxidase</v>
      </c>
      <c r="BF103" t="str">
        <f>HYPERLINK("http://pfam.sanger.ac.uk/family?acc=PF03098","1E-173")</f>
        <v>1E-173</v>
      </c>
      <c r="BG103" s="2" t="str">
        <f>HYPERLINK("http://exon.niaid.nih.gov/transcriptome/Anopheles_sialome/links/SMART/anofun_Sal_Perox-SMART.txt","Tim44")</f>
        <v>Tim44</v>
      </c>
      <c r="BH103" t="str">
        <f>HYPERLINK("http://smart.embl-heidelberg.de/smart/do_annotation.pl?DOMAIN=Tim44&amp;BLAST=DUMMY","2.7")</f>
        <v>2.7</v>
      </c>
      <c r="BI103" t="s">
        <v>128</v>
      </c>
      <c r="BJ103" s="2" t="s">
        <v>128</v>
      </c>
      <c r="BK103" t="s">
        <v>1602</v>
      </c>
      <c r="BL103">
        <f>HYPERLINK("http://exon.niaid.nih.gov/transcriptome/Anopheles_sialome/links/cluster-b/anopheline-sialome-cds-pep-larger-orf25-50SimCLU11.txt", 11)</f>
        <v>11</v>
      </c>
      <c r="BM103">
        <f>HYPERLINK("http://exon.niaid.nih.gov/transcriptome/Anopheles_sialome/links/cluster-b/anopheline-sialome-cds-pep-larger-orf25-50SimCLTL11.txt", 19)</f>
        <v>19</v>
      </c>
      <c r="BN103">
        <f>HYPERLINK("http://exon.niaid.nih.gov/transcriptome/Anopheles_sialome/links/cluster-b/anopheline-sialome-cds-pep-larger-orf30-50SimCLU10.txt", 10)</f>
        <v>10</v>
      </c>
      <c r="BO103">
        <f>HYPERLINK("http://exon.niaid.nih.gov/transcriptome/Anopheles_sialome/links/cluster-b/anopheline-sialome-cds-pep-larger-orf30-50SimCLTL10.txt", 19)</f>
        <v>19</v>
      </c>
      <c r="BP103">
        <f>HYPERLINK("http://exon.niaid.nih.gov/transcriptome/Anopheles_sialome/links/cluster-b/anopheline-sialome-cds-pep-larger-orf35-50SimCLU12.txt", 12)</f>
        <v>12</v>
      </c>
      <c r="BQ103">
        <f>HYPERLINK("http://exon.niaid.nih.gov/transcriptome/Anopheles_sialome/links/cluster-b/anopheline-sialome-cds-pep-larger-orf35-50SimCLTL12.txt", 19)</f>
        <v>19</v>
      </c>
      <c r="BR103">
        <f>HYPERLINK("http://exon.niaid.nih.gov/transcriptome/Anopheles_sialome/links/cluster-b/anopheline-sialome-cds-pep-larger-orf40-50SimCLU14.txt", 14)</f>
        <v>14</v>
      </c>
      <c r="BS103">
        <f>HYPERLINK("http://exon.niaid.nih.gov/transcriptome/Anopheles_sialome/links/cluster-b/anopheline-sialome-cds-pep-larger-orf40-50SimCLTL14.txt", 19)</f>
        <v>19</v>
      </c>
      <c r="BT103">
        <f>HYPERLINK("http://exon.niaid.nih.gov/transcriptome/Anopheles_sialome/links/cluster-b/anopheline-sialome-cds-pep-larger-orf45-50SimCLU14.txt", 14)</f>
        <v>14</v>
      </c>
      <c r="BU103">
        <f>HYPERLINK("http://exon.niaid.nih.gov/transcriptome/Anopheles_sialome/links/cluster-b/anopheline-sialome-cds-pep-larger-orf45-50SimCLTL14.txt", 19)</f>
        <v>19</v>
      </c>
      <c r="BV103">
        <f>HYPERLINK("http://exon.niaid.nih.gov/transcriptome/Anopheles_sialome/links/cluster-b/anopheline-sialome-cds-pep-larger-orf50-50SimCLU13.txt", 13)</f>
        <v>13</v>
      </c>
      <c r="BW103">
        <f>HYPERLINK("http://exon.niaid.nih.gov/transcriptome/Anopheles_sialome/links/cluster-b/anopheline-sialome-cds-pep-larger-orf50-50SimCLTL13.txt", 19)</f>
        <v>19</v>
      </c>
      <c r="BX103">
        <f>HYPERLINK("http://exon.niaid.nih.gov/transcriptome/Anopheles_sialome/links/cluster-b/anopheline-sialome-cds-pep-larger-orf55-50SimCLU14.txt", 14)</f>
        <v>14</v>
      </c>
      <c r="BY103">
        <f>HYPERLINK("http://exon.niaid.nih.gov/transcriptome/Anopheles_sialome/links/cluster-b/anopheline-sialome-cds-pep-larger-orf55-50SimCLTL14.txt", 19)</f>
        <v>19</v>
      </c>
      <c r="BZ103">
        <f>HYPERLINK("http://exon.niaid.nih.gov/transcriptome/Anopheles_sialome/links/cluster-b/anopheline-sialome-cds-pep-larger-orf60-50SimCLU13.txt", 13)</f>
        <v>13</v>
      </c>
      <c r="CA103">
        <f>HYPERLINK("http://exon.niaid.nih.gov/transcriptome/Anopheles_sialome/links/cluster-b/anopheline-sialome-cds-pep-larger-orf60-50SimCLTL13.txt", 19)</f>
        <v>19</v>
      </c>
      <c r="CB103">
        <f>HYPERLINK("http://exon.niaid.nih.gov/transcriptome/Anopheles_sialome/links/cluster-b/anopheline-sialome-cds-pep-larger-orf65-50SimCLU11.txt", 11)</f>
        <v>11</v>
      </c>
      <c r="CC103">
        <f>HYPERLINK("http://exon.niaid.nih.gov/transcriptome/Anopheles_sialome/links/cluster-b/anopheline-sialome-cds-pep-larger-orf65-50SimCLTL11.txt", 19)</f>
        <v>19</v>
      </c>
      <c r="CD103">
        <f>HYPERLINK("http://exon.niaid.nih.gov/transcriptome/Anopheles_sialome/links/cluster-b/anopheline-sialome-cds-pep-larger-orf70-50SimCLU10.txt", 10)</f>
        <v>10</v>
      </c>
      <c r="CE103">
        <f>HYPERLINK("http://exon.niaid.nih.gov/transcriptome/Anopheles_sialome/links/cluster-b/anopheline-sialome-cds-pep-larger-orf70-50SimCLTL10.txt", 19)</f>
        <v>19</v>
      </c>
      <c r="CF103">
        <f>HYPERLINK("http://exon.niaid.nih.gov/transcriptome/Anopheles_sialome/links/cluster-b/anopheline-sialome-cds-pep-larger-orf75-50SimCLU17.txt", 17)</f>
        <v>17</v>
      </c>
      <c r="CG103">
        <f>HYPERLINK("http://exon.niaid.nih.gov/transcriptome/Anopheles_sialome/links/cluster-b/anopheline-sialome-cds-pep-larger-orf75-50SimCLTL17.txt", 16)</f>
        <v>16</v>
      </c>
      <c r="CH103">
        <f>HYPERLINK("http://exon.niaid.nih.gov/transcriptome/Anopheles_sialome/links/cluster-b/anopheline-sialome-cds-pep-larger-orf80-50SimCLU11.txt", 11)</f>
        <v>11</v>
      </c>
      <c r="CI103">
        <f>HYPERLINK("http://exon.niaid.nih.gov/transcriptome/Anopheles_sialome/links/cluster-b/anopheline-sialome-cds-pep-larger-orf80-50SimCLTL11.txt", 16)</f>
        <v>16</v>
      </c>
      <c r="CJ103">
        <f>HYPERLINK("http://exon.niaid.nih.gov/transcriptome/Anopheles_sialome/links/cluster-b/anopheline-sialome-cds-pep-larger-orf85-50SimCLU7.txt", 7)</f>
        <v>7</v>
      </c>
      <c r="CK103">
        <f>HYPERLINK("http://exon.niaid.nih.gov/transcriptome/Anopheles_sialome/links/cluster-b/anopheline-sialome-cds-pep-larger-orf85-50SimCLTL7.txt", 16)</f>
        <v>16</v>
      </c>
      <c r="CL103">
        <f>HYPERLINK("http://exon.niaid.nih.gov/transcriptome/Anopheles_sialome/links/cluster-b/anopheline-sialome-cds-pep-larger-orf90-50SimCLU2.txt", 2)</f>
        <v>2</v>
      </c>
      <c r="CM103">
        <f>HYPERLINK("http://exon.niaid.nih.gov/transcriptome/Anopheles_sialome/links/cluster-b/anopheline-sialome-cds-pep-larger-orf90-50SimCLTL2.txt", 15)</f>
        <v>15</v>
      </c>
      <c r="CN103">
        <v>347</v>
      </c>
      <c r="CO103">
        <v>1</v>
      </c>
    </row>
    <row r="104" spans="1:93">
      <c r="A104" s="2" t="str">
        <f>HYPERLINK("http://exon.niaid.nih.gov/transcriptome/Anopheles_sialome/links/cds/anomin_Sal_Perox-cds.txt","anomin_Sal_Perox")</f>
        <v>anomin_Sal_Perox</v>
      </c>
      <c r="B104">
        <v>1770</v>
      </c>
      <c r="C104" t="s">
        <v>358</v>
      </c>
      <c r="D104" t="s">
        <v>7</v>
      </c>
      <c r="E104" t="s">
        <v>5</v>
      </c>
      <c r="F104" t="s">
        <v>1</v>
      </c>
      <c r="G104" t="str">
        <f>HYPERLINK("http://exon.niaid.nih.gov/transcriptome/Anopheles_sialome/links/pep/anomin_Sal_Perox-pep.txt","anomin_Sal_Perox")</f>
        <v>anomin_Sal_Perox</v>
      </c>
      <c r="H104">
        <v>589</v>
      </c>
      <c r="I104">
        <v>3</v>
      </c>
      <c r="J104" s="3" t="str">
        <f>HYPERLINK("http://exon.niaid.nih.gov/transcriptome/Anopheles_sialome/links/Sigp/anomin_Sal_Perox-SigP.txt","SIG")</f>
        <v>SIG</v>
      </c>
      <c r="K104" t="s">
        <v>692</v>
      </c>
      <c r="L104">
        <v>66.325999999999993</v>
      </c>
      <c r="M104">
        <v>8.4700000000000006</v>
      </c>
      <c r="N104">
        <v>64.147000000000006</v>
      </c>
      <c r="O104">
        <v>8.34</v>
      </c>
      <c r="P104" t="s">
        <v>1045</v>
      </c>
      <c r="Q104" s="3">
        <v>0</v>
      </c>
      <c r="R104" t="s">
        <v>128</v>
      </c>
      <c r="S104" t="s">
        <v>128</v>
      </c>
      <c r="T104" t="s">
        <v>128</v>
      </c>
      <c r="U104" t="s">
        <v>128</v>
      </c>
      <c r="V104" t="s">
        <v>128</v>
      </c>
      <c r="W104" s="3" t="str">
        <f>HYPERLINK("http://exon.niaid.nih.gov/transcriptome/Anopheles_sialome/links/netoglyc/anomin_Sal_Perox-netoglyc.txt","0")</f>
        <v>0</v>
      </c>
      <c r="X104">
        <v>11.7</v>
      </c>
      <c r="Y104">
        <v>7.1</v>
      </c>
      <c r="Z104">
        <v>5.8</v>
      </c>
      <c r="AA104" t="s">
        <v>654</v>
      </c>
      <c r="AB104" t="s">
        <v>128</v>
      </c>
      <c r="AC104" s="2" t="str">
        <f>HYPERLINK("http://exon.niaid.nih.gov/transcriptome/Anopheles_sialome/links/DIPTERA/anomin_Sal_Perox-DIPTERA.txt","AGAP010735-PA, partial")</f>
        <v>AGAP010735-PA, partial</v>
      </c>
      <c r="AD104" t="str">
        <f t="shared" si="75"/>
        <v>0.0</v>
      </c>
      <c r="AE104" t="str">
        <f t="shared" si="76"/>
        <v>gi|157018506</v>
      </c>
      <c r="AF104">
        <v>85</v>
      </c>
      <c r="AG104">
        <v>91</v>
      </c>
      <c r="AH104">
        <v>48</v>
      </c>
      <c r="AI104" t="s">
        <v>2285</v>
      </c>
      <c r="AJ104" s="2" t="str">
        <f>HYPERLINK("http://exon.niaid.nih.gov/transcriptome/Anopheles_sialome/links/CULICOMORPHA/anomin_Sal_Perox-CULICOMORPHA.txt","AGAP010735-PA, partial")</f>
        <v>AGAP010735-PA, partial</v>
      </c>
      <c r="AK104" t="str">
        <f t="shared" si="77"/>
        <v>0.0</v>
      </c>
      <c r="AL104" t="str">
        <f t="shared" si="78"/>
        <v>gi|157018506</v>
      </c>
      <c r="AM104">
        <v>85</v>
      </c>
      <c r="AN104">
        <v>91</v>
      </c>
      <c r="AO104">
        <v>48</v>
      </c>
      <c r="AP104" t="s">
        <v>2285</v>
      </c>
      <c r="AQ104" s="2" t="str">
        <f>HYPERLINK("http://exon.niaid.nih.gov/transcriptome/Anopheles_sialome/links/NR-LIGHT/anomin_Sal_Perox-NR-LIGHT.txt","AGAP010735-PA")</f>
        <v>AGAP010735-PA</v>
      </c>
      <c r="AR104" t="str">
        <f t="shared" si="79"/>
        <v>0.0</v>
      </c>
      <c r="AS104" t="str">
        <f t="shared" si="80"/>
        <v>gi|158289809</v>
      </c>
      <c r="AT104">
        <v>85</v>
      </c>
      <c r="AU104">
        <v>91</v>
      </c>
      <c r="AV104">
        <v>48</v>
      </c>
      <c r="AW104" t="s">
        <v>2285</v>
      </c>
      <c r="AX104" s="2" t="str">
        <f>HYPERLINK("http://exon.niaid.nih.gov/transcriptome/Anopheles_sialome/links/CDD/anomin_Sal_Perox-CDD.txt","An_peroxidase")</f>
        <v>An_peroxidase</v>
      </c>
      <c r="AY104" t="str">
        <f>HYPERLINK("http://www.ncbi.nlm.nih.gov/Structure/cdd/cddsrv.cgi?uid=pfam03098&amp;version=v4.0","1E-170")</f>
        <v>1E-170</v>
      </c>
      <c r="AZ104" t="s">
        <v>2796</v>
      </c>
      <c r="BA104" s="2" t="str">
        <f>HYPERLINK("http://exon.niaid.nih.gov/transcriptome/Anopheles_sialome/links/KOG/anomin_Sal_Perox-KOG.txt","Peroxidase/oxygenase")</f>
        <v>Peroxidase/oxygenase</v>
      </c>
      <c r="BB104" t="str">
        <f>HYPERLINK("http://www.ncbi.nlm.nih.gov/Structure/cdd/cddsrv.cgi?uid=KOG2408","1E-146")</f>
        <v>1E-146</v>
      </c>
      <c r="BC104" t="s">
        <v>2310</v>
      </c>
      <c r="BD104" t="str">
        <f>HYPERLINK("http://exon.niaid.nih.gov/transcriptome/Anopheles_sialome/links/KOG/anomin_Sal_Perox-KOG.txt","KOG2408")</f>
        <v>KOG2408</v>
      </c>
      <c r="BE104" t="str">
        <f>HYPERLINK("http://exon.niaid.nih.gov/transcriptome/Anopheles_sialome/links/PFAM/anomin_Sal_Perox-PFAM.txt","An_peroxidase")</f>
        <v>An_peroxidase</v>
      </c>
      <c r="BF104" t="str">
        <f>HYPERLINK("http://pfam.sanger.ac.uk/family?acc=PF03098","1E-170")</f>
        <v>1E-170</v>
      </c>
      <c r="BG104" s="2" t="str">
        <f>HYPERLINK("http://exon.niaid.nih.gov/transcriptome/Anopheles_sialome/links/SMART/anomin_Sal_Perox-SMART.txt","JAB_MPN")</f>
        <v>JAB_MPN</v>
      </c>
      <c r="BH104" t="str">
        <f>HYPERLINK("http://smart.embl-heidelberg.de/smart/do_annotation.pl?DOMAIN=JAB_MPN&amp;BLAST=DUMMY","0.39")</f>
        <v>0.39</v>
      </c>
      <c r="BI104" t="s">
        <v>128</v>
      </c>
      <c r="BJ104" s="2" t="s">
        <v>128</v>
      </c>
      <c r="BK104" t="s">
        <v>1603</v>
      </c>
      <c r="BL104">
        <f>HYPERLINK("http://exon.niaid.nih.gov/transcriptome/Anopheles_sialome/links/cluster-b/anopheline-sialome-cds-pep-larger-orf25-50SimCLU11.txt", 11)</f>
        <v>11</v>
      </c>
      <c r="BM104">
        <f>HYPERLINK("http://exon.niaid.nih.gov/transcriptome/Anopheles_sialome/links/cluster-b/anopheline-sialome-cds-pep-larger-orf25-50SimCLTL11.txt", 19)</f>
        <v>19</v>
      </c>
      <c r="BN104">
        <f>HYPERLINK("http://exon.niaid.nih.gov/transcriptome/Anopheles_sialome/links/cluster-b/anopheline-sialome-cds-pep-larger-orf30-50SimCLU10.txt", 10)</f>
        <v>10</v>
      </c>
      <c r="BO104">
        <f>HYPERLINK("http://exon.niaid.nih.gov/transcriptome/Anopheles_sialome/links/cluster-b/anopheline-sialome-cds-pep-larger-orf30-50SimCLTL10.txt", 19)</f>
        <v>19</v>
      </c>
      <c r="BP104">
        <f>HYPERLINK("http://exon.niaid.nih.gov/transcriptome/Anopheles_sialome/links/cluster-b/anopheline-sialome-cds-pep-larger-orf35-50SimCLU12.txt", 12)</f>
        <v>12</v>
      </c>
      <c r="BQ104">
        <f>HYPERLINK("http://exon.niaid.nih.gov/transcriptome/Anopheles_sialome/links/cluster-b/anopheline-sialome-cds-pep-larger-orf35-50SimCLTL12.txt", 19)</f>
        <v>19</v>
      </c>
      <c r="BR104">
        <f>HYPERLINK("http://exon.niaid.nih.gov/transcriptome/Anopheles_sialome/links/cluster-b/anopheline-sialome-cds-pep-larger-orf40-50SimCLU14.txt", 14)</f>
        <v>14</v>
      </c>
      <c r="BS104">
        <f>HYPERLINK("http://exon.niaid.nih.gov/transcriptome/Anopheles_sialome/links/cluster-b/anopheline-sialome-cds-pep-larger-orf40-50SimCLTL14.txt", 19)</f>
        <v>19</v>
      </c>
      <c r="BT104">
        <f>HYPERLINK("http://exon.niaid.nih.gov/transcriptome/Anopheles_sialome/links/cluster-b/anopheline-sialome-cds-pep-larger-orf45-50SimCLU14.txt", 14)</f>
        <v>14</v>
      </c>
      <c r="BU104">
        <f>HYPERLINK("http://exon.niaid.nih.gov/transcriptome/Anopheles_sialome/links/cluster-b/anopheline-sialome-cds-pep-larger-orf45-50SimCLTL14.txt", 19)</f>
        <v>19</v>
      </c>
      <c r="BV104">
        <f>HYPERLINK("http://exon.niaid.nih.gov/transcriptome/Anopheles_sialome/links/cluster-b/anopheline-sialome-cds-pep-larger-orf50-50SimCLU13.txt", 13)</f>
        <v>13</v>
      </c>
      <c r="BW104">
        <f>HYPERLINK("http://exon.niaid.nih.gov/transcriptome/Anopheles_sialome/links/cluster-b/anopheline-sialome-cds-pep-larger-orf50-50SimCLTL13.txt", 19)</f>
        <v>19</v>
      </c>
      <c r="BX104">
        <f>HYPERLINK("http://exon.niaid.nih.gov/transcriptome/Anopheles_sialome/links/cluster-b/anopheline-sialome-cds-pep-larger-orf55-50SimCLU14.txt", 14)</f>
        <v>14</v>
      </c>
      <c r="BY104">
        <f>HYPERLINK("http://exon.niaid.nih.gov/transcriptome/Anopheles_sialome/links/cluster-b/anopheline-sialome-cds-pep-larger-orf55-50SimCLTL14.txt", 19)</f>
        <v>19</v>
      </c>
      <c r="BZ104">
        <f>HYPERLINK("http://exon.niaid.nih.gov/transcriptome/Anopheles_sialome/links/cluster-b/anopheline-sialome-cds-pep-larger-orf60-50SimCLU13.txt", 13)</f>
        <v>13</v>
      </c>
      <c r="CA104">
        <f>HYPERLINK("http://exon.niaid.nih.gov/transcriptome/Anopheles_sialome/links/cluster-b/anopheline-sialome-cds-pep-larger-orf60-50SimCLTL13.txt", 19)</f>
        <v>19</v>
      </c>
      <c r="CB104">
        <f>HYPERLINK("http://exon.niaid.nih.gov/transcriptome/Anopheles_sialome/links/cluster-b/anopheline-sialome-cds-pep-larger-orf65-50SimCLU11.txt", 11)</f>
        <v>11</v>
      </c>
      <c r="CC104">
        <f>HYPERLINK("http://exon.niaid.nih.gov/transcriptome/Anopheles_sialome/links/cluster-b/anopheline-sialome-cds-pep-larger-orf65-50SimCLTL11.txt", 19)</f>
        <v>19</v>
      </c>
      <c r="CD104">
        <f>HYPERLINK("http://exon.niaid.nih.gov/transcriptome/Anopheles_sialome/links/cluster-b/anopheline-sialome-cds-pep-larger-orf70-50SimCLU10.txt", 10)</f>
        <v>10</v>
      </c>
      <c r="CE104">
        <f>HYPERLINK("http://exon.niaid.nih.gov/transcriptome/Anopheles_sialome/links/cluster-b/anopheline-sialome-cds-pep-larger-orf70-50SimCLTL10.txt", 19)</f>
        <v>19</v>
      </c>
      <c r="CF104">
        <f>HYPERLINK("http://exon.niaid.nih.gov/transcriptome/Anopheles_sialome/links/cluster-b/anopheline-sialome-cds-pep-larger-orf75-50SimCLU17.txt", 17)</f>
        <v>17</v>
      </c>
      <c r="CG104">
        <f>HYPERLINK("http://exon.niaid.nih.gov/transcriptome/Anopheles_sialome/links/cluster-b/anopheline-sialome-cds-pep-larger-orf75-50SimCLTL17.txt", 16)</f>
        <v>16</v>
      </c>
      <c r="CH104">
        <f>HYPERLINK("http://exon.niaid.nih.gov/transcriptome/Anopheles_sialome/links/cluster-b/anopheline-sialome-cds-pep-larger-orf80-50SimCLU11.txt", 11)</f>
        <v>11</v>
      </c>
      <c r="CI104">
        <f>HYPERLINK("http://exon.niaid.nih.gov/transcriptome/Anopheles_sialome/links/cluster-b/anopheline-sialome-cds-pep-larger-orf80-50SimCLTL11.txt", 16)</f>
        <v>16</v>
      </c>
      <c r="CJ104">
        <f>HYPERLINK("http://exon.niaid.nih.gov/transcriptome/Anopheles_sialome/links/cluster-b/anopheline-sialome-cds-pep-larger-orf85-50SimCLU7.txt", 7)</f>
        <v>7</v>
      </c>
      <c r="CK104">
        <f>HYPERLINK("http://exon.niaid.nih.gov/transcriptome/Anopheles_sialome/links/cluster-b/anopheline-sialome-cds-pep-larger-orf85-50SimCLTL7.txt", 16)</f>
        <v>16</v>
      </c>
      <c r="CL104">
        <f>HYPERLINK("http://exon.niaid.nih.gov/transcriptome/Anopheles_sialome/links/cluster-b/anopheline-sialome-cds-pep-larger-orf90-50SimCLU2.txt", 2)</f>
        <v>2</v>
      </c>
      <c r="CM104">
        <f>HYPERLINK("http://exon.niaid.nih.gov/transcriptome/Anopheles_sialome/links/cluster-b/anopheline-sialome-cds-pep-larger-orf90-50SimCLTL2.txt", 15)</f>
        <v>15</v>
      </c>
      <c r="CN104">
        <f>HYPERLINK("http://exon.niaid.nih.gov/transcriptome/Anopheles_sialome/links/cluster-b/anopheline-sialome-cds-pep-larger-orf95-50SimCLU64.txt", 64)</f>
        <v>64</v>
      </c>
      <c r="CO104">
        <f>HYPERLINK("http://exon.niaid.nih.gov/transcriptome/Anopheles_sialome/links/cluster-b/anopheline-sialome-cds-pep-larger-orf95-50SimCLTL64.txt", 2)</f>
        <v>2</v>
      </c>
    </row>
    <row r="105" spans="1:93">
      <c r="A105" s="2" t="str">
        <f>HYPERLINK("http://exon.niaid.nih.gov/transcriptome/Anopheles_sialome/links/cds/anocul_Sal_Perox-cds.txt","anocul_Sal_Perox")</f>
        <v>anocul_Sal_Perox</v>
      </c>
      <c r="B105">
        <v>1773</v>
      </c>
      <c r="C105" t="s">
        <v>359</v>
      </c>
      <c r="D105" t="s">
        <v>7</v>
      </c>
      <c r="E105" t="s">
        <v>5</v>
      </c>
      <c r="F105" t="s">
        <v>1</v>
      </c>
      <c r="G105" t="str">
        <f>HYPERLINK("http://exon.niaid.nih.gov/transcriptome/Anopheles_sialome/links/pep/anocul_Sal_Perox-pep.txt","anocul_Sal_Perox")</f>
        <v>anocul_Sal_Perox</v>
      </c>
      <c r="H105">
        <v>590</v>
      </c>
      <c r="I105">
        <v>4</v>
      </c>
      <c r="J105" s="3" t="str">
        <f>HYPERLINK("http://exon.niaid.nih.gov/transcriptome/Anopheles_sialome/links/Sigp/anocul_Sal_Perox-SigP.txt","SIG")</f>
        <v>SIG</v>
      </c>
      <c r="K105" t="s">
        <v>689</v>
      </c>
      <c r="L105">
        <v>66.756</v>
      </c>
      <c r="M105">
        <v>8.68</v>
      </c>
      <c r="N105">
        <v>64.400999999999996</v>
      </c>
      <c r="O105">
        <v>8.58</v>
      </c>
      <c r="P105" t="s">
        <v>1605</v>
      </c>
      <c r="Q105" s="3">
        <v>0</v>
      </c>
      <c r="R105" t="s">
        <v>128</v>
      </c>
      <c r="S105" t="s">
        <v>128</v>
      </c>
      <c r="T105" t="s">
        <v>128</v>
      </c>
      <c r="U105" t="s">
        <v>128</v>
      </c>
      <c r="V105" t="s">
        <v>128</v>
      </c>
      <c r="W105" s="3" t="str">
        <f>HYPERLINK("http://exon.niaid.nih.gov/transcriptome/Anopheles_sialome/links/netoglyc/anocul_Sal_Perox-netoglyc.txt","0")</f>
        <v>0</v>
      </c>
      <c r="X105">
        <v>12.2</v>
      </c>
      <c r="Y105">
        <v>6.6</v>
      </c>
      <c r="Z105">
        <v>6.1</v>
      </c>
      <c r="AA105" t="s">
        <v>654</v>
      </c>
      <c r="AB105" t="s">
        <v>128</v>
      </c>
      <c r="AC105" s="2" t="str">
        <f>HYPERLINK("http://exon.niaid.nih.gov/transcriptome/Anopheles_sialome/links/DIPTERA/anocul_Sal_Perox-DIPTERA.txt","AGAP010735-PA, partial")</f>
        <v>AGAP010735-PA, partial</v>
      </c>
      <c r="AD105" t="str">
        <f>HYPERLINK("http://www.ncbi.nlm.nih.gov/sutils/blink.cgi?pid=157018506","0.0")</f>
        <v>0.0</v>
      </c>
      <c r="AE105" t="str">
        <f>HYPERLINK("http://www.ncbi.nlm.nih.gov/protein/157018506","gi|157018506")</f>
        <v>gi|157018506</v>
      </c>
      <c r="AF105">
        <v>85</v>
      </c>
      <c r="AG105">
        <v>92</v>
      </c>
      <c r="AH105">
        <v>48</v>
      </c>
      <c r="AI105" t="s">
        <v>2285</v>
      </c>
      <c r="AJ105" s="2" t="str">
        <f>HYPERLINK("http://exon.niaid.nih.gov/transcriptome/Anopheles_sialome/links/CULICOMORPHA/anocul_Sal_Perox-CULICOMORPHA.txt","AGAP010735-PA, partial")</f>
        <v>AGAP010735-PA, partial</v>
      </c>
      <c r="AK105" t="str">
        <f>HYPERLINK("http://www.ncbi.nlm.nih.gov/sutils/blink.cgi?pid=157018506","0.0")</f>
        <v>0.0</v>
      </c>
      <c r="AL105" t="str">
        <f>HYPERLINK("http://www.ncbi.nlm.nih.gov/protein/157018506","gi|157018506")</f>
        <v>gi|157018506</v>
      </c>
      <c r="AM105">
        <v>85</v>
      </c>
      <c r="AN105">
        <v>92</v>
      </c>
      <c r="AO105">
        <v>48</v>
      </c>
      <c r="AP105" t="s">
        <v>2285</v>
      </c>
      <c r="AQ105" s="2" t="str">
        <f>HYPERLINK("http://exon.niaid.nih.gov/transcriptome/Anopheles_sialome/links/NR-LIGHT/anocul_Sal_Perox-NR-LIGHT.txt","AGAP010735-PA")</f>
        <v>AGAP010735-PA</v>
      </c>
      <c r="AR105" t="str">
        <f>HYPERLINK("http://www.ncbi.nlm.nih.gov/sutils/blink.cgi?pid=158289809","0.0")</f>
        <v>0.0</v>
      </c>
      <c r="AS105" t="str">
        <f>HYPERLINK("http://www.ncbi.nlm.nih.gov/protein/158289809","gi|158289809")</f>
        <v>gi|158289809</v>
      </c>
      <c r="AT105">
        <v>85</v>
      </c>
      <c r="AU105">
        <v>92</v>
      </c>
      <c r="AV105">
        <v>48</v>
      </c>
      <c r="AW105" t="s">
        <v>2285</v>
      </c>
      <c r="AX105" s="2" t="str">
        <f>HYPERLINK("http://exon.niaid.nih.gov/transcriptome/Anopheles_sialome/links/CDD/anocul_Sal_Perox-CDD.txt","An_peroxidase")</f>
        <v>An_peroxidase</v>
      </c>
      <c r="AY105" t="str">
        <f>HYPERLINK("http://www.ncbi.nlm.nih.gov/Structure/cdd/cddsrv.cgi?uid=pfam03098&amp;version=v4.0","1E-172")</f>
        <v>1E-172</v>
      </c>
      <c r="AZ105" t="s">
        <v>2797</v>
      </c>
      <c r="BA105" s="2" t="str">
        <f>HYPERLINK("http://exon.niaid.nih.gov/transcriptome/Anopheles_sialome/links/KOG/anocul_Sal_Perox-KOG.txt","Peroxidase/oxygenase")</f>
        <v>Peroxidase/oxygenase</v>
      </c>
      <c r="BB105" t="str">
        <f>HYPERLINK("http://www.ncbi.nlm.nih.gov/Structure/cdd/cddsrv.cgi?uid=KOG2408","1E-148")</f>
        <v>1E-148</v>
      </c>
      <c r="BC105" t="s">
        <v>2310</v>
      </c>
      <c r="BD105" t="str">
        <f>HYPERLINK("http://exon.niaid.nih.gov/transcriptome/Anopheles_sialome/links/KOG/anocul_Sal_Perox-KOG.txt","KOG2408")</f>
        <v>KOG2408</v>
      </c>
      <c r="BE105" t="str">
        <f>HYPERLINK("http://exon.niaid.nih.gov/transcriptome/Anopheles_sialome/links/PFAM/anocul_Sal_Perox-PFAM.txt","An_peroxidase")</f>
        <v>An_peroxidase</v>
      </c>
      <c r="BF105" t="str">
        <f>HYPERLINK("http://pfam.sanger.ac.uk/family?acc=PF03098","1E-173")</f>
        <v>1E-173</v>
      </c>
      <c r="BG105" s="2" t="str">
        <f>HYPERLINK("http://exon.niaid.nih.gov/transcriptome/Anopheles_sialome/links/SMART/anocul_Sal_Perox-SMART.txt","Semialdhyde_dh")</f>
        <v>Semialdhyde_dh</v>
      </c>
      <c r="BH105" t="str">
        <f>HYPERLINK("http://smart.embl-heidelberg.de/smart/do_annotation.pl?DOMAIN=Semialdhyde_dh&amp;BLAST=DUMMY","4.6")</f>
        <v>4.6</v>
      </c>
      <c r="BI105" t="s">
        <v>128</v>
      </c>
      <c r="BJ105" s="2" t="s">
        <v>128</v>
      </c>
      <c r="BK105" t="s">
        <v>1604</v>
      </c>
      <c r="BL105">
        <f>HYPERLINK("http://exon.niaid.nih.gov/transcriptome/Anopheles_sialome/links/cluster-b/anopheline-sialome-cds-pep-larger-orf25-50SimCLU11.txt", 11)</f>
        <v>11</v>
      </c>
      <c r="BM105">
        <f>HYPERLINK("http://exon.niaid.nih.gov/transcriptome/Anopheles_sialome/links/cluster-b/anopheline-sialome-cds-pep-larger-orf25-50SimCLTL11.txt", 19)</f>
        <v>19</v>
      </c>
      <c r="BN105">
        <f>HYPERLINK("http://exon.niaid.nih.gov/transcriptome/Anopheles_sialome/links/cluster-b/anopheline-sialome-cds-pep-larger-orf30-50SimCLU10.txt", 10)</f>
        <v>10</v>
      </c>
      <c r="BO105">
        <f>HYPERLINK("http://exon.niaid.nih.gov/transcriptome/Anopheles_sialome/links/cluster-b/anopheline-sialome-cds-pep-larger-orf30-50SimCLTL10.txt", 19)</f>
        <v>19</v>
      </c>
      <c r="BP105">
        <f>HYPERLINK("http://exon.niaid.nih.gov/transcriptome/Anopheles_sialome/links/cluster-b/anopheline-sialome-cds-pep-larger-orf35-50SimCLU12.txt", 12)</f>
        <v>12</v>
      </c>
      <c r="BQ105">
        <f>HYPERLINK("http://exon.niaid.nih.gov/transcriptome/Anopheles_sialome/links/cluster-b/anopheline-sialome-cds-pep-larger-orf35-50SimCLTL12.txt", 19)</f>
        <v>19</v>
      </c>
      <c r="BR105">
        <f>HYPERLINK("http://exon.niaid.nih.gov/transcriptome/Anopheles_sialome/links/cluster-b/anopheline-sialome-cds-pep-larger-orf40-50SimCLU14.txt", 14)</f>
        <v>14</v>
      </c>
      <c r="BS105">
        <f>HYPERLINK("http://exon.niaid.nih.gov/transcriptome/Anopheles_sialome/links/cluster-b/anopheline-sialome-cds-pep-larger-orf40-50SimCLTL14.txt", 19)</f>
        <v>19</v>
      </c>
      <c r="BT105">
        <f>HYPERLINK("http://exon.niaid.nih.gov/transcriptome/Anopheles_sialome/links/cluster-b/anopheline-sialome-cds-pep-larger-orf45-50SimCLU14.txt", 14)</f>
        <v>14</v>
      </c>
      <c r="BU105">
        <f>HYPERLINK("http://exon.niaid.nih.gov/transcriptome/Anopheles_sialome/links/cluster-b/anopheline-sialome-cds-pep-larger-orf45-50SimCLTL14.txt", 19)</f>
        <v>19</v>
      </c>
      <c r="BV105">
        <f>HYPERLINK("http://exon.niaid.nih.gov/transcriptome/Anopheles_sialome/links/cluster-b/anopheline-sialome-cds-pep-larger-orf50-50SimCLU13.txt", 13)</f>
        <v>13</v>
      </c>
      <c r="BW105">
        <f>HYPERLINK("http://exon.niaid.nih.gov/transcriptome/Anopheles_sialome/links/cluster-b/anopheline-sialome-cds-pep-larger-orf50-50SimCLTL13.txt", 19)</f>
        <v>19</v>
      </c>
      <c r="BX105">
        <f>HYPERLINK("http://exon.niaid.nih.gov/transcriptome/Anopheles_sialome/links/cluster-b/anopheline-sialome-cds-pep-larger-orf55-50SimCLU14.txt", 14)</f>
        <v>14</v>
      </c>
      <c r="BY105">
        <f>HYPERLINK("http://exon.niaid.nih.gov/transcriptome/Anopheles_sialome/links/cluster-b/anopheline-sialome-cds-pep-larger-orf55-50SimCLTL14.txt", 19)</f>
        <v>19</v>
      </c>
      <c r="BZ105">
        <f>HYPERLINK("http://exon.niaid.nih.gov/transcriptome/Anopheles_sialome/links/cluster-b/anopheline-sialome-cds-pep-larger-orf60-50SimCLU13.txt", 13)</f>
        <v>13</v>
      </c>
      <c r="CA105">
        <f>HYPERLINK("http://exon.niaid.nih.gov/transcriptome/Anopheles_sialome/links/cluster-b/anopheline-sialome-cds-pep-larger-orf60-50SimCLTL13.txt", 19)</f>
        <v>19</v>
      </c>
      <c r="CB105">
        <f>HYPERLINK("http://exon.niaid.nih.gov/transcriptome/Anopheles_sialome/links/cluster-b/anopheline-sialome-cds-pep-larger-orf65-50SimCLU11.txt", 11)</f>
        <v>11</v>
      </c>
      <c r="CC105">
        <f>HYPERLINK("http://exon.niaid.nih.gov/transcriptome/Anopheles_sialome/links/cluster-b/anopheline-sialome-cds-pep-larger-orf65-50SimCLTL11.txt", 19)</f>
        <v>19</v>
      </c>
      <c r="CD105">
        <f>HYPERLINK("http://exon.niaid.nih.gov/transcriptome/Anopheles_sialome/links/cluster-b/anopheline-sialome-cds-pep-larger-orf70-50SimCLU10.txt", 10)</f>
        <v>10</v>
      </c>
      <c r="CE105">
        <f>HYPERLINK("http://exon.niaid.nih.gov/transcriptome/Anopheles_sialome/links/cluster-b/anopheline-sialome-cds-pep-larger-orf70-50SimCLTL10.txt", 19)</f>
        <v>19</v>
      </c>
      <c r="CF105">
        <f>HYPERLINK("http://exon.niaid.nih.gov/transcriptome/Anopheles_sialome/links/cluster-b/anopheline-sialome-cds-pep-larger-orf75-50SimCLU17.txt", 17)</f>
        <v>17</v>
      </c>
      <c r="CG105">
        <f>HYPERLINK("http://exon.niaid.nih.gov/transcriptome/Anopheles_sialome/links/cluster-b/anopheline-sialome-cds-pep-larger-orf75-50SimCLTL17.txt", 16)</f>
        <v>16</v>
      </c>
      <c r="CH105">
        <f>HYPERLINK("http://exon.niaid.nih.gov/transcriptome/Anopheles_sialome/links/cluster-b/anopheline-sialome-cds-pep-larger-orf80-50SimCLU11.txt", 11)</f>
        <v>11</v>
      </c>
      <c r="CI105">
        <f>HYPERLINK("http://exon.niaid.nih.gov/transcriptome/Anopheles_sialome/links/cluster-b/anopheline-sialome-cds-pep-larger-orf80-50SimCLTL11.txt", 16)</f>
        <v>16</v>
      </c>
      <c r="CJ105">
        <f>HYPERLINK("http://exon.niaid.nih.gov/transcriptome/Anopheles_sialome/links/cluster-b/anopheline-sialome-cds-pep-larger-orf85-50SimCLU7.txt", 7)</f>
        <v>7</v>
      </c>
      <c r="CK105">
        <f>HYPERLINK("http://exon.niaid.nih.gov/transcriptome/Anopheles_sialome/links/cluster-b/anopheline-sialome-cds-pep-larger-orf85-50SimCLTL7.txt", 16)</f>
        <v>16</v>
      </c>
      <c r="CL105">
        <f>HYPERLINK("http://exon.niaid.nih.gov/transcriptome/Anopheles_sialome/links/cluster-b/anopheline-sialome-cds-pep-larger-orf90-50SimCLU2.txt", 2)</f>
        <v>2</v>
      </c>
      <c r="CM105">
        <f>HYPERLINK("http://exon.niaid.nih.gov/transcriptome/Anopheles_sialome/links/cluster-b/anopheline-sialome-cds-pep-larger-orf90-50SimCLTL2.txt", 15)</f>
        <v>15</v>
      </c>
      <c r="CN105">
        <f>HYPERLINK("http://exon.niaid.nih.gov/transcriptome/Anopheles_sialome/links/cluster-b/anopheline-sialome-cds-pep-larger-orf95-50SimCLU64.txt", 64)</f>
        <v>64</v>
      </c>
      <c r="CO105">
        <f>HYPERLINK("http://exon.niaid.nih.gov/transcriptome/Anopheles_sialome/links/cluster-b/anopheline-sialome-cds-pep-larger-orf95-50SimCLTL64.txt", 2)</f>
        <v>2</v>
      </c>
    </row>
    <row r="106" spans="1:93">
      <c r="A106" s="2" t="str">
        <f>HYPERLINK("http://exon.niaid.nih.gov/transcriptome/Anopheles_sialome/links/cds/anoste_Sal_perox-cds.txt","anoste_Sal_perox")</f>
        <v>anoste_Sal_perox</v>
      </c>
      <c r="B106">
        <v>1764</v>
      </c>
      <c r="C106" t="s">
        <v>360</v>
      </c>
      <c r="D106" t="s">
        <v>7</v>
      </c>
      <c r="E106" t="s">
        <v>5</v>
      </c>
      <c r="F106" t="s">
        <v>1</v>
      </c>
      <c r="G106" t="str">
        <f>HYPERLINK("http://exon.niaid.nih.gov/transcriptome/Anopheles_sialome/links/pep/anoste_Sal_perox-pep.txt","anoste_Sal_perox")</f>
        <v>anoste_Sal_perox</v>
      </c>
      <c r="H106">
        <v>587</v>
      </c>
      <c r="I106">
        <v>4</v>
      </c>
      <c r="J106" s="3" t="str">
        <f>HYPERLINK("http://exon.niaid.nih.gov/transcriptome/Anopheles_sialome/links/Sigp/anoste_Sal_perox-SigP.txt","SIG")</f>
        <v>SIG</v>
      </c>
      <c r="K106" t="s">
        <v>692</v>
      </c>
      <c r="L106">
        <v>66.754000000000005</v>
      </c>
      <c r="M106">
        <v>8.75</v>
      </c>
      <c r="N106">
        <v>64.494</v>
      </c>
      <c r="O106">
        <v>8.57</v>
      </c>
      <c r="P106" t="s">
        <v>1607</v>
      </c>
      <c r="Q106" s="3">
        <v>0</v>
      </c>
      <c r="R106" t="s">
        <v>128</v>
      </c>
      <c r="S106" t="s">
        <v>128</v>
      </c>
      <c r="T106" t="s">
        <v>128</v>
      </c>
      <c r="U106" t="s">
        <v>128</v>
      </c>
      <c r="V106" t="s">
        <v>128</v>
      </c>
      <c r="W106" s="3" t="str">
        <f>HYPERLINK("http://exon.niaid.nih.gov/transcriptome/Anopheles_sialome/links/netoglyc/anoste_Sal_perox-netoglyc.txt","0")</f>
        <v>0</v>
      </c>
      <c r="X106">
        <v>11.2</v>
      </c>
      <c r="Y106">
        <v>6.3</v>
      </c>
      <c r="Z106">
        <v>6.1</v>
      </c>
      <c r="AA106" t="s">
        <v>654</v>
      </c>
      <c r="AB106" t="s">
        <v>128</v>
      </c>
      <c r="AC106" s="2" t="str">
        <f>HYPERLINK("http://exon.niaid.nih.gov/transcriptome/Anopheles_sialome/links/DIPTERA/anoste_Sal_perox-DIPTERA.txt","AGAP010735-PA, partial")</f>
        <v>AGAP010735-PA, partial</v>
      </c>
      <c r="AD106" t="str">
        <f>HYPERLINK("http://www.ncbi.nlm.nih.gov/sutils/blink.cgi?pid=157018506","0.0")</f>
        <v>0.0</v>
      </c>
      <c r="AE106" t="str">
        <f>HYPERLINK("http://www.ncbi.nlm.nih.gov/protein/157018506","gi|157018506")</f>
        <v>gi|157018506</v>
      </c>
      <c r="AF106">
        <v>83</v>
      </c>
      <c r="AG106">
        <v>91</v>
      </c>
      <c r="AH106">
        <v>48</v>
      </c>
      <c r="AI106" t="s">
        <v>2285</v>
      </c>
      <c r="AJ106" s="2" t="str">
        <f>HYPERLINK("http://exon.niaid.nih.gov/transcriptome/Anopheles_sialome/links/CULICOMORPHA/anoste_Sal_perox-CULICOMORPHA.txt","AGAP010735-PA, partial")</f>
        <v>AGAP010735-PA, partial</v>
      </c>
      <c r="AK106" t="str">
        <f>HYPERLINK("http://www.ncbi.nlm.nih.gov/sutils/blink.cgi?pid=157018506","0.0")</f>
        <v>0.0</v>
      </c>
      <c r="AL106" t="str">
        <f>HYPERLINK("http://www.ncbi.nlm.nih.gov/protein/157018506","gi|157018506")</f>
        <v>gi|157018506</v>
      </c>
      <c r="AM106">
        <v>83</v>
      </c>
      <c r="AN106">
        <v>91</v>
      </c>
      <c r="AO106">
        <v>48</v>
      </c>
      <c r="AP106" t="s">
        <v>2285</v>
      </c>
      <c r="AQ106" s="2" t="str">
        <f>HYPERLINK("http://exon.niaid.nih.gov/transcriptome/Anopheles_sialome/links/NR-LIGHT/anoste_Sal_perox-NR-LIGHT.txt","AGAP010735-PA")</f>
        <v>AGAP010735-PA</v>
      </c>
      <c r="AR106" t="str">
        <f>HYPERLINK("http://www.ncbi.nlm.nih.gov/sutils/blink.cgi?pid=158289809","0.0")</f>
        <v>0.0</v>
      </c>
      <c r="AS106" t="str">
        <f>HYPERLINK("http://www.ncbi.nlm.nih.gov/protein/158289809","gi|158289809")</f>
        <v>gi|158289809</v>
      </c>
      <c r="AT106">
        <v>83</v>
      </c>
      <c r="AU106">
        <v>91</v>
      </c>
      <c r="AV106">
        <v>48</v>
      </c>
      <c r="AW106" t="s">
        <v>2285</v>
      </c>
      <c r="AX106" s="2" t="str">
        <f>HYPERLINK("http://exon.niaid.nih.gov/transcriptome/Anopheles_sialome/links/CDD/anoste_Sal_perox-CDD.txt","An_peroxidase")</f>
        <v>An_peroxidase</v>
      </c>
      <c r="AY106" t="str">
        <f>HYPERLINK("http://www.ncbi.nlm.nih.gov/Structure/cdd/cddsrv.cgi?uid=pfam03098&amp;version=v4.0","1E-171")</f>
        <v>1E-171</v>
      </c>
      <c r="AZ106" t="s">
        <v>2798</v>
      </c>
      <c r="BA106" s="2" t="str">
        <f>HYPERLINK("http://exon.niaid.nih.gov/transcriptome/Anopheles_sialome/links/KOG/anoste_Sal_perox-KOG.txt","Peroxidase/oxygenase")</f>
        <v>Peroxidase/oxygenase</v>
      </c>
      <c r="BB106" t="str">
        <f>HYPERLINK("http://www.ncbi.nlm.nih.gov/Structure/cdd/cddsrv.cgi?uid=KOG2408","1E-149")</f>
        <v>1E-149</v>
      </c>
      <c r="BC106" t="s">
        <v>2310</v>
      </c>
      <c r="BD106" t="str">
        <f>HYPERLINK("http://exon.niaid.nih.gov/transcriptome/Anopheles_sialome/links/KOG/anoste_Sal_perox-KOG.txt","KOG2408")</f>
        <v>KOG2408</v>
      </c>
      <c r="BE106" t="str">
        <f>HYPERLINK("http://exon.niaid.nih.gov/transcriptome/Anopheles_sialome/links/PFAM/anoste_Sal_perox-PFAM.txt","An_peroxidase")</f>
        <v>An_peroxidase</v>
      </c>
      <c r="BF106" t="str">
        <f>HYPERLINK("http://pfam.sanger.ac.uk/family?acc=PF03098","1E-172")</f>
        <v>1E-172</v>
      </c>
      <c r="BG106" s="2" t="str">
        <f>HYPERLINK("http://exon.niaid.nih.gov/transcriptome/Anopheles_sialome/links/SMART/anoste_Sal_perox-SMART.txt","AAA_PrkA")</f>
        <v>AAA_PrkA</v>
      </c>
      <c r="BH106">
        <v>0.21</v>
      </c>
      <c r="BI106" t="str">
        <f>HYPERLINK("http://exon.niaid.nih.gov/transcriptome/Anopheles_sialome/links/TICK-BLOCKS/anoste_Sal_perox-TICK-BLOCKS.txt","Hyp37_stringent_pattern |")</f>
        <v>Hyp37_stringent_pattern |</v>
      </c>
      <c r="BJ106" s="2" t="s">
        <v>128</v>
      </c>
      <c r="BK106" t="s">
        <v>1606</v>
      </c>
      <c r="BL106">
        <f>HYPERLINK("http://exon.niaid.nih.gov/transcriptome/Anopheles_sialome/links/cluster-b/anopheline-sialome-cds-pep-larger-orf25-50SimCLU11.txt", 11)</f>
        <v>11</v>
      </c>
      <c r="BM106">
        <f>HYPERLINK("http://exon.niaid.nih.gov/transcriptome/Anopheles_sialome/links/cluster-b/anopheline-sialome-cds-pep-larger-orf25-50SimCLTL11.txt", 19)</f>
        <v>19</v>
      </c>
      <c r="BN106">
        <f>HYPERLINK("http://exon.niaid.nih.gov/transcriptome/Anopheles_sialome/links/cluster-b/anopheline-sialome-cds-pep-larger-orf30-50SimCLU10.txt", 10)</f>
        <v>10</v>
      </c>
      <c r="BO106">
        <f>HYPERLINK("http://exon.niaid.nih.gov/transcriptome/Anopheles_sialome/links/cluster-b/anopheline-sialome-cds-pep-larger-orf30-50SimCLTL10.txt", 19)</f>
        <v>19</v>
      </c>
      <c r="BP106">
        <f>HYPERLINK("http://exon.niaid.nih.gov/transcriptome/Anopheles_sialome/links/cluster-b/anopheline-sialome-cds-pep-larger-orf35-50SimCLU12.txt", 12)</f>
        <v>12</v>
      </c>
      <c r="BQ106">
        <f>HYPERLINK("http://exon.niaid.nih.gov/transcriptome/Anopheles_sialome/links/cluster-b/anopheline-sialome-cds-pep-larger-orf35-50SimCLTL12.txt", 19)</f>
        <v>19</v>
      </c>
      <c r="BR106">
        <f>HYPERLINK("http://exon.niaid.nih.gov/transcriptome/Anopheles_sialome/links/cluster-b/anopheline-sialome-cds-pep-larger-orf40-50SimCLU14.txt", 14)</f>
        <v>14</v>
      </c>
      <c r="BS106">
        <f>HYPERLINK("http://exon.niaid.nih.gov/transcriptome/Anopheles_sialome/links/cluster-b/anopheline-sialome-cds-pep-larger-orf40-50SimCLTL14.txt", 19)</f>
        <v>19</v>
      </c>
      <c r="BT106">
        <f>HYPERLINK("http://exon.niaid.nih.gov/transcriptome/Anopheles_sialome/links/cluster-b/anopheline-sialome-cds-pep-larger-orf45-50SimCLU14.txt", 14)</f>
        <v>14</v>
      </c>
      <c r="BU106">
        <f>HYPERLINK("http://exon.niaid.nih.gov/transcriptome/Anopheles_sialome/links/cluster-b/anopheline-sialome-cds-pep-larger-orf45-50SimCLTL14.txt", 19)</f>
        <v>19</v>
      </c>
      <c r="BV106">
        <f>HYPERLINK("http://exon.niaid.nih.gov/transcriptome/Anopheles_sialome/links/cluster-b/anopheline-sialome-cds-pep-larger-orf50-50SimCLU13.txt", 13)</f>
        <v>13</v>
      </c>
      <c r="BW106">
        <f>HYPERLINK("http://exon.niaid.nih.gov/transcriptome/Anopheles_sialome/links/cluster-b/anopheline-sialome-cds-pep-larger-orf50-50SimCLTL13.txt", 19)</f>
        <v>19</v>
      </c>
      <c r="BX106">
        <f>HYPERLINK("http://exon.niaid.nih.gov/transcriptome/Anopheles_sialome/links/cluster-b/anopheline-sialome-cds-pep-larger-orf55-50SimCLU14.txt", 14)</f>
        <v>14</v>
      </c>
      <c r="BY106">
        <f>HYPERLINK("http://exon.niaid.nih.gov/transcriptome/Anopheles_sialome/links/cluster-b/anopheline-sialome-cds-pep-larger-orf55-50SimCLTL14.txt", 19)</f>
        <v>19</v>
      </c>
      <c r="BZ106">
        <f>HYPERLINK("http://exon.niaid.nih.gov/transcriptome/Anopheles_sialome/links/cluster-b/anopheline-sialome-cds-pep-larger-orf60-50SimCLU13.txt", 13)</f>
        <v>13</v>
      </c>
      <c r="CA106">
        <f>HYPERLINK("http://exon.niaid.nih.gov/transcriptome/Anopheles_sialome/links/cluster-b/anopheline-sialome-cds-pep-larger-orf60-50SimCLTL13.txt", 19)</f>
        <v>19</v>
      </c>
      <c r="CB106">
        <f>HYPERLINK("http://exon.niaid.nih.gov/transcriptome/Anopheles_sialome/links/cluster-b/anopheline-sialome-cds-pep-larger-orf65-50SimCLU11.txt", 11)</f>
        <v>11</v>
      </c>
      <c r="CC106">
        <f>HYPERLINK("http://exon.niaid.nih.gov/transcriptome/Anopheles_sialome/links/cluster-b/anopheline-sialome-cds-pep-larger-orf65-50SimCLTL11.txt", 19)</f>
        <v>19</v>
      </c>
      <c r="CD106">
        <f>HYPERLINK("http://exon.niaid.nih.gov/transcriptome/Anopheles_sialome/links/cluster-b/anopheline-sialome-cds-pep-larger-orf70-50SimCLU10.txt", 10)</f>
        <v>10</v>
      </c>
      <c r="CE106">
        <f>HYPERLINK("http://exon.niaid.nih.gov/transcriptome/Anopheles_sialome/links/cluster-b/anopheline-sialome-cds-pep-larger-orf70-50SimCLTL10.txt", 19)</f>
        <v>19</v>
      </c>
      <c r="CF106">
        <f>HYPERLINK("http://exon.niaid.nih.gov/transcriptome/Anopheles_sialome/links/cluster-b/anopheline-sialome-cds-pep-larger-orf75-50SimCLU17.txt", 17)</f>
        <v>17</v>
      </c>
      <c r="CG106">
        <f>HYPERLINK("http://exon.niaid.nih.gov/transcriptome/Anopheles_sialome/links/cluster-b/anopheline-sialome-cds-pep-larger-orf75-50SimCLTL17.txt", 16)</f>
        <v>16</v>
      </c>
      <c r="CH106">
        <f>HYPERLINK("http://exon.niaid.nih.gov/transcriptome/Anopheles_sialome/links/cluster-b/anopheline-sialome-cds-pep-larger-orf80-50SimCLU11.txt", 11)</f>
        <v>11</v>
      </c>
      <c r="CI106">
        <f>HYPERLINK("http://exon.niaid.nih.gov/transcriptome/Anopheles_sialome/links/cluster-b/anopheline-sialome-cds-pep-larger-orf80-50SimCLTL11.txt", 16)</f>
        <v>16</v>
      </c>
      <c r="CJ106">
        <f>HYPERLINK("http://exon.niaid.nih.gov/transcriptome/Anopheles_sialome/links/cluster-b/anopheline-sialome-cds-pep-larger-orf85-50SimCLU7.txt", 7)</f>
        <v>7</v>
      </c>
      <c r="CK106">
        <f>HYPERLINK("http://exon.niaid.nih.gov/transcriptome/Anopheles_sialome/links/cluster-b/anopheline-sialome-cds-pep-larger-orf85-50SimCLTL7.txt", 16)</f>
        <v>16</v>
      </c>
      <c r="CL106">
        <f>HYPERLINK("http://exon.niaid.nih.gov/transcriptome/Anopheles_sialome/links/cluster-b/anopheline-sialome-cds-pep-larger-orf90-50SimCLU2.txt", 2)</f>
        <v>2</v>
      </c>
      <c r="CM106">
        <f>HYPERLINK("http://exon.niaid.nih.gov/transcriptome/Anopheles_sialome/links/cluster-b/anopheline-sialome-cds-pep-larger-orf90-50SimCLTL2.txt", 15)</f>
        <v>15</v>
      </c>
      <c r="CN106">
        <v>348</v>
      </c>
      <c r="CO106">
        <v>1</v>
      </c>
    </row>
    <row r="107" spans="1:93">
      <c r="A107" s="2" t="str">
        <f>HYPERLINK("http://exon.niaid.nih.gov/transcriptome/Anopheles_sialome/links/cds/anofar_Sal_perox-cds.txt","anofar_Sal_perox")</f>
        <v>anofar_Sal_perox</v>
      </c>
      <c r="B107">
        <v>1782</v>
      </c>
      <c r="C107" t="s">
        <v>361</v>
      </c>
      <c r="D107" t="s">
        <v>4</v>
      </c>
      <c r="E107" t="s">
        <v>5</v>
      </c>
      <c r="F107" t="s">
        <v>1</v>
      </c>
      <c r="G107" t="str">
        <f>HYPERLINK("http://exon.niaid.nih.gov/transcriptome/Anopheles_sialome/links/pep/anofar_Sal_perox-pep.txt","anofar_Sal_perox")</f>
        <v>anofar_Sal_perox</v>
      </c>
      <c r="H107">
        <v>593</v>
      </c>
      <c r="I107">
        <v>2</v>
      </c>
      <c r="J107" s="3" t="str">
        <f>HYPERLINK("http://exon.niaid.nih.gov/transcriptome/Anopheles_sialome/links/Sigp/anofar_Sal_perox-SigP.txt","SIG")</f>
        <v>SIG</v>
      </c>
      <c r="K107" t="s">
        <v>715</v>
      </c>
      <c r="L107">
        <v>66.757999999999996</v>
      </c>
      <c r="M107">
        <v>8.14</v>
      </c>
      <c r="N107">
        <v>64.299000000000007</v>
      </c>
      <c r="O107">
        <v>8.33</v>
      </c>
      <c r="P107" t="s">
        <v>1609</v>
      </c>
      <c r="Q107" s="3">
        <v>0</v>
      </c>
      <c r="R107" t="s">
        <v>128</v>
      </c>
      <c r="S107" t="s">
        <v>128</v>
      </c>
      <c r="T107" t="s">
        <v>128</v>
      </c>
      <c r="U107" t="s">
        <v>128</v>
      </c>
      <c r="V107" t="s">
        <v>128</v>
      </c>
      <c r="W107" s="3" t="str">
        <f>HYPERLINK("http://exon.niaid.nih.gov/transcriptome/Anopheles_sialome/links/netoglyc/anofar_Sal_perox-netoglyc.txt","2")</f>
        <v>2</v>
      </c>
      <c r="X107">
        <v>11.3</v>
      </c>
      <c r="Y107">
        <v>6.9</v>
      </c>
      <c r="Z107">
        <v>6.1</v>
      </c>
      <c r="AA107" t="s">
        <v>654</v>
      </c>
      <c r="AB107" t="s">
        <v>128</v>
      </c>
      <c r="AC107" s="2" t="str">
        <f>HYPERLINK("http://exon.niaid.nih.gov/transcriptome/Anopheles_sialome/links/DIPTERA/anofar_Sal_perox-DIPTERA.txt","AGAP010735-PA, partial")</f>
        <v>AGAP010735-PA, partial</v>
      </c>
      <c r="AD107" t="str">
        <f t="shared" ref="AD107:AD108" si="81">HYPERLINK("http://www.ncbi.nlm.nih.gov/sutils/blink.cgi?pid=157018506","0.0")</f>
        <v>0.0</v>
      </c>
      <c r="AE107" t="str">
        <f t="shared" ref="AE107:AE108" si="82">HYPERLINK("http://www.ncbi.nlm.nih.gov/protein/157018506","gi|157018506")</f>
        <v>gi|157018506</v>
      </c>
      <c r="AF107">
        <v>80</v>
      </c>
      <c r="AG107">
        <v>90</v>
      </c>
      <c r="AH107">
        <v>47</v>
      </c>
      <c r="AI107" t="s">
        <v>2285</v>
      </c>
      <c r="AJ107" s="2" t="str">
        <f>HYPERLINK("http://exon.niaid.nih.gov/transcriptome/Anopheles_sialome/links/CULICOMORPHA/anofar_Sal_perox-CULICOMORPHA.txt","AGAP010735-PA, partial")</f>
        <v>AGAP010735-PA, partial</v>
      </c>
      <c r="AK107" t="str">
        <f t="shared" ref="AK107:AK108" si="83">HYPERLINK("http://www.ncbi.nlm.nih.gov/sutils/blink.cgi?pid=157018506","0.0")</f>
        <v>0.0</v>
      </c>
      <c r="AL107" t="str">
        <f t="shared" ref="AL107:AL108" si="84">HYPERLINK("http://www.ncbi.nlm.nih.gov/protein/157018506","gi|157018506")</f>
        <v>gi|157018506</v>
      </c>
      <c r="AM107">
        <v>80</v>
      </c>
      <c r="AN107">
        <v>90</v>
      </c>
      <c r="AO107">
        <v>47</v>
      </c>
      <c r="AP107" t="s">
        <v>2285</v>
      </c>
      <c r="AQ107" s="2" t="str">
        <f>HYPERLINK("http://exon.niaid.nih.gov/transcriptome/Anopheles_sialome/links/NR-LIGHT/anofar_Sal_perox-NR-LIGHT.txt","AGAP010735-PA")</f>
        <v>AGAP010735-PA</v>
      </c>
      <c r="AR107" t="str">
        <f t="shared" ref="AR107:AR108" si="85">HYPERLINK("http://www.ncbi.nlm.nih.gov/sutils/blink.cgi?pid=158289809","0.0")</f>
        <v>0.0</v>
      </c>
      <c r="AS107" t="str">
        <f t="shared" ref="AS107:AS108" si="86">HYPERLINK("http://www.ncbi.nlm.nih.gov/protein/158289809","gi|158289809")</f>
        <v>gi|158289809</v>
      </c>
      <c r="AT107">
        <v>80</v>
      </c>
      <c r="AU107">
        <v>90</v>
      </c>
      <c r="AV107">
        <v>47</v>
      </c>
      <c r="AW107" t="s">
        <v>2285</v>
      </c>
      <c r="AX107" s="2" t="str">
        <f>HYPERLINK("http://exon.niaid.nih.gov/transcriptome/Anopheles_sialome/links/CDD/anofar_Sal_perox-CDD.txt","An_peroxidase")</f>
        <v>An_peroxidase</v>
      </c>
      <c r="AY107" t="str">
        <f>HYPERLINK("http://www.ncbi.nlm.nih.gov/Structure/cdd/cddsrv.cgi?uid=pfam03098&amp;version=v4.0","1E-167")</f>
        <v>1E-167</v>
      </c>
      <c r="AZ107" t="s">
        <v>2799</v>
      </c>
      <c r="BA107" s="2" t="str">
        <f>HYPERLINK("http://exon.niaid.nih.gov/transcriptome/Anopheles_sialome/links/KOG/anofar_Sal_perox-KOG.txt","Peroxidase/oxygenase")</f>
        <v>Peroxidase/oxygenase</v>
      </c>
      <c r="BB107" t="str">
        <f>HYPERLINK("http://www.ncbi.nlm.nih.gov/Structure/cdd/cddsrv.cgi?uid=KOG2408","1E-142")</f>
        <v>1E-142</v>
      </c>
      <c r="BC107" t="s">
        <v>2310</v>
      </c>
      <c r="BD107" t="str">
        <f>HYPERLINK("http://exon.niaid.nih.gov/transcriptome/Anopheles_sialome/links/KOG/anofar_Sal_perox-KOG.txt","KOG2408")</f>
        <v>KOG2408</v>
      </c>
      <c r="BE107" t="str">
        <f>HYPERLINK("http://exon.niaid.nih.gov/transcriptome/Anopheles_sialome/links/PFAM/anofar_Sal_perox-PFAM.txt","An_peroxidase")</f>
        <v>An_peroxidase</v>
      </c>
      <c r="BF107" t="str">
        <f>HYPERLINK("http://pfam.sanger.ac.uk/family?acc=PF03098","1E-168")</f>
        <v>1E-168</v>
      </c>
      <c r="BG107" s="2" t="str">
        <f>HYPERLINK("http://exon.niaid.nih.gov/transcriptome/Anopheles_sialome/links/SMART/anofar_Sal_perox-SMART.txt","GAF")</f>
        <v>GAF</v>
      </c>
      <c r="BH107" t="str">
        <f>HYPERLINK("http://smart.embl-heidelberg.de/smart/do_annotation.pl?DOMAIN=GAF&amp;BLAST=DUMMY","0.35")</f>
        <v>0.35</v>
      </c>
      <c r="BI107" t="s">
        <v>128</v>
      </c>
      <c r="BJ107" s="2" t="s">
        <v>128</v>
      </c>
      <c r="BK107" t="s">
        <v>1608</v>
      </c>
      <c r="BL107">
        <f>HYPERLINK("http://exon.niaid.nih.gov/transcriptome/Anopheles_sialome/links/cluster-b/anopheline-sialome-cds-pep-larger-orf25-50SimCLU11.txt", 11)</f>
        <v>11</v>
      </c>
      <c r="BM107">
        <f>HYPERLINK("http://exon.niaid.nih.gov/transcriptome/Anopheles_sialome/links/cluster-b/anopheline-sialome-cds-pep-larger-orf25-50SimCLTL11.txt", 19)</f>
        <v>19</v>
      </c>
      <c r="BN107">
        <f>HYPERLINK("http://exon.niaid.nih.gov/transcriptome/Anopheles_sialome/links/cluster-b/anopheline-sialome-cds-pep-larger-orf30-50SimCLU10.txt", 10)</f>
        <v>10</v>
      </c>
      <c r="BO107">
        <f>HYPERLINK("http://exon.niaid.nih.gov/transcriptome/Anopheles_sialome/links/cluster-b/anopheline-sialome-cds-pep-larger-orf30-50SimCLTL10.txt", 19)</f>
        <v>19</v>
      </c>
      <c r="BP107">
        <f>HYPERLINK("http://exon.niaid.nih.gov/transcriptome/Anopheles_sialome/links/cluster-b/anopheline-sialome-cds-pep-larger-orf35-50SimCLU12.txt", 12)</f>
        <v>12</v>
      </c>
      <c r="BQ107">
        <f>HYPERLINK("http://exon.niaid.nih.gov/transcriptome/Anopheles_sialome/links/cluster-b/anopheline-sialome-cds-pep-larger-orf35-50SimCLTL12.txt", 19)</f>
        <v>19</v>
      </c>
      <c r="BR107">
        <f>HYPERLINK("http://exon.niaid.nih.gov/transcriptome/Anopheles_sialome/links/cluster-b/anopheline-sialome-cds-pep-larger-orf40-50SimCLU14.txt", 14)</f>
        <v>14</v>
      </c>
      <c r="BS107">
        <f>HYPERLINK("http://exon.niaid.nih.gov/transcriptome/Anopheles_sialome/links/cluster-b/anopheline-sialome-cds-pep-larger-orf40-50SimCLTL14.txt", 19)</f>
        <v>19</v>
      </c>
      <c r="BT107">
        <f>HYPERLINK("http://exon.niaid.nih.gov/transcriptome/Anopheles_sialome/links/cluster-b/anopheline-sialome-cds-pep-larger-orf45-50SimCLU14.txt", 14)</f>
        <v>14</v>
      </c>
      <c r="BU107">
        <f>HYPERLINK("http://exon.niaid.nih.gov/transcriptome/Anopheles_sialome/links/cluster-b/anopheline-sialome-cds-pep-larger-orf45-50SimCLTL14.txt", 19)</f>
        <v>19</v>
      </c>
      <c r="BV107">
        <f>HYPERLINK("http://exon.niaid.nih.gov/transcriptome/Anopheles_sialome/links/cluster-b/anopheline-sialome-cds-pep-larger-orf50-50SimCLU13.txt", 13)</f>
        <v>13</v>
      </c>
      <c r="BW107">
        <f>HYPERLINK("http://exon.niaid.nih.gov/transcriptome/Anopheles_sialome/links/cluster-b/anopheline-sialome-cds-pep-larger-orf50-50SimCLTL13.txt", 19)</f>
        <v>19</v>
      </c>
      <c r="BX107">
        <f>HYPERLINK("http://exon.niaid.nih.gov/transcriptome/Anopheles_sialome/links/cluster-b/anopheline-sialome-cds-pep-larger-orf55-50SimCLU14.txt", 14)</f>
        <v>14</v>
      </c>
      <c r="BY107">
        <f>HYPERLINK("http://exon.niaid.nih.gov/transcriptome/Anopheles_sialome/links/cluster-b/anopheline-sialome-cds-pep-larger-orf55-50SimCLTL14.txt", 19)</f>
        <v>19</v>
      </c>
      <c r="BZ107">
        <f>HYPERLINK("http://exon.niaid.nih.gov/transcriptome/Anopheles_sialome/links/cluster-b/anopheline-sialome-cds-pep-larger-orf60-50SimCLU13.txt", 13)</f>
        <v>13</v>
      </c>
      <c r="CA107">
        <f>HYPERLINK("http://exon.niaid.nih.gov/transcriptome/Anopheles_sialome/links/cluster-b/anopheline-sialome-cds-pep-larger-orf60-50SimCLTL13.txt", 19)</f>
        <v>19</v>
      </c>
      <c r="CB107">
        <f>HYPERLINK("http://exon.niaid.nih.gov/transcriptome/Anopheles_sialome/links/cluster-b/anopheline-sialome-cds-pep-larger-orf65-50SimCLU11.txt", 11)</f>
        <v>11</v>
      </c>
      <c r="CC107">
        <f>HYPERLINK("http://exon.niaid.nih.gov/transcriptome/Anopheles_sialome/links/cluster-b/anopheline-sialome-cds-pep-larger-orf65-50SimCLTL11.txt", 19)</f>
        <v>19</v>
      </c>
      <c r="CD107">
        <f>HYPERLINK("http://exon.niaid.nih.gov/transcriptome/Anopheles_sialome/links/cluster-b/anopheline-sialome-cds-pep-larger-orf70-50SimCLU10.txt", 10)</f>
        <v>10</v>
      </c>
      <c r="CE107">
        <f>HYPERLINK("http://exon.niaid.nih.gov/transcriptome/Anopheles_sialome/links/cluster-b/anopheline-sialome-cds-pep-larger-orf70-50SimCLTL10.txt", 19)</f>
        <v>19</v>
      </c>
      <c r="CF107">
        <f>HYPERLINK("http://exon.niaid.nih.gov/transcriptome/Anopheles_sialome/links/cluster-b/anopheline-sialome-cds-pep-larger-orf75-50SimCLU17.txt", 17)</f>
        <v>17</v>
      </c>
      <c r="CG107">
        <f>HYPERLINK("http://exon.niaid.nih.gov/transcriptome/Anopheles_sialome/links/cluster-b/anopheline-sialome-cds-pep-larger-orf75-50SimCLTL17.txt", 16)</f>
        <v>16</v>
      </c>
      <c r="CH107">
        <f>HYPERLINK("http://exon.niaid.nih.gov/transcriptome/Anopheles_sialome/links/cluster-b/anopheline-sialome-cds-pep-larger-orf80-50SimCLU11.txt", 11)</f>
        <v>11</v>
      </c>
      <c r="CI107">
        <f>HYPERLINK("http://exon.niaid.nih.gov/transcriptome/Anopheles_sialome/links/cluster-b/anopheline-sialome-cds-pep-larger-orf80-50SimCLTL11.txt", 16)</f>
        <v>16</v>
      </c>
      <c r="CJ107">
        <f>HYPERLINK("http://exon.niaid.nih.gov/transcriptome/Anopheles_sialome/links/cluster-b/anopheline-sialome-cds-pep-larger-orf85-50SimCLU7.txt", 7)</f>
        <v>7</v>
      </c>
      <c r="CK107">
        <f>HYPERLINK("http://exon.niaid.nih.gov/transcriptome/Anopheles_sialome/links/cluster-b/anopheline-sialome-cds-pep-larger-orf85-50SimCLTL7.txt", 16)</f>
        <v>16</v>
      </c>
      <c r="CL107">
        <f>HYPERLINK("http://exon.niaid.nih.gov/transcriptome/Anopheles_sialome/links/cluster-b/anopheline-sialome-cds-pep-larger-orf90-50SimCLU2.txt", 2)</f>
        <v>2</v>
      </c>
      <c r="CM107">
        <f>HYPERLINK("http://exon.niaid.nih.gov/transcriptome/Anopheles_sialome/links/cluster-b/anopheline-sialome-cds-pep-larger-orf90-50SimCLTL2.txt", 15)</f>
        <v>15</v>
      </c>
      <c r="CN107">
        <v>349</v>
      </c>
      <c r="CO107">
        <v>1</v>
      </c>
    </row>
    <row r="108" spans="1:93">
      <c r="A108" s="2" t="str">
        <f>HYPERLINK("http://exon.niaid.nih.gov/transcriptome/Anopheles_sialome/links/cds/anodir_Sal_Perox-cds.txt","anodir_Sal_Perox")</f>
        <v>anodir_Sal_Perox</v>
      </c>
      <c r="B108">
        <v>1770</v>
      </c>
      <c r="C108" t="s">
        <v>362</v>
      </c>
      <c r="D108" t="s">
        <v>7</v>
      </c>
      <c r="E108" t="s">
        <v>5</v>
      </c>
      <c r="F108" t="s">
        <v>1</v>
      </c>
      <c r="G108" t="str">
        <f>HYPERLINK("http://exon.niaid.nih.gov/transcriptome/Anopheles_sialome/links/pep/anodir_Sal_Perox-pep.txt","anodir_Sal_Perox")</f>
        <v>anodir_Sal_Perox</v>
      </c>
      <c r="H108">
        <v>589</v>
      </c>
      <c r="I108">
        <v>3</v>
      </c>
      <c r="J108" s="3" t="str">
        <f>HYPERLINK("http://exon.niaid.nih.gov/transcriptome/Anopheles_sialome/links/Sigp/anodir_Sal_Perox-SigP.txt","SIG")</f>
        <v>SIG</v>
      </c>
      <c r="K108" t="s">
        <v>692</v>
      </c>
      <c r="L108">
        <v>66.117000000000004</v>
      </c>
      <c r="M108">
        <v>8.58</v>
      </c>
      <c r="N108">
        <v>63.881</v>
      </c>
      <c r="O108">
        <v>8.4700000000000006</v>
      </c>
      <c r="P108" t="s">
        <v>1611</v>
      </c>
      <c r="Q108" s="3">
        <v>0</v>
      </c>
      <c r="R108" t="s">
        <v>128</v>
      </c>
      <c r="S108" t="s">
        <v>128</v>
      </c>
      <c r="T108" t="s">
        <v>128</v>
      </c>
      <c r="U108" t="s">
        <v>128</v>
      </c>
      <c r="V108" t="s">
        <v>128</v>
      </c>
      <c r="W108" s="3" t="str">
        <f>HYPERLINK("http://exon.niaid.nih.gov/transcriptome/Anopheles_sialome/links/netoglyc/anodir_Sal_Perox-netoglyc.txt","0")</f>
        <v>0</v>
      </c>
      <c r="X108">
        <v>12.6</v>
      </c>
      <c r="Y108">
        <v>6.6</v>
      </c>
      <c r="Z108">
        <v>5.6</v>
      </c>
      <c r="AA108" t="s">
        <v>654</v>
      </c>
      <c r="AB108" t="s">
        <v>128</v>
      </c>
      <c r="AC108" s="2" t="str">
        <f>HYPERLINK("http://exon.niaid.nih.gov/transcriptome/Anopheles_sialome/links/DIPTERA/anodir_Sal_Perox-DIPTERA.txt","AGAP010735-PA, partial")</f>
        <v>AGAP010735-PA, partial</v>
      </c>
      <c r="AD108" t="str">
        <f t="shared" si="81"/>
        <v>0.0</v>
      </c>
      <c r="AE108" t="str">
        <f t="shared" si="82"/>
        <v>gi|157018506</v>
      </c>
      <c r="AF108">
        <v>85</v>
      </c>
      <c r="AG108">
        <v>93</v>
      </c>
      <c r="AH108">
        <v>48</v>
      </c>
      <c r="AI108" t="s">
        <v>2285</v>
      </c>
      <c r="AJ108" s="2" t="str">
        <f>HYPERLINK("http://exon.niaid.nih.gov/transcriptome/Anopheles_sialome/links/CULICOMORPHA/anodir_Sal_Perox-CULICOMORPHA.txt","AGAP010735-PA, partial")</f>
        <v>AGAP010735-PA, partial</v>
      </c>
      <c r="AK108" t="str">
        <f t="shared" si="83"/>
        <v>0.0</v>
      </c>
      <c r="AL108" t="str">
        <f t="shared" si="84"/>
        <v>gi|157018506</v>
      </c>
      <c r="AM108">
        <v>85</v>
      </c>
      <c r="AN108">
        <v>93</v>
      </c>
      <c r="AO108">
        <v>48</v>
      </c>
      <c r="AP108" t="s">
        <v>2285</v>
      </c>
      <c r="AQ108" s="2" t="str">
        <f>HYPERLINK("http://exon.niaid.nih.gov/transcriptome/Anopheles_sialome/links/NR-LIGHT/anodir_Sal_Perox-NR-LIGHT.txt","AGAP010735-PA")</f>
        <v>AGAP010735-PA</v>
      </c>
      <c r="AR108" t="str">
        <f t="shared" si="85"/>
        <v>0.0</v>
      </c>
      <c r="AS108" t="str">
        <f t="shared" si="86"/>
        <v>gi|158289809</v>
      </c>
      <c r="AT108">
        <v>85</v>
      </c>
      <c r="AU108">
        <v>93</v>
      </c>
      <c r="AV108">
        <v>48</v>
      </c>
      <c r="AW108" t="s">
        <v>2285</v>
      </c>
      <c r="AX108" s="2" t="str">
        <f>HYPERLINK("http://exon.niaid.nih.gov/transcriptome/Anopheles_sialome/links/CDD/anodir_Sal_Perox-CDD.txt","An_peroxidase")</f>
        <v>An_peroxidase</v>
      </c>
      <c r="AY108" t="str">
        <f>HYPERLINK("http://www.ncbi.nlm.nih.gov/Structure/cdd/cddsrv.cgi?uid=pfam03098&amp;version=v4.0","1E-171")</f>
        <v>1E-171</v>
      </c>
      <c r="AZ108" t="s">
        <v>2800</v>
      </c>
      <c r="BA108" s="2" t="str">
        <f>HYPERLINK("http://exon.niaid.nih.gov/transcriptome/Anopheles_sialome/links/KOG/anodir_Sal_Perox-KOG.txt","Peroxidase/oxygenase")</f>
        <v>Peroxidase/oxygenase</v>
      </c>
      <c r="BB108" t="str">
        <f>HYPERLINK("http://www.ncbi.nlm.nih.gov/Structure/cdd/cddsrv.cgi?uid=KOG2408","1E-144")</f>
        <v>1E-144</v>
      </c>
      <c r="BC108" t="s">
        <v>2310</v>
      </c>
      <c r="BD108" t="str">
        <f>HYPERLINK("http://exon.niaid.nih.gov/transcriptome/Anopheles_sialome/links/KOG/anodir_Sal_Perox-KOG.txt","KOG2408")</f>
        <v>KOG2408</v>
      </c>
      <c r="BE108" t="str">
        <f>HYPERLINK("http://exon.niaid.nih.gov/transcriptome/Anopheles_sialome/links/PFAM/anodir_Sal_Perox-PFAM.txt","An_peroxidase")</f>
        <v>An_peroxidase</v>
      </c>
      <c r="BF108" t="str">
        <f>HYPERLINK("http://pfam.sanger.ac.uk/family?acc=PF03098","1E-172")</f>
        <v>1E-172</v>
      </c>
      <c r="BG108" s="2" t="str">
        <f>HYPERLINK("http://exon.niaid.nih.gov/transcriptome/Anopheles_sialome/links/SMART/anodir_Sal_Perox-SMART.txt","GAF")</f>
        <v>GAF</v>
      </c>
      <c r="BH108" t="str">
        <f>HYPERLINK("http://smart.embl-heidelberg.de/smart/do_annotation.pl?DOMAIN=GAF&amp;BLAST=DUMMY","4.5")</f>
        <v>4.5</v>
      </c>
      <c r="BI108" t="s">
        <v>128</v>
      </c>
      <c r="BJ108" s="2" t="s">
        <v>128</v>
      </c>
      <c r="BK108" t="s">
        <v>1610</v>
      </c>
      <c r="BL108">
        <f>HYPERLINK("http://exon.niaid.nih.gov/transcriptome/Anopheles_sialome/links/cluster-b/anopheline-sialome-cds-pep-larger-orf25-50SimCLU11.txt", 11)</f>
        <v>11</v>
      </c>
      <c r="BM108">
        <f>HYPERLINK("http://exon.niaid.nih.gov/transcriptome/Anopheles_sialome/links/cluster-b/anopheline-sialome-cds-pep-larger-orf25-50SimCLTL11.txt", 19)</f>
        <v>19</v>
      </c>
      <c r="BN108">
        <f>HYPERLINK("http://exon.niaid.nih.gov/transcriptome/Anopheles_sialome/links/cluster-b/anopheline-sialome-cds-pep-larger-orf30-50SimCLU10.txt", 10)</f>
        <v>10</v>
      </c>
      <c r="BO108">
        <f>HYPERLINK("http://exon.niaid.nih.gov/transcriptome/Anopheles_sialome/links/cluster-b/anopheline-sialome-cds-pep-larger-orf30-50SimCLTL10.txt", 19)</f>
        <v>19</v>
      </c>
      <c r="BP108">
        <f>HYPERLINK("http://exon.niaid.nih.gov/transcriptome/Anopheles_sialome/links/cluster-b/anopheline-sialome-cds-pep-larger-orf35-50SimCLU12.txt", 12)</f>
        <v>12</v>
      </c>
      <c r="BQ108">
        <f>HYPERLINK("http://exon.niaid.nih.gov/transcriptome/Anopheles_sialome/links/cluster-b/anopheline-sialome-cds-pep-larger-orf35-50SimCLTL12.txt", 19)</f>
        <v>19</v>
      </c>
      <c r="BR108">
        <f>HYPERLINK("http://exon.niaid.nih.gov/transcriptome/Anopheles_sialome/links/cluster-b/anopheline-sialome-cds-pep-larger-orf40-50SimCLU14.txt", 14)</f>
        <v>14</v>
      </c>
      <c r="BS108">
        <f>HYPERLINK("http://exon.niaid.nih.gov/transcriptome/Anopheles_sialome/links/cluster-b/anopheline-sialome-cds-pep-larger-orf40-50SimCLTL14.txt", 19)</f>
        <v>19</v>
      </c>
      <c r="BT108">
        <f>HYPERLINK("http://exon.niaid.nih.gov/transcriptome/Anopheles_sialome/links/cluster-b/anopheline-sialome-cds-pep-larger-orf45-50SimCLU14.txt", 14)</f>
        <v>14</v>
      </c>
      <c r="BU108">
        <f>HYPERLINK("http://exon.niaid.nih.gov/transcriptome/Anopheles_sialome/links/cluster-b/anopheline-sialome-cds-pep-larger-orf45-50SimCLTL14.txt", 19)</f>
        <v>19</v>
      </c>
      <c r="BV108">
        <f>HYPERLINK("http://exon.niaid.nih.gov/transcriptome/Anopheles_sialome/links/cluster-b/anopheline-sialome-cds-pep-larger-orf50-50SimCLU13.txt", 13)</f>
        <v>13</v>
      </c>
      <c r="BW108">
        <f>HYPERLINK("http://exon.niaid.nih.gov/transcriptome/Anopheles_sialome/links/cluster-b/anopheline-sialome-cds-pep-larger-orf50-50SimCLTL13.txt", 19)</f>
        <v>19</v>
      </c>
      <c r="BX108">
        <f>HYPERLINK("http://exon.niaid.nih.gov/transcriptome/Anopheles_sialome/links/cluster-b/anopheline-sialome-cds-pep-larger-orf55-50SimCLU14.txt", 14)</f>
        <v>14</v>
      </c>
      <c r="BY108">
        <f>HYPERLINK("http://exon.niaid.nih.gov/transcriptome/Anopheles_sialome/links/cluster-b/anopheline-sialome-cds-pep-larger-orf55-50SimCLTL14.txt", 19)</f>
        <v>19</v>
      </c>
      <c r="BZ108">
        <f>HYPERLINK("http://exon.niaid.nih.gov/transcriptome/Anopheles_sialome/links/cluster-b/anopheline-sialome-cds-pep-larger-orf60-50SimCLU13.txt", 13)</f>
        <v>13</v>
      </c>
      <c r="CA108">
        <f>HYPERLINK("http://exon.niaid.nih.gov/transcriptome/Anopheles_sialome/links/cluster-b/anopheline-sialome-cds-pep-larger-orf60-50SimCLTL13.txt", 19)</f>
        <v>19</v>
      </c>
      <c r="CB108">
        <f>HYPERLINK("http://exon.niaid.nih.gov/transcriptome/Anopheles_sialome/links/cluster-b/anopheline-sialome-cds-pep-larger-orf65-50SimCLU11.txt", 11)</f>
        <v>11</v>
      </c>
      <c r="CC108">
        <f>HYPERLINK("http://exon.niaid.nih.gov/transcriptome/Anopheles_sialome/links/cluster-b/anopheline-sialome-cds-pep-larger-orf65-50SimCLTL11.txt", 19)</f>
        <v>19</v>
      </c>
      <c r="CD108">
        <f>HYPERLINK("http://exon.niaid.nih.gov/transcriptome/Anopheles_sialome/links/cluster-b/anopheline-sialome-cds-pep-larger-orf70-50SimCLU10.txt", 10)</f>
        <v>10</v>
      </c>
      <c r="CE108">
        <f>HYPERLINK("http://exon.niaid.nih.gov/transcriptome/Anopheles_sialome/links/cluster-b/anopheline-sialome-cds-pep-larger-orf70-50SimCLTL10.txt", 19)</f>
        <v>19</v>
      </c>
      <c r="CF108">
        <f>HYPERLINK("http://exon.niaid.nih.gov/transcriptome/Anopheles_sialome/links/cluster-b/anopheline-sialome-cds-pep-larger-orf75-50SimCLU17.txt", 17)</f>
        <v>17</v>
      </c>
      <c r="CG108">
        <f>HYPERLINK("http://exon.niaid.nih.gov/transcriptome/Anopheles_sialome/links/cluster-b/anopheline-sialome-cds-pep-larger-orf75-50SimCLTL17.txt", 16)</f>
        <v>16</v>
      </c>
      <c r="CH108">
        <f>HYPERLINK("http://exon.niaid.nih.gov/transcriptome/Anopheles_sialome/links/cluster-b/anopheline-sialome-cds-pep-larger-orf80-50SimCLU11.txt", 11)</f>
        <v>11</v>
      </c>
      <c r="CI108">
        <f>HYPERLINK("http://exon.niaid.nih.gov/transcriptome/Anopheles_sialome/links/cluster-b/anopheline-sialome-cds-pep-larger-orf80-50SimCLTL11.txt", 16)</f>
        <v>16</v>
      </c>
      <c r="CJ108">
        <f>HYPERLINK("http://exon.niaid.nih.gov/transcriptome/Anopheles_sialome/links/cluster-b/anopheline-sialome-cds-pep-larger-orf85-50SimCLU7.txt", 7)</f>
        <v>7</v>
      </c>
      <c r="CK108">
        <f>HYPERLINK("http://exon.niaid.nih.gov/transcriptome/Anopheles_sialome/links/cluster-b/anopheline-sialome-cds-pep-larger-orf85-50SimCLTL7.txt", 16)</f>
        <v>16</v>
      </c>
      <c r="CL108">
        <f>HYPERLINK("http://exon.niaid.nih.gov/transcriptome/Anopheles_sialome/links/cluster-b/anopheline-sialome-cds-pep-larger-orf90-50SimCLU2.txt", 2)</f>
        <v>2</v>
      </c>
      <c r="CM108">
        <f>HYPERLINK("http://exon.niaid.nih.gov/transcriptome/Anopheles_sialome/links/cluster-b/anopheline-sialome-cds-pep-larger-orf90-50SimCLTL2.txt", 15)</f>
        <v>15</v>
      </c>
      <c r="CN108">
        <v>350</v>
      </c>
      <c r="CO108">
        <v>1</v>
      </c>
    </row>
    <row r="109" spans="1:93">
      <c r="A109" s="2" t="str">
        <f>HYPERLINK("http://exon.niaid.nih.gov/transcriptome/Anopheles_sialome/links/cds/anoatro_Sal_Perox-cds.txt","anoatro_Sal_Perox")</f>
        <v>anoatro_Sal_Perox</v>
      </c>
      <c r="B109">
        <v>1764</v>
      </c>
      <c r="C109" t="s">
        <v>363</v>
      </c>
      <c r="D109" t="s">
        <v>4</v>
      </c>
      <c r="E109" t="s">
        <v>5</v>
      </c>
      <c r="F109" t="s">
        <v>1</v>
      </c>
      <c r="G109" t="str">
        <f>HYPERLINK("http://exon.niaid.nih.gov/transcriptome/Anopheles_sialome/links/pep/anoatro_Sal_Perox-pep.txt","anoatro_Sal_Perox")</f>
        <v>anoatro_Sal_Perox</v>
      </c>
      <c r="H109">
        <v>587</v>
      </c>
      <c r="I109">
        <v>3</v>
      </c>
      <c r="J109" s="3" t="str">
        <f>HYPERLINK("http://exon.niaid.nih.gov/transcriptome/Anopheles_sialome/links/Sigp/anoatro_Sal_Perox-SigP.txt","SIG")</f>
        <v>SIG</v>
      </c>
      <c r="K109" t="s">
        <v>692</v>
      </c>
      <c r="L109">
        <v>66.302999999999997</v>
      </c>
      <c r="M109">
        <v>8.7799999999999994</v>
      </c>
      <c r="N109">
        <v>64.031999999999996</v>
      </c>
      <c r="O109">
        <v>8.58</v>
      </c>
      <c r="P109" t="s">
        <v>1600</v>
      </c>
      <c r="Q109" s="3">
        <v>0</v>
      </c>
      <c r="R109" t="s">
        <v>128</v>
      </c>
      <c r="S109" t="s">
        <v>128</v>
      </c>
      <c r="T109" t="s">
        <v>128</v>
      </c>
      <c r="U109" t="s">
        <v>128</v>
      </c>
      <c r="V109" t="s">
        <v>128</v>
      </c>
      <c r="W109" s="3" t="str">
        <f>HYPERLINK("http://exon.niaid.nih.gov/transcriptome/Anopheles_sialome/links/netoglyc/anoatro_Sal_Perox-netoglyc.txt","0")</f>
        <v>0</v>
      </c>
      <c r="X109">
        <v>12.3</v>
      </c>
      <c r="Y109">
        <v>7.2</v>
      </c>
      <c r="Z109">
        <v>5.0999999999999996</v>
      </c>
      <c r="AA109" t="s">
        <v>654</v>
      </c>
      <c r="AB109" t="s">
        <v>128</v>
      </c>
      <c r="AC109" s="2" t="str">
        <f>HYPERLINK("http://exon.niaid.nih.gov/transcriptome/Anopheles_sialome/links/DIPTERA/anoatro_Sal_Perox-DIPTERA.txt","AGAP010735-PA-like protein")</f>
        <v>AGAP010735-PA-like protein</v>
      </c>
      <c r="AD109" t="str">
        <f>HYPERLINK("http://www.ncbi.nlm.nih.gov/sutils/blink.cgi?pid=668443625","0.0")</f>
        <v>0.0</v>
      </c>
      <c r="AE109" t="str">
        <f>HYPERLINK("http://www.ncbi.nlm.nih.gov/protein/668443625","gi|668443625")</f>
        <v>gi|668443625</v>
      </c>
      <c r="AF109">
        <v>85</v>
      </c>
      <c r="AG109">
        <v>91</v>
      </c>
      <c r="AH109">
        <v>100</v>
      </c>
      <c r="AI109" t="s">
        <v>2277</v>
      </c>
      <c r="AJ109" s="2" t="str">
        <f>HYPERLINK("http://exon.niaid.nih.gov/transcriptome/Anopheles_sialome/links/CULICOMORPHA/anoatro_Sal_Perox-CULICOMORPHA.txt","AGAP010735-PA-like protein")</f>
        <v>AGAP010735-PA-like protein</v>
      </c>
      <c r="AK109" t="str">
        <f>HYPERLINK("http://www.ncbi.nlm.nih.gov/sutils/blink.cgi?pid=668443625","0.0")</f>
        <v>0.0</v>
      </c>
      <c r="AL109" t="str">
        <f>HYPERLINK("http://www.ncbi.nlm.nih.gov/protein/668443625","gi|668443625")</f>
        <v>gi|668443625</v>
      </c>
      <c r="AM109">
        <v>85</v>
      </c>
      <c r="AN109">
        <v>91</v>
      </c>
      <c r="AO109">
        <v>100</v>
      </c>
      <c r="AP109" t="s">
        <v>2277</v>
      </c>
      <c r="AQ109" s="2" t="str">
        <f>HYPERLINK("http://exon.niaid.nih.gov/transcriptome/Anopheles_sialome/links/NR-LIGHT/anoatro_Sal_Perox-NR-LIGHT.txt","AGAP010735-PA-like protein")</f>
        <v>AGAP010735-PA-like protein</v>
      </c>
      <c r="AR109" t="str">
        <f>HYPERLINK("http://www.ncbi.nlm.nih.gov/sutils/blink.cgi?pid=668443625","0.0")</f>
        <v>0.0</v>
      </c>
      <c r="AS109" t="str">
        <f>HYPERLINK("http://www.ncbi.nlm.nih.gov/protein/668443625","gi|668443625")</f>
        <v>gi|668443625</v>
      </c>
      <c r="AT109">
        <v>85</v>
      </c>
      <c r="AU109">
        <v>91</v>
      </c>
      <c r="AV109">
        <v>100</v>
      </c>
      <c r="AW109" t="s">
        <v>2277</v>
      </c>
      <c r="AX109" s="2" t="str">
        <f>HYPERLINK("http://exon.niaid.nih.gov/transcriptome/Anopheles_sialome/links/CDD/anoatro_Sal_Perox-CDD.txt","An_peroxidase")</f>
        <v>An_peroxidase</v>
      </c>
      <c r="AY109" t="str">
        <f>HYPERLINK("http://www.ncbi.nlm.nih.gov/Structure/cdd/cddsrv.cgi?uid=pfam03098&amp;version=v4.0","1E-170")</f>
        <v>1E-170</v>
      </c>
      <c r="AZ109" t="s">
        <v>2801</v>
      </c>
      <c r="BA109" s="2" t="str">
        <f>HYPERLINK("http://exon.niaid.nih.gov/transcriptome/Anopheles_sialome/links/KOG/anoatro_Sal_Perox-KOG.txt","Peroxidase/oxygenase")</f>
        <v>Peroxidase/oxygenase</v>
      </c>
      <c r="BB109" t="str">
        <f>HYPERLINK("http://www.ncbi.nlm.nih.gov/Structure/cdd/cddsrv.cgi?uid=KOG2408","1E-149")</f>
        <v>1E-149</v>
      </c>
      <c r="BC109" t="s">
        <v>2310</v>
      </c>
      <c r="BD109" t="str">
        <f>HYPERLINK("http://exon.niaid.nih.gov/transcriptome/Anopheles_sialome/links/KOG/anoatro_Sal_Perox-KOG.txt","KOG2408")</f>
        <v>KOG2408</v>
      </c>
      <c r="BE109" t="str">
        <f>HYPERLINK("http://exon.niaid.nih.gov/transcriptome/Anopheles_sialome/links/PFAM/anoatro_Sal_Perox-PFAM.txt","An_peroxidase")</f>
        <v>An_peroxidase</v>
      </c>
      <c r="BF109" t="str">
        <f>HYPERLINK("http://pfam.sanger.ac.uk/family?acc=PF03098","1E-171")</f>
        <v>1E-171</v>
      </c>
      <c r="BG109" s="2" t="str">
        <f>HYPERLINK("http://exon.niaid.nih.gov/transcriptome/Anopheles_sialome/links/SMART/anoatro_Sal_Perox-SMART.txt","SecA_DEAD")</f>
        <v>SecA_DEAD</v>
      </c>
      <c r="BH109" t="str">
        <f>HYPERLINK("http://smart.embl-heidelberg.de/smart/do_annotation.pl?DOMAIN=SecA_DEAD&amp;BLAST=DUMMY","2.8")</f>
        <v>2.8</v>
      </c>
      <c r="BI109" t="s">
        <v>128</v>
      </c>
      <c r="BJ109" s="2" t="s">
        <v>128</v>
      </c>
      <c r="BK109" t="s">
        <v>1612</v>
      </c>
      <c r="BL109">
        <f>HYPERLINK("http://exon.niaid.nih.gov/transcriptome/Anopheles_sialome/links/cluster-b/anopheline-sialome-cds-pep-larger-orf25-50SimCLU11.txt", 11)</f>
        <v>11</v>
      </c>
      <c r="BM109">
        <f>HYPERLINK("http://exon.niaid.nih.gov/transcriptome/Anopheles_sialome/links/cluster-b/anopheline-sialome-cds-pep-larger-orf25-50SimCLTL11.txt", 19)</f>
        <v>19</v>
      </c>
      <c r="BN109">
        <f>HYPERLINK("http://exon.niaid.nih.gov/transcriptome/Anopheles_sialome/links/cluster-b/anopheline-sialome-cds-pep-larger-orf30-50SimCLU10.txt", 10)</f>
        <v>10</v>
      </c>
      <c r="BO109">
        <f>HYPERLINK("http://exon.niaid.nih.gov/transcriptome/Anopheles_sialome/links/cluster-b/anopheline-sialome-cds-pep-larger-orf30-50SimCLTL10.txt", 19)</f>
        <v>19</v>
      </c>
      <c r="BP109">
        <f>HYPERLINK("http://exon.niaid.nih.gov/transcriptome/Anopheles_sialome/links/cluster-b/anopheline-sialome-cds-pep-larger-orf35-50SimCLU12.txt", 12)</f>
        <v>12</v>
      </c>
      <c r="BQ109">
        <f>HYPERLINK("http://exon.niaid.nih.gov/transcriptome/Anopheles_sialome/links/cluster-b/anopheline-sialome-cds-pep-larger-orf35-50SimCLTL12.txt", 19)</f>
        <v>19</v>
      </c>
      <c r="BR109">
        <f>HYPERLINK("http://exon.niaid.nih.gov/transcriptome/Anopheles_sialome/links/cluster-b/anopheline-sialome-cds-pep-larger-orf40-50SimCLU14.txt", 14)</f>
        <v>14</v>
      </c>
      <c r="BS109">
        <f>HYPERLINK("http://exon.niaid.nih.gov/transcriptome/Anopheles_sialome/links/cluster-b/anopheline-sialome-cds-pep-larger-orf40-50SimCLTL14.txt", 19)</f>
        <v>19</v>
      </c>
      <c r="BT109">
        <f>HYPERLINK("http://exon.niaid.nih.gov/transcriptome/Anopheles_sialome/links/cluster-b/anopheline-sialome-cds-pep-larger-orf45-50SimCLU14.txt", 14)</f>
        <v>14</v>
      </c>
      <c r="BU109">
        <f>HYPERLINK("http://exon.niaid.nih.gov/transcriptome/Anopheles_sialome/links/cluster-b/anopheline-sialome-cds-pep-larger-orf45-50SimCLTL14.txt", 19)</f>
        <v>19</v>
      </c>
      <c r="BV109">
        <f>HYPERLINK("http://exon.niaid.nih.gov/transcriptome/Anopheles_sialome/links/cluster-b/anopheline-sialome-cds-pep-larger-orf50-50SimCLU13.txt", 13)</f>
        <v>13</v>
      </c>
      <c r="BW109">
        <f>HYPERLINK("http://exon.niaid.nih.gov/transcriptome/Anopheles_sialome/links/cluster-b/anopheline-sialome-cds-pep-larger-orf50-50SimCLTL13.txt", 19)</f>
        <v>19</v>
      </c>
      <c r="BX109">
        <f>HYPERLINK("http://exon.niaid.nih.gov/transcriptome/Anopheles_sialome/links/cluster-b/anopheline-sialome-cds-pep-larger-orf55-50SimCLU14.txt", 14)</f>
        <v>14</v>
      </c>
      <c r="BY109">
        <f>HYPERLINK("http://exon.niaid.nih.gov/transcriptome/Anopheles_sialome/links/cluster-b/anopheline-sialome-cds-pep-larger-orf55-50SimCLTL14.txt", 19)</f>
        <v>19</v>
      </c>
      <c r="BZ109">
        <f>HYPERLINK("http://exon.niaid.nih.gov/transcriptome/Anopheles_sialome/links/cluster-b/anopheline-sialome-cds-pep-larger-orf60-50SimCLU13.txt", 13)</f>
        <v>13</v>
      </c>
      <c r="CA109">
        <f>HYPERLINK("http://exon.niaid.nih.gov/transcriptome/Anopheles_sialome/links/cluster-b/anopheline-sialome-cds-pep-larger-orf60-50SimCLTL13.txt", 19)</f>
        <v>19</v>
      </c>
      <c r="CB109">
        <f>HYPERLINK("http://exon.niaid.nih.gov/transcriptome/Anopheles_sialome/links/cluster-b/anopheline-sialome-cds-pep-larger-orf65-50SimCLU11.txt", 11)</f>
        <v>11</v>
      </c>
      <c r="CC109">
        <f>HYPERLINK("http://exon.niaid.nih.gov/transcriptome/Anopheles_sialome/links/cluster-b/anopheline-sialome-cds-pep-larger-orf65-50SimCLTL11.txt", 19)</f>
        <v>19</v>
      </c>
      <c r="CD109">
        <f>HYPERLINK("http://exon.niaid.nih.gov/transcriptome/Anopheles_sialome/links/cluster-b/anopheline-sialome-cds-pep-larger-orf70-50SimCLU10.txt", 10)</f>
        <v>10</v>
      </c>
      <c r="CE109">
        <f>HYPERLINK("http://exon.niaid.nih.gov/transcriptome/Anopheles_sialome/links/cluster-b/anopheline-sialome-cds-pep-larger-orf70-50SimCLTL10.txt", 19)</f>
        <v>19</v>
      </c>
      <c r="CF109">
        <f>HYPERLINK("http://exon.niaid.nih.gov/transcriptome/Anopheles_sialome/links/cluster-b/anopheline-sialome-cds-pep-larger-orf75-50SimCLU17.txt", 17)</f>
        <v>17</v>
      </c>
      <c r="CG109">
        <f>HYPERLINK("http://exon.niaid.nih.gov/transcriptome/Anopheles_sialome/links/cluster-b/anopheline-sialome-cds-pep-larger-orf75-50SimCLTL17.txt", 16)</f>
        <v>16</v>
      </c>
      <c r="CH109">
        <f>HYPERLINK("http://exon.niaid.nih.gov/transcriptome/Anopheles_sialome/links/cluster-b/anopheline-sialome-cds-pep-larger-orf80-50SimCLU11.txt", 11)</f>
        <v>11</v>
      </c>
      <c r="CI109">
        <f>HYPERLINK("http://exon.niaid.nih.gov/transcriptome/Anopheles_sialome/links/cluster-b/anopheline-sialome-cds-pep-larger-orf80-50SimCLTL11.txt", 16)</f>
        <v>16</v>
      </c>
      <c r="CJ109">
        <f>HYPERLINK("http://exon.niaid.nih.gov/transcriptome/Anopheles_sialome/links/cluster-b/anopheline-sialome-cds-pep-larger-orf85-50SimCLU7.txt", 7)</f>
        <v>7</v>
      </c>
      <c r="CK109">
        <f>HYPERLINK("http://exon.niaid.nih.gov/transcriptome/Anopheles_sialome/links/cluster-b/anopheline-sialome-cds-pep-larger-orf85-50SimCLTL7.txt", 16)</f>
        <v>16</v>
      </c>
      <c r="CL109">
        <f>HYPERLINK("http://exon.niaid.nih.gov/transcriptome/Anopheles_sialome/links/cluster-b/anopheline-sialome-cds-pep-larger-orf90-50SimCLU2.txt", 2)</f>
        <v>2</v>
      </c>
      <c r="CM109">
        <f>HYPERLINK("http://exon.niaid.nih.gov/transcriptome/Anopheles_sialome/links/cluster-b/anopheline-sialome-cds-pep-larger-orf90-50SimCLTL2.txt", 15)</f>
        <v>15</v>
      </c>
      <c r="CN109">
        <v>351</v>
      </c>
      <c r="CO109">
        <v>1</v>
      </c>
    </row>
    <row r="110" spans="1:93">
      <c r="A110" s="2" t="str">
        <f>HYPERLINK("http://exon.niaid.nih.gov/transcriptome/Anopheles_sialome/links/cds/anosin_Sal_Perox-cds.txt","anosin_Sal_Perox")</f>
        <v>anosin_Sal_Perox</v>
      </c>
      <c r="B110">
        <v>1770</v>
      </c>
      <c r="C110" t="s">
        <v>364</v>
      </c>
      <c r="D110" t="s">
        <v>4</v>
      </c>
      <c r="E110" t="s">
        <v>5</v>
      </c>
      <c r="F110" t="s">
        <v>1</v>
      </c>
      <c r="G110" t="str">
        <f>HYPERLINK("http://exon.niaid.nih.gov/transcriptome/Anopheles_sialome/links/pep/anosin_Sal_Perox-pep.txt","anosin_Sal_Perox")</f>
        <v>anosin_Sal_Perox</v>
      </c>
      <c r="H110">
        <v>589</v>
      </c>
      <c r="I110">
        <v>4</v>
      </c>
      <c r="J110" s="3" t="str">
        <f>HYPERLINK("http://exon.niaid.nih.gov/transcriptome/Anopheles_sialome/links/Sigp/anosin_Sal_Perox-SigP.txt","SIG")</f>
        <v>SIG</v>
      </c>
      <c r="K110" t="s">
        <v>689</v>
      </c>
      <c r="L110">
        <v>66.525000000000006</v>
      </c>
      <c r="M110">
        <v>8.58</v>
      </c>
      <c r="N110">
        <v>64.14</v>
      </c>
      <c r="O110">
        <v>8.59</v>
      </c>
      <c r="P110" t="s">
        <v>1334</v>
      </c>
      <c r="Q110" s="3">
        <v>0</v>
      </c>
      <c r="R110" t="s">
        <v>128</v>
      </c>
      <c r="S110" t="s">
        <v>128</v>
      </c>
      <c r="T110" t="s">
        <v>128</v>
      </c>
      <c r="U110" t="s">
        <v>128</v>
      </c>
      <c r="V110" t="s">
        <v>128</v>
      </c>
      <c r="W110" s="3" t="str">
        <f>HYPERLINK("http://exon.niaid.nih.gov/transcriptome/Anopheles_sialome/links/netoglyc/anosin_Sal_Perox-netoglyc.txt","0")</f>
        <v>0</v>
      </c>
      <c r="X110">
        <v>12.1</v>
      </c>
      <c r="Y110">
        <v>7</v>
      </c>
      <c r="Z110">
        <v>5.9</v>
      </c>
      <c r="AA110" t="s">
        <v>654</v>
      </c>
      <c r="AB110" t="s">
        <v>128</v>
      </c>
      <c r="AC110" s="2" t="str">
        <f>HYPERLINK("http://exon.niaid.nih.gov/transcriptome/Anopheles_sialome/links/DIPTERA/anosin_Sal_Perox-DIPTERA.txt","AGAP010735-PA-like protein")</f>
        <v>AGAP010735-PA-like protein</v>
      </c>
      <c r="AD110" t="str">
        <f>HYPERLINK("http://www.ncbi.nlm.nih.gov/sutils/blink.cgi?pid=668443625","0.0")</f>
        <v>0.0</v>
      </c>
      <c r="AE110" t="str">
        <f>HYPERLINK("http://www.ncbi.nlm.nih.gov/protein/668443625","gi|668443625")</f>
        <v>gi|668443625</v>
      </c>
      <c r="AF110">
        <v>92</v>
      </c>
      <c r="AG110">
        <v>95</v>
      </c>
      <c r="AH110">
        <v>100</v>
      </c>
      <c r="AI110" t="s">
        <v>2277</v>
      </c>
      <c r="AJ110" s="2" t="str">
        <f>HYPERLINK("http://exon.niaid.nih.gov/transcriptome/Anopheles_sialome/links/CULICOMORPHA/anosin_Sal_Perox-CULICOMORPHA.txt","AGAP010735-PA-like protein")</f>
        <v>AGAP010735-PA-like protein</v>
      </c>
      <c r="AK110" t="str">
        <f>HYPERLINK("http://www.ncbi.nlm.nih.gov/sutils/blink.cgi?pid=668443625","0.0")</f>
        <v>0.0</v>
      </c>
      <c r="AL110" t="str">
        <f>HYPERLINK("http://www.ncbi.nlm.nih.gov/protein/668443625","gi|668443625")</f>
        <v>gi|668443625</v>
      </c>
      <c r="AM110">
        <v>92</v>
      </c>
      <c r="AN110">
        <v>95</v>
      </c>
      <c r="AO110">
        <v>100</v>
      </c>
      <c r="AP110" t="s">
        <v>2277</v>
      </c>
      <c r="AQ110" s="2" t="str">
        <f>HYPERLINK("http://exon.niaid.nih.gov/transcriptome/Anopheles_sialome/links/NR-LIGHT/anosin_Sal_Perox-NR-LIGHT.txt","AGAP010735-PA-like protein")</f>
        <v>AGAP010735-PA-like protein</v>
      </c>
      <c r="AR110" t="str">
        <f>HYPERLINK("http://www.ncbi.nlm.nih.gov/sutils/blink.cgi?pid=668443625","0.0")</f>
        <v>0.0</v>
      </c>
      <c r="AS110" t="str">
        <f>HYPERLINK("http://www.ncbi.nlm.nih.gov/protein/668443625","gi|668443625")</f>
        <v>gi|668443625</v>
      </c>
      <c r="AT110">
        <v>92</v>
      </c>
      <c r="AU110">
        <v>95</v>
      </c>
      <c r="AV110">
        <v>100</v>
      </c>
      <c r="AW110" t="s">
        <v>2277</v>
      </c>
      <c r="AX110" s="2" t="str">
        <f>HYPERLINK("http://exon.niaid.nih.gov/transcriptome/Anopheles_sialome/links/CDD/anosin_Sal_Perox-CDD.txt","An_peroxidase")</f>
        <v>An_peroxidase</v>
      </c>
      <c r="AY110" t="str">
        <f>HYPERLINK("http://www.ncbi.nlm.nih.gov/Structure/cdd/cddsrv.cgi?uid=pfam03098&amp;version=v4.0","1E-173")</f>
        <v>1E-173</v>
      </c>
      <c r="AZ110" t="s">
        <v>2802</v>
      </c>
      <c r="BA110" s="2" t="str">
        <f>HYPERLINK("http://exon.niaid.nih.gov/transcriptome/Anopheles_sialome/links/KOG/anosin_Sal_Perox-KOG.txt","Peroxidase/oxygenase")</f>
        <v>Peroxidase/oxygenase</v>
      </c>
      <c r="BB110" t="str">
        <f>HYPERLINK("http://www.ncbi.nlm.nih.gov/Structure/cdd/cddsrv.cgi?uid=KOG2408","1E-149")</f>
        <v>1E-149</v>
      </c>
      <c r="BC110" t="s">
        <v>2310</v>
      </c>
      <c r="BD110" t="str">
        <f>HYPERLINK("http://exon.niaid.nih.gov/transcriptome/Anopheles_sialome/links/KOG/anosin_Sal_Perox-KOG.txt","KOG2408")</f>
        <v>KOG2408</v>
      </c>
      <c r="BE110" t="str">
        <f>HYPERLINK("http://exon.niaid.nih.gov/transcriptome/Anopheles_sialome/links/PFAM/anosin_Sal_Perox-PFAM.txt","An_peroxidase")</f>
        <v>An_peroxidase</v>
      </c>
      <c r="BF110" t="str">
        <f>HYPERLINK("http://pfam.sanger.ac.uk/family?acc=PF03098","1E-173")</f>
        <v>1E-173</v>
      </c>
      <c r="BG110" s="2" t="str">
        <f>HYPERLINK("http://exon.niaid.nih.gov/transcriptome/Anopheles_sialome/links/SMART/anosin_Sal_Perox-SMART.txt","LysM")</f>
        <v>LysM</v>
      </c>
      <c r="BH110" t="str">
        <f>HYPERLINK("http://smart.embl-heidelberg.de/smart/do_annotation.pl?DOMAIN=LysM&amp;BLAST=DUMMY","3.3")</f>
        <v>3.3</v>
      </c>
      <c r="BI110" t="s">
        <v>128</v>
      </c>
      <c r="BJ110" s="2" t="s">
        <v>128</v>
      </c>
      <c r="BK110" t="s">
        <v>1613</v>
      </c>
      <c r="BL110">
        <f>HYPERLINK("http://exon.niaid.nih.gov/transcriptome/Anopheles_sialome/links/cluster-b/anopheline-sialome-cds-pep-larger-orf25-50SimCLU11.txt", 11)</f>
        <v>11</v>
      </c>
      <c r="BM110">
        <f>HYPERLINK("http://exon.niaid.nih.gov/transcriptome/Anopheles_sialome/links/cluster-b/anopheline-sialome-cds-pep-larger-orf25-50SimCLTL11.txt", 19)</f>
        <v>19</v>
      </c>
      <c r="BN110">
        <f>HYPERLINK("http://exon.niaid.nih.gov/transcriptome/Anopheles_sialome/links/cluster-b/anopheline-sialome-cds-pep-larger-orf30-50SimCLU10.txt", 10)</f>
        <v>10</v>
      </c>
      <c r="BO110">
        <f>HYPERLINK("http://exon.niaid.nih.gov/transcriptome/Anopheles_sialome/links/cluster-b/anopheline-sialome-cds-pep-larger-orf30-50SimCLTL10.txt", 19)</f>
        <v>19</v>
      </c>
      <c r="BP110">
        <f>HYPERLINK("http://exon.niaid.nih.gov/transcriptome/Anopheles_sialome/links/cluster-b/anopheline-sialome-cds-pep-larger-orf35-50SimCLU12.txt", 12)</f>
        <v>12</v>
      </c>
      <c r="BQ110">
        <f>HYPERLINK("http://exon.niaid.nih.gov/transcriptome/Anopheles_sialome/links/cluster-b/anopheline-sialome-cds-pep-larger-orf35-50SimCLTL12.txt", 19)</f>
        <v>19</v>
      </c>
      <c r="BR110">
        <f>HYPERLINK("http://exon.niaid.nih.gov/transcriptome/Anopheles_sialome/links/cluster-b/anopheline-sialome-cds-pep-larger-orf40-50SimCLU14.txt", 14)</f>
        <v>14</v>
      </c>
      <c r="BS110">
        <f>HYPERLINK("http://exon.niaid.nih.gov/transcriptome/Anopheles_sialome/links/cluster-b/anopheline-sialome-cds-pep-larger-orf40-50SimCLTL14.txt", 19)</f>
        <v>19</v>
      </c>
      <c r="BT110">
        <f>HYPERLINK("http://exon.niaid.nih.gov/transcriptome/Anopheles_sialome/links/cluster-b/anopheline-sialome-cds-pep-larger-orf45-50SimCLU14.txt", 14)</f>
        <v>14</v>
      </c>
      <c r="BU110">
        <f>HYPERLINK("http://exon.niaid.nih.gov/transcriptome/Anopheles_sialome/links/cluster-b/anopheline-sialome-cds-pep-larger-orf45-50SimCLTL14.txt", 19)</f>
        <v>19</v>
      </c>
      <c r="BV110">
        <f>HYPERLINK("http://exon.niaid.nih.gov/transcriptome/Anopheles_sialome/links/cluster-b/anopheline-sialome-cds-pep-larger-orf50-50SimCLU13.txt", 13)</f>
        <v>13</v>
      </c>
      <c r="BW110">
        <f>HYPERLINK("http://exon.niaid.nih.gov/transcriptome/Anopheles_sialome/links/cluster-b/anopheline-sialome-cds-pep-larger-orf50-50SimCLTL13.txt", 19)</f>
        <v>19</v>
      </c>
      <c r="BX110">
        <f>HYPERLINK("http://exon.niaid.nih.gov/transcriptome/Anopheles_sialome/links/cluster-b/anopheline-sialome-cds-pep-larger-orf55-50SimCLU14.txt", 14)</f>
        <v>14</v>
      </c>
      <c r="BY110">
        <f>HYPERLINK("http://exon.niaid.nih.gov/transcriptome/Anopheles_sialome/links/cluster-b/anopheline-sialome-cds-pep-larger-orf55-50SimCLTL14.txt", 19)</f>
        <v>19</v>
      </c>
      <c r="BZ110">
        <f>HYPERLINK("http://exon.niaid.nih.gov/transcriptome/Anopheles_sialome/links/cluster-b/anopheline-sialome-cds-pep-larger-orf60-50SimCLU13.txt", 13)</f>
        <v>13</v>
      </c>
      <c r="CA110">
        <f>HYPERLINK("http://exon.niaid.nih.gov/transcriptome/Anopheles_sialome/links/cluster-b/anopheline-sialome-cds-pep-larger-orf60-50SimCLTL13.txt", 19)</f>
        <v>19</v>
      </c>
      <c r="CB110">
        <f>HYPERLINK("http://exon.niaid.nih.gov/transcriptome/Anopheles_sialome/links/cluster-b/anopheline-sialome-cds-pep-larger-orf65-50SimCLU11.txt", 11)</f>
        <v>11</v>
      </c>
      <c r="CC110">
        <f>HYPERLINK("http://exon.niaid.nih.gov/transcriptome/Anopheles_sialome/links/cluster-b/anopheline-sialome-cds-pep-larger-orf65-50SimCLTL11.txt", 19)</f>
        <v>19</v>
      </c>
      <c r="CD110">
        <f>HYPERLINK("http://exon.niaid.nih.gov/transcriptome/Anopheles_sialome/links/cluster-b/anopheline-sialome-cds-pep-larger-orf70-50SimCLU10.txt", 10)</f>
        <v>10</v>
      </c>
      <c r="CE110">
        <f>HYPERLINK("http://exon.niaid.nih.gov/transcriptome/Anopheles_sialome/links/cluster-b/anopheline-sialome-cds-pep-larger-orf70-50SimCLTL10.txt", 19)</f>
        <v>19</v>
      </c>
      <c r="CF110">
        <f>HYPERLINK("http://exon.niaid.nih.gov/transcriptome/Anopheles_sialome/links/cluster-b/anopheline-sialome-cds-pep-larger-orf75-50SimCLU17.txt", 17)</f>
        <v>17</v>
      </c>
      <c r="CG110">
        <f>HYPERLINK("http://exon.niaid.nih.gov/transcriptome/Anopheles_sialome/links/cluster-b/anopheline-sialome-cds-pep-larger-orf75-50SimCLTL17.txt", 16)</f>
        <v>16</v>
      </c>
      <c r="CH110">
        <f>HYPERLINK("http://exon.niaid.nih.gov/transcriptome/Anopheles_sialome/links/cluster-b/anopheline-sialome-cds-pep-larger-orf80-50SimCLU11.txt", 11)</f>
        <v>11</v>
      </c>
      <c r="CI110">
        <f>HYPERLINK("http://exon.niaid.nih.gov/transcriptome/Anopheles_sialome/links/cluster-b/anopheline-sialome-cds-pep-larger-orf80-50SimCLTL11.txt", 16)</f>
        <v>16</v>
      </c>
      <c r="CJ110">
        <f>HYPERLINK("http://exon.niaid.nih.gov/transcriptome/Anopheles_sialome/links/cluster-b/anopheline-sialome-cds-pep-larger-orf85-50SimCLU7.txt", 7)</f>
        <v>7</v>
      </c>
      <c r="CK110">
        <f>HYPERLINK("http://exon.niaid.nih.gov/transcriptome/Anopheles_sialome/links/cluster-b/anopheline-sialome-cds-pep-larger-orf85-50SimCLTL7.txt", 16)</f>
        <v>16</v>
      </c>
      <c r="CL110">
        <f>HYPERLINK("http://exon.niaid.nih.gov/transcriptome/Anopheles_sialome/links/cluster-b/anopheline-sialome-cds-pep-larger-orf90-50SimCLU2.txt", 2)</f>
        <v>2</v>
      </c>
      <c r="CM110">
        <f>HYPERLINK("http://exon.niaid.nih.gov/transcriptome/Anopheles_sialome/links/cluster-b/anopheline-sialome-cds-pep-larger-orf90-50SimCLTL2.txt", 15)</f>
        <v>15</v>
      </c>
      <c r="CN110">
        <v>352</v>
      </c>
      <c r="CO110">
        <v>1</v>
      </c>
    </row>
    <row r="111" spans="1:93">
      <c r="A111" s="2" t="str">
        <f>HYPERLINK("http://exon.niaid.nih.gov/transcriptome/Anopheles_sialome/links/cds/anoalb_Sal_Perox-cds.txt","anoalb_Sal_Perox")</f>
        <v>anoalb_Sal_Perox</v>
      </c>
      <c r="B111">
        <v>1779</v>
      </c>
      <c r="C111" t="s">
        <v>365</v>
      </c>
      <c r="D111" t="s">
        <v>7</v>
      </c>
      <c r="E111" t="s">
        <v>5</v>
      </c>
      <c r="F111" t="s">
        <v>1</v>
      </c>
      <c r="G111" t="str">
        <f>HYPERLINK("http://exon.niaid.nih.gov/transcriptome/Anopheles_sialome/links/pep/anoalb_Sal_Perox-pep.txt","anoalb_Sal_Perox")</f>
        <v>anoalb_Sal_Perox</v>
      </c>
      <c r="H111">
        <v>592</v>
      </c>
      <c r="I111">
        <v>4</v>
      </c>
      <c r="J111" s="3" t="str">
        <f>HYPERLINK("http://exon.niaid.nih.gov/transcriptome/Anopheles_sialome/links/Sigp/anoalb_Sal_Perox-SigP.txt","SIG")</f>
        <v>SIG</v>
      </c>
      <c r="K111" t="s">
        <v>689</v>
      </c>
      <c r="L111">
        <v>65.572000000000003</v>
      </c>
      <c r="M111">
        <v>6.11</v>
      </c>
      <c r="N111">
        <v>63.04</v>
      </c>
      <c r="O111">
        <v>6.02</v>
      </c>
      <c r="P111" t="s">
        <v>1025</v>
      </c>
      <c r="Q111" s="3">
        <v>0</v>
      </c>
      <c r="R111" t="s">
        <v>128</v>
      </c>
      <c r="S111" t="s">
        <v>128</v>
      </c>
      <c r="T111" t="s">
        <v>128</v>
      </c>
      <c r="U111" t="s">
        <v>128</v>
      </c>
      <c r="V111" t="s">
        <v>128</v>
      </c>
      <c r="W111" s="3" t="str">
        <f>HYPERLINK("http://exon.niaid.nih.gov/transcriptome/Anopheles_sialome/links/netoglyc/anoalb_Sal_Perox-netoglyc.txt","0")</f>
        <v>0</v>
      </c>
      <c r="X111">
        <v>13</v>
      </c>
      <c r="Y111">
        <v>5.7</v>
      </c>
      <c r="Z111">
        <v>6.1</v>
      </c>
      <c r="AA111" t="s">
        <v>654</v>
      </c>
      <c r="AB111" t="s">
        <v>128</v>
      </c>
      <c r="AC111" s="2" t="str">
        <f>HYPERLINK("http://exon.niaid.nih.gov/transcriptome/Anopheles_sialome/links/DIPTERA/anoalb_Sal_Perox-DIPTERA.txt","salivary peroxidase")</f>
        <v>salivary peroxidase</v>
      </c>
      <c r="AD111" t="str">
        <f>HYPERLINK("http://www.ncbi.nlm.nih.gov/sutils/blink.cgi?pid=4539761","0.0")</f>
        <v>0.0</v>
      </c>
      <c r="AE111" t="str">
        <f>HYPERLINK("http://www.ncbi.nlm.nih.gov/protein/4539761","gi|4539761")</f>
        <v>gi|4539761</v>
      </c>
      <c r="AF111">
        <v>99</v>
      </c>
      <c r="AG111">
        <v>99</v>
      </c>
      <c r="AH111">
        <v>100</v>
      </c>
      <c r="AI111" t="s">
        <v>2281</v>
      </c>
      <c r="AJ111" s="2" t="str">
        <f>HYPERLINK("http://exon.niaid.nih.gov/transcriptome/Anopheles_sialome/links/CULICOMORPHA/anoalb_Sal_Perox-CULICOMORPHA.txt","salivary peroxidase")</f>
        <v>salivary peroxidase</v>
      </c>
      <c r="AK111" t="str">
        <f>HYPERLINK("http://www.ncbi.nlm.nih.gov/sutils/blink.cgi?pid=4539761","0.0")</f>
        <v>0.0</v>
      </c>
      <c r="AL111" t="str">
        <f>HYPERLINK("http://www.ncbi.nlm.nih.gov/protein/4539761","gi|4539761")</f>
        <v>gi|4539761</v>
      </c>
      <c r="AM111">
        <v>99</v>
      </c>
      <c r="AN111">
        <v>99</v>
      </c>
      <c r="AO111">
        <v>100</v>
      </c>
      <c r="AP111" t="s">
        <v>2281</v>
      </c>
      <c r="AQ111" s="2" t="str">
        <f>HYPERLINK("http://exon.niaid.nih.gov/transcriptome/Anopheles_sialome/links/NR-LIGHT/anoalb_Sal_Perox-NR-LIGHT.txt","salivary peroxidase")</f>
        <v>salivary peroxidase</v>
      </c>
      <c r="AR111" t="str">
        <f>HYPERLINK("http://www.ncbi.nlm.nih.gov/sutils/blink.cgi?pid=4539761","0.0")</f>
        <v>0.0</v>
      </c>
      <c r="AS111" t="str">
        <f>HYPERLINK("http://www.ncbi.nlm.nih.gov/protein/4539761","gi|4539761")</f>
        <v>gi|4539761</v>
      </c>
      <c r="AT111">
        <v>99</v>
      </c>
      <c r="AU111">
        <v>99</v>
      </c>
      <c r="AV111">
        <v>100</v>
      </c>
      <c r="AW111" t="s">
        <v>2281</v>
      </c>
      <c r="AX111" s="2" t="str">
        <f>HYPERLINK("http://exon.niaid.nih.gov/transcriptome/Anopheles_sialome/links/CDD/anoalb_Sal_Perox-CDD.txt","An_peroxidase")</f>
        <v>An_peroxidase</v>
      </c>
      <c r="AY111" t="str">
        <f>HYPERLINK("http://www.ncbi.nlm.nih.gov/Structure/cdd/cddsrv.cgi?uid=pfam03098&amp;version=v4.0","1E-172")</f>
        <v>1E-172</v>
      </c>
      <c r="AZ111" t="s">
        <v>2803</v>
      </c>
      <c r="BA111" s="2" t="str">
        <f>HYPERLINK("http://exon.niaid.nih.gov/transcriptome/Anopheles_sialome/links/KOG/anoalb_Sal_Perox-KOG.txt","Peroxidase/oxygenase")</f>
        <v>Peroxidase/oxygenase</v>
      </c>
      <c r="BB111" t="str">
        <f>HYPERLINK("http://www.ncbi.nlm.nih.gov/Structure/cdd/cddsrv.cgi?uid=KOG2408","1E-148")</f>
        <v>1E-148</v>
      </c>
      <c r="BC111" t="s">
        <v>2310</v>
      </c>
      <c r="BD111" t="str">
        <f>HYPERLINK("http://exon.niaid.nih.gov/transcriptome/Anopheles_sialome/links/KOG/anoalb_Sal_Perox-KOG.txt","KOG2408")</f>
        <v>KOG2408</v>
      </c>
      <c r="BE111" t="str">
        <f>HYPERLINK("http://exon.niaid.nih.gov/transcriptome/Anopheles_sialome/links/PFAM/anoalb_Sal_Perox-PFAM.txt","An_peroxidase")</f>
        <v>An_peroxidase</v>
      </c>
      <c r="BF111" t="str">
        <f>HYPERLINK("http://pfam.sanger.ac.uk/family?acc=PF03098","1E-172")</f>
        <v>1E-172</v>
      </c>
      <c r="BG111" s="2" t="str">
        <f>HYPERLINK("http://exon.niaid.nih.gov/transcriptome/Anopheles_sialome/links/SMART/anoalb_Sal_Perox-SMART.txt","Mad3_BUB1_I")</f>
        <v>Mad3_BUB1_I</v>
      </c>
      <c r="BH111" t="str">
        <f>HYPERLINK("http://smart.embl-heidelberg.de/smart/do_annotation.pl?DOMAIN=Mad3_BUB1_I&amp;BLAST=DUMMY","4.8")</f>
        <v>4.8</v>
      </c>
      <c r="BI111" t="s">
        <v>128</v>
      </c>
      <c r="BJ111" s="2" t="s">
        <v>128</v>
      </c>
      <c r="BK111" t="s">
        <v>1614</v>
      </c>
      <c r="BL111">
        <f>HYPERLINK("http://exon.niaid.nih.gov/transcriptome/Anopheles_sialome/links/cluster-b/anopheline-sialome-cds-pep-larger-orf25-50SimCLU11.txt", 11)</f>
        <v>11</v>
      </c>
      <c r="BM111">
        <f>HYPERLINK("http://exon.niaid.nih.gov/transcriptome/Anopheles_sialome/links/cluster-b/anopheline-sialome-cds-pep-larger-orf25-50SimCLTL11.txt", 19)</f>
        <v>19</v>
      </c>
      <c r="BN111">
        <f>HYPERLINK("http://exon.niaid.nih.gov/transcriptome/Anopheles_sialome/links/cluster-b/anopheline-sialome-cds-pep-larger-orf30-50SimCLU10.txt", 10)</f>
        <v>10</v>
      </c>
      <c r="BO111">
        <f>HYPERLINK("http://exon.niaid.nih.gov/transcriptome/Anopheles_sialome/links/cluster-b/anopheline-sialome-cds-pep-larger-orf30-50SimCLTL10.txt", 19)</f>
        <v>19</v>
      </c>
      <c r="BP111">
        <f>HYPERLINK("http://exon.niaid.nih.gov/transcriptome/Anopheles_sialome/links/cluster-b/anopheline-sialome-cds-pep-larger-orf35-50SimCLU12.txt", 12)</f>
        <v>12</v>
      </c>
      <c r="BQ111">
        <f>HYPERLINK("http://exon.niaid.nih.gov/transcriptome/Anopheles_sialome/links/cluster-b/anopheline-sialome-cds-pep-larger-orf35-50SimCLTL12.txt", 19)</f>
        <v>19</v>
      </c>
      <c r="BR111">
        <f>HYPERLINK("http://exon.niaid.nih.gov/transcriptome/Anopheles_sialome/links/cluster-b/anopheline-sialome-cds-pep-larger-orf40-50SimCLU14.txt", 14)</f>
        <v>14</v>
      </c>
      <c r="BS111">
        <f>HYPERLINK("http://exon.niaid.nih.gov/transcriptome/Anopheles_sialome/links/cluster-b/anopheline-sialome-cds-pep-larger-orf40-50SimCLTL14.txt", 19)</f>
        <v>19</v>
      </c>
      <c r="BT111">
        <f>HYPERLINK("http://exon.niaid.nih.gov/transcriptome/Anopheles_sialome/links/cluster-b/anopheline-sialome-cds-pep-larger-orf45-50SimCLU14.txt", 14)</f>
        <v>14</v>
      </c>
      <c r="BU111">
        <f>HYPERLINK("http://exon.niaid.nih.gov/transcriptome/Anopheles_sialome/links/cluster-b/anopheline-sialome-cds-pep-larger-orf45-50SimCLTL14.txt", 19)</f>
        <v>19</v>
      </c>
      <c r="BV111">
        <f>HYPERLINK("http://exon.niaid.nih.gov/transcriptome/Anopheles_sialome/links/cluster-b/anopheline-sialome-cds-pep-larger-orf50-50SimCLU13.txt", 13)</f>
        <v>13</v>
      </c>
      <c r="BW111">
        <f>HYPERLINK("http://exon.niaid.nih.gov/transcriptome/Anopheles_sialome/links/cluster-b/anopheline-sialome-cds-pep-larger-orf50-50SimCLTL13.txt", 19)</f>
        <v>19</v>
      </c>
      <c r="BX111">
        <f>HYPERLINK("http://exon.niaid.nih.gov/transcriptome/Anopheles_sialome/links/cluster-b/anopheline-sialome-cds-pep-larger-orf55-50SimCLU14.txt", 14)</f>
        <v>14</v>
      </c>
      <c r="BY111">
        <f>HYPERLINK("http://exon.niaid.nih.gov/transcriptome/Anopheles_sialome/links/cluster-b/anopheline-sialome-cds-pep-larger-orf55-50SimCLTL14.txt", 19)</f>
        <v>19</v>
      </c>
      <c r="BZ111">
        <f>HYPERLINK("http://exon.niaid.nih.gov/transcriptome/Anopheles_sialome/links/cluster-b/anopheline-sialome-cds-pep-larger-orf60-50SimCLU13.txt", 13)</f>
        <v>13</v>
      </c>
      <c r="CA111">
        <f>HYPERLINK("http://exon.niaid.nih.gov/transcriptome/Anopheles_sialome/links/cluster-b/anopheline-sialome-cds-pep-larger-orf60-50SimCLTL13.txt", 19)</f>
        <v>19</v>
      </c>
      <c r="CB111">
        <f>HYPERLINK("http://exon.niaid.nih.gov/transcriptome/Anopheles_sialome/links/cluster-b/anopheline-sialome-cds-pep-larger-orf65-50SimCLU11.txt", 11)</f>
        <v>11</v>
      </c>
      <c r="CC111">
        <f>HYPERLINK("http://exon.niaid.nih.gov/transcriptome/Anopheles_sialome/links/cluster-b/anopheline-sialome-cds-pep-larger-orf65-50SimCLTL11.txt", 19)</f>
        <v>19</v>
      </c>
      <c r="CD111">
        <f>HYPERLINK("http://exon.niaid.nih.gov/transcriptome/Anopheles_sialome/links/cluster-b/anopheline-sialome-cds-pep-larger-orf70-50SimCLU10.txt", 10)</f>
        <v>10</v>
      </c>
      <c r="CE111">
        <f>HYPERLINK("http://exon.niaid.nih.gov/transcriptome/Anopheles_sialome/links/cluster-b/anopheline-sialome-cds-pep-larger-orf70-50SimCLTL10.txt", 19)</f>
        <v>19</v>
      </c>
      <c r="CF111">
        <f>HYPERLINK("http://exon.niaid.nih.gov/transcriptome/Anopheles_sialome/links/cluster-b/anopheline-sialome-cds-pep-larger-orf75-50SimCLU54.txt", 54)</f>
        <v>54</v>
      </c>
      <c r="CG111">
        <f>HYPERLINK("http://exon.niaid.nih.gov/transcriptome/Anopheles_sialome/links/cluster-b/anopheline-sialome-cds-pep-larger-orf75-50SimCLTL54.txt", 3)</f>
        <v>3</v>
      </c>
      <c r="CH111">
        <f>HYPERLINK("http://exon.niaid.nih.gov/transcriptome/Anopheles_sialome/links/cluster-b/anopheline-sialome-cds-pep-larger-orf80-50SimCLU56.txt", 56)</f>
        <v>56</v>
      </c>
      <c r="CI111">
        <f>HYPERLINK("http://exon.niaid.nih.gov/transcriptome/Anopheles_sialome/links/cluster-b/anopheline-sialome-cds-pep-larger-orf80-50SimCLTL56.txt", 3)</f>
        <v>3</v>
      </c>
      <c r="CJ111">
        <f>HYPERLINK("http://exon.niaid.nih.gov/transcriptome/Anopheles_sialome/links/cluster-b/anopheline-sialome-cds-pep-larger-orf85-50SimCLU90.txt", 90)</f>
        <v>90</v>
      </c>
      <c r="CK111">
        <f>HYPERLINK("http://exon.niaid.nih.gov/transcriptome/Anopheles_sialome/links/cluster-b/anopheline-sialome-cds-pep-larger-orf85-50SimCLTL90.txt", 2)</f>
        <v>2</v>
      </c>
      <c r="CL111">
        <f>HYPERLINK("http://exon.niaid.nih.gov/transcriptome/Anopheles_sialome/links/cluster-b/anopheline-sialome-cds-pep-larger-orf90-50SimCLU78.txt", 78)</f>
        <v>78</v>
      </c>
      <c r="CM111">
        <f>HYPERLINK("http://exon.niaid.nih.gov/transcriptome/Anopheles_sialome/links/cluster-b/anopheline-sialome-cds-pep-larger-orf90-50SimCLTL78.txt", 2)</f>
        <v>2</v>
      </c>
      <c r="CN111">
        <v>353</v>
      </c>
      <c r="CO111">
        <v>1</v>
      </c>
    </row>
    <row r="112" spans="1:93">
      <c r="A112" s="2" t="str">
        <f>HYPERLINK("http://exon.niaid.nih.gov/transcriptome/Anopheles_sialome/links/cds/anoalb_Sal_Perox2-cds.txt","anoalb_Sal_Perox2")</f>
        <v>anoalb_Sal_Perox2</v>
      </c>
      <c r="B112">
        <v>1770</v>
      </c>
      <c r="C112" t="s">
        <v>365</v>
      </c>
      <c r="D112" t="s">
        <v>7</v>
      </c>
      <c r="E112" t="s">
        <v>5</v>
      </c>
      <c r="F112" t="s">
        <v>1</v>
      </c>
      <c r="G112" t="str">
        <f>HYPERLINK("http://exon.niaid.nih.gov/transcriptome/Anopheles_sialome/links/pep/anoalb_Sal_Perox2-pep.txt","anoalb_Sal_Perox2")</f>
        <v>anoalb_Sal_Perox2</v>
      </c>
      <c r="H112">
        <v>589</v>
      </c>
      <c r="I112">
        <v>3</v>
      </c>
      <c r="J112" s="3" t="str">
        <f>HYPERLINK("http://exon.niaid.nih.gov/transcriptome/Anopheles_sialome/links/Sigp/anoalb_Sal_Perox2-SigP.txt","SIG")</f>
        <v>SIG</v>
      </c>
      <c r="K112" t="s">
        <v>692</v>
      </c>
      <c r="L112">
        <v>66.400999999999996</v>
      </c>
      <c r="M112">
        <v>8.93</v>
      </c>
      <c r="N112">
        <v>64.239000000000004</v>
      </c>
      <c r="O112">
        <v>8.84</v>
      </c>
      <c r="P112" t="s">
        <v>922</v>
      </c>
      <c r="Q112" s="3">
        <v>0</v>
      </c>
      <c r="R112" t="s">
        <v>128</v>
      </c>
      <c r="S112" t="s">
        <v>128</v>
      </c>
      <c r="T112" t="s">
        <v>128</v>
      </c>
      <c r="U112" t="s">
        <v>128</v>
      </c>
      <c r="V112" t="s">
        <v>128</v>
      </c>
      <c r="W112" s="3" t="str">
        <f>HYPERLINK("http://exon.niaid.nih.gov/transcriptome/Anopheles_sialome/links/netoglyc/anoalb_Sal_Perox2-netoglyc.txt","0")</f>
        <v>0</v>
      </c>
      <c r="X112">
        <v>14.8</v>
      </c>
      <c r="Y112">
        <v>7.3</v>
      </c>
      <c r="Z112">
        <v>5.6</v>
      </c>
      <c r="AA112" t="s">
        <v>654</v>
      </c>
      <c r="AB112" t="s">
        <v>128</v>
      </c>
      <c r="AC112" s="2" t="str">
        <f>HYPERLINK("http://exon.niaid.nih.gov/transcriptome/Anopheles_sialome/links/DIPTERA/anoalb_Sal_Perox2-DIPTERA.txt","oxidase/peroxidase")</f>
        <v>oxidase/peroxidase</v>
      </c>
      <c r="AD112" t="str">
        <f>HYPERLINK("http://www.ncbi.nlm.nih.gov/sutils/blink.cgi?pid=568257788","0.0")</f>
        <v>0.0</v>
      </c>
      <c r="AE112" t="str">
        <f>HYPERLINK("http://www.ncbi.nlm.nih.gov/protein/568257788","gi|568257788")</f>
        <v>gi|568257788</v>
      </c>
      <c r="AF112">
        <v>94</v>
      </c>
      <c r="AG112">
        <v>97</v>
      </c>
      <c r="AH112">
        <v>100</v>
      </c>
      <c r="AI112" t="s">
        <v>2283</v>
      </c>
      <c r="AJ112" s="2" t="str">
        <f>HYPERLINK("http://exon.niaid.nih.gov/transcriptome/Anopheles_sialome/links/CULICOMORPHA/anoalb_Sal_Perox2-CULICOMORPHA.txt","oxidase/peroxidase")</f>
        <v>oxidase/peroxidase</v>
      </c>
      <c r="AK112" t="str">
        <f>HYPERLINK("http://www.ncbi.nlm.nih.gov/sutils/blink.cgi?pid=568257788","0.0")</f>
        <v>0.0</v>
      </c>
      <c r="AL112" t="str">
        <f>HYPERLINK("http://www.ncbi.nlm.nih.gov/protein/568257788","gi|568257788")</f>
        <v>gi|568257788</v>
      </c>
      <c r="AM112">
        <v>94</v>
      </c>
      <c r="AN112">
        <v>97</v>
      </c>
      <c r="AO112">
        <v>100</v>
      </c>
      <c r="AP112" t="s">
        <v>2283</v>
      </c>
      <c r="AQ112" s="2" t="str">
        <f>HYPERLINK("http://exon.niaid.nih.gov/transcriptome/Anopheles_sialome/links/NR-LIGHT/anoalb_Sal_Perox2-NR-LIGHT.txt","oxidase/peroxidase")</f>
        <v>oxidase/peroxidase</v>
      </c>
      <c r="AR112" t="str">
        <f>HYPERLINK("http://www.ncbi.nlm.nih.gov/sutils/blink.cgi?pid=568257788","0.0")</f>
        <v>0.0</v>
      </c>
      <c r="AS112" t="str">
        <f>HYPERLINK("http://www.ncbi.nlm.nih.gov/protein/568257788","gi|568257788")</f>
        <v>gi|568257788</v>
      </c>
      <c r="AT112">
        <v>94</v>
      </c>
      <c r="AU112">
        <v>97</v>
      </c>
      <c r="AV112">
        <v>100</v>
      </c>
      <c r="AW112" t="s">
        <v>2283</v>
      </c>
      <c r="AX112" s="2" t="str">
        <f>HYPERLINK("http://exon.niaid.nih.gov/transcriptome/Anopheles_sialome/links/CDD/anoalb_Sal_Perox2-CDD.txt","An_peroxidase")</f>
        <v>An_peroxidase</v>
      </c>
      <c r="AY112" t="str">
        <f>HYPERLINK("http://www.ncbi.nlm.nih.gov/Structure/cdd/cddsrv.cgi?uid=pfam03098&amp;version=v4.0","1E-170")</f>
        <v>1E-170</v>
      </c>
      <c r="AZ112" t="s">
        <v>2804</v>
      </c>
      <c r="BA112" s="2" t="str">
        <f>HYPERLINK("http://exon.niaid.nih.gov/transcriptome/Anopheles_sialome/links/KOG/anoalb_Sal_Perox2-KOG.txt","Peroxidase/oxygenase")</f>
        <v>Peroxidase/oxygenase</v>
      </c>
      <c r="BB112" t="str">
        <f>HYPERLINK("http://www.ncbi.nlm.nih.gov/Structure/cdd/cddsrv.cgi?uid=KOG2408","1E-148")</f>
        <v>1E-148</v>
      </c>
      <c r="BC112" t="s">
        <v>2310</v>
      </c>
      <c r="BD112" t="str">
        <f>HYPERLINK("http://exon.niaid.nih.gov/transcriptome/Anopheles_sialome/links/KOG/anoalb_Sal_Perox2-KOG.txt","KOG2408")</f>
        <v>KOG2408</v>
      </c>
      <c r="BE112" t="str">
        <f>HYPERLINK("http://exon.niaid.nih.gov/transcriptome/Anopheles_sialome/links/PFAM/anoalb_Sal_Perox2-PFAM.txt","An_peroxidase")</f>
        <v>An_peroxidase</v>
      </c>
      <c r="BF112" t="str">
        <f>HYPERLINK("http://pfam.sanger.ac.uk/family?acc=PF03098","1E-170")</f>
        <v>1E-170</v>
      </c>
      <c r="BG112" s="2" t="str">
        <f>HYPERLINK("http://exon.niaid.nih.gov/transcriptome/Anopheles_sialome/links/SMART/anoalb_Sal_Perox2-SMART.txt","TOPEUc")</f>
        <v>TOPEUc</v>
      </c>
      <c r="BH112" t="str">
        <f>HYPERLINK("http://smart.embl-heidelberg.de/smart/do_annotation.pl?DOMAIN=TOPEUc&amp;BLAST=DUMMY","0.43")</f>
        <v>0.43</v>
      </c>
      <c r="BI112" t="s">
        <v>128</v>
      </c>
      <c r="BJ112" s="2" t="s">
        <v>128</v>
      </c>
      <c r="BK112" t="s">
        <v>1615</v>
      </c>
      <c r="BL112">
        <f>HYPERLINK("http://exon.niaid.nih.gov/transcriptome/Anopheles_sialome/links/cluster-b/anopheline-sialome-cds-pep-larger-orf25-50SimCLU11.txt", 11)</f>
        <v>11</v>
      </c>
      <c r="BM112">
        <f>HYPERLINK("http://exon.niaid.nih.gov/transcriptome/Anopheles_sialome/links/cluster-b/anopheline-sialome-cds-pep-larger-orf25-50SimCLTL11.txt", 19)</f>
        <v>19</v>
      </c>
      <c r="BN112">
        <f>HYPERLINK("http://exon.niaid.nih.gov/transcriptome/Anopheles_sialome/links/cluster-b/anopheline-sialome-cds-pep-larger-orf30-50SimCLU10.txt", 10)</f>
        <v>10</v>
      </c>
      <c r="BO112">
        <f>HYPERLINK("http://exon.niaid.nih.gov/transcriptome/Anopheles_sialome/links/cluster-b/anopheline-sialome-cds-pep-larger-orf30-50SimCLTL10.txt", 19)</f>
        <v>19</v>
      </c>
      <c r="BP112">
        <f>HYPERLINK("http://exon.niaid.nih.gov/transcriptome/Anopheles_sialome/links/cluster-b/anopheline-sialome-cds-pep-larger-orf35-50SimCLU12.txt", 12)</f>
        <v>12</v>
      </c>
      <c r="BQ112">
        <f>HYPERLINK("http://exon.niaid.nih.gov/transcriptome/Anopheles_sialome/links/cluster-b/anopheline-sialome-cds-pep-larger-orf35-50SimCLTL12.txt", 19)</f>
        <v>19</v>
      </c>
      <c r="BR112">
        <f>HYPERLINK("http://exon.niaid.nih.gov/transcriptome/Anopheles_sialome/links/cluster-b/anopheline-sialome-cds-pep-larger-orf40-50SimCLU14.txt", 14)</f>
        <v>14</v>
      </c>
      <c r="BS112">
        <f>HYPERLINK("http://exon.niaid.nih.gov/transcriptome/Anopheles_sialome/links/cluster-b/anopheline-sialome-cds-pep-larger-orf40-50SimCLTL14.txt", 19)</f>
        <v>19</v>
      </c>
      <c r="BT112">
        <f>HYPERLINK("http://exon.niaid.nih.gov/transcriptome/Anopheles_sialome/links/cluster-b/anopheline-sialome-cds-pep-larger-orf45-50SimCLU14.txt", 14)</f>
        <v>14</v>
      </c>
      <c r="BU112">
        <f>HYPERLINK("http://exon.niaid.nih.gov/transcriptome/Anopheles_sialome/links/cluster-b/anopheline-sialome-cds-pep-larger-orf45-50SimCLTL14.txt", 19)</f>
        <v>19</v>
      </c>
      <c r="BV112">
        <f>HYPERLINK("http://exon.niaid.nih.gov/transcriptome/Anopheles_sialome/links/cluster-b/anopheline-sialome-cds-pep-larger-orf50-50SimCLU13.txt", 13)</f>
        <v>13</v>
      </c>
      <c r="BW112">
        <f>HYPERLINK("http://exon.niaid.nih.gov/transcriptome/Anopheles_sialome/links/cluster-b/anopheline-sialome-cds-pep-larger-orf50-50SimCLTL13.txt", 19)</f>
        <v>19</v>
      </c>
      <c r="BX112">
        <f>HYPERLINK("http://exon.niaid.nih.gov/transcriptome/Anopheles_sialome/links/cluster-b/anopheline-sialome-cds-pep-larger-orf55-50SimCLU14.txt", 14)</f>
        <v>14</v>
      </c>
      <c r="BY112">
        <f>HYPERLINK("http://exon.niaid.nih.gov/transcriptome/Anopheles_sialome/links/cluster-b/anopheline-sialome-cds-pep-larger-orf55-50SimCLTL14.txt", 19)</f>
        <v>19</v>
      </c>
      <c r="BZ112">
        <f>HYPERLINK("http://exon.niaid.nih.gov/transcriptome/Anopheles_sialome/links/cluster-b/anopheline-sialome-cds-pep-larger-orf60-50SimCLU13.txt", 13)</f>
        <v>13</v>
      </c>
      <c r="CA112">
        <f>HYPERLINK("http://exon.niaid.nih.gov/transcriptome/Anopheles_sialome/links/cluster-b/anopheline-sialome-cds-pep-larger-orf60-50SimCLTL13.txt", 19)</f>
        <v>19</v>
      </c>
      <c r="CB112">
        <f>HYPERLINK("http://exon.niaid.nih.gov/transcriptome/Anopheles_sialome/links/cluster-b/anopheline-sialome-cds-pep-larger-orf65-50SimCLU11.txt", 11)</f>
        <v>11</v>
      </c>
      <c r="CC112">
        <f>HYPERLINK("http://exon.niaid.nih.gov/transcriptome/Anopheles_sialome/links/cluster-b/anopheline-sialome-cds-pep-larger-orf65-50SimCLTL11.txt", 19)</f>
        <v>19</v>
      </c>
      <c r="CD112">
        <f>HYPERLINK("http://exon.niaid.nih.gov/transcriptome/Anopheles_sialome/links/cluster-b/anopheline-sialome-cds-pep-larger-orf70-50SimCLU10.txt", 10)</f>
        <v>10</v>
      </c>
      <c r="CE112">
        <f>HYPERLINK("http://exon.niaid.nih.gov/transcriptome/Anopheles_sialome/links/cluster-b/anopheline-sialome-cds-pep-larger-orf70-50SimCLTL10.txt", 19)</f>
        <v>19</v>
      </c>
      <c r="CF112">
        <f>HYPERLINK("http://exon.niaid.nih.gov/transcriptome/Anopheles_sialome/links/cluster-b/anopheline-sialome-cds-pep-larger-orf75-50SimCLU17.txt", 17)</f>
        <v>17</v>
      </c>
      <c r="CG112">
        <f>HYPERLINK("http://exon.niaid.nih.gov/transcriptome/Anopheles_sialome/links/cluster-b/anopheline-sialome-cds-pep-larger-orf75-50SimCLTL17.txt", 16)</f>
        <v>16</v>
      </c>
      <c r="CH112">
        <f>HYPERLINK("http://exon.niaid.nih.gov/transcriptome/Anopheles_sialome/links/cluster-b/anopheline-sialome-cds-pep-larger-orf80-50SimCLU11.txt", 11)</f>
        <v>11</v>
      </c>
      <c r="CI112">
        <f>HYPERLINK("http://exon.niaid.nih.gov/transcriptome/Anopheles_sialome/links/cluster-b/anopheline-sialome-cds-pep-larger-orf80-50SimCLTL11.txt", 16)</f>
        <v>16</v>
      </c>
      <c r="CJ112">
        <f>HYPERLINK("http://exon.niaid.nih.gov/transcriptome/Anopheles_sialome/links/cluster-b/anopheline-sialome-cds-pep-larger-orf85-50SimCLU7.txt", 7)</f>
        <v>7</v>
      </c>
      <c r="CK112">
        <f>HYPERLINK("http://exon.niaid.nih.gov/transcriptome/Anopheles_sialome/links/cluster-b/anopheline-sialome-cds-pep-larger-orf85-50SimCLTL7.txt", 16)</f>
        <v>16</v>
      </c>
      <c r="CL112">
        <v>302</v>
      </c>
      <c r="CM112">
        <v>1</v>
      </c>
      <c r="CN112">
        <v>354</v>
      </c>
      <c r="CO112">
        <v>1</v>
      </c>
    </row>
    <row r="113" spans="1:93">
      <c r="A113" s="2" t="str">
        <f>HYPERLINK("http://exon.niaid.nih.gov/transcriptome/Anopheles_sialome/links/cds/anodar_Sal_Perox-cds.txt","anodar_Sal_Perox")</f>
        <v>anodar_Sal_Perox</v>
      </c>
      <c r="B113">
        <v>1776</v>
      </c>
      <c r="C113" t="s">
        <v>366</v>
      </c>
      <c r="D113" t="s">
        <v>4</v>
      </c>
      <c r="E113" t="s">
        <v>5</v>
      </c>
      <c r="F113" t="s">
        <v>1</v>
      </c>
      <c r="G113" t="str">
        <f>HYPERLINK("http://exon.niaid.nih.gov/transcriptome/Anopheles_sialome/links/pep/anodar_Sal_Perox-pep.txt","anodar_Sal_Perox")</f>
        <v>anodar_Sal_Perox</v>
      </c>
      <c r="H113">
        <v>591</v>
      </c>
      <c r="I113">
        <v>3</v>
      </c>
      <c r="J113" s="3" t="str">
        <f>HYPERLINK("http://exon.niaid.nih.gov/transcriptome/Anopheles_sialome/links/Sigp/anodar_Sal_Perox-SigP.txt","SIG")</f>
        <v>SIG</v>
      </c>
      <c r="K113" t="s">
        <v>692</v>
      </c>
      <c r="L113">
        <v>65.63</v>
      </c>
      <c r="M113">
        <v>6.19</v>
      </c>
      <c r="N113">
        <v>63.271999999999998</v>
      </c>
      <c r="O113">
        <v>6.02</v>
      </c>
      <c r="P113" t="s">
        <v>1021</v>
      </c>
      <c r="Q113" s="3">
        <v>0</v>
      </c>
      <c r="R113" t="s">
        <v>128</v>
      </c>
      <c r="S113" t="s">
        <v>128</v>
      </c>
      <c r="T113" t="s">
        <v>128</v>
      </c>
      <c r="U113" t="s">
        <v>128</v>
      </c>
      <c r="V113" t="s">
        <v>128</v>
      </c>
      <c r="W113" s="3" t="str">
        <f>HYPERLINK("http://exon.niaid.nih.gov/transcriptome/Anopheles_sialome/links/netoglyc/anodar_Sal_Perox-netoglyc.txt","0")</f>
        <v>0</v>
      </c>
      <c r="X113">
        <v>12.5</v>
      </c>
      <c r="Y113">
        <v>5.6</v>
      </c>
      <c r="Z113">
        <v>5.8</v>
      </c>
      <c r="AA113" t="s">
        <v>654</v>
      </c>
      <c r="AB113" t="s">
        <v>128</v>
      </c>
      <c r="AC113" s="2" t="str">
        <f>HYPERLINK("http://exon.niaid.nih.gov/transcriptome/Anopheles_sialome/links/DIPTERA/anodar_Sal_Perox-DIPTERA.txt","oxidase/peroxidase")</f>
        <v>oxidase/peroxidase</v>
      </c>
      <c r="AD113" t="str">
        <f>HYPERLINK("http://www.ncbi.nlm.nih.gov/sutils/blink.cgi?pid=568257787","0.0")</f>
        <v>0.0</v>
      </c>
      <c r="AE113" t="str">
        <f>HYPERLINK("http://www.ncbi.nlm.nih.gov/protein/568257787","gi|568257787")</f>
        <v>gi|568257787</v>
      </c>
      <c r="AF113">
        <v>100</v>
      </c>
      <c r="AG113">
        <v>100</v>
      </c>
      <c r="AH113">
        <v>100</v>
      </c>
      <c r="AI113" t="s">
        <v>2283</v>
      </c>
      <c r="AJ113" s="2" t="str">
        <f>HYPERLINK("http://exon.niaid.nih.gov/transcriptome/Anopheles_sialome/links/CULICOMORPHA/anodar_Sal_Perox-CULICOMORPHA.txt","oxidase/peroxidase")</f>
        <v>oxidase/peroxidase</v>
      </c>
      <c r="AK113" t="str">
        <f>HYPERLINK("http://www.ncbi.nlm.nih.gov/sutils/blink.cgi?pid=568257787","0.0")</f>
        <v>0.0</v>
      </c>
      <c r="AL113" t="str">
        <f>HYPERLINK("http://www.ncbi.nlm.nih.gov/protein/568257787","gi|568257787")</f>
        <v>gi|568257787</v>
      </c>
      <c r="AM113">
        <v>100</v>
      </c>
      <c r="AN113">
        <v>100</v>
      </c>
      <c r="AO113">
        <v>100</v>
      </c>
      <c r="AP113" t="s">
        <v>2283</v>
      </c>
      <c r="AQ113" s="2" t="str">
        <f>HYPERLINK("http://exon.niaid.nih.gov/transcriptome/Anopheles_sialome/links/NR-LIGHT/anodar_Sal_Perox-NR-LIGHT.txt","oxidase/peroxidase")</f>
        <v>oxidase/peroxidase</v>
      </c>
      <c r="AR113" t="str">
        <f>HYPERLINK("http://www.ncbi.nlm.nih.gov/sutils/blink.cgi?pid=568257787","0.0")</f>
        <v>0.0</v>
      </c>
      <c r="AS113" t="str">
        <f>HYPERLINK("http://www.ncbi.nlm.nih.gov/protein/568257787","gi|568257787")</f>
        <v>gi|568257787</v>
      </c>
      <c r="AT113">
        <v>100</v>
      </c>
      <c r="AU113">
        <v>100</v>
      </c>
      <c r="AV113">
        <v>100</v>
      </c>
      <c r="AW113" t="s">
        <v>2283</v>
      </c>
      <c r="AX113" s="2" t="str">
        <f>HYPERLINK("http://exon.niaid.nih.gov/transcriptome/Anopheles_sialome/links/CDD/anodar_Sal_Perox-CDD.txt","An_peroxidase")</f>
        <v>An_peroxidase</v>
      </c>
      <c r="AY113" t="str">
        <f>HYPERLINK("http://www.ncbi.nlm.nih.gov/Structure/cdd/cddsrv.cgi?uid=pfam03098&amp;version=v4.0","1E-169")</f>
        <v>1E-169</v>
      </c>
      <c r="AZ113" t="s">
        <v>2805</v>
      </c>
      <c r="BA113" s="2" t="str">
        <f>HYPERLINK("http://exon.niaid.nih.gov/transcriptome/Anopheles_sialome/links/KOG/anodar_Sal_Perox-KOG.txt","Peroxidase/oxygenase")</f>
        <v>Peroxidase/oxygenase</v>
      </c>
      <c r="BB113" t="str">
        <f>HYPERLINK("http://www.ncbi.nlm.nih.gov/Structure/cdd/cddsrv.cgi?uid=KOG2408","1E-145")</f>
        <v>1E-145</v>
      </c>
      <c r="BC113" t="s">
        <v>2310</v>
      </c>
      <c r="BD113" t="str">
        <f>HYPERLINK("http://exon.niaid.nih.gov/transcriptome/Anopheles_sialome/links/KOG/anodar_Sal_Perox-KOG.txt","KOG2408")</f>
        <v>KOG2408</v>
      </c>
      <c r="BE113" t="str">
        <f>HYPERLINK("http://exon.niaid.nih.gov/transcriptome/Anopheles_sialome/links/PFAM/anodar_Sal_Perox-PFAM.txt","An_peroxidase")</f>
        <v>An_peroxidase</v>
      </c>
      <c r="BF113" t="str">
        <f>HYPERLINK("http://pfam.sanger.ac.uk/family?acc=PF03098","1E-169")</f>
        <v>1E-169</v>
      </c>
      <c r="BG113" s="2" t="str">
        <f>HYPERLINK("http://exon.niaid.nih.gov/transcriptome/Anopheles_sialome/links/SMART/anodar_Sal_Perox-SMART.txt","NOSIC")</f>
        <v>NOSIC</v>
      </c>
      <c r="BH113" t="str">
        <f>HYPERLINK("http://smart.embl-heidelberg.de/smart/do_annotation.pl?DOMAIN=NOSIC&amp;BLAST=DUMMY","0.49")</f>
        <v>0.49</v>
      </c>
      <c r="BI113" t="s">
        <v>128</v>
      </c>
      <c r="BJ113" s="2" t="s">
        <v>128</v>
      </c>
      <c r="BK113" t="s">
        <v>1616</v>
      </c>
      <c r="BL113">
        <f>HYPERLINK("http://exon.niaid.nih.gov/transcriptome/Anopheles_sialome/links/cluster-b/anopheline-sialome-cds-pep-larger-orf25-50SimCLU11.txt", 11)</f>
        <v>11</v>
      </c>
      <c r="BM113">
        <f>HYPERLINK("http://exon.niaid.nih.gov/transcriptome/Anopheles_sialome/links/cluster-b/anopheline-sialome-cds-pep-larger-orf25-50SimCLTL11.txt", 19)</f>
        <v>19</v>
      </c>
      <c r="BN113">
        <f>HYPERLINK("http://exon.niaid.nih.gov/transcriptome/Anopheles_sialome/links/cluster-b/anopheline-sialome-cds-pep-larger-orf30-50SimCLU10.txt", 10)</f>
        <v>10</v>
      </c>
      <c r="BO113">
        <f>HYPERLINK("http://exon.niaid.nih.gov/transcriptome/Anopheles_sialome/links/cluster-b/anopheline-sialome-cds-pep-larger-orf30-50SimCLTL10.txt", 19)</f>
        <v>19</v>
      </c>
      <c r="BP113">
        <f>HYPERLINK("http://exon.niaid.nih.gov/transcriptome/Anopheles_sialome/links/cluster-b/anopheline-sialome-cds-pep-larger-orf35-50SimCLU12.txt", 12)</f>
        <v>12</v>
      </c>
      <c r="BQ113">
        <f>HYPERLINK("http://exon.niaid.nih.gov/transcriptome/Anopheles_sialome/links/cluster-b/anopheline-sialome-cds-pep-larger-orf35-50SimCLTL12.txt", 19)</f>
        <v>19</v>
      </c>
      <c r="BR113">
        <f>HYPERLINK("http://exon.niaid.nih.gov/transcriptome/Anopheles_sialome/links/cluster-b/anopheline-sialome-cds-pep-larger-orf40-50SimCLU14.txt", 14)</f>
        <v>14</v>
      </c>
      <c r="BS113">
        <f>HYPERLINK("http://exon.niaid.nih.gov/transcriptome/Anopheles_sialome/links/cluster-b/anopheline-sialome-cds-pep-larger-orf40-50SimCLTL14.txt", 19)</f>
        <v>19</v>
      </c>
      <c r="BT113">
        <f>HYPERLINK("http://exon.niaid.nih.gov/transcriptome/Anopheles_sialome/links/cluster-b/anopheline-sialome-cds-pep-larger-orf45-50SimCLU14.txt", 14)</f>
        <v>14</v>
      </c>
      <c r="BU113">
        <f>HYPERLINK("http://exon.niaid.nih.gov/transcriptome/Anopheles_sialome/links/cluster-b/anopheline-sialome-cds-pep-larger-orf45-50SimCLTL14.txt", 19)</f>
        <v>19</v>
      </c>
      <c r="BV113">
        <f>HYPERLINK("http://exon.niaid.nih.gov/transcriptome/Anopheles_sialome/links/cluster-b/anopheline-sialome-cds-pep-larger-orf50-50SimCLU13.txt", 13)</f>
        <v>13</v>
      </c>
      <c r="BW113">
        <f>HYPERLINK("http://exon.niaid.nih.gov/transcriptome/Anopheles_sialome/links/cluster-b/anopheline-sialome-cds-pep-larger-orf50-50SimCLTL13.txt", 19)</f>
        <v>19</v>
      </c>
      <c r="BX113">
        <f>HYPERLINK("http://exon.niaid.nih.gov/transcriptome/Anopheles_sialome/links/cluster-b/anopheline-sialome-cds-pep-larger-orf55-50SimCLU14.txt", 14)</f>
        <v>14</v>
      </c>
      <c r="BY113">
        <f>HYPERLINK("http://exon.niaid.nih.gov/transcriptome/Anopheles_sialome/links/cluster-b/anopheline-sialome-cds-pep-larger-orf55-50SimCLTL14.txt", 19)</f>
        <v>19</v>
      </c>
      <c r="BZ113">
        <f>HYPERLINK("http://exon.niaid.nih.gov/transcriptome/Anopheles_sialome/links/cluster-b/anopheline-sialome-cds-pep-larger-orf60-50SimCLU13.txt", 13)</f>
        <v>13</v>
      </c>
      <c r="CA113">
        <f>HYPERLINK("http://exon.niaid.nih.gov/transcriptome/Anopheles_sialome/links/cluster-b/anopheline-sialome-cds-pep-larger-orf60-50SimCLTL13.txt", 19)</f>
        <v>19</v>
      </c>
      <c r="CB113">
        <f>HYPERLINK("http://exon.niaid.nih.gov/transcriptome/Anopheles_sialome/links/cluster-b/anopheline-sialome-cds-pep-larger-orf65-50SimCLU11.txt", 11)</f>
        <v>11</v>
      </c>
      <c r="CC113">
        <f>HYPERLINK("http://exon.niaid.nih.gov/transcriptome/Anopheles_sialome/links/cluster-b/anopheline-sialome-cds-pep-larger-orf65-50SimCLTL11.txt", 19)</f>
        <v>19</v>
      </c>
      <c r="CD113">
        <f>HYPERLINK("http://exon.niaid.nih.gov/transcriptome/Anopheles_sialome/links/cluster-b/anopheline-sialome-cds-pep-larger-orf70-50SimCLU10.txt", 10)</f>
        <v>10</v>
      </c>
      <c r="CE113">
        <f>HYPERLINK("http://exon.niaid.nih.gov/transcriptome/Anopheles_sialome/links/cluster-b/anopheline-sialome-cds-pep-larger-orf70-50SimCLTL10.txt", 19)</f>
        <v>19</v>
      </c>
      <c r="CF113">
        <f>HYPERLINK("http://exon.niaid.nih.gov/transcriptome/Anopheles_sialome/links/cluster-b/anopheline-sialome-cds-pep-larger-orf75-50SimCLU54.txt", 54)</f>
        <v>54</v>
      </c>
      <c r="CG113">
        <f>HYPERLINK("http://exon.niaid.nih.gov/transcriptome/Anopheles_sialome/links/cluster-b/anopheline-sialome-cds-pep-larger-orf75-50SimCLTL54.txt", 3)</f>
        <v>3</v>
      </c>
      <c r="CH113">
        <f>HYPERLINK("http://exon.niaid.nih.gov/transcriptome/Anopheles_sialome/links/cluster-b/anopheline-sialome-cds-pep-larger-orf80-50SimCLU56.txt", 56)</f>
        <v>56</v>
      </c>
      <c r="CI113">
        <f>HYPERLINK("http://exon.niaid.nih.gov/transcriptome/Anopheles_sialome/links/cluster-b/anopheline-sialome-cds-pep-larger-orf80-50SimCLTL56.txt", 3)</f>
        <v>3</v>
      </c>
      <c r="CJ113">
        <f>HYPERLINK("http://exon.niaid.nih.gov/transcriptome/Anopheles_sialome/links/cluster-b/anopheline-sialome-cds-pep-larger-orf85-50SimCLU90.txt", 90)</f>
        <v>90</v>
      </c>
      <c r="CK113">
        <f>HYPERLINK("http://exon.niaid.nih.gov/transcriptome/Anopheles_sialome/links/cluster-b/anopheline-sialome-cds-pep-larger-orf85-50SimCLTL90.txt", 2)</f>
        <v>2</v>
      </c>
      <c r="CL113">
        <f>HYPERLINK("http://exon.niaid.nih.gov/transcriptome/Anopheles_sialome/links/cluster-b/anopheline-sialome-cds-pep-larger-orf90-50SimCLU78.txt", 78)</f>
        <v>78</v>
      </c>
      <c r="CM113">
        <f>HYPERLINK("http://exon.niaid.nih.gov/transcriptome/Anopheles_sialome/links/cluster-b/anopheline-sialome-cds-pep-larger-orf90-50SimCLTL78.txt", 2)</f>
        <v>2</v>
      </c>
      <c r="CN113">
        <v>355</v>
      </c>
      <c r="CO113">
        <v>1</v>
      </c>
    </row>
    <row r="114" spans="1:93">
      <c r="A114" s="2" t="str">
        <f>HYPERLINK("http://exon.niaid.nih.gov/transcriptome/Anopheles_sialome/links/cds/anodar_Sal_Perox2-cds.txt","anodar_Sal_Perox2")</f>
        <v>anodar_Sal_Perox2</v>
      </c>
      <c r="B114">
        <v>1791</v>
      </c>
      <c r="C114" t="s">
        <v>367</v>
      </c>
      <c r="D114" t="s">
        <v>4</v>
      </c>
      <c r="E114" t="s">
        <v>5</v>
      </c>
      <c r="F114" t="s">
        <v>1</v>
      </c>
      <c r="G114" t="str">
        <f>HYPERLINK("http://exon.niaid.nih.gov/transcriptome/Anopheles_sialome/links/pep/anodar_Sal_Perox2-pep.txt","anodar_Sal_Perox2")</f>
        <v>anodar_Sal_Perox2</v>
      </c>
      <c r="H114">
        <v>596</v>
      </c>
      <c r="I114">
        <v>3</v>
      </c>
      <c r="J114" s="3" t="str">
        <f>HYPERLINK("http://exon.niaid.nih.gov/transcriptome/Anopheles_sialome/links/Sigp/anodar_Sal_Perox2-SigP.txt","SIG")</f>
        <v>SIG</v>
      </c>
      <c r="K114" t="s">
        <v>695</v>
      </c>
      <c r="L114">
        <v>66.323999999999998</v>
      </c>
      <c r="M114">
        <v>5.99</v>
      </c>
      <c r="N114">
        <v>63.777000000000001</v>
      </c>
      <c r="O114">
        <v>6.05</v>
      </c>
      <c r="P114" t="s">
        <v>1100</v>
      </c>
      <c r="Q114" s="3">
        <v>0</v>
      </c>
      <c r="R114" t="s">
        <v>128</v>
      </c>
      <c r="S114" t="s">
        <v>128</v>
      </c>
      <c r="T114" t="s">
        <v>128</v>
      </c>
      <c r="U114" t="s">
        <v>128</v>
      </c>
      <c r="V114" t="s">
        <v>128</v>
      </c>
      <c r="W114" s="3" t="str">
        <f>HYPERLINK("http://exon.niaid.nih.gov/transcriptome/Anopheles_sialome/links/netoglyc/anodar_Sal_Perox2-netoglyc.txt","1")</f>
        <v>1</v>
      </c>
      <c r="X114">
        <v>12.8</v>
      </c>
      <c r="Y114">
        <v>6</v>
      </c>
      <c r="Z114">
        <v>5.9</v>
      </c>
      <c r="AA114" t="s">
        <v>654</v>
      </c>
      <c r="AB114" t="s">
        <v>128</v>
      </c>
      <c r="AC114" s="2" t="str">
        <f>HYPERLINK("http://exon.niaid.nih.gov/transcriptome/Anopheles_sialome/links/DIPTERA/anodar_Sal_Perox2-DIPTERA.txt","oxidase/peroxidase")</f>
        <v>oxidase/peroxidase</v>
      </c>
      <c r="AD114" t="str">
        <f>HYPERLINK("http://www.ncbi.nlm.nih.gov/sutils/blink.cgi?pid=568257786","0.0")</f>
        <v>0.0</v>
      </c>
      <c r="AE114" t="str">
        <f>HYPERLINK("http://www.ncbi.nlm.nih.gov/protein/568257786","gi|568257786")</f>
        <v>gi|568257786</v>
      </c>
      <c r="AF114">
        <v>100</v>
      </c>
      <c r="AG114">
        <v>100</v>
      </c>
      <c r="AH114">
        <v>100</v>
      </c>
      <c r="AI114" t="s">
        <v>2283</v>
      </c>
      <c r="AJ114" s="2" t="str">
        <f>HYPERLINK("http://exon.niaid.nih.gov/transcriptome/Anopheles_sialome/links/CULICOMORPHA/anodar_Sal_Perox2-CULICOMORPHA.txt","oxidase/peroxidase")</f>
        <v>oxidase/peroxidase</v>
      </c>
      <c r="AK114" t="str">
        <f>HYPERLINK("http://www.ncbi.nlm.nih.gov/sutils/blink.cgi?pid=568257786","0.0")</f>
        <v>0.0</v>
      </c>
      <c r="AL114" t="str">
        <f>HYPERLINK("http://www.ncbi.nlm.nih.gov/protein/568257786","gi|568257786")</f>
        <v>gi|568257786</v>
      </c>
      <c r="AM114">
        <v>100</v>
      </c>
      <c r="AN114">
        <v>100</v>
      </c>
      <c r="AO114">
        <v>100</v>
      </c>
      <c r="AP114" t="s">
        <v>2283</v>
      </c>
      <c r="AQ114" s="2" t="str">
        <f>HYPERLINK("http://exon.niaid.nih.gov/transcriptome/Anopheles_sialome/links/NR-LIGHT/anodar_Sal_Perox2-NR-LIGHT.txt","oxidase/peroxidase")</f>
        <v>oxidase/peroxidase</v>
      </c>
      <c r="AR114" t="str">
        <f>HYPERLINK("http://www.ncbi.nlm.nih.gov/sutils/blink.cgi?pid=568257786","0.0")</f>
        <v>0.0</v>
      </c>
      <c r="AS114" t="str">
        <f>HYPERLINK("http://www.ncbi.nlm.nih.gov/protein/568257786","gi|568257786")</f>
        <v>gi|568257786</v>
      </c>
      <c r="AT114">
        <v>100</v>
      </c>
      <c r="AU114">
        <v>100</v>
      </c>
      <c r="AV114">
        <v>100</v>
      </c>
      <c r="AW114" t="s">
        <v>2283</v>
      </c>
      <c r="AX114" s="2" t="str">
        <f>HYPERLINK("http://exon.niaid.nih.gov/transcriptome/Anopheles_sialome/links/CDD/anodar_Sal_Perox2-CDD.txt","An_peroxidase")</f>
        <v>An_peroxidase</v>
      </c>
      <c r="AY114" t="str">
        <f>HYPERLINK("http://www.ncbi.nlm.nih.gov/Structure/cdd/cddsrv.cgi?uid=pfam03098&amp;version=v4.0","1E-169")</f>
        <v>1E-169</v>
      </c>
      <c r="AZ114" t="s">
        <v>2806</v>
      </c>
      <c r="BA114" s="2" t="str">
        <f>HYPERLINK("http://exon.niaid.nih.gov/transcriptome/Anopheles_sialome/links/KOG/anodar_Sal_Perox2-KOG.txt","Peroxidase/oxygenase")</f>
        <v>Peroxidase/oxygenase</v>
      </c>
      <c r="BB114" t="str">
        <f>HYPERLINK("http://www.ncbi.nlm.nih.gov/Structure/cdd/cddsrv.cgi?uid=KOG2408","1E-145")</f>
        <v>1E-145</v>
      </c>
      <c r="BC114" t="s">
        <v>2310</v>
      </c>
      <c r="BD114" t="str">
        <f>HYPERLINK("http://exon.niaid.nih.gov/transcriptome/Anopheles_sialome/links/KOG/anodar_Sal_Perox2-KOG.txt","KOG2408")</f>
        <v>KOG2408</v>
      </c>
      <c r="BE114" t="str">
        <f>HYPERLINK("http://exon.niaid.nih.gov/transcriptome/Anopheles_sialome/links/PFAM/anodar_Sal_Perox2-PFAM.txt","An_peroxidase")</f>
        <v>An_peroxidase</v>
      </c>
      <c r="BF114" t="str">
        <f>HYPERLINK("http://pfam.sanger.ac.uk/family?acc=PF03098","1E-170")</f>
        <v>1E-170</v>
      </c>
      <c r="BG114" s="2" t="str">
        <f>HYPERLINK("http://exon.niaid.nih.gov/transcriptome/Anopheles_sialome/links/SMART/anodar_Sal_Perox2-SMART.txt","Rho_N")</f>
        <v>Rho_N</v>
      </c>
      <c r="BH114" t="str">
        <f>HYPERLINK("http://smart.embl-heidelberg.de/smart/do_annotation.pl?DOMAIN=Rho_N&amp;BLAST=DUMMY","0.60")</f>
        <v>0.60</v>
      </c>
      <c r="BI114" t="s">
        <v>128</v>
      </c>
      <c r="BJ114" s="2" t="s">
        <v>128</v>
      </c>
      <c r="BK114" t="s">
        <v>1617</v>
      </c>
      <c r="BL114">
        <f>HYPERLINK("http://exon.niaid.nih.gov/transcriptome/Anopheles_sialome/links/cluster-b/anopheline-sialome-cds-pep-larger-orf25-50SimCLU11.txt", 11)</f>
        <v>11</v>
      </c>
      <c r="BM114">
        <f>HYPERLINK("http://exon.niaid.nih.gov/transcriptome/Anopheles_sialome/links/cluster-b/anopheline-sialome-cds-pep-larger-orf25-50SimCLTL11.txt", 19)</f>
        <v>19</v>
      </c>
      <c r="BN114">
        <f>HYPERLINK("http://exon.niaid.nih.gov/transcriptome/Anopheles_sialome/links/cluster-b/anopheline-sialome-cds-pep-larger-orf30-50SimCLU10.txt", 10)</f>
        <v>10</v>
      </c>
      <c r="BO114">
        <f>HYPERLINK("http://exon.niaid.nih.gov/transcriptome/Anopheles_sialome/links/cluster-b/anopheline-sialome-cds-pep-larger-orf30-50SimCLTL10.txt", 19)</f>
        <v>19</v>
      </c>
      <c r="BP114">
        <f>HYPERLINK("http://exon.niaid.nih.gov/transcriptome/Anopheles_sialome/links/cluster-b/anopheline-sialome-cds-pep-larger-orf35-50SimCLU12.txt", 12)</f>
        <v>12</v>
      </c>
      <c r="BQ114">
        <f>HYPERLINK("http://exon.niaid.nih.gov/transcriptome/Anopheles_sialome/links/cluster-b/anopheline-sialome-cds-pep-larger-orf35-50SimCLTL12.txt", 19)</f>
        <v>19</v>
      </c>
      <c r="BR114">
        <f>HYPERLINK("http://exon.niaid.nih.gov/transcriptome/Anopheles_sialome/links/cluster-b/anopheline-sialome-cds-pep-larger-orf40-50SimCLU14.txt", 14)</f>
        <v>14</v>
      </c>
      <c r="BS114">
        <f>HYPERLINK("http://exon.niaid.nih.gov/transcriptome/Anopheles_sialome/links/cluster-b/anopheline-sialome-cds-pep-larger-orf40-50SimCLTL14.txt", 19)</f>
        <v>19</v>
      </c>
      <c r="BT114">
        <f>HYPERLINK("http://exon.niaid.nih.gov/transcriptome/Anopheles_sialome/links/cluster-b/anopheline-sialome-cds-pep-larger-orf45-50SimCLU14.txt", 14)</f>
        <v>14</v>
      </c>
      <c r="BU114">
        <f>HYPERLINK("http://exon.niaid.nih.gov/transcriptome/Anopheles_sialome/links/cluster-b/anopheline-sialome-cds-pep-larger-orf45-50SimCLTL14.txt", 19)</f>
        <v>19</v>
      </c>
      <c r="BV114">
        <f>HYPERLINK("http://exon.niaid.nih.gov/transcriptome/Anopheles_sialome/links/cluster-b/anopheline-sialome-cds-pep-larger-orf50-50SimCLU13.txt", 13)</f>
        <v>13</v>
      </c>
      <c r="BW114">
        <f>HYPERLINK("http://exon.niaid.nih.gov/transcriptome/Anopheles_sialome/links/cluster-b/anopheline-sialome-cds-pep-larger-orf50-50SimCLTL13.txt", 19)</f>
        <v>19</v>
      </c>
      <c r="BX114">
        <f>HYPERLINK("http://exon.niaid.nih.gov/transcriptome/Anopheles_sialome/links/cluster-b/anopheline-sialome-cds-pep-larger-orf55-50SimCLU14.txt", 14)</f>
        <v>14</v>
      </c>
      <c r="BY114">
        <f>HYPERLINK("http://exon.niaid.nih.gov/transcriptome/Anopheles_sialome/links/cluster-b/anopheline-sialome-cds-pep-larger-orf55-50SimCLTL14.txt", 19)</f>
        <v>19</v>
      </c>
      <c r="BZ114">
        <f>HYPERLINK("http://exon.niaid.nih.gov/transcriptome/Anopheles_sialome/links/cluster-b/anopheline-sialome-cds-pep-larger-orf60-50SimCLU13.txt", 13)</f>
        <v>13</v>
      </c>
      <c r="CA114">
        <f>HYPERLINK("http://exon.niaid.nih.gov/transcriptome/Anopheles_sialome/links/cluster-b/anopheline-sialome-cds-pep-larger-orf60-50SimCLTL13.txt", 19)</f>
        <v>19</v>
      </c>
      <c r="CB114">
        <f>HYPERLINK("http://exon.niaid.nih.gov/transcriptome/Anopheles_sialome/links/cluster-b/anopheline-sialome-cds-pep-larger-orf65-50SimCLU11.txt", 11)</f>
        <v>11</v>
      </c>
      <c r="CC114">
        <f>HYPERLINK("http://exon.niaid.nih.gov/transcriptome/Anopheles_sialome/links/cluster-b/anopheline-sialome-cds-pep-larger-orf65-50SimCLTL11.txt", 19)</f>
        <v>19</v>
      </c>
      <c r="CD114">
        <f>HYPERLINK("http://exon.niaid.nih.gov/transcriptome/Anopheles_sialome/links/cluster-b/anopheline-sialome-cds-pep-larger-orf70-50SimCLU10.txt", 10)</f>
        <v>10</v>
      </c>
      <c r="CE114">
        <f>HYPERLINK("http://exon.niaid.nih.gov/transcriptome/Anopheles_sialome/links/cluster-b/anopheline-sialome-cds-pep-larger-orf70-50SimCLTL10.txt", 19)</f>
        <v>19</v>
      </c>
      <c r="CF114">
        <f>HYPERLINK("http://exon.niaid.nih.gov/transcriptome/Anopheles_sialome/links/cluster-b/anopheline-sialome-cds-pep-larger-orf75-50SimCLU54.txt", 54)</f>
        <v>54</v>
      </c>
      <c r="CG114">
        <f>HYPERLINK("http://exon.niaid.nih.gov/transcriptome/Anopheles_sialome/links/cluster-b/anopheline-sialome-cds-pep-larger-orf75-50SimCLTL54.txt", 3)</f>
        <v>3</v>
      </c>
      <c r="CH114">
        <f>HYPERLINK("http://exon.niaid.nih.gov/transcriptome/Anopheles_sialome/links/cluster-b/anopheline-sialome-cds-pep-larger-orf80-50SimCLU56.txt", 56)</f>
        <v>56</v>
      </c>
      <c r="CI114">
        <f>HYPERLINK("http://exon.niaid.nih.gov/transcriptome/Anopheles_sialome/links/cluster-b/anopheline-sialome-cds-pep-larger-orf80-50SimCLTL56.txt", 3)</f>
        <v>3</v>
      </c>
      <c r="CJ114">
        <v>248</v>
      </c>
      <c r="CK114">
        <v>1</v>
      </c>
      <c r="CL114">
        <v>303</v>
      </c>
      <c r="CM114">
        <v>1</v>
      </c>
      <c r="CN114">
        <v>356</v>
      </c>
      <c r="CO114">
        <v>1</v>
      </c>
    </row>
    <row r="115" spans="1:93">
      <c r="A115" s="15" t="s">
        <v>3153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</row>
    <row r="116" spans="1:93">
      <c r="A116" s="5" t="s">
        <v>3188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</row>
    <row r="117" spans="1:93">
      <c r="A117" s="2" t="str">
        <f>HYPERLINK("http://exon.niaid.nih.gov/transcriptome/Anopheles_sialome/links/cds/anoga_Sal_SerPro1-cds.txt","anoga_Sal_SerPro1")</f>
        <v>anoga_Sal_SerPro1</v>
      </c>
      <c r="B117">
        <v>1188</v>
      </c>
      <c r="C117" t="s">
        <v>368</v>
      </c>
      <c r="D117" t="s">
        <v>4</v>
      </c>
      <c r="E117" t="s">
        <v>5</v>
      </c>
      <c r="F117" t="s">
        <v>1</v>
      </c>
      <c r="G117" t="str">
        <f>HYPERLINK("http://exon.niaid.nih.gov/transcriptome/Anopheles_sialome/links/pep/anoga_Sal_SerPro1-pep.txt","anoga_Sal_SerPro1")</f>
        <v>anoga_Sal_SerPro1</v>
      </c>
      <c r="H117">
        <v>395</v>
      </c>
      <c r="I117">
        <v>1</v>
      </c>
      <c r="J117" s="3" t="str">
        <f>HYPERLINK("http://exon.niaid.nih.gov/transcriptome/Anopheles_sialome/links/Sigp/anoga_Sal_SerPro1-SigP.txt","SIG")</f>
        <v>SIG</v>
      </c>
      <c r="K117" t="s">
        <v>715</v>
      </c>
      <c r="L117">
        <v>42.11</v>
      </c>
      <c r="M117">
        <v>8.8699999999999992</v>
      </c>
      <c r="N117">
        <v>39.752000000000002</v>
      </c>
      <c r="O117">
        <v>8.91</v>
      </c>
      <c r="P117" t="s">
        <v>1619</v>
      </c>
      <c r="Q117" s="3" t="str">
        <f>HYPERLINK("http://exon.niaid.nih.gov/transcriptome/Anopheles_sialome/links/tmhmm/anoga_Sal_SerPro1-tmhmm.txt","1")</f>
        <v>1</v>
      </c>
      <c r="R117">
        <v>5.6</v>
      </c>
      <c r="S117">
        <v>92.7</v>
      </c>
      <c r="T117">
        <v>1.8</v>
      </c>
      <c r="U117" t="s">
        <v>128</v>
      </c>
      <c r="V117">
        <v>366</v>
      </c>
      <c r="W117" s="3" t="str">
        <f>HYPERLINK("http://exon.niaid.nih.gov/transcriptome/Anopheles_sialome/links/netoglyc/anoga_Sal_SerPro1-netoglyc.txt","3")</f>
        <v>3</v>
      </c>
      <c r="X117">
        <v>20.8</v>
      </c>
      <c r="Y117">
        <v>8.1</v>
      </c>
      <c r="Z117">
        <v>4.8</v>
      </c>
      <c r="AA117" t="s">
        <v>654</v>
      </c>
      <c r="AB117" t="s">
        <v>128</v>
      </c>
      <c r="AC117" s="2" t="str">
        <f>HYPERLINK("http://exon.niaid.nih.gov/transcriptome/Anopheles_sialome/links/DIPTERA/anoga_Sal_SerPro1-DIPTERA.txt","AGAP011912-PA, partial")</f>
        <v>AGAP011912-PA, partial</v>
      </c>
      <c r="AD117" t="str">
        <f t="shared" ref="AD117:AD131" si="87">HYPERLINK("http://www.ncbi.nlm.nih.gov/sutils/blink.cgi?pid=157013322","0.0")</f>
        <v>0.0</v>
      </c>
      <c r="AE117" t="str">
        <f t="shared" ref="AE117:AE131" si="88">HYPERLINK("http://www.ncbi.nlm.nih.gov/protein/157013322","gi|157013322")</f>
        <v>gi|157013322</v>
      </c>
      <c r="AF117">
        <v>100</v>
      </c>
      <c r="AG117">
        <v>100</v>
      </c>
      <c r="AH117">
        <v>97</v>
      </c>
      <c r="AI117" t="s">
        <v>2285</v>
      </c>
      <c r="AJ117" s="2" t="str">
        <f>HYPERLINK("http://exon.niaid.nih.gov/transcriptome/Anopheles_sialome/links/CULICOMORPHA/anoga_Sal_SerPro1-CULICOMORPHA.txt","AGAP011912-PA, partial")</f>
        <v>AGAP011912-PA, partial</v>
      </c>
      <c r="AK117" t="str">
        <f t="shared" ref="AK117:AK131" si="89">HYPERLINK("http://www.ncbi.nlm.nih.gov/sutils/blink.cgi?pid=157013322","0.0")</f>
        <v>0.0</v>
      </c>
      <c r="AL117" t="str">
        <f t="shared" ref="AL117:AL131" si="90">HYPERLINK("http://www.ncbi.nlm.nih.gov/protein/157013322","gi|157013322")</f>
        <v>gi|157013322</v>
      </c>
      <c r="AM117">
        <v>100</v>
      </c>
      <c r="AN117">
        <v>100</v>
      </c>
      <c r="AO117">
        <v>97</v>
      </c>
      <c r="AP117" t="s">
        <v>2285</v>
      </c>
      <c r="AQ117" s="2" t="str">
        <f>HYPERLINK("http://exon.niaid.nih.gov/transcriptome/Anopheles_sialome/links/NR-LIGHT/anoga_Sal_SerPro1-NR-LIGHT.txt","AGAP011912-PA")</f>
        <v>AGAP011912-PA</v>
      </c>
      <c r="AR117" t="str">
        <f t="shared" ref="AR117:AR131" si="91">HYPERLINK("http://www.ncbi.nlm.nih.gov/sutils/blink.cgi?pid=158300773","0.0")</f>
        <v>0.0</v>
      </c>
      <c r="AS117" t="str">
        <f t="shared" ref="AS117:AS131" si="92">HYPERLINK("http://www.ncbi.nlm.nih.gov/protein/158300773","gi|158300773")</f>
        <v>gi|158300773</v>
      </c>
      <c r="AT117">
        <v>100</v>
      </c>
      <c r="AU117">
        <v>100</v>
      </c>
      <c r="AV117">
        <v>97</v>
      </c>
      <c r="AW117" t="s">
        <v>2285</v>
      </c>
      <c r="AX117" s="2" t="str">
        <f>HYPERLINK("http://exon.niaid.nih.gov/transcriptome/Anopheles_sialome/links/CDD/anoga_Sal_SerPro1-CDD.txt","Tryp_SPc")</f>
        <v>Tryp_SPc</v>
      </c>
      <c r="AY117" t="str">
        <f>HYPERLINK("http://www.ncbi.nlm.nih.gov/Structure/cdd/cddsrv.cgi?uid=cd00190&amp;version=v4.0","2E-055")</f>
        <v>2E-055</v>
      </c>
      <c r="AZ117" t="s">
        <v>2807</v>
      </c>
      <c r="BA117" s="2" t="str">
        <f>HYPERLINK("http://exon.niaid.nih.gov/transcriptome/Anopheles_sialome/links/KOG/anoga_Sal_SerPro1-KOG.txt","Trypsin")</f>
        <v>Trypsin</v>
      </c>
      <c r="BB117" t="str">
        <f>HYPERLINK("http://www.ncbi.nlm.nih.gov/Structure/cdd/cddsrv.cgi?uid=KOG3627","3E-044")</f>
        <v>3E-044</v>
      </c>
      <c r="BC117" t="s">
        <v>2287</v>
      </c>
      <c r="BD117" t="str">
        <f>HYPERLINK("http://exon.niaid.nih.gov/transcriptome/Anopheles_sialome/links/KOG/anoga_Sal_SerPro1-KOG.txt","KOG3627")</f>
        <v>KOG3627</v>
      </c>
      <c r="BE117" t="str">
        <f>HYPERLINK("http://exon.niaid.nih.gov/transcriptome/Anopheles_sialome/links/PFAM/anoga_Sal_SerPro1-PFAM.txt","Trypsin")</f>
        <v>Trypsin</v>
      </c>
      <c r="BF117" t="str">
        <f>HYPERLINK("http://pfam.sanger.ac.uk/family?acc=PF00089","3E-036")</f>
        <v>3E-036</v>
      </c>
      <c r="BG117" s="2" t="str">
        <f>HYPERLINK("http://exon.niaid.nih.gov/transcriptome/Anopheles_sialome/links/SMART/anoga_Sal_SerPro1-SMART.txt","Tryp_SPc")</f>
        <v>Tryp_SPc</v>
      </c>
      <c r="BH117" t="str">
        <f>HYPERLINK("http://smart.embl-heidelberg.de/smart/do_annotation.pl?DOMAIN=Tryp_SPc&amp;BLAST=DUMMY","3E-054")</f>
        <v>3E-054</v>
      </c>
      <c r="BI117" t="s">
        <v>128</v>
      </c>
      <c r="BJ117" s="2" t="s">
        <v>128</v>
      </c>
      <c r="BK117" t="s">
        <v>1618</v>
      </c>
      <c r="BL117">
        <f>HYPERLINK("http://exon.niaid.nih.gov/transcriptome/Anopheles_sialome/links/cluster-b/anopheline-sialome-cds-pep-larger-orf25-50SimCLU5.txt", 5)</f>
        <v>5</v>
      </c>
      <c r="BM117">
        <f>HYPERLINK("http://exon.niaid.nih.gov/transcriptome/Anopheles_sialome/links/cluster-b/anopheline-sialome-cds-pep-larger-orf25-50SimCLTL5.txt", 56)</f>
        <v>56</v>
      </c>
      <c r="BN117">
        <f>HYPERLINK("http://exon.niaid.nih.gov/transcriptome/Anopheles_sialome/links/cluster-b/anopheline-sialome-cds-pep-larger-orf30-50SimCLU7.txt", 7)</f>
        <v>7</v>
      </c>
      <c r="BO117">
        <f>HYPERLINK("http://exon.niaid.nih.gov/transcriptome/Anopheles_sialome/links/cluster-b/anopheline-sialome-cds-pep-larger-orf30-50SimCLTL7.txt", 40)</f>
        <v>40</v>
      </c>
      <c r="BP117">
        <f>HYPERLINK("http://exon.niaid.nih.gov/transcriptome/Anopheles_sialome/links/cluster-b/anopheline-sialome-cds-pep-larger-orf35-50SimCLU8.txt", 8)</f>
        <v>8</v>
      </c>
      <c r="BQ117">
        <f>HYPERLINK("http://exon.niaid.nih.gov/transcriptome/Anopheles_sialome/links/cluster-b/anopheline-sialome-cds-pep-larger-orf35-50SimCLTL8.txt", 40)</f>
        <v>40</v>
      </c>
      <c r="BR117">
        <f>HYPERLINK("http://exon.niaid.nih.gov/transcriptome/Anopheles_sialome/links/cluster-b/anopheline-sialome-cds-pep-larger-orf40-50SimCLU5.txt", 5)</f>
        <v>5</v>
      </c>
      <c r="BS117">
        <f>HYPERLINK("http://exon.niaid.nih.gov/transcriptome/Anopheles_sialome/links/cluster-b/anopheline-sialome-cds-pep-larger-orf40-50SimCLTL5.txt", 40)</f>
        <v>40</v>
      </c>
      <c r="BT117">
        <f>HYPERLINK("http://exon.niaid.nih.gov/transcriptome/Anopheles_sialome/links/cluster-b/anopheline-sialome-cds-pep-larger-orf45-50SimCLU4.txt", 4)</f>
        <v>4</v>
      </c>
      <c r="BU117">
        <f>HYPERLINK("http://exon.niaid.nih.gov/transcriptome/Anopheles_sialome/links/cluster-b/anopheline-sialome-cds-pep-larger-orf45-50SimCLTL4.txt", 40)</f>
        <v>40</v>
      </c>
      <c r="BV117">
        <f>HYPERLINK("http://exon.niaid.nih.gov/transcriptome/Anopheles_sialome/links/cluster-b/anopheline-sialome-cds-pep-larger-orf50-50SimCLU4.txt", 4)</f>
        <v>4</v>
      </c>
      <c r="BW117">
        <f>HYPERLINK("http://exon.niaid.nih.gov/transcriptome/Anopheles_sialome/links/cluster-b/anopheline-sialome-cds-pep-larger-orf50-50SimCLTL4.txt", 40)</f>
        <v>40</v>
      </c>
      <c r="BX117">
        <f>HYPERLINK("http://exon.niaid.nih.gov/transcriptome/Anopheles_sialome/links/cluster-b/anopheline-sialome-cds-pep-larger-orf55-50SimCLU4.txt", 4)</f>
        <v>4</v>
      </c>
      <c r="BY117">
        <f>HYPERLINK("http://exon.niaid.nih.gov/transcriptome/Anopheles_sialome/links/cluster-b/anopheline-sialome-cds-pep-larger-orf55-50SimCLTL4.txt", 40)</f>
        <v>40</v>
      </c>
      <c r="BZ117">
        <f>HYPERLINK("http://exon.niaid.nih.gov/transcriptome/Anopheles_sialome/links/cluster-b/anopheline-sialome-cds-pep-larger-orf60-50SimCLU3.txt", 3)</f>
        <v>3</v>
      </c>
      <c r="CA117">
        <f>HYPERLINK("http://exon.niaid.nih.gov/transcriptome/Anopheles_sialome/links/cluster-b/anopheline-sialome-cds-pep-larger-orf60-50SimCLTL3.txt", 40)</f>
        <v>40</v>
      </c>
      <c r="CB117">
        <f>HYPERLINK("http://exon.niaid.nih.gov/transcriptome/Anopheles_sialome/links/cluster-b/anopheline-sialome-cds-pep-larger-orf65-50SimCLU2.txt", 2)</f>
        <v>2</v>
      </c>
      <c r="CC117">
        <f>HYPERLINK("http://exon.niaid.nih.gov/transcriptome/Anopheles_sialome/links/cluster-b/anopheline-sialome-cds-pep-larger-orf65-50SimCLTL2.txt", 40)</f>
        <v>40</v>
      </c>
      <c r="CD117">
        <f>HYPERLINK("http://exon.niaid.nih.gov/transcriptome/Anopheles_sialome/links/cluster-b/anopheline-sialome-cds-pep-larger-orf70-50SimCLU11.txt", 11)</f>
        <v>11</v>
      </c>
      <c r="CE117">
        <f>HYPERLINK("http://exon.niaid.nih.gov/transcriptome/Anopheles_sialome/links/cluster-b/anopheline-sialome-cds-pep-larger-orf70-50SimCLTL11.txt", 19)</f>
        <v>19</v>
      </c>
      <c r="CF117">
        <f>HYPERLINK("http://exon.niaid.nih.gov/transcriptome/Anopheles_sialome/links/cluster-b/anopheline-sialome-cds-pep-larger-orf75-50SimCLU7.txt", 7)</f>
        <v>7</v>
      </c>
      <c r="CG117">
        <f>HYPERLINK("http://exon.niaid.nih.gov/transcriptome/Anopheles_sialome/links/cluster-b/anopheline-sialome-cds-pep-larger-orf75-50SimCLTL7.txt", 19)</f>
        <v>19</v>
      </c>
      <c r="CH117">
        <f>HYPERLINK("http://exon.niaid.nih.gov/transcriptome/Anopheles_sialome/links/cluster-b/anopheline-sialome-cds-pep-larger-orf80-50SimCLU5.txt", 5)</f>
        <v>5</v>
      </c>
      <c r="CI117">
        <f>HYPERLINK("http://exon.niaid.nih.gov/transcriptome/Anopheles_sialome/links/cluster-b/anopheline-sialome-cds-pep-larger-orf80-50SimCLTL5.txt", 19)</f>
        <v>19</v>
      </c>
      <c r="CJ117">
        <f>HYPERLINK("http://exon.niaid.nih.gov/transcriptome/Anopheles_sialome/links/cluster-b/anopheline-sialome-cds-pep-larger-orf85-50SimCLU4.txt", 4)</f>
        <v>4</v>
      </c>
      <c r="CK117">
        <f>HYPERLINK("http://exon.niaid.nih.gov/transcriptome/Anopheles_sialome/links/cluster-b/anopheline-sialome-cds-pep-larger-orf85-50SimCLTL4.txt", 19)</f>
        <v>19</v>
      </c>
      <c r="CL117">
        <f>HYPERLINK("http://exon.niaid.nih.gov/transcriptome/Anopheles_sialome/links/cluster-b/anopheline-sialome-cds-pep-larger-orf90-50SimCLU3.txt", 3)</f>
        <v>3</v>
      </c>
      <c r="CM117">
        <f>HYPERLINK("http://exon.niaid.nih.gov/transcriptome/Anopheles_sialome/links/cluster-b/anopheline-sialome-cds-pep-larger-orf90-50SimCLTL3.txt", 15)</f>
        <v>15</v>
      </c>
      <c r="CN117">
        <f>HYPERLINK("http://exon.niaid.nih.gov/transcriptome/Anopheles_sialome/links/cluster-b/anopheline-sialome-cds-pep-larger-orf95-50SimCLU22.txt", 22)</f>
        <v>22</v>
      </c>
      <c r="CO117">
        <f>HYPERLINK("http://exon.niaid.nih.gov/transcriptome/Anopheles_sialome/links/cluster-b/anopheline-sialome-cds-pep-larger-orf95-50SimCLTL22.txt", 6)</f>
        <v>6</v>
      </c>
    </row>
    <row r="118" spans="1:93">
      <c r="A118" s="2" t="str">
        <f>HYPERLINK("http://exon.niaid.nih.gov/transcriptome/Anopheles_sialome/links/cds/anocol_Sal_SerPro1-cds.txt","anocol_Sal_SerPro1")</f>
        <v>anocol_Sal_SerPro1</v>
      </c>
      <c r="B118">
        <v>1188</v>
      </c>
      <c r="C118" t="s">
        <v>369</v>
      </c>
      <c r="D118" t="s">
        <v>4</v>
      </c>
      <c r="E118" t="s">
        <v>5</v>
      </c>
      <c r="F118" t="s">
        <v>1</v>
      </c>
      <c r="G118" t="str">
        <f>HYPERLINK("http://exon.niaid.nih.gov/transcriptome/Anopheles_sialome/links/pep/anocol_Sal_SerPro1-pep.txt","anocol_Sal_SerPro1")</f>
        <v>anocol_Sal_SerPro1</v>
      </c>
      <c r="H118">
        <v>395</v>
      </c>
      <c r="I118">
        <v>1</v>
      </c>
      <c r="J118" s="3" t="str">
        <f>HYPERLINK("http://exon.niaid.nih.gov/transcriptome/Anopheles_sialome/links/Sigp/anocol_Sal_SerPro1-SigP.txt","SIG")</f>
        <v>SIG</v>
      </c>
      <c r="K118" t="s">
        <v>715</v>
      </c>
      <c r="L118">
        <v>42.15</v>
      </c>
      <c r="M118">
        <v>8.8699999999999992</v>
      </c>
      <c r="N118">
        <v>39.768000000000001</v>
      </c>
      <c r="O118">
        <v>8.91</v>
      </c>
      <c r="P118" t="s">
        <v>1621</v>
      </c>
      <c r="Q118" s="3" t="str">
        <f>HYPERLINK("http://exon.niaid.nih.gov/transcriptome/Anopheles_sialome/links/tmhmm/anocol_Sal_SerPro1-tmhmm.txt","1")</f>
        <v>1</v>
      </c>
      <c r="R118">
        <v>5.6</v>
      </c>
      <c r="S118">
        <v>92.7</v>
      </c>
      <c r="T118">
        <v>1.8</v>
      </c>
      <c r="U118" t="s">
        <v>128</v>
      </c>
      <c r="V118">
        <v>366</v>
      </c>
      <c r="W118" s="3" t="str">
        <f>HYPERLINK("http://exon.niaid.nih.gov/transcriptome/Anopheles_sialome/links/netoglyc/anocol_Sal_SerPro1-netoglyc.txt","3")</f>
        <v>3</v>
      </c>
      <c r="X118">
        <v>21</v>
      </c>
      <c r="Y118">
        <v>8.1</v>
      </c>
      <c r="Z118">
        <v>4.8</v>
      </c>
      <c r="AA118" t="s">
        <v>654</v>
      </c>
      <c r="AB118" t="s">
        <v>128</v>
      </c>
      <c r="AC118" s="2" t="str">
        <f>HYPERLINK("http://exon.niaid.nih.gov/transcriptome/Anopheles_sialome/links/DIPTERA/anocol_Sal_SerPro1-DIPTERA.txt","AGAP011912-PA, partial")</f>
        <v>AGAP011912-PA, partial</v>
      </c>
      <c r="AD118" t="str">
        <f t="shared" si="87"/>
        <v>0.0</v>
      </c>
      <c r="AE118" t="str">
        <f t="shared" si="88"/>
        <v>gi|157013322</v>
      </c>
      <c r="AF118">
        <v>99</v>
      </c>
      <c r="AG118">
        <v>99</v>
      </c>
      <c r="AH118">
        <v>97</v>
      </c>
      <c r="AI118" t="s">
        <v>2285</v>
      </c>
      <c r="AJ118" s="2" t="str">
        <f>HYPERLINK("http://exon.niaid.nih.gov/transcriptome/Anopheles_sialome/links/CULICOMORPHA/anocol_Sal_SerPro1-CULICOMORPHA.txt","AGAP011912-PA, partial")</f>
        <v>AGAP011912-PA, partial</v>
      </c>
      <c r="AK118" t="str">
        <f t="shared" si="89"/>
        <v>0.0</v>
      </c>
      <c r="AL118" t="str">
        <f t="shared" si="90"/>
        <v>gi|157013322</v>
      </c>
      <c r="AM118">
        <v>99</v>
      </c>
      <c r="AN118">
        <v>99</v>
      </c>
      <c r="AO118">
        <v>97</v>
      </c>
      <c r="AP118" t="s">
        <v>2285</v>
      </c>
      <c r="AQ118" s="2" t="str">
        <f>HYPERLINK("http://exon.niaid.nih.gov/transcriptome/Anopheles_sialome/links/NR-LIGHT/anocol_Sal_SerPro1-NR-LIGHT.txt","AGAP011912-PA")</f>
        <v>AGAP011912-PA</v>
      </c>
      <c r="AR118" t="str">
        <f t="shared" si="91"/>
        <v>0.0</v>
      </c>
      <c r="AS118" t="str">
        <f t="shared" si="92"/>
        <v>gi|158300773</v>
      </c>
      <c r="AT118">
        <v>99</v>
      </c>
      <c r="AU118">
        <v>99</v>
      </c>
      <c r="AV118">
        <v>97</v>
      </c>
      <c r="AW118" t="s">
        <v>2285</v>
      </c>
      <c r="AX118" s="2" t="str">
        <f>HYPERLINK("http://exon.niaid.nih.gov/transcriptome/Anopheles_sialome/links/CDD/anocol_Sal_SerPro1-CDD.txt","Tryp_SPc")</f>
        <v>Tryp_SPc</v>
      </c>
      <c r="AY118" t="str">
        <f>HYPERLINK("http://www.ncbi.nlm.nih.gov/Structure/cdd/cddsrv.cgi?uid=cd00190&amp;version=v4.0","2E-055")</f>
        <v>2E-055</v>
      </c>
      <c r="AZ118" t="s">
        <v>2808</v>
      </c>
      <c r="BA118" s="2" t="str">
        <f>HYPERLINK("http://exon.niaid.nih.gov/transcriptome/Anopheles_sialome/links/KOG/anocol_Sal_SerPro1-KOG.txt","Trypsin")</f>
        <v>Trypsin</v>
      </c>
      <c r="BB118" t="str">
        <f>HYPERLINK("http://www.ncbi.nlm.nih.gov/Structure/cdd/cddsrv.cgi?uid=KOG3627","3E-044")</f>
        <v>3E-044</v>
      </c>
      <c r="BC118" t="s">
        <v>2287</v>
      </c>
      <c r="BD118" t="str">
        <f>HYPERLINK("http://exon.niaid.nih.gov/transcriptome/Anopheles_sialome/links/KOG/anocol_Sal_SerPro1-KOG.txt","KOG3627")</f>
        <v>KOG3627</v>
      </c>
      <c r="BE118" t="str">
        <f>HYPERLINK("http://exon.niaid.nih.gov/transcriptome/Anopheles_sialome/links/PFAM/anocol_Sal_SerPro1-PFAM.txt","Trypsin")</f>
        <v>Trypsin</v>
      </c>
      <c r="BF118" t="str">
        <f>HYPERLINK("http://pfam.sanger.ac.uk/family?acc=PF00089","3E-036")</f>
        <v>3E-036</v>
      </c>
      <c r="BG118" s="2" t="str">
        <f>HYPERLINK("http://exon.niaid.nih.gov/transcriptome/Anopheles_sialome/links/SMART/anocol_Sal_SerPro1-SMART.txt","Tryp_SPc")</f>
        <v>Tryp_SPc</v>
      </c>
      <c r="BH118" t="str">
        <f>HYPERLINK("http://smart.embl-heidelberg.de/smart/do_annotation.pl?DOMAIN=Tryp_SPc&amp;BLAST=DUMMY","2E-054")</f>
        <v>2E-054</v>
      </c>
      <c r="BI118" t="s">
        <v>128</v>
      </c>
      <c r="BJ118" s="2" t="s">
        <v>128</v>
      </c>
      <c r="BK118" t="s">
        <v>1620</v>
      </c>
      <c r="BL118">
        <f>HYPERLINK("http://exon.niaid.nih.gov/transcriptome/Anopheles_sialome/links/cluster-b/anopheline-sialome-cds-pep-larger-orf25-50SimCLU5.txt", 5)</f>
        <v>5</v>
      </c>
      <c r="BM118">
        <f>HYPERLINK("http://exon.niaid.nih.gov/transcriptome/Anopheles_sialome/links/cluster-b/anopheline-sialome-cds-pep-larger-orf25-50SimCLTL5.txt", 56)</f>
        <v>56</v>
      </c>
      <c r="BN118">
        <f>HYPERLINK("http://exon.niaid.nih.gov/transcriptome/Anopheles_sialome/links/cluster-b/anopheline-sialome-cds-pep-larger-orf30-50SimCLU7.txt", 7)</f>
        <v>7</v>
      </c>
      <c r="BO118">
        <f>HYPERLINK("http://exon.niaid.nih.gov/transcriptome/Anopheles_sialome/links/cluster-b/anopheline-sialome-cds-pep-larger-orf30-50SimCLTL7.txt", 40)</f>
        <v>40</v>
      </c>
      <c r="BP118">
        <f>HYPERLINK("http://exon.niaid.nih.gov/transcriptome/Anopheles_sialome/links/cluster-b/anopheline-sialome-cds-pep-larger-orf35-50SimCLU8.txt", 8)</f>
        <v>8</v>
      </c>
      <c r="BQ118">
        <f>HYPERLINK("http://exon.niaid.nih.gov/transcriptome/Anopheles_sialome/links/cluster-b/anopheline-sialome-cds-pep-larger-orf35-50SimCLTL8.txt", 40)</f>
        <v>40</v>
      </c>
      <c r="BR118">
        <f>HYPERLINK("http://exon.niaid.nih.gov/transcriptome/Anopheles_sialome/links/cluster-b/anopheline-sialome-cds-pep-larger-orf40-50SimCLU5.txt", 5)</f>
        <v>5</v>
      </c>
      <c r="BS118">
        <f>HYPERLINK("http://exon.niaid.nih.gov/transcriptome/Anopheles_sialome/links/cluster-b/anopheline-sialome-cds-pep-larger-orf40-50SimCLTL5.txt", 40)</f>
        <v>40</v>
      </c>
      <c r="BT118">
        <f>HYPERLINK("http://exon.niaid.nih.gov/transcriptome/Anopheles_sialome/links/cluster-b/anopheline-sialome-cds-pep-larger-orf45-50SimCLU4.txt", 4)</f>
        <v>4</v>
      </c>
      <c r="BU118">
        <f>HYPERLINK("http://exon.niaid.nih.gov/transcriptome/Anopheles_sialome/links/cluster-b/anopheline-sialome-cds-pep-larger-orf45-50SimCLTL4.txt", 40)</f>
        <v>40</v>
      </c>
      <c r="BV118">
        <f>HYPERLINK("http://exon.niaid.nih.gov/transcriptome/Anopheles_sialome/links/cluster-b/anopheline-sialome-cds-pep-larger-orf50-50SimCLU4.txt", 4)</f>
        <v>4</v>
      </c>
      <c r="BW118">
        <f>HYPERLINK("http://exon.niaid.nih.gov/transcriptome/Anopheles_sialome/links/cluster-b/anopheline-sialome-cds-pep-larger-orf50-50SimCLTL4.txt", 40)</f>
        <v>40</v>
      </c>
      <c r="BX118">
        <f>HYPERLINK("http://exon.niaid.nih.gov/transcriptome/Anopheles_sialome/links/cluster-b/anopheline-sialome-cds-pep-larger-orf55-50SimCLU4.txt", 4)</f>
        <v>4</v>
      </c>
      <c r="BY118">
        <f>HYPERLINK("http://exon.niaid.nih.gov/transcriptome/Anopheles_sialome/links/cluster-b/anopheline-sialome-cds-pep-larger-orf55-50SimCLTL4.txt", 40)</f>
        <v>40</v>
      </c>
      <c r="BZ118">
        <f>HYPERLINK("http://exon.niaid.nih.gov/transcriptome/Anopheles_sialome/links/cluster-b/anopheline-sialome-cds-pep-larger-orf60-50SimCLU3.txt", 3)</f>
        <v>3</v>
      </c>
      <c r="CA118">
        <f>HYPERLINK("http://exon.niaid.nih.gov/transcriptome/Anopheles_sialome/links/cluster-b/anopheline-sialome-cds-pep-larger-orf60-50SimCLTL3.txt", 40)</f>
        <v>40</v>
      </c>
      <c r="CB118">
        <f>HYPERLINK("http://exon.niaid.nih.gov/transcriptome/Anopheles_sialome/links/cluster-b/anopheline-sialome-cds-pep-larger-orf65-50SimCLU2.txt", 2)</f>
        <v>2</v>
      </c>
      <c r="CC118">
        <f>HYPERLINK("http://exon.niaid.nih.gov/transcriptome/Anopheles_sialome/links/cluster-b/anopheline-sialome-cds-pep-larger-orf65-50SimCLTL2.txt", 40)</f>
        <v>40</v>
      </c>
      <c r="CD118">
        <f>HYPERLINK("http://exon.niaid.nih.gov/transcriptome/Anopheles_sialome/links/cluster-b/anopheline-sialome-cds-pep-larger-orf70-50SimCLU11.txt", 11)</f>
        <v>11</v>
      </c>
      <c r="CE118">
        <f>HYPERLINK("http://exon.niaid.nih.gov/transcriptome/Anopheles_sialome/links/cluster-b/anopheline-sialome-cds-pep-larger-orf70-50SimCLTL11.txt", 19)</f>
        <v>19</v>
      </c>
      <c r="CF118">
        <f>HYPERLINK("http://exon.niaid.nih.gov/transcriptome/Anopheles_sialome/links/cluster-b/anopheline-sialome-cds-pep-larger-orf75-50SimCLU7.txt", 7)</f>
        <v>7</v>
      </c>
      <c r="CG118">
        <f>HYPERLINK("http://exon.niaid.nih.gov/transcriptome/Anopheles_sialome/links/cluster-b/anopheline-sialome-cds-pep-larger-orf75-50SimCLTL7.txt", 19)</f>
        <v>19</v>
      </c>
      <c r="CH118">
        <f>HYPERLINK("http://exon.niaid.nih.gov/transcriptome/Anopheles_sialome/links/cluster-b/anopheline-sialome-cds-pep-larger-orf80-50SimCLU5.txt", 5)</f>
        <v>5</v>
      </c>
      <c r="CI118">
        <f>HYPERLINK("http://exon.niaid.nih.gov/transcriptome/Anopheles_sialome/links/cluster-b/anopheline-sialome-cds-pep-larger-orf80-50SimCLTL5.txt", 19)</f>
        <v>19</v>
      </c>
      <c r="CJ118">
        <f>HYPERLINK("http://exon.niaid.nih.gov/transcriptome/Anopheles_sialome/links/cluster-b/anopheline-sialome-cds-pep-larger-orf85-50SimCLU4.txt", 4)</f>
        <v>4</v>
      </c>
      <c r="CK118">
        <f>HYPERLINK("http://exon.niaid.nih.gov/transcriptome/Anopheles_sialome/links/cluster-b/anopheline-sialome-cds-pep-larger-orf85-50SimCLTL4.txt", 19)</f>
        <v>19</v>
      </c>
      <c r="CL118">
        <f>HYPERLINK("http://exon.niaid.nih.gov/transcriptome/Anopheles_sialome/links/cluster-b/anopheline-sialome-cds-pep-larger-orf90-50SimCLU3.txt", 3)</f>
        <v>3</v>
      </c>
      <c r="CM118">
        <f>HYPERLINK("http://exon.niaid.nih.gov/transcriptome/Anopheles_sialome/links/cluster-b/anopheline-sialome-cds-pep-larger-orf90-50SimCLTL3.txt", 15)</f>
        <v>15</v>
      </c>
      <c r="CN118">
        <f>HYPERLINK("http://exon.niaid.nih.gov/transcriptome/Anopheles_sialome/links/cluster-b/anopheline-sialome-cds-pep-larger-orf95-50SimCLU22.txt", 22)</f>
        <v>22</v>
      </c>
      <c r="CO118">
        <f>HYPERLINK("http://exon.niaid.nih.gov/transcriptome/Anopheles_sialome/links/cluster-b/anopheline-sialome-cds-pep-larger-orf95-50SimCLTL22.txt", 6)</f>
        <v>6</v>
      </c>
    </row>
    <row r="119" spans="1:93">
      <c r="A119" s="2" t="str">
        <f>HYPERLINK("http://exon.niaid.nih.gov/transcriptome/Anopheles_sialome/links/cds/anoara_Sal_SerPro1-cds.txt","anoara_Sal_SerPro1")</f>
        <v>anoara_Sal_SerPro1</v>
      </c>
      <c r="B119">
        <v>1188</v>
      </c>
      <c r="C119" t="s">
        <v>370</v>
      </c>
      <c r="D119" t="s">
        <v>7</v>
      </c>
      <c r="E119" t="s">
        <v>5</v>
      </c>
      <c r="F119" t="s">
        <v>1</v>
      </c>
      <c r="G119" t="str">
        <f>HYPERLINK("http://exon.niaid.nih.gov/transcriptome/Anopheles_sialome/links/pep/anoara_Sal_SerPro1-pep.txt","anoara_Sal_SerPro1")</f>
        <v>anoara_Sal_SerPro1</v>
      </c>
      <c r="H119">
        <v>395</v>
      </c>
      <c r="I119">
        <v>1</v>
      </c>
      <c r="J119" s="3" t="str">
        <f>HYPERLINK("http://exon.niaid.nih.gov/transcriptome/Anopheles_sialome/links/Sigp/anoara_Sal_SerPro1-SigP.txt","SIG")</f>
        <v>SIG</v>
      </c>
      <c r="K119" t="s">
        <v>715</v>
      </c>
      <c r="L119">
        <v>42.085999999999999</v>
      </c>
      <c r="M119">
        <v>8.8699999999999992</v>
      </c>
      <c r="N119">
        <v>39.752000000000002</v>
      </c>
      <c r="O119">
        <v>8.91</v>
      </c>
      <c r="P119" t="s">
        <v>1619</v>
      </c>
      <c r="Q119" s="3" t="str">
        <f>HYPERLINK("http://exon.niaid.nih.gov/transcriptome/Anopheles_sialome/links/tmhmm/anoara_Sal_SerPro1-tmhmm.txt","1")</f>
        <v>1</v>
      </c>
      <c r="R119">
        <v>5.6</v>
      </c>
      <c r="S119">
        <v>92.7</v>
      </c>
      <c r="T119">
        <v>1.8</v>
      </c>
      <c r="U119" t="s">
        <v>128</v>
      </c>
      <c r="V119">
        <v>366</v>
      </c>
      <c r="W119" s="3" t="str">
        <f>HYPERLINK("http://exon.niaid.nih.gov/transcriptome/Anopheles_sialome/links/netoglyc/anoara_Sal_SerPro1-netoglyc.txt","3")</f>
        <v>3</v>
      </c>
      <c r="X119">
        <v>20.8</v>
      </c>
      <c r="Y119">
        <v>8.1</v>
      </c>
      <c r="Z119">
        <v>4.8</v>
      </c>
      <c r="AA119" t="s">
        <v>654</v>
      </c>
      <c r="AB119" t="s">
        <v>128</v>
      </c>
      <c r="AC119" s="2" t="str">
        <f>HYPERLINK("http://exon.niaid.nih.gov/transcriptome/Anopheles_sialome/links/DIPTERA/anoara_Sal_SerPro1-DIPTERA.txt","AGAP011912-PA, partial")</f>
        <v>AGAP011912-PA, partial</v>
      </c>
      <c r="AD119" t="str">
        <f t="shared" si="87"/>
        <v>0.0</v>
      </c>
      <c r="AE119" t="str">
        <f t="shared" si="88"/>
        <v>gi|157013322</v>
      </c>
      <c r="AF119">
        <v>100</v>
      </c>
      <c r="AG119">
        <v>100</v>
      </c>
      <c r="AH119">
        <v>97</v>
      </c>
      <c r="AI119" t="s">
        <v>2285</v>
      </c>
      <c r="AJ119" s="2" t="str">
        <f>HYPERLINK("http://exon.niaid.nih.gov/transcriptome/Anopheles_sialome/links/CULICOMORPHA/anoara_Sal_SerPro1-CULICOMORPHA.txt","AGAP011912-PA, partial")</f>
        <v>AGAP011912-PA, partial</v>
      </c>
      <c r="AK119" t="str">
        <f t="shared" si="89"/>
        <v>0.0</v>
      </c>
      <c r="AL119" t="str">
        <f t="shared" si="90"/>
        <v>gi|157013322</v>
      </c>
      <c r="AM119">
        <v>100</v>
      </c>
      <c r="AN119">
        <v>100</v>
      </c>
      <c r="AO119">
        <v>97</v>
      </c>
      <c r="AP119" t="s">
        <v>2285</v>
      </c>
      <c r="AQ119" s="2" t="str">
        <f>HYPERLINK("http://exon.niaid.nih.gov/transcriptome/Anopheles_sialome/links/NR-LIGHT/anoara_Sal_SerPro1-NR-LIGHT.txt","AGAP011912-PA")</f>
        <v>AGAP011912-PA</v>
      </c>
      <c r="AR119" t="str">
        <f t="shared" si="91"/>
        <v>0.0</v>
      </c>
      <c r="AS119" t="str">
        <f t="shared" si="92"/>
        <v>gi|158300773</v>
      </c>
      <c r="AT119">
        <v>100</v>
      </c>
      <c r="AU119">
        <v>100</v>
      </c>
      <c r="AV119">
        <v>97</v>
      </c>
      <c r="AW119" t="s">
        <v>2285</v>
      </c>
      <c r="AX119" s="2" t="str">
        <f>HYPERLINK("http://exon.niaid.nih.gov/transcriptome/Anopheles_sialome/links/CDD/anoara_Sal_SerPro1-CDD.txt","Tryp_SPc")</f>
        <v>Tryp_SPc</v>
      </c>
      <c r="AY119" t="str">
        <f>HYPERLINK("http://www.ncbi.nlm.nih.gov/Structure/cdd/cddsrv.cgi?uid=cd00190&amp;version=v4.0","2E-055")</f>
        <v>2E-055</v>
      </c>
      <c r="AZ119" t="s">
        <v>2807</v>
      </c>
      <c r="BA119" s="2" t="str">
        <f>HYPERLINK("http://exon.niaid.nih.gov/transcriptome/Anopheles_sialome/links/KOG/anoara_Sal_SerPro1-KOG.txt","Trypsin")</f>
        <v>Trypsin</v>
      </c>
      <c r="BB119" t="str">
        <f>HYPERLINK("http://www.ncbi.nlm.nih.gov/Structure/cdd/cddsrv.cgi?uid=KOG3627","3E-044")</f>
        <v>3E-044</v>
      </c>
      <c r="BC119" t="s">
        <v>2287</v>
      </c>
      <c r="BD119" t="str">
        <f>HYPERLINK("http://exon.niaid.nih.gov/transcriptome/Anopheles_sialome/links/KOG/anoara_Sal_SerPro1-KOG.txt","KOG3627")</f>
        <v>KOG3627</v>
      </c>
      <c r="BE119" t="str">
        <f>HYPERLINK("http://exon.niaid.nih.gov/transcriptome/Anopheles_sialome/links/PFAM/anoara_Sal_SerPro1-PFAM.txt","Trypsin")</f>
        <v>Trypsin</v>
      </c>
      <c r="BF119" t="str">
        <f>HYPERLINK("http://pfam.sanger.ac.uk/family?acc=PF00089","3E-036")</f>
        <v>3E-036</v>
      </c>
      <c r="BG119" s="2" t="str">
        <f>HYPERLINK("http://exon.niaid.nih.gov/transcriptome/Anopheles_sialome/links/SMART/anoara_Sal_SerPro1-SMART.txt","Tryp_SPc")</f>
        <v>Tryp_SPc</v>
      </c>
      <c r="BH119" t="str">
        <f>HYPERLINK("http://smart.embl-heidelberg.de/smart/do_annotation.pl?DOMAIN=Tryp_SPc&amp;BLAST=DUMMY","3E-054")</f>
        <v>3E-054</v>
      </c>
      <c r="BI119" t="s">
        <v>128</v>
      </c>
      <c r="BJ119" s="2" t="s">
        <v>128</v>
      </c>
      <c r="BK119" t="s">
        <v>1622</v>
      </c>
      <c r="BL119">
        <f>HYPERLINK("http://exon.niaid.nih.gov/transcriptome/Anopheles_sialome/links/cluster-b/anopheline-sialome-cds-pep-larger-orf25-50SimCLU5.txt", 5)</f>
        <v>5</v>
      </c>
      <c r="BM119">
        <f>HYPERLINK("http://exon.niaid.nih.gov/transcriptome/Anopheles_sialome/links/cluster-b/anopheline-sialome-cds-pep-larger-orf25-50SimCLTL5.txt", 56)</f>
        <v>56</v>
      </c>
      <c r="BN119">
        <f>HYPERLINK("http://exon.niaid.nih.gov/transcriptome/Anopheles_sialome/links/cluster-b/anopheline-sialome-cds-pep-larger-orf30-50SimCLU7.txt", 7)</f>
        <v>7</v>
      </c>
      <c r="BO119">
        <f>HYPERLINK("http://exon.niaid.nih.gov/transcriptome/Anopheles_sialome/links/cluster-b/anopheline-sialome-cds-pep-larger-orf30-50SimCLTL7.txt", 40)</f>
        <v>40</v>
      </c>
      <c r="BP119">
        <f>HYPERLINK("http://exon.niaid.nih.gov/transcriptome/Anopheles_sialome/links/cluster-b/anopheline-sialome-cds-pep-larger-orf35-50SimCLU8.txt", 8)</f>
        <v>8</v>
      </c>
      <c r="BQ119">
        <f>HYPERLINK("http://exon.niaid.nih.gov/transcriptome/Anopheles_sialome/links/cluster-b/anopheline-sialome-cds-pep-larger-orf35-50SimCLTL8.txt", 40)</f>
        <v>40</v>
      </c>
      <c r="BR119">
        <f>HYPERLINK("http://exon.niaid.nih.gov/transcriptome/Anopheles_sialome/links/cluster-b/anopheline-sialome-cds-pep-larger-orf40-50SimCLU5.txt", 5)</f>
        <v>5</v>
      </c>
      <c r="BS119">
        <f>HYPERLINK("http://exon.niaid.nih.gov/transcriptome/Anopheles_sialome/links/cluster-b/anopheline-sialome-cds-pep-larger-orf40-50SimCLTL5.txt", 40)</f>
        <v>40</v>
      </c>
      <c r="BT119">
        <f>HYPERLINK("http://exon.niaid.nih.gov/transcriptome/Anopheles_sialome/links/cluster-b/anopheline-sialome-cds-pep-larger-orf45-50SimCLU4.txt", 4)</f>
        <v>4</v>
      </c>
      <c r="BU119">
        <f>HYPERLINK("http://exon.niaid.nih.gov/transcriptome/Anopheles_sialome/links/cluster-b/anopheline-sialome-cds-pep-larger-orf45-50SimCLTL4.txt", 40)</f>
        <v>40</v>
      </c>
      <c r="BV119">
        <f>HYPERLINK("http://exon.niaid.nih.gov/transcriptome/Anopheles_sialome/links/cluster-b/anopheline-sialome-cds-pep-larger-orf50-50SimCLU4.txt", 4)</f>
        <v>4</v>
      </c>
      <c r="BW119">
        <f>HYPERLINK("http://exon.niaid.nih.gov/transcriptome/Anopheles_sialome/links/cluster-b/anopheline-sialome-cds-pep-larger-orf50-50SimCLTL4.txt", 40)</f>
        <v>40</v>
      </c>
      <c r="BX119">
        <f>HYPERLINK("http://exon.niaid.nih.gov/transcriptome/Anopheles_sialome/links/cluster-b/anopheline-sialome-cds-pep-larger-orf55-50SimCLU4.txt", 4)</f>
        <v>4</v>
      </c>
      <c r="BY119">
        <f>HYPERLINK("http://exon.niaid.nih.gov/transcriptome/Anopheles_sialome/links/cluster-b/anopheline-sialome-cds-pep-larger-orf55-50SimCLTL4.txt", 40)</f>
        <v>40</v>
      </c>
      <c r="BZ119">
        <f>HYPERLINK("http://exon.niaid.nih.gov/transcriptome/Anopheles_sialome/links/cluster-b/anopheline-sialome-cds-pep-larger-orf60-50SimCLU3.txt", 3)</f>
        <v>3</v>
      </c>
      <c r="CA119">
        <f>HYPERLINK("http://exon.niaid.nih.gov/transcriptome/Anopheles_sialome/links/cluster-b/anopheline-sialome-cds-pep-larger-orf60-50SimCLTL3.txt", 40)</f>
        <v>40</v>
      </c>
      <c r="CB119">
        <f>HYPERLINK("http://exon.niaid.nih.gov/transcriptome/Anopheles_sialome/links/cluster-b/anopheline-sialome-cds-pep-larger-orf65-50SimCLU2.txt", 2)</f>
        <v>2</v>
      </c>
      <c r="CC119">
        <f>HYPERLINK("http://exon.niaid.nih.gov/transcriptome/Anopheles_sialome/links/cluster-b/anopheline-sialome-cds-pep-larger-orf65-50SimCLTL2.txt", 40)</f>
        <v>40</v>
      </c>
      <c r="CD119">
        <f>HYPERLINK("http://exon.niaid.nih.gov/transcriptome/Anopheles_sialome/links/cluster-b/anopheline-sialome-cds-pep-larger-orf70-50SimCLU11.txt", 11)</f>
        <v>11</v>
      </c>
      <c r="CE119">
        <f>HYPERLINK("http://exon.niaid.nih.gov/transcriptome/Anopheles_sialome/links/cluster-b/anopheline-sialome-cds-pep-larger-orf70-50SimCLTL11.txt", 19)</f>
        <v>19</v>
      </c>
      <c r="CF119">
        <f>HYPERLINK("http://exon.niaid.nih.gov/transcriptome/Anopheles_sialome/links/cluster-b/anopheline-sialome-cds-pep-larger-orf75-50SimCLU7.txt", 7)</f>
        <v>7</v>
      </c>
      <c r="CG119">
        <f>HYPERLINK("http://exon.niaid.nih.gov/transcriptome/Anopheles_sialome/links/cluster-b/anopheline-sialome-cds-pep-larger-orf75-50SimCLTL7.txt", 19)</f>
        <v>19</v>
      </c>
      <c r="CH119">
        <f>HYPERLINK("http://exon.niaid.nih.gov/transcriptome/Anopheles_sialome/links/cluster-b/anopheline-sialome-cds-pep-larger-orf80-50SimCLU5.txt", 5)</f>
        <v>5</v>
      </c>
      <c r="CI119">
        <f>HYPERLINK("http://exon.niaid.nih.gov/transcriptome/Anopheles_sialome/links/cluster-b/anopheline-sialome-cds-pep-larger-orf80-50SimCLTL5.txt", 19)</f>
        <v>19</v>
      </c>
      <c r="CJ119">
        <f>HYPERLINK("http://exon.niaid.nih.gov/transcriptome/Anopheles_sialome/links/cluster-b/anopheline-sialome-cds-pep-larger-orf85-50SimCLU4.txt", 4)</f>
        <v>4</v>
      </c>
      <c r="CK119">
        <f>HYPERLINK("http://exon.niaid.nih.gov/transcriptome/Anopheles_sialome/links/cluster-b/anopheline-sialome-cds-pep-larger-orf85-50SimCLTL4.txt", 19)</f>
        <v>19</v>
      </c>
      <c r="CL119">
        <f>HYPERLINK("http://exon.niaid.nih.gov/transcriptome/Anopheles_sialome/links/cluster-b/anopheline-sialome-cds-pep-larger-orf90-50SimCLU3.txt", 3)</f>
        <v>3</v>
      </c>
      <c r="CM119">
        <f>HYPERLINK("http://exon.niaid.nih.gov/transcriptome/Anopheles_sialome/links/cluster-b/anopheline-sialome-cds-pep-larger-orf90-50SimCLTL3.txt", 15)</f>
        <v>15</v>
      </c>
      <c r="CN119">
        <f>HYPERLINK("http://exon.niaid.nih.gov/transcriptome/Anopheles_sialome/links/cluster-b/anopheline-sialome-cds-pep-larger-orf95-50SimCLU22.txt", 22)</f>
        <v>22</v>
      </c>
      <c r="CO119">
        <f>HYPERLINK("http://exon.niaid.nih.gov/transcriptome/Anopheles_sialome/links/cluster-b/anopheline-sialome-cds-pep-larger-orf95-50SimCLTL22.txt", 6)</f>
        <v>6</v>
      </c>
    </row>
    <row r="120" spans="1:93">
      <c r="A120" s="2" t="str">
        <f>HYPERLINK("http://exon.niaid.nih.gov/transcriptome/Anopheles_sialome/links/cds/anoqua_Sal_SerPro1-cds.txt","anoqua_Sal_SerPro1")</f>
        <v>anoqua_Sal_SerPro1</v>
      </c>
      <c r="B120">
        <v>1188</v>
      </c>
      <c r="C120" t="s">
        <v>371</v>
      </c>
      <c r="D120" t="s">
        <v>4</v>
      </c>
      <c r="E120" t="s">
        <v>5</v>
      </c>
      <c r="F120" t="s">
        <v>1</v>
      </c>
      <c r="G120" t="str">
        <f>HYPERLINK("http://exon.niaid.nih.gov/transcriptome/Anopheles_sialome/links/pep/anoqua_Sal_SerPro1-pep.txt","anoqua_Sal_SerPro1")</f>
        <v>anoqua_Sal_SerPro1</v>
      </c>
      <c r="H120">
        <v>395</v>
      </c>
      <c r="I120">
        <v>1</v>
      </c>
      <c r="J120" s="3" t="str">
        <f>HYPERLINK("http://exon.niaid.nih.gov/transcriptome/Anopheles_sialome/links/Sigp/anoqua_Sal_SerPro1-SigP.txt","SIG")</f>
        <v>SIG</v>
      </c>
      <c r="K120" t="s">
        <v>715</v>
      </c>
      <c r="L120">
        <v>42.085999999999999</v>
      </c>
      <c r="M120">
        <v>8.8699999999999992</v>
      </c>
      <c r="N120">
        <v>39.752000000000002</v>
      </c>
      <c r="O120">
        <v>8.91</v>
      </c>
      <c r="P120" t="s">
        <v>1619</v>
      </c>
      <c r="Q120" s="3" t="str">
        <f>HYPERLINK("http://exon.niaid.nih.gov/transcriptome/Anopheles_sialome/links/tmhmm/anoqua_Sal_SerPro1-tmhmm.txt","1")</f>
        <v>1</v>
      </c>
      <c r="R120">
        <v>5.6</v>
      </c>
      <c r="S120">
        <v>92.7</v>
      </c>
      <c r="T120">
        <v>1.8</v>
      </c>
      <c r="U120" t="s">
        <v>128</v>
      </c>
      <c r="V120">
        <v>366</v>
      </c>
      <c r="W120" s="3" t="str">
        <f>HYPERLINK("http://exon.niaid.nih.gov/transcriptome/Anopheles_sialome/links/netoglyc/anoqua_Sal_SerPro1-netoglyc.txt","3")</f>
        <v>3</v>
      </c>
      <c r="X120">
        <v>20.8</v>
      </c>
      <c r="Y120">
        <v>8.1</v>
      </c>
      <c r="Z120">
        <v>4.8</v>
      </c>
      <c r="AA120" t="s">
        <v>654</v>
      </c>
      <c r="AB120" t="s">
        <v>128</v>
      </c>
      <c r="AC120" s="2" t="str">
        <f>HYPERLINK("http://exon.niaid.nih.gov/transcriptome/Anopheles_sialome/links/DIPTERA/anoqua_Sal_SerPro1-DIPTERA.txt","AGAP011912-PA, partial")</f>
        <v>AGAP011912-PA, partial</v>
      </c>
      <c r="AD120" t="str">
        <f t="shared" si="87"/>
        <v>0.0</v>
      </c>
      <c r="AE120" t="str">
        <f t="shared" si="88"/>
        <v>gi|157013322</v>
      </c>
      <c r="AF120">
        <v>100</v>
      </c>
      <c r="AG120">
        <v>100</v>
      </c>
      <c r="AH120">
        <v>97</v>
      </c>
      <c r="AI120" t="s">
        <v>2285</v>
      </c>
      <c r="AJ120" s="2" t="str">
        <f>HYPERLINK("http://exon.niaid.nih.gov/transcriptome/Anopheles_sialome/links/CULICOMORPHA/anoqua_Sal_SerPro1-CULICOMORPHA.txt","AGAP011912-PA, partial")</f>
        <v>AGAP011912-PA, partial</v>
      </c>
      <c r="AK120" t="str">
        <f t="shared" si="89"/>
        <v>0.0</v>
      </c>
      <c r="AL120" t="str">
        <f t="shared" si="90"/>
        <v>gi|157013322</v>
      </c>
      <c r="AM120">
        <v>100</v>
      </c>
      <c r="AN120">
        <v>100</v>
      </c>
      <c r="AO120">
        <v>97</v>
      </c>
      <c r="AP120" t="s">
        <v>2285</v>
      </c>
      <c r="AQ120" s="2" t="str">
        <f>HYPERLINK("http://exon.niaid.nih.gov/transcriptome/Anopheles_sialome/links/NR-LIGHT/anoqua_Sal_SerPro1-NR-LIGHT.txt","AGAP011912-PA")</f>
        <v>AGAP011912-PA</v>
      </c>
      <c r="AR120" t="str">
        <f t="shared" si="91"/>
        <v>0.0</v>
      </c>
      <c r="AS120" t="str">
        <f t="shared" si="92"/>
        <v>gi|158300773</v>
      </c>
      <c r="AT120">
        <v>100</v>
      </c>
      <c r="AU120">
        <v>100</v>
      </c>
      <c r="AV120">
        <v>97</v>
      </c>
      <c r="AW120" t="s">
        <v>2285</v>
      </c>
      <c r="AX120" s="2" t="str">
        <f>HYPERLINK("http://exon.niaid.nih.gov/transcriptome/Anopheles_sialome/links/CDD/anoqua_Sal_SerPro1-CDD.txt","Tryp_SPc")</f>
        <v>Tryp_SPc</v>
      </c>
      <c r="AY120" t="str">
        <f>HYPERLINK("http://www.ncbi.nlm.nih.gov/Structure/cdd/cddsrv.cgi?uid=cd00190&amp;version=v4.0","2E-055")</f>
        <v>2E-055</v>
      </c>
      <c r="AZ120" t="s">
        <v>2807</v>
      </c>
      <c r="BA120" s="2" t="str">
        <f>HYPERLINK("http://exon.niaid.nih.gov/transcriptome/Anopheles_sialome/links/KOG/anoqua_Sal_SerPro1-KOG.txt","Trypsin")</f>
        <v>Trypsin</v>
      </c>
      <c r="BB120" t="str">
        <f>HYPERLINK("http://www.ncbi.nlm.nih.gov/Structure/cdd/cddsrv.cgi?uid=KOG3627","3E-044")</f>
        <v>3E-044</v>
      </c>
      <c r="BC120" t="s">
        <v>2287</v>
      </c>
      <c r="BD120" t="str">
        <f>HYPERLINK("http://exon.niaid.nih.gov/transcriptome/Anopheles_sialome/links/KOG/anoqua_Sal_SerPro1-KOG.txt","KOG3627")</f>
        <v>KOG3627</v>
      </c>
      <c r="BE120" t="str">
        <f>HYPERLINK("http://exon.niaid.nih.gov/transcriptome/Anopheles_sialome/links/PFAM/anoqua_Sal_SerPro1-PFAM.txt","Trypsin")</f>
        <v>Trypsin</v>
      </c>
      <c r="BF120" t="str">
        <f>HYPERLINK("http://pfam.sanger.ac.uk/family?acc=PF00089","3E-036")</f>
        <v>3E-036</v>
      </c>
      <c r="BG120" s="2" t="str">
        <f>HYPERLINK("http://exon.niaid.nih.gov/transcriptome/Anopheles_sialome/links/SMART/anoqua_Sal_SerPro1-SMART.txt","Tryp_SPc")</f>
        <v>Tryp_SPc</v>
      </c>
      <c r="BH120" t="str">
        <f>HYPERLINK("http://smart.embl-heidelberg.de/smart/do_annotation.pl?DOMAIN=Tryp_SPc&amp;BLAST=DUMMY","3E-054")</f>
        <v>3E-054</v>
      </c>
      <c r="BI120" t="s">
        <v>128</v>
      </c>
      <c r="BJ120" s="2" t="s">
        <v>128</v>
      </c>
      <c r="BK120" t="s">
        <v>1623</v>
      </c>
      <c r="BL120">
        <f>HYPERLINK("http://exon.niaid.nih.gov/transcriptome/Anopheles_sialome/links/cluster-b/anopheline-sialome-cds-pep-larger-orf25-50SimCLU5.txt", 5)</f>
        <v>5</v>
      </c>
      <c r="BM120">
        <f>HYPERLINK("http://exon.niaid.nih.gov/transcriptome/Anopheles_sialome/links/cluster-b/anopheline-sialome-cds-pep-larger-orf25-50SimCLTL5.txt", 56)</f>
        <v>56</v>
      </c>
      <c r="BN120">
        <f>HYPERLINK("http://exon.niaid.nih.gov/transcriptome/Anopheles_sialome/links/cluster-b/anopheline-sialome-cds-pep-larger-orf30-50SimCLU7.txt", 7)</f>
        <v>7</v>
      </c>
      <c r="BO120">
        <f>HYPERLINK("http://exon.niaid.nih.gov/transcriptome/Anopheles_sialome/links/cluster-b/anopheline-sialome-cds-pep-larger-orf30-50SimCLTL7.txt", 40)</f>
        <v>40</v>
      </c>
      <c r="BP120">
        <f>HYPERLINK("http://exon.niaid.nih.gov/transcriptome/Anopheles_sialome/links/cluster-b/anopheline-sialome-cds-pep-larger-orf35-50SimCLU8.txt", 8)</f>
        <v>8</v>
      </c>
      <c r="BQ120">
        <f>HYPERLINK("http://exon.niaid.nih.gov/transcriptome/Anopheles_sialome/links/cluster-b/anopheline-sialome-cds-pep-larger-orf35-50SimCLTL8.txt", 40)</f>
        <v>40</v>
      </c>
      <c r="BR120">
        <f>HYPERLINK("http://exon.niaid.nih.gov/transcriptome/Anopheles_sialome/links/cluster-b/anopheline-sialome-cds-pep-larger-orf40-50SimCLU5.txt", 5)</f>
        <v>5</v>
      </c>
      <c r="BS120">
        <f>HYPERLINK("http://exon.niaid.nih.gov/transcriptome/Anopheles_sialome/links/cluster-b/anopheline-sialome-cds-pep-larger-orf40-50SimCLTL5.txt", 40)</f>
        <v>40</v>
      </c>
      <c r="BT120">
        <f>HYPERLINK("http://exon.niaid.nih.gov/transcriptome/Anopheles_sialome/links/cluster-b/anopheline-sialome-cds-pep-larger-orf45-50SimCLU4.txt", 4)</f>
        <v>4</v>
      </c>
      <c r="BU120">
        <f>HYPERLINK("http://exon.niaid.nih.gov/transcriptome/Anopheles_sialome/links/cluster-b/anopheline-sialome-cds-pep-larger-orf45-50SimCLTL4.txt", 40)</f>
        <v>40</v>
      </c>
      <c r="BV120">
        <f>HYPERLINK("http://exon.niaid.nih.gov/transcriptome/Anopheles_sialome/links/cluster-b/anopheline-sialome-cds-pep-larger-orf50-50SimCLU4.txt", 4)</f>
        <v>4</v>
      </c>
      <c r="BW120">
        <f>HYPERLINK("http://exon.niaid.nih.gov/transcriptome/Anopheles_sialome/links/cluster-b/anopheline-sialome-cds-pep-larger-orf50-50SimCLTL4.txt", 40)</f>
        <v>40</v>
      </c>
      <c r="BX120">
        <f>HYPERLINK("http://exon.niaid.nih.gov/transcriptome/Anopheles_sialome/links/cluster-b/anopheline-sialome-cds-pep-larger-orf55-50SimCLU4.txt", 4)</f>
        <v>4</v>
      </c>
      <c r="BY120">
        <f>HYPERLINK("http://exon.niaid.nih.gov/transcriptome/Anopheles_sialome/links/cluster-b/anopheline-sialome-cds-pep-larger-orf55-50SimCLTL4.txt", 40)</f>
        <v>40</v>
      </c>
      <c r="BZ120">
        <f>HYPERLINK("http://exon.niaid.nih.gov/transcriptome/Anopheles_sialome/links/cluster-b/anopheline-sialome-cds-pep-larger-orf60-50SimCLU3.txt", 3)</f>
        <v>3</v>
      </c>
      <c r="CA120">
        <f>HYPERLINK("http://exon.niaid.nih.gov/transcriptome/Anopheles_sialome/links/cluster-b/anopheline-sialome-cds-pep-larger-orf60-50SimCLTL3.txt", 40)</f>
        <v>40</v>
      </c>
      <c r="CB120">
        <f>HYPERLINK("http://exon.niaid.nih.gov/transcriptome/Anopheles_sialome/links/cluster-b/anopheline-sialome-cds-pep-larger-orf65-50SimCLU2.txt", 2)</f>
        <v>2</v>
      </c>
      <c r="CC120">
        <f>HYPERLINK("http://exon.niaid.nih.gov/transcriptome/Anopheles_sialome/links/cluster-b/anopheline-sialome-cds-pep-larger-orf65-50SimCLTL2.txt", 40)</f>
        <v>40</v>
      </c>
      <c r="CD120">
        <f>HYPERLINK("http://exon.niaid.nih.gov/transcriptome/Anopheles_sialome/links/cluster-b/anopheline-sialome-cds-pep-larger-orf70-50SimCLU11.txt", 11)</f>
        <v>11</v>
      </c>
      <c r="CE120">
        <f>HYPERLINK("http://exon.niaid.nih.gov/transcriptome/Anopheles_sialome/links/cluster-b/anopheline-sialome-cds-pep-larger-orf70-50SimCLTL11.txt", 19)</f>
        <v>19</v>
      </c>
      <c r="CF120">
        <f>HYPERLINK("http://exon.niaid.nih.gov/transcriptome/Anopheles_sialome/links/cluster-b/anopheline-sialome-cds-pep-larger-orf75-50SimCLU7.txt", 7)</f>
        <v>7</v>
      </c>
      <c r="CG120">
        <f>HYPERLINK("http://exon.niaid.nih.gov/transcriptome/Anopheles_sialome/links/cluster-b/anopheline-sialome-cds-pep-larger-orf75-50SimCLTL7.txt", 19)</f>
        <v>19</v>
      </c>
      <c r="CH120">
        <f>HYPERLINK("http://exon.niaid.nih.gov/transcriptome/Anopheles_sialome/links/cluster-b/anopheline-sialome-cds-pep-larger-orf80-50SimCLU5.txt", 5)</f>
        <v>5</v>
      </c>
      <c r="CI120">
        <f>HYPERLINK("http://exon.niaid.nih.gov/transcriptome/Anopheles_sialome/links/cluster-b/anopheline-sialome-cds-pep-larger-orf80-50SimCLTL5.txt", 19)</f>
        <v>19</v>
      </c>
      <c r="CJ120">
        <f>HYPERLINK("http://exon.niaid.nih.gov/transcriptome/Anopheles_sialome/links/cluster-b/anopheline-sialome-cds-pep-larger-orf85-50SimCLU4.txt", 4)</f>
        <v>4</v>
      </c>
      <c r="CK120">
        <f>HYPERLINK("http://exon.niaid.nih.gov/transcriptome/Anopheles_sialome/links/cluster-b/anopheline-sialome-cds-pep-larger-orf85-50SimCLTL4.txt", 19)</f>
        <v>19</v>
      </c>
      <c r="CL120">
        <f>HYPERLINK("http://exon.niaid.nih.gov/transcriptome/Anopheles_sialome/links/cluster-b/anopheline-sialome-cds-pep-larger-orf90-50SimCLU3.txt", 3)</f>
        <v>3</v>
      </c>
      <c r="CM120">
        <f>HYPERLINK("http://exon.niaid.nih.gov/transcriptome/Anopheles_sialome/links/cluster-b/anopheline-sialome-cds-pep-larger-orf90-50SimCLTL3.txt", 15)</f>
        <v>15</v>
      </c>
      <c r="CN120">
        <f>HYPERLINK("http://exon.niaid.nih.gov/transcriptome/Anopheles_sialome/links/cluster-b/anopheline-sialome-cds-pep-larger-orf95-50SimCLU22.txt", 22)</f>
        <v>22</v>
      </c>
      <c r="CO120">
        <f>HYPERLINK("http://exon.niaid.nih.gov/transcriptome/Anopheles_sialome/links/cluster-b/anopheline-sialome-cds-pep-larger-orf95-50SimCLTL22.txt", 6)</f>
        <v>6</v>
      </c>
    </row>
    <row r="121" spans="1:93">
      <c r="A121" s="2" t="str">
        <f>HYPERLINK("http://exon.niaid.nih.gov/transcriptome/Anopheles_sialome/links/cds/anomer_Sal_SerPro1-cds.txt","anomer_Sal_SerPro1")</f>
        <v>anomer_Sal_SerPro1</v>
      </c>
      <c r="B121">
        <v>1188</v>
      </c>
      <c r="C121" t="s">
        <v>372</v>
      </c>
      <c r="D121" t="s">
        <v>7</v>
      </c>
      <c r="E121" t="s">
        <v>5</v>
      </c>
      <c r="F121" t="s">
        <v>1</v>
      </c>
      <c r="G121" t="str">
        <f>HYPERLINK("http://exon.niaid.nih.gov/transcriptome/Anopheles_sialome/links/pep/anomer_Sal_SerPro1-pep.txt","anomer_Sal_SerPro1")</f>
        <v>anomer_Sal_SerPro1</v>
      </c>
      <c r="H121">
        <v>395</v>
      </c>
      <c r="I121">
        <v>1</v>
      </c>
      <c r="J121" s="3" t="str">
        <f>HYPERLINK("http://exon.niaid.nih.gov/transcriptome/Anopheles_sialome/links/Sigp/anomer_Sal_SerPro1-SigP.txt","SIG")</f>
        <v>SIG</v>
      </c>
      <c r="K121" t="s">
        <v>715</v>
      </c>
      <c r="L121">
        <v>42.076000000000001</v>
      </c>
      <c r="M121">
        <v>8.9499999999999993</v>
      </c>
      <c r="N121">
        <v>39.694000000000003</v>
      </c>
      <c r="O121">
        <v>8.98</v>
      </c>
      <c r="P121" t="s">
        <v>1625</v>
      </c>
      <c r="Q121" s="3" t="str">
        <f>HYPERLINK("http://exon.niaid.nih.gov/transcriptome/Anopheles_sialome/links/tmhmm/anomer_Sal_SerPro1-tmhmm.txt","1")</f>
        <v>1</v>
      </c>
      <c r="R121">
        <v>5.6</v>
      </c>
      <c r="S121">
        <v>92.7</v>
      </c>
      <c r="T121">
        <v>1.8</v>
      </c>
      <c r="U121" t="s">
        <v>128</v>
      </c>
      <c r="V121">
        <v>366</v>
      </c>
      <c r="W121" s="3" t="str">
        <f>HYPERLINK("http://exon.niaid.nih.gov/transcriptome/Anopheles_sialome/links/netoglyc/anomer_Sal_SerPro1-netoglyc.txt","3")</f>
        <v>3</v>
      </c>
      <c r="X121">
        <v>20.8</v>
      </c>
      <c r="Y121">
        <v>8.1</v>
      </c>
      <c r="Z121">
        <v>4.8</v>
      </c>
      <c r="AA121" t="s">
        <v>654</v>
      </c>
      <c r="AB121" t="s">
        <v>128</v>
      </c>
      <c r="AC121" s="2" t="str">
        <f>HYPERLINK("http://exon.niaid.nih.gov/transcriptome/Anopheles_sialome/links/DIPTERA/anomer_Sal_SerPro1-DIPTERA.txt","AGAP011912-PA, partial")</f>
        <v>AGAP011912-PA, partial</v>
      </c>
      <c r="AD121" t="str">
        <f t="shared" si="87"/>
        <v>0.0</v>
      </c>
      <c r="AE121" t="str">
        <f t="shared" si="88"/>
        <v>gi|157013322</v>
      </c>
      <c r="AF121">
        <v>98</v>
      </c>
      <c r="AG121">
        <v>99</v>
      </c>
      <c r="AH121">
        <v>97</v>
      </c>
      <c r="AI121" t="s">
        <v>2285</v>
      </c>
      <c r="AJ121" s="2" t="str">
        <f>HYPERLINK("http://exon.niaid.nih.gov/transcriptome/Anopheles_sialome/links/CULICOMORPHA/anomer_Sal_SerPro1-CULICOMORPHA.txt","AGAP011912-PA, partial")</f>
        <v>AGAP011912-PA, partial</v>
      </c>
      <c r="AK121" t="str">
        <f t="shared" si="89"/>
        <v>0.0</v>
      </c>
      <c r="AL121" t="str">
        <f t="shared" si="90"/>
        <v>gi|157013322</v>
      </c>
      <c r="AM121">
        <v>98</v>
      </c>
      <c r="AN121">
        <v>99</v>
      </c>
      <c r="AO121">
        <v>97</v>
      </c>
      <c r="AP121" t="s">
        <v>2285</v>
      </c>
      <c r="AQ121" s="2" t="str">
        <f>HYPERLINK("http://exon.niaid.nih.gov/transcriptome/Anopheles_sialome/links/NR-LIGHT/anomer_Sal_SerPro1-NR-LIGHT.txt","AGAP011912-PA")</f>
        <v>AGAP011912-PA</v>
      </c>
      <c r="AR121" t="str">
        <f t="shared" si="91"/>
        <v>0.0</v>
      </c>
      <c r="AS121" t="str">
        <f t="shared" si="92"/>
        <v>gi|158300773</v>
      </c>
      <c r="AT121">
        <v>98</v>
      </c>
      <c r="AU121">
        <v>99</v>
      </c>
      <c r="AV121">
        <v>97</v>
      </c>
      <c r="AW121" t="s">
        <v>2285</v>
      </c>
      <c r="AX121" s="2" t="str">
        <f>HYPERLINK("http://exon.niaid.nih.gov/transcriptome/Anopheles_sialome/links/CDD/anomer_Sal_SerPro1-CDD.txt","Tryp_SPc")</f>
        <v>Tryp_SPc</v>
      </c>
      <c r="AY121" t="str">
        <f>HYPERLINK("http://www.ncbi.nlm.nih.gov/Structure/cdd/cddsrv.cgi?uid=cd00190&amp;version=v4.0","5E-055")</f>
        <v>5E-055</v>
      </c>
      <c r="AZ121" t="s">
        <v>2809</v>
      </c>
      <c r="BA121" s="2" t="str">
        <f>HYPERLINK("http://exon.niaid.nih.gov/transcriptome/Anopheles_sialome/links/KOG/anomer_Sal_SerPro1-KOG.txt","Trypsin")</f>
        <v>Trypsin</v>
      </c>
      <c r="BB121" t="str">
        <f>HYPERLINK("http://www.ncbi.nlm.nih.gov/Structure/cdd/cddsrv.cgi?uid=KOG3627","5E-044")</f>
        <v>5E-044</v>
      </c>
      <c r="BC121" t="s">
        <v>2287</v>
      </c>
      <c r="BD121" t="str">
        <f>HYPERLINK("http://exon.niaid.nih.gov/transcriptome/Anopheles_sialome/links/KOG/anomer_Sal_SerPro1-KOG.txt","KOG3627")</f>
        <v>KOG3627</v>
      </c>
      <c r="BE121" t="str">
        <f>HYPERLINK("http://exon.niaid.nih.gov/transcriptome/Anopheles_sialome/links/PFAM/anomer_Sal_SerPro1-PFAM.txt","Trypsin")</f>
        <v>Trypsin</v>
      </c>
      <c r="BF121" t="str">
        <f>HYPERLINK("http://pfam.sanger.ac.uk/family?acc=PF00089","7E-037")</f>
        <v>7E-037</v>
      </c>
      <c r="BG121" s="2" t="str">
        <f>HYPERLINK("http://exon.niaid.nih.gov/transcriptome/Anopheles_sialome/links/SMART/anomer_Sal_SerPro1-SMART.txt","Tryp_SPc")</f>
        <v>Tryp_SPc</v>
      </c>
      <c r="BH121" t="str">
        <f>HYPERLINK("http://smart.embl-heidelberg.de/smart/do_annotation.pl?DOMAIN=Tryp_SPc&amp;BLAST=DUMMY","2E-054")</f>
        <v>2E-054</v>
      </c>
      <c r="BI121" t="s">
        <v>128</v>
      </c>
      <c r="BJ121" s="2" t="s">
        <v>128</v>
      </c>
      <c r="BK121" t="s">
        <v>1624</v>
      </c>
      <c r="BL121">
        <f>HYPERLINK("http://exon.niaid.nih.gov/transcriptome/Anopheles_sialome/links/cluster-b/anopheline-sialome-cds-pep-larger-orf25-50SimCLU5.txt", 5)</f>
        <v>5</v>
      </c>
      <c r="BM121">
        <f>HYPERLINK("http://exon.niaid.nih.gov/transcriptome/Anopheles_sialome/links/cluster-b/anopheline-sialome-cds-pep-larger-orf25-50SimCLTL5.txt", 56)</f>
        <v>56</v>
      </c>
      <c r="BN121">
        <f>HYPERLINK("http://exon.niaid.nih.gov/transcriptome/Anopheles_sialome/links/cluster-b/anopheline-sialome-cds-pep-larger-orf30-50SimCLU7.txt", 7)</f>
        <v>7</v>
      </c>
      <c r="BO121">
        <f>HYPERLINK("http://exon.niaid.nih.gov/transcriptome/Anopheles_sialome/links/cluster-b/anopheline-sialome-cds-pep-larger-orf30-50SimCLTL7.txt", 40)</f>
        <v>40</v>
      </c>
      <c r="BP121">
        <f>HYPERLINK("http://exon.niaid.nih.gov/transcriptome/Anopheles_sialome/links/cluster-b/anopheline-sialome-cds-pep-larger-orf35-50SimCLU8.txt", 8)</f>
        <v>8</v>
      </c>
      <c r="BQ121">
        <f>HYPERLINK("http://exon.niaid.nih.gov/transcriptome/Anopheles_sialome/links/cluster-b/anopheline-sialome-cds-pep-larger-orf35-50SimCLTL8.txt", 40)</f>
        <v>40</v>
      </c>
      <c r="BR121">
        <f>HYPERLINK("http://exon.niaid.nih.gov/transcriptome/Anopheles_sialome/links/cluster-b/anopheline-sialome-cds-pep-larger-orf40-50SimCLU5.txt", 5)</f>
        <v>5</v>
      </c>
      <c r="BS121">
        <f>HYPERLINK("http://exon.niaid.nih.gov/transcriptome/Anopheles_sialome/links/cluster-b/anopheline-sialome-cds-pep-larger-orf40-50SimCLTL5.txt", 40)</f>
        <v>40</v>
      </c>
      <c r="BT121">
        <f>HYPERLINK("http://exon.niaid.nih.gov/transcriptome/Anopheles_sialome/links/cluster-b/anopheline-sialome-cds-pep-larger-orf45-50SimCLU4.txt", 4)</f>
        <v>4</v>
      </c>
      <c r="BU121">
        <f>HYPERLINK("http://exon.niaid.nih.gov/transcriptome/Anopheles_sialome/links/cluster-b/anopheline-sialome-cds-pep-larger-orf45-50SimCLTL4.txt", 40)</f>
        <v>40</v>
      </c>
      <c r="BV121">
        <f>HYPERLINK("http://exon.niaid.nih.gov/transcriptome/Anopheles_sialome/links/cluster-b/anopheline-sialome-cds-pep-larger-orf50-50SimCLU4.txt", 4)</f>
        <v>4</v>
      </c>
      <c r="BW121">
        <f>HYPERLINK("http://exon.niaid.nih.gov/transcriptome/Anopheles_sialome/links/cluster-b/anopheline-sialome-cds-pep-larger-orf50-50SimCLTL4.txt", 40)</f>
        <v>40</v>
      </c>
      <c r="BX121">
        <f>HYPERLINK("http://exon.niaid.nih.gov/transcriptome/Anopheles_sialome/links/cluster-b/anopheline-sialome-cds-pep-larger-orf55-50SimCLU4.txt", 4)</f>
        <v>4</v>
      </c>
      <c r="BY121">
        <f>HYPERLINK("http://exon.niaid.nih.gov/transcriptome/Anopheles_sialome/links/cluster-b/anopheline-sialome-cds-pep-larger-orf55-50SimCLTL4.txt", 40)</f>
        <v>40</v>
      </c>
      <c r="BZ121">
        <f>HYPERLINK("http://exon.niaid.nih.gov/transcriptome/Anopheles_sialome/links/cluster-b/anopheline-sialome-cds-pep-larger-orf60-50SimCLU3.txt", 3)</f>
        <v>3</v>
      </c>
      <c r="CA121">
        <f>HYPERLINK("http://exon.niaid.nih.gov/transcriptome/Anopheles_sialome/links/cluster-b/anopheline-sialome-cds-pep-larger-orf60-50SimCLTL3.txt", 40)</f>
        <v>40</v>
      </c>
      <c r="CB121">
        <f>HYPERLINK("http://exon.niaid.nih.gov/transcriptome/Anopheles_sialome/links/cluster-b/anopheline-sialome-cds-pep-larger-orf65-50SimCLU2.txt", 2)</f>
        <v>2</v>
      </c>
      <c r="CC121">
        <f>HYPERLINK("http://exon.niaid.nih.gov/transcriptome/Anopheles_sialome/links/cluster-b/anopheline-sialome-cds-pep-larger-orf65-50SimCLTL2.txt", 40)</f>
        <v>40</v>
      </c>
      <c r="CD121">
        <f>HYPERLINK("http://exon.niaid.nih.gov/transcriptome/Anopheles_sialome/links/cluster-b/anopheline-sialome-cds-pep-larger-orf70-50SimCLU11.txt", 11)</f>
        <v>11</v>
      </c>
      <c r="CE121">
        <f>HYPERLINK("http://exon.niaid.nih.gov/transcriptome/Anopheles_sialome/links/cluster-b/anopheline-sialome-cds-pep-larger-orf70-50SimCLTL11.txt", 19)</f>
        <v>19</v>
      </c>
      <c r="CF121">
        <f>HYPERLINK("http://exon.niaid.nih.gov/transcriptome/Anopheles_sialome/links/cluster-b/anopheline-sialome-cds-pep-larger-orf75-50SimCLU7.txt", 7)</f>
        <v>7</v>
      </c>
      <c r="CG121">
        <f>HYPERLINK("http://exon.niaid.nih.gov/transcriptome/Anopheles_sialome/links/cluster-b/anopheline-sialome-cds-pep-larger-orf75-50SimCLTL7.txt", 19)</f>
        <v>19</v>
      </c>
      <c r="CH121">
        <f>HYPERLINK("http://exon.niaid.nih.gov/transcriptome/Anopheles_sialome/links/cluster-b/anopheline-sialome-cds-pep-larger-orf80-50SimCLU5.txt", 5)</f>
        <v>5</v>
      </c>
      <c r="CI121">
        <f>HYPERLINK("http://exon.niaid.nih.gov/transcriptome/Anopheles_sialome/links/cluster-b/anopheline-sialome-cds-pep-larger-orf80-50SimCLTL5.txt", 19)</f>
        <v>19</v>
      </c>
      <c r="CJ121">
        <f>HYPERLINK("http://exon.niaid.nih.gov/transcriptome/Anopheles_sialome/links/cluster-b/anopheline-sialome-cds-pep-larger-orf85-50SimCLU4.txt", 4)</f>
        <v>4</v>
      </c>
      <c r="CK121">
        <f>HYPERLINK("http://exon.niaid.nih.gov/transcriptome/Anopheles_sialome/links/cluster-b/anopheline-sialome-cds-pep-larger-orf85-50SimCLTL4.txt", 19)</f>
        <v>19</v>
      </c>
      <c r="CL121">
        <f>HYPERLINK("http://exon.niaid.nih.gov/transcriptome/Anopheles_sialome/links/cluster-b/anopheline-sialome-cds-pep-larger-orf90-50SimCLU3.txt", 3)</f>
        <v>3</v>
      </c>
      <c r="CM121">
        <f>HYPERLINK("http://exon.niaid.nih.gov/transcriptome/Anopheles_sialome/links/cluster-b/anopheline-sialome-cds-pep-larger-orf90-50SimCLTL3.txt", 15)</f>
        <v>15</v>
      </c>
      <c r="CN121">
        <f>HYPERLINK("http://exon.niaid.nih.gov/transcriptome/Anopheles_sialome/links/cluster-b/anopheline-sialome-cds-pep-larger-orf95-50SimCLU22.txt", 22)</f>
        <v>22</v>
      </c>
      <c r="CO121">
        <f>HYPERLINK("http://exon.niaid.nih.gov/transcriptome/Anopheles_sialome/links/cluster-b/anopheline-sialome-cds-pep-larger-orf95-50SimCLTL22.txt", 6)</f>
        <v>6</v>
      </c>
    </row>
    <row r="122" spans="1:93">
      <c r="A122" s="2" t="str">
        <f>HYPERLINK("http://exon.niaid.nih.gov/transcriptome/Anopheles_sialome/links/cds/anomel_Sal_SerPro1-cds.txt","anomel_Sal_SerPro1")</f>
        <v>anomel_Sal_SerPro1</v>
      </c>
      <c r="B122">
        <v>1188</v>
      </c>
      <c r="C122" t="s">
        <v>373</v>
      </c>
      <c r="D122" t="s">
        <v>4</v>
      </c>
      <c r="E122" t="s">
        <v>5</v>
      </c>
      <c r="F122" t="s">
        <v>1</v>
      </c>
      <c r="G122" t="str">
        <f>HYPERLINK("http://exon.niaid.nih.gov/transcriptome/Anopheles_sialome/links/pep/anomel_Sal_SerPro1-pep.txt","anomel_Sal_SerPro1")</f>
        <v>anomel_Sal_SerPro1</v>
      </c>
      <c r="H122">
        <v>395</v>
      </c>
      <c r="I122">
        <v>1</v>
      </c>
      <c r="J122" s="3" t="str">
        <f>HYPERLINK("http://exon.niaid.nih.gov/transcriptome/Anopheles_sialome/links/Sigp/anomel_Sal_SerPro1-SigP.txt","SIG")</f>
        <v>SIG</v>
      </c>
      <c r="K122" t="s">
        <v>715</v>
      </c>
      <c r="L122">
        <v>42.343000000000004</v>
      </c>
      <c r="M122">
        <v>9.06</v>
      </c>
      <c r="N122">
        <v>39.96</v>
      </c>
      <c r="O122">
        <v>9.1</v>
      </c>
      <c r="P122" t="s">
        <v>1627</v>
      </c>
      <c r="Q122" s="3" t="str">
        <f>HYPERLINK("http://exon.niaid.nih.gov/transcriptome/Anopheles_sialome/links/tmhmm/anomel_Sal_SerPro1-tmhmm.txt","1")</f>
        <v>1</v>
      </c>
      <c r="R122">
        <v>5.6</v>
      </c>
      <c r="S122">
        <v>92.7</v>
      </c>
      <c r="T122">
        <v>1.8</v>
      </c>
      <c r="U122" t="s">
        <v>128</v>
      </c>
      <c r="V122">
        <v>366</v>
      </c>
      <c r="W122" s="3" t="str">
        <f>HYPERLINK("http://exon.niaid.nih.gov/transcriptome/Anopheles_sialome/links/netoglyc/anomel_Sal_SerPro1-netoglyc.txt","4")</f>
        <v>4</v>
      </c>
      <c r="X122">
        <v>20.8</v>
      </c>
      <c r="Y122">
        <v>8.1</v>
      </c>
      <c r="Z122">
        <v>4.5999999999999996</v>
      </c>
      <c r="AA122" t="s">
        <v>654</v>
      </c>
      <c r="AB122" t="s">
        <v>128</v>
      </c>
      <c r="AC122" s="2" t="str">
        <f>HYPERLINK("http://exon.niaid.nih.gov/transcriptome/Anopheles_sialome/links/DIPTERA/anomel_Sal_SerPro1-DIPTERA.txt","AGAP011912-PA, partial")</f>
        <v>AGAP011912-PA, partial</v>
      </c>
      <c r="AD122" t="str">
        <f t="shared" si="87"/>
        <v>0.0</v>
      </c>
      <c r="AE122" t="str">
        <f t="shared" si="88"/>
        <v>gi|157013322</v>
      </c>
      <c r="AF122">
        <v>97</v>
      </c>
      <c r="AG122">
        <v>98</v>
      </c>
      <c r="AH122">
        <v>97</v>
      </c>
      <c r="AI122" t="s">
        <v>2285</v>
      </c>
      <c r="AJ122" s="2" t="str">
        <f>HYPERLINK("http://exon.niaid.nih.gov/transcriptome/Anopheles_sialome/links/CULICOMORPHA/anomel_Sal_SerPro1-CULICOMORPHA.txt","AGAP011912-PA, partial")</f>
        <v>AGAP011912-PA, partial</v>
      </c>
      <c r="AK122" t="str">
        <f t="shared" si="89"/>
        <v>0.0</v>
      </c>
      <c r="AL122" t="str">
        <f t="shared" si="90"/>
        <v>gi|157013322</v>
      </c>
      <c r="AM122">
        <v>97</v>
      </c>
      <c r="AN122">
        <v>98</v>
      </c>
      <c r="AO122">
        <v>97</v>
      </c>
      <c r="AP122" t="s">
        <v>2285</v>
      </c>
      <c r="AQ122" s="2" t="str">
        <f>HYPERLINK("http://exon.niaid.nih.gov/transcriptome/Anopheles_sialome/links/NR-LIGHT/anomel_Sal_SerPro1-NR-LIGHT.txt","AGAP011912-PA")</f>
        <v>AGAP011912-PA</v>
      </c>
      <c r="AR122" t="str">
        <f t="shared" si="91"/>
        <v>0.0</v>
      </c>
      <c r="AS122" t="str">
        <f t="shared" si="92"/>
        <v>gi|158300773</v>
      </c>
      <c r="AT122">
        <v>97</v>
      </c>
      <c r="AU122">
        <v>98</v>
      </c>
      <c r="AV122">
        <v>97</v>
      </c>
      <c r="AW122" t="s">
        <v>2285</v>
      </c>
      <c r="AX122" s="2" t="str">
        <f>HYPERLINK("http://exon.niaid.nih.gov/transcriptome/Anopheles_sialome/links/CDD/anomel_Sal_SerPro1-CDD.txt","Tryp_SPc")</f>
        <v>Tryp_SPc</v>
      </c>
      <c r="AY122" t="str">
        <f>HYPERLINK("http://www.ncbi.nlm.nih.gov/Structure/cdd/cddsrv.cgi?uid=cd00190&amp;version=v4.0","1E-054")</f>
        <v>1E-054</v>
      </c>
      <c r="AZ122" t="s">
        <v>2810</v>
      </c>
      <c r="BA122" s="2" t="str">
        <f>HYPERLINK("http://exon.niaid.nih.gov/transcriptome/Anopheles_sialome/links/KOG/anomel_Sal_SerPro1-KOG.txt","Trypsin")</f>
        <v>Trypsin</v>
      </c>
      <c r="BB122" t="str">
        <f>HYPERLINK("http://www.ncbi.nlm.nih.gov/Structure/cdd/cddsrv.cgi?uid=KOG3627","7E-044")</f>
        <v>7E-044</v>
      </c>
      <c r="BC122" t="s">
        <v>2287</v>
      </c>
      <c r="BD122" t="str">
        <f>HYPERLINK("http://exon.niaid.nih.gov/transcriptome/Anopheles_sialome/links/KOG/anomel_Sal_SerPro1-KOG.txt","KOG3627")</f>
        <v>KOG3627</v>
      </c>
      <c r="BE122" t="str">
        <f>HYPERLINK("http://exon.niaid.nih.gov/transcriptome/Anopheles_sialome/links/PFAM/anomel_Sal_SerPro1-PFAM.txt","Trypsin")</f>
        <v>Trypsin</v>
      </c>
      <c r="BF122" t="str">
        <f>HYPERLINK("http://pfam.sanger.ac.uk/family?acc=PF00089","5E-037")</f>
        <v>5E-037</v>
      </c>
      <c r="BG122" s="2" t="str">
        <f>HYPERLINK("http://exon.niaid.nih.gov/transcriptome/Anopheles_sialome/links/SMART/anomel_Sal_SerPro1-SMART.txt","Tryp_SPc")</f>
        <v>Tryp_SPc</v>
      </c>
      <c r="BH122" t="str">
        <f>HYPERLINK("http://smart.embl-heidelberg.de/smart/do_annotation.pl?DOMAIN=Tryp_SPc&amp;BLAST=DUMMY","5E-054")</f>
        <v>5E-054</v>
      </c>
      <c r="BI122" t="s">
        <v>128</v>
      </c>
      <c r="BJ122" s="2" t="s">
        <v>128</v>
      </c>
      <c r="BK122" t="s">
        <v>1626</v>
      </c>
      <c r="BL122">
        <f>HYPERLINK("http://exon.niaid.nih.gov/transcriptome/Anopheles_sialome/links/cluster-b/anopheline-sialome-cds-pep-larger-orf25-50SimCLU5.txt", 5)</f>
        <v>5</v>
      </c>
      <c r="BM122">
        <f>HYPERLINK("http://exon.niaid.nih.gov/transcriptome/Anopheles_sialome/links/cluster-b/anopheline-sialome-cds-pep-larger-orf25-50SimCLTL5.txt", 56)</f>
        <v>56</v>
      </c>
      <c r="BN122">
        <f>HYPERLINK("http://exon.niaid.nih.gov/transcriptome/Anopheles_sialome/links/cluster-b/anopheline-sialome-cds-pep-larger-orf30-50SimCLU7.txt", 7)</f>
        <v>7</v>
      </c>
      <c r="BO122">
        <f>HYPERLINK("http://exon.niaid.nih.gov/transcriptome/Anopheles_sialome/links/cluster-b/anopheline-sialome-cds-pep-larger-orf30-50SimCLTL7.txt", 40)</f>
        <v>40</v>
      </c>
      <c r="BP122">
        <f>HYPERLINK("http://exon.niaid.nih.gov/transcriptome/Anopheles_sialome/links/cluster-b/anopheline-sialome-cds-pep-larger-orf35-50SimCLU8.txt", 8)</f>
        <v>8</v>
      </c>
      <c r="BQ122">
        <f>HYPERLINK("http://exon.niaid.nih.gov/transcriptome/Anopheles_sialome/links/cluster-b/anopheline-sialome-cds-pep-larger-orf35-50SimCLTL8.txt", 40)</f>
        <v>40</v>
      </c>
      <c r="BR122">
        <f>HYPERLINK("http://exon.niaid.nih.gov/transcriptome/Anopheles_sialome/links/cluster-b/anopheline-sialome-cds-pep-larger-orf40-50SimCLU5.txt", 5)</f>
        <v>5</v>
      </c>
      <c r="BS122">
        <f>HYPERLINK("http://exon.niaid.nih.gov/transcriptome/Anopheles_sialome/links/cluster-b/anopheline-sialome-cds-pep-larger-orf40-50SimCLTL5.txt", 40)</f>
        <v>40</v>
      </c>
      <c r="BT122">
        <f>HYPERLINK("http://exon.niaid.nih.gov/transcriptome/Anopheles_sialome/links/cluster-b/anopheline-sialome-cds-pep-larger-orf45-50SimCLU4.txt", 4)</f>
        <v>4</v>
      </c>
      <c r="BU122">
        <f>HYPERLINK("http://exon.niaid.nih.gov/transcriptome/Anopheles_sialome/links/cluster-b/anopheline-sialome-cds-pep-larger-orf45-50SimCLTL4.txt", 40)</f>
        <v>40</v>
      </c>
      <c r="BV122">
        <f>HYPERLINK("http://exon.niaid.nih.gov/transcriptome/Anopheles_sialome/links/cluster-b/anopheline-sialome-cds-pep-larger-orf50-50SimCLU4.txt", 4)</f>
        <v>4</v>
      </c>
      <c r="BW122">
        <f>HYPERLINK("http://exon.niaid.nih.gov/transcriptome/Anopheles_sialome/links/cluster-b/anopheline-sialome-cds-pep-larger-orf50-50SimCLTL4.txt", 40)</f>
        <v>40</v>
      </c>
      <c r="BX122">
        <f>HYPERLINK("http://exon.niaid.nih.gov/transcriptome/Anopheles_sialome/links/cluster-b/anopheline-sialome-cds-pep-larger-orf55-50SimCLU4.txt", 4)</f>
        <v>4</v>
      </c>
      <c r="BY122">
        <f>HYPERLINK("http://exon.niaid.nih.gov/transcriptome/Anopheles_sialome/links/cluster-b/anopheline-sialome-cds-pep-larger-orf55-50SimCLTL4.txt", 40)</f>
        <v>40</v>
      </c>
      <c r="BZ122">
        <f>HYPERLINK("http://exon.niaid.nih.gov/transcriptome/Anopheles_sialome/links/cluster-b/anopheline-sialome-cds-pep-larger-orf60-50SimCLU3.txt", 3)</f>
        <v>3</v>
      </c>
      <c r="CA122">
        <f>HYPERLINK("http://exon.niaid.nih.gov/transcriptome/Anopheles_sialome/links/cluster-b/anopheline-sialome-cds-pep-larger-orf60-50SimCLTL3.txt", 40)</f>
        <v>40</v>
      </c>
      <c r="CB122">
        <f>HYPERLINK("http://exon.niaid.nih.gov/transcriptome/Anopheles_sialome/links/cluster-b/anopheline-sialome-cds-pep-larger-orf65-50SimCLU2.txt", 2)</f>
        <v>2</v>
      </c>
      <c r="CC122">
        <f>HYPERLINK("http://exon.niaid.nih.gov/transcriptome/Anopheles_sialome/links/cluster-b/anopheline-sialome-cds-pep-larger-orf65-50SimCLTL2.txt", 40)</f>
        <v>40</v>
      </c>
      <c r="CD122">
        <f>HYPERLINK("http://exon.niaid.nih.gov/transcriptome/Anopheles_sialome/links/cluster-b/anopheline-sialome-cds-pep-larger-orf70-50SimCLU11.txt", 11)</f>
        <v>11</v>
      </c>
      <c r="CE122">
        <f>HYPERLINK("http://exon.niaid.nih.gov/transcriptome/Anopheles_sialome/links/cluster-b/anopheline-sialome-cds-pep-larger-orf70-50SimCLTL11.txt", 19)</f>
        <v>19</v>
      </c>
      <c r="CF122">
        <f>HYPERLINK("http://exon.niaid.nih.gov/transcriptome/Anopheles_sialome/links/cluster-b/anopheline-sialome-cds-pep-larger-orf75-50SimCLU7.txt", 7)</f>
        <v>7</v>
      </c>
      <c r="CG122">
        <f>HYPERLINK("http://exon.niaid.nih.gov/transcriptome/Anopheles_sialome/links/cluster-b/anopheline-sialome-cds-pep-larger-orf75-50SimCLTL7.txt", 19)</f>
        <v>19</v>
      </c>
      <c r="CH122">
        <f>HYPERLINK("http://exon.niaid.nih.gov/transcriptome/Anopheles_sialome/links/cluster-b/anopheline-sialome-cds-pep-larger-orf80-50SimCLU5.txt", 5)</f>
        <v>5</v>
      </c>
      <c r="CI122">
        <f>HYPERLINK("http://exon.niaid.nih.gov/transcriptome/Anopheles_sialome/links/cluster-b/anopheline-sialome-cds-pep-larger-orf80-50SimCLTL5.txt", 19)</f>
        <v>19</v>
      </c>
      <c r="CJ122">
        <f>HYPERLINK("http://exon.niaid.nih.gov/transcriptome/Anopheles_sialome/links/cluster-b/anopheline-sialome-cds-pep-larger-orf85-50SimCLU4.txt", 4)</f>
        <v>4</v>
      </c>
      <c r="CK122">
        <f>HYPERLINK("http://exon.niaid.nih.gov/transcriptome/Anopheles_sialome/links/cluster-b/anopheline-sialome-cds-pep-larger-orf85-50SimCLTL4.txt", 19)</f>
        <v>19</v>
      </c>
      <c r="CL122">
        <f>HYPERLINK("http://exon.niaid.nih.gov/transcriptome/Anopheles_sialome/links/cluster-b/anopheline-sialome-cds-pep-larger-orf90-50SimCLU3.txt", 3)</f>
        <v>3</v>
      </c>
      <c r="CM122">
        <f>HYPERLINK("http://exon.niaid.nih.gov/transcriptome/Anopheles_sialome/links/cluster-b/anopheline-sialome-cds-pep-larger-orf90-50SimCLTL3.txt", 15)</f>
        <v>15</v>
      </c>
      <c r="CN122">
        <f>HYPERLINK("http://exon.niaid.nih.gov/transcriptome/Anopheles_sialome/links/cluster-b/anopheline-sialome-cds-pep-larger-orf95-50SimCLU22.txt", 22)</f>
        <v>22</v>
      </c>
      <c r="CO122">
        <f>HYPERLINK("http://exon.niaid.nih.gov/transcriptome/Anopheles_sialome/links/cluster-b/anopheline-sialome-cds-pep-larger-orf95-50SimCLTL22.txt", 6)</f>
        <v>6</v>
      </c>
    </row>
    <row r="123" spans="1:93">
      <c r="A123" s="2" t="str">
        <f>HYPERLINK("http://exon.niaid.nih.gov/transcriptome/Anopheles_sialome/links/cds/anochris_Sal_SerPro1-cds.txt","anochris_Sal_SerPro1")</f>
        <v>anochris_Sal_SerPro1</v>
      </c>
      <c r="B123">
        <v>1185</v>
      </c>
      <c r="C123" t="s">
        <v>374</v>
      </c>
      <c r="D123" t="s">
        <v>4</v>
      </c>
      <c r="E123" t="s">
        <v>5</v>
      </c>
      <c r="F123" t="s">
        <v>1</v>
      </c>
      <c r="G123" t="str">
        <f>HYPERLINK("http://exon.niaid.nih.gov/transcriptome/Anopheles_sialome/links/pep/anochris_Sal_SerPro1-pep.txt","anochris_Sal_SerPro1")</f>
        <v>anochris_Sal_SerPro1</v>
      </c>
      <c r="H123">
        <v>394</v>
      </c>
      <c r="I123">
        <v>1</v>
      </c>
      <c r="J123" s="3" t="str">
        <f>HYPERLINK("http://exon.niaid.nih.gov/transcriptome/Anopheles_sialome/links/Sigp/anochris_Sal_SerPro1-SigP.txt","SIG")</f>
        <v>SIG</v>
      </c>
      <c r="K123" t="s">
        <v>708</v>
      </c>
      <c r="L123">
        <v>42.21</v>
      </c>
      <c r="M123">
        <v>8.86</v>
      </c>
      <c r="N123">
        <v>39.828000000000003</v>
      </c>
      <c r="O123">
        <v>8.83</v>
      </c>
      <c r="P123" t="s">
        <v>1629</v>
      </c>
      <c r="Q123" s="3">
        <v>0</v>
      </c>
      <c r="R123" t="s">
        <v>128</v>
      </c>
      <c r="S123" t="s">
        <v>128</v>
      </c>
      <c r="T123" t="s">
        <v>128</v>
      </c>
      <c r="U123" t="s">
        <v>128</v>
      </c>
      <c r="V123" t="s">
        <v>128</v>
      </c>
      <c r="W123" s="3" t="str">
        <f>HYPERLINK("http://exon.niaid.nih.gov/transcriptome/Anopheles_sialome/links/netoglyc/anochris_Sal_SerPro1-netoglyc.txt","5")</f>
        <v>5</v>
      </c>
      <c r="X123">
        <v>21.3</v>
      </c>
      <c r="Y123">
        <v>8.4</v>
      </c>
      <c r="Z123">
        <v>4.5999999999999996</v>
      </c>
      <c r="AA123">
        <v>0.8</v>
      </c>
      <c r="AB123" t="s">
        <v>128</v>
      </c>
      <c r="AC123" s="2" t="str">
        <f>HYPERLINK("http://exon.niaid.nih.gov/transcriptome/Anopheles_sialome/links/DIPTERA/anochris_Sal_SerPro1-DIPTERA.txt","AGAP011912-PA, partial")</f>
        <v>AGAP011912-PA, partial</v>
      </c>
      <c r="AD123" t="str">
        <f t="shared" si="87"/>
        <v>0.0</v>
      </c>
      <c r="AE123" t="str">
        <f t="shared" si="88"/>
        <v>gi|157013322</v>
      </c>
      <c r="AF123">
        <v>89</v>
      </c>
      <c r="AG123">
        <v>94</v>
      </c>
      <c r="AH123">
        <v>97</v>
      </c>
      <c r="AI123" t="s">
        <v>2285</v>
      </c>
      <c r="AJ123" s="2" t="str">
        <f>HYPERLINK("http://exon.niaid.nih.gov/transcriptome/Anopheles_sialome/links/CULICOMORPHA/anochris_Sal_SerPro1-CULICOMORPHA.txt","AGAP011912-PA, partial")</f>
        <v>AGAP011912-PA, partial</v>
      </c>
      <c r="AK123" t="str">
        <f t="shared" si="89"/>
        <v>0.0</v>
      </c>
      <c r="AL123" t="str">
        <f t="shared" si="90"/>
        <v>gi|157013322</v>
      </c>
      <c r="AM123">
        <v>89</v>
      </c>
      <c r="AN123">
        <v>94</v>
      </c>
      <c r="AO123">
        <v>97</v>
      </c>
      <c r="AP123" t="s">
        <v>2285</v>
      </c>
      <c r="AQ123" s="2" t="str">
        <f>HYPERLINK("http://exon.niaid.nih.gov/transcriptome/Anopheles_sialome/links/NR-LIGHT/anochris_Sal_SerPro1-NR-LIGHT.txt","AGAP011912-PA")</f>
        <v>AGAP011912-PA</v>
      </c>
      <c r="AR123" t="str">
        <f t="shared" si="91"/>
        <v>0.0</v>
      </c>
      <c r="AS123" t="str">
        <f t="shared" si="92"/>
        <v>gi|158300773</v>
      </c>
      <c r="AT123">
        <v>89</v>
      </c>
      <c r="AU123">
        <v>94</v>
      </c>
      <c r="AV123">
        <v>97</v>
      </c>
      <c r="AW123" t="s">
        <v>2285</v>
      </c>
      <c r="AX123" s="2" t="str">
        <f>HYPERLINK("http://exon.niaid.nih.gov/transcriptome/Anopheles_sialome/links/CDD/anochris_Sal_SerPro1-CDD.txt","Tryp_SPc")</f>
        <v>Tryp_SPc</v>
      </c>
      <c r="AY123" t="str">
        <f>HYPERLINK("http://www.ncbi.nlm.nih.gov/Structure/cdd/cddsrv.cgi?uid=cd00190&amp;version=v4.0","3E-052")</f>
        <v>3E-052</v>
      </c>
      <c r="AZ123" t="s">
        <v>2811</v>
      </c>
      <c r="BA123" s="2" t="str">
        <f>HYPERLINK("http://exon.niaid.nih.gov/transcriptome/Anopheles_sialome/links/KOG/anochris_Sal_SerPro1-KOG.txt","Trypsin")</f>
        <v>Trypsin</v>
      </c>
      <c r="BB123" t="str">
        <f>HYPERLINK("http://www.ncbi.nlm.nih.gov/Structure/cdd/cddsrv.cgi?uid=KOG3627","6E-043")</f>
        <v>6E-043</v>
      </c>
      <c r="BC123" t="s">
        <v>2287</v>
      </c>
      <c r="BD123" t="str">
        <f>HYPERLINK("http://exon.niaid.nih.gov/transcriptome/Anopheles_sialome/links/KOG/anochris_Sal_SerPro1-KOG.txt","KOG3627")</f>
        <v>KOG3627</v>
      </c>
      <c r="BE123" t="str">
        <f>HYPERLINK("http://exon.niaid.nih.gov/transcriptome/Anopheles_sialome/links/PFAM/anochris_Sal_SerPro1-PFAM.txt","Trypsin")</f>
        <v>Trypsin</v>
      </c>
      <c r="BF123" t="str">
        <f>HYPERLINK("http://pfam.sanger.ac.uk/family?acc=PF00089","9E-036")</f>
        <v>9E-036</v>
      </c>
      <c r="BG123" s="2" t="str">
        <f>HYPERLINK("http://exon.niaid.nih.gov/transcriptome/Anopheles_sialome/links/SMART/anochris_Sal_SerPro1-SMART.txt","Tryp_SPc")</f>
        <v>Tryp_SPc</v>
      </c>
      <c r="BH123" t="str">
        <f>HYPERLINK("http://smart.embl-heidelberg.de/smart/do_annotation.pl?DOMAIN=Tryp_SPc&amp;BLAST=DUMMY","8E-051")</f>
        <v>8E-051</v>
      </c>
      <c r="BI123" t="s">
        <v>128</v>
      </c>
      <c r="BJ123" s="2" t="s">
        <v>128</v>
      </c>
      <c r="BK123" t="s">
        <v>1628</v>
      </c>
      <c r="BL123">
        <f>HYPERLINK("http://exon.niaid.nih.gov/transcriptome/Anopheles_sialome/links/cluster-b/anopheline-sialome-cds-pep-larger-orf25-50SimCLU5.txt", 5)</f>
        <v>5</v>
      </c>
      <c r="BM123">
        <f>HYPERLINK("http://exon.niaid.nih.gov/transcriptome/Anopheles_sialome/links/cluster-b/anopheline-sialome-cds-pep-larger-orf25-50SimCLTL5.txt", 56)</f>
        <v>56</v>
      </c>
      <c r="BN123">
        <f>HYPERLINK("http://exon.niaid.nih.gov/transcriptome/Anopheles_sialome/links/cluster-b/anopheline-sialome-cds-pep-larger-orf30-50SimCLU7.txt", 7)</f>
        <v>7</v>
      </c>
      <c r="BO123">
        <f>HYPERLINK("http://exon.niaid.nih.gov/transcriptome/Anopheles_sialome/links/cluster-b/anopheline-sialome-cds-pep-larger-orf30-50SimCLTL7.txt", 40)</f>
        <v>40</v>
      </c>
      <c r="BP123">
        <f>HYPERLINK("http://exon.niaid.nih.gov/transcriptome/Anopheles_sialome/links/cluster-b/anopheline-sialome-cds-pep-larger-orf35-50SimCLU8.txt", 8)</f>
        <v>8</v>
      </c>
      <c r="BQ123">
        <f>HYPERLINK("http://exon.niaid.nih.gov/transcriptome/Anopheles_sialome/links/cluster-b/anopheline-sialome-cds-pep-larger-orf35-50SimCLTL8.txt", 40)</f>
        <v>40</v>
      </c>
      <c r="BR123">
        <f>HYPERLINK("http://exon.niaid.nih.gov/transcriptome/Anopheles_sialome/links/cluster-b/anopheline-sialome-cds-pep-larger-orf40-50SimCLU5.txt", 5)</f>
        <v>5</v>
      </c>
      <c r="BS123">
        <f>HYPERLINK("http://exon.niaid.nih.gov/transcriptome/Anopheles_sialome/links/cluster-b/anopheline-sialome-cds-pep-larger-orf40-50SimCLTL5.txt", 40)</f>
        <v>40</v>
      </c>
      <c r="BT123">
        <f>HYPERLINK("http://exon.niaid.nih.gov/transcriptome/Anopheles_sialome/links/cluster-b/anopheline-sialome-cds-pep-larger-orf45-50SimCLU4.txt", 4)</f>
        <v>4</v>
      </c>
      <c r="BU123">
        <f>HYPERLINK("http://exon.niaid.nih.gov/transcriptome/Anopheles_sialome/links/cluster-b/anopheline-sialome-cds-pep-larger-orf45-50SimCLTL4.txt", 40)</f>
        <v>40</v>
      </c>
      <c r="BV123">
        <f>HYPERLINK("http://exon.niaid.nih.gov/transcriptome/Anopheles_sialome/links/cluster-b/anopheline-sialome-cds-pep-larger-orf50-50SimCLU4.txt", 4)</f>
        <v>4</v>
      </c>
      <c r="BW123">
        <f>HYPERLINK("http://exon.niaid.nih.gov/transcriptome/Anopheles_sialome/links/cluster-b/anopheline-sialome-cds-pep-larger-orf50-50SimCLTL4.txt", 40)</f>
        <v>40</v>
      </c>
      <c r="BX123">
        <f>HYPERLINK("http://exon.niaid.nih.gov/transcriptome/Anopheles_sialome/links/cluster-b/anopheline-sialome-cds-pep-larger-orf55-50SimCLU4.txt", 4)</f>
        <v>4</v>
      </c>
      <c r="BY123">
        <f>HYPERLINK("http://exon.niaid.nih.gov/transcriptome/Anopheles_sialome/links/cluster-b/anopheline-sialome-cds-pep-larger-orf55-50SimCLTL4.txt", 40)</f>
        <v>40</v>
      </c>
      <c r="BZ123">
        <f>HYPERLINK("http://exon.niaid.nih.gov/transcriptome/Anopheles_sialome/links/cluster-b/anopheline-sialome-cds-pep-larger-orf60-50SimCLU3.txt", 3)</f>
        <v>3</v>
      </c>
      <c r="CA123">
        <f>HYPERLINK("http://exon.niaid.nih.gov/transcriptome/Anopheles_sialome/links/cluster-b/anopheline-sialome-cds-pep-larger-orf60-50SimCLTL3.txt", 40)</f>
        <v>40</v>
      </c>
      <c r="CB123">
        <f>HYPERLINK("http://exon.niaid.nih.gov/transcriptome/Anopheles_sialome/links/cluster-b/anopheline-sialome-cds-pep-larger-orf65-50SimCLU2.txt", 2)</f>
        <v>2</v>
      </c>
      <c r="CC123">
        <f>HYPERLINK("http://exon.niaid.nih.gov/transcriptome/Anopheles_sialome/links/cluster-b/anopheline-sialome-cds-pep-larger-orf65-50SimCLTL2.txt", 40)</f>
        <v>40</v>
      </c>
      <c r="CD123">
        <f>HYPERLINK("http://exon.niaid.nih.gov/transcriptome/Anopheles_sialome/links/cluster-b/anopheline-sialome-cds-pep-larger-orf70-50SimCLU11.txt", 11)</f>
        <v>11</v>
      </c>
      <c r="CE123">
        <f>HYPERLINK("http://exon.niaid.nih.gov/transcriptome/Anopheles_sialome/links/cluster-b/anopheline-sialome-cds-pep-larger-orf70-50SimCLTL11.txt", 19)</f>
        <v>19</v>
      </c>
      <c r="CF123">
        <f>HYPERLINK("http://exon.niaid.nih.gov/transcriptome/Anopheles_sialome/links/cluster-b/anopheline-sialome-cds-pep-larger-orf75-50SimCLU7.txt", 7)</f>
        <v>7</v>
      </c>
      <c r="CG123">
        <f>HYPERLINK("http://exon.niaid.nih.gov/transcriptome/Anopheles_sialome/links/cluster-b/anopheline-sialome-cds-pep-larger-orf75-50SimCLTL7.txt", 19)</f>
        <v>19</v>
      </c>
      <c r="CH123">
        <f>HYPERLINK("http://exon.niaid.nih.gov/transcriptome/Anopheles_sialome/links/cluster-b/anopheline-sialome-cds-pep-larger-orf80-50SimCLU5.txt", 5)</f>
        <v>5</v>
      </c>
      <c r="CI123">
        <f>HYPERLINK("http://exon.niaid.nih.gov/transcriptome/Anopheles_sialome/links/cluster-b/anopheline-sialome-cds-pep-larger-orf80-50SimCLTL5.txt", 19)</f>
        <v>19</v>
      </c>
      <c r="CJ123">
        <f>HYPERLINK("http://exon.niaid.nih.gov/transcriptome/Anopheles_sialome/links/cluster-b/anopheline-sialome-cds-pep-larger-orf85-50SimCLU4.txt", 4)</f>
        <v>4</v>
      </c>
      <c r="CK123">
        <f>HYPERLINK("http://exon.niaid.nih.gov/transcriptome/Anopheles_sialome/links/cluster-b/anopheline-sialome-cds-pep-larger-orf85-50SimCLTL4.txt", 19)</f>
        <v>19</v>
      </c>
      <c r="CL123">
        <f>HYPERLINK("http://exon.niaid.nih.gov/transcriptome/Anopheles_sialome/links/cluster-b/anopheline-sialome-cds-pep-larger-orf90-50SimCLU3.txt", 3)</f>
        <v>3</v>
      </c>
      <c r="CM123">
        <f>HYPERLINK("http://exon.niaid.nih.gov/transcriptome/Anopheles_sialome/links/cluster-b/anopheline-sialome-cds-pep-larger-orf90-50SimCLTL3.txt", 15)</f>
        <v>15</v>
      </c>
      <c r="CN123">
        <v>357</v>
      </c>
      <c r="CO123">
        <v>1</v>
      </c>
    </row>
    <row r="124" spans="1:93">
      <c r="A124" s="2" t="str">
        <f>HYPERLINK("http://exon.niaid.nih.gov/transcriptome/Anopheles_sialome/links/cds/anoepi_Sal_SerPro1-cds.txt","anoepi_Sal_SerPro1")</f>
        <v>anoepi_Sal_SerPro1</v>
      </c>
      <c r="B124">
        <v>1188</v>
      </c>
      <c r="C124" t="s">
        <v>375</v>
      </c>
      <c r="D124" t="s">
        <v>4</v>
      </c>
      <c r="E124" t="s">
        <v>5</v>
      </c>
      <c r="F124" t="s">
        <v>1</v>
      </c>
      <c r="G124" t="str">
        <f>HYPERLINK("http://exon.niaid.nih.gov/transcriptome/Anopheles_sialome/links/pep/anoepi_Sal_SerPro1-pep.txt","anoepi_Sal_SerPro1")</f>
        <v>anoepi_Sal_SerPro1</v>
      </c>
      <c r="H124">
        <v>395</v>
      </c>
      <c r="I124">
        <v>1</v>
      </c>
      <c r="J124" s="3" t="str">
        <f>HYPERLINK("http://exon.niaid.nih.gov/transcriptome/Anopheles_sialome/links/Sigp/anoepi_Sal_SerPro1-SigP.txt","SIG")</f>
        <v>SIG</v>
      </c>
      <c r="K124" t="s">
        <v>715</v>
      </c>
      <c r="L124">
        <v>42.956000000000003</v>
      </c>
      <c r="M124">
        <v>9.3000000000000007</v>
      </c>
      <c r="N124">
        <v>40.302999999999997</v>
      </c>
      <c r="O124">
        <v>9.19</v>
      </c>
      <c r="P124" t="s">
        <v>1631</v>
      </c>
      <c r="Q124" s="3">
        <v>0</v>
      </c>
      <c r="R124" t="s">
        <v>128</v>
      </c>
      <c r="S124" t="s">
        <v>128</v>
      </c>
      <c r="T124" t="s">
        <v>128</v>
      </c>
      <c r="U124" t="s">
        <v>128</v>
      </c>
      <c r="V124" t="s">
        <v>128</v>
      </c>
      <c r="W124" s="3" t="str">
        <f>HYPERLINK("http://exon.niaid.nih.gov/transcriptome/Anopheles_sialome/links/netoglyc/anoepi_Sal_SerPro1-netoglyc.txt","1")</f>
        <v>1</v>
      </c>
      <c r="X124">
        <v>21.8</v>
      </c>
      <c r="Y124">
        <v>8.1</v>
      </c>
      <c r="Z124">
        <v>4.5999999999999996</v>
      </c>
      <c r="AA124">
        <v>0.8</v>
      </c>
      <c r="AB124" t="s">
        <v>128</v>
      </c>
      <c r="AC124" s="2" t="str">
        <f>HYPERLINK("http://exon.niaid.nih.gov/transcriptome/Anopheles_sialome/links/DIPTERA/anoepi_Sal_SerPro1-DIPTERA.txt","AGAP011912-PA, partial")</f>
        <v>AGAP011912-PA, partial</v>
      </c>
      <c r="AD124" t="str">
        <f t="shared" si="87"/>
        <v>0.0</v>
      </c>
      <c r="AE124" t="str">
        <f t="shared" si="88"/>
        <v>gi|157013322</v>
      </c>
      <c r="AF124">
        <v>84</v>
      </c>
      <c r="AG124">
        <v>92</v>
      </c>
      <c r="AH124">
        <v>97</v>
      </c>
      <c r="AI124" t="s">
        <v>2285</v>
      </c>
      <c r="AJ124" s="2" t="str">
        <f>HYPERLINK("http://exon.niaid.nih.gov/transcriptome/Anopheles_sialome/links/CULICOMORPHA/anoepi_Sal_SerPro1-CULICOMORPHA.txt","AGAP011912-PA, partial")</f>
        <v>AGAP011912-PA, partial</v>
      </c>
      <c r="AK124" t="str">
        <f t="shared" si="89"/>
        <v>0.0</v>
      </c>
      <c r="AL124" t="str">
        <f t="shared" si="90"/>
        <v>gi|157013322</v>
      </c>
      <c r="AM124">
        <v>84</v>
      </c>
      <c r="AN124">
        <v>92</v>
      </c>
      <c r="AO124">
        <v>97</v>
      </c>
      <c r="AP124" t="s">
        <v>2285</v>
      </c>
      <c r="AQ124" s="2" t="str">
        <f>HYPERLINK("http://exon.niaid.nih.gov/transcriptome/Anopheles_sialome/links/NR-LIGHT/anoepi_Sal_SerPro1-NR-LIGHT.txt","AGAP011912-PA")</f>
        <v>AGAP011912-PA</v>
      </c>
      <c r="AR124" t="str">
        <f t="shared" si="91"/>
        <v>0.0</v>
      </c>
      <c r="AS124" t="str">
        <f t="shared" si="92"/>
        <v>gi|158300773</v>
      </c>
      <c r="AT124">
        <v>84</v>
      </c>
      <c r="AU124">
        <v>92</v>
      </c>
      <c r="AV124">
        <v>97</v>
      </c>
      <c r="AW124" t="s">
        <v>2285</v>
      </c>
      <c r="AX124" s="2" t="str">
        <f>HYPERLINK("http://exon.niaid.nih.gov/transcriptome/Anopheles_sialome/links/CDD/anoepi_Sal_SerPro1-CDD.txt","Tryp_SPc")</f>
        <v>Tryp_SPc</v>
      </c>
      <c r="AY124" t="str">
        <f>HYPERLINK("http://www.ncbi.nlm.nih.gov/Structure/cdd/cddsrv.cgi?uid=cd00190&amp;version=v4.0","6E-052")</f>
        <v>6E-052</v>
      </c>
      <c r="AZ124" t="s">
        <v>2812</v>
      </c>
      <c r="BA124" s="2" t="str">
        <f>HYPERLINK("http://exon.niaid.nih.gov/transcriptome/Anopheles_sialome/links/KOG/anoepi_Sal_SerPro1-KOG.txt","Trypsin")</f>
        <v>Trypsin</v>
      </c>
      <c r="BB124" t="str">
        <f>HYPERLINK("http://www.ncbi.nlm.nih.gov/Structure/cdd/cddsrv.cgi?uid=KOG3627","2E-044")</f>
        <v>2E-044</v>
      </c>
      <c r="BC124" t="s">
        <v>2287</v>
      </c>
      <c r="BD124" t="str">
        <f>HYPERLINK("http://exon.niaid.nih.gov/transcriptome/Anopheles_sialome/links/KOG/anoepi_Sal_SerPro1-KOG.txt","KOG3627")</f>
        <v>KOG3627</v>
      </c>
      <c r="BE124" t="str">
        <f>HYPERLINK("http://exon.niaid.nih.gov/transcriptome/Anopheles_sialome/links/PFAM/anoepi_Sal_SerPro1-PFAM.txt","Trypsin")</f>
        <v>Trypsin</v>
      </c>
      <c r="BF124" t="str">
        <f>HYPERLINK("http://pfam.sanger.ac.uk/family?acc=PF00089","2E-036")</f>
        <v>2E-036</v>
      </c>
      <c r="BG124" s="2" t="str">
        <f>HYPERLINK("http://exon.niaid.nih.gov/transcriptome/Anopheles_sialome/links/SMART/anoepi_Sal_SerPro1-SMART.txt","Tryp_SPc")</f>
        <v>Tryp_SPc</v>
      </c>
      <c r="BH124" t="str">
        <f>HYPERLINK("http://smart.embl-heidelberg.de/smart/do_annotation.pl?DOMAIN=Tryp_SPc&amp;BLAST=DUMMY","4E-052")</f>
        <v>4E-052</v>
      </c>
      <c r="BI124" t="s">
        <v>128</v>
      </c>
      <c r="BJ124" s="2" t="s">
        <v>128</v>
      </c>
      <c r="BK124" t="s">
        <v>1630</v>
      </c>
      <c r="BL124">
        <f>HYPERLINK("http://exon.niaid.nih.gov/transcriptome/Anopheles_sialome/links/cluster-b/anopheline-sialome-cds-pep-larger-orf25-50SimCLU5.txt", 5)</f>
        <v>5</v>
      </c>
      <c r="BM124">
        <f>HYPERLINK("http://exon.niaid.nih.gov/transcriptome/Anopheles_sialome/links/cluster-b/anopheline-sialome-cds-pep-larger-orf25-50SimCLTL5.txt", 56)</f>
        <v>56</v>
      </c>
      <c r="BN124">
        <f>HYPERLINK("http://exon.niaid.nih.gov/transcriptome/Anopheles_sialome/links/cluster-b/anopheline-sialome-cds-pep-larger-orf30-50SimCLU7.txt", 7)</f>
        <v>7</v>
      </c>
      <c r="BO124">
        <f>HYPERLINK("http://exon.niaid.nih.gov/transcriptome/Anopheles_sialome/links/cluster-b/anopheline-sialome-cds-pep-larger-orf30-50SimCLTL7.txt", 40)</f>
        <v>40</v>
      </c>
      <c r="BP124">
        <f>HYPERLINK("http://exon.niaid.nih.gov/transcriptome/Anopheles_sialome/links/cluster-b/anopheline-sialome-cds-pep-larger-orf35-50SimCLU8.txt", 8)</f>
        <v>8</v>
      </c>
      <c r="BQ124">
        <f>HYPERLINK("http://exon.niaid.nih.gov/transcriptome/Anopheles_sialome/links/cluster-b/anopheline-sialome-cds-pep-larger-orf35-50SimCLTL8.txt", 40)</f>
        <v>40</v>
      </c>
      <c r="BR124">
        <f>HYPERLINK("http://exon.niaid.nih.gov/transcriptome/Anopheles_sialome/links/cluster-b/anopheline-sialome-cds-pep-larger-orf40-50SimCLU5.txt", 5)</f>
        <v>5</v>
      </c>
      <c r="BS124">
        <f>HYPERLINK("http://exon.niaid.nih.gov/transcriptome/Anopheles_sialome/links/cluster-b/anopheline-sialome-cds-pep-larger-orf40-50SimCLTL5.txt", 40)</f>
        <v>40</v>
      </c>
      <c r="BT124">
        <f>HYPERLINK("http://exon.niaid.nih.gov/transcriptome/Anopheles_sialome/links/cluster-b/anopheline-sialome-cds-pep-larger-orf45-50SimCLU4.txt", 4)</f>
        <v>4</v>
      </c>
      <c r="BU124">
        <f>HYPERLINK("http://exon.niaid.nih.gov/transcriptome/Anopheles_sialome/links/cluster-b/anopheline-sialome-cds-pep-larger-orf45-50SimCLTL4.txt", 40)</f>
        <v>40</v>
      </c>
      <c r="BV124">
        <f>HYPERLINK("http://exon.niaid.nih.gov/transcriptome/Anopheles_sialome/links/cluster-b/anopheline-sialome-cds-pep-larger-orf50-50SimCLU4.txt", 4)</f>
        <v>4</v>
      </c>
      <c r="BW124">
        <f>HYPERLINK("http://exon.niaid.nih.gov/transcriptome/Anopheles_sialome/links/cluster-b/anopheline-sialome-cds-pep-larger-orf50-50SimCLTL4.txt", 40)</f>
        <v>40</v>
      </c>
      <c r="BX124">
        <f>HYPERLINK("http://exon.niaid.nih.gov/transcriptome/Anopheles_sialome/links/cluster-b/anopheline-sialome-cds-pep-larger-orf55-50SimCLU4.txt", 4)</f>
        <v>4</v>
      </c>
      <c r="BY124">
        <f>HYPERLINK("http://exon.niaid.nih.gov/transcriptome/Anopheles_sialome/links/cluster-b/anopheline-sialome-cds-pep-larger-orf55-50SimCLTL4.txt", 40)</f>
        <v>40</v>
      </c>
      <c r="BZ124">
        <f>HYPERLINK("http://exon.niaid.nih.gov/transcriptome/Anopheles_sialome/links/cluster-b/anopheline-sialome-cds-pep-larger-orf60-50SimCLU3.txt", 3)</f>
        <v>3</v>
      </c>
      <c r="CA124">
        <f>HYPERLINK("http://exon.niaid.nih.gov/transcriptome/Anopheles_sialome/links/cluster-b/anopheline-sialome-cds-pep-larger-orf60-50SimCLTL3.txt", 40)</f>
        <v>40</v>
      </c>
      <c r="CB124">
        <f>HYPERLINK("http://exon.niaid.nih.gov/transcriptome/Anopheles_sialome/links/cluster-b/anopheline-sialome-cds-pep-larger-orf65-50SimCLU2.txt", 2)</f>
        <v>2</v>
      </c>
      <c r="CC124">
        <f>HYPERLINK("http://exon.niaid.nih.gov/transcriptome/Anopheles_sialome/links/cluster-b/anopheline-sialome-cds-pep-larger-orf65-50SimCLTL2.txt", 40)</f>
        <v>40</v>
      </c>
      <c r="CD124">
        <f>HYPERLINK("http://exon.niaid.nih.gov/transcriptome/Anopheles_sialome/links/cluster-b/anopheline-sialome-cds-pep-larger-orf70-50SimCLU11.txt", 11)</f>
        <v>11</v>
      </c>
      <c r="CE124">
        <f>HYPERLINK("http://exon.niaid.nih.gov/transcriptome/Anopheles_sialome/links/cluster-b/anopheline-sialome-cds-pep-larger-orf70-50SimCLTL11.txt", 19)</f>
        <v>19</v>
      </c>
      <c r="CF124">
        <f>HYPERLINK("http://exon.niaid.nih.gov/transcriptome/Anopheles_sialome/links/cluster-b/anopheline-sialome-cds-pep-larger-orf75-50SimCLU7.txt", 7)</f>
        <v>7</v>
      </c>
      <c r="CG124">
        <f>HYPERLINK("http://exon.niaid.nih.gov/transcriptome/Anopheles_sialome/links/cluster-b/anopheline-sialome-cds-pep-larger-orf75-50SimCLTL7.txt", 19)</f>
        <v>19</v>
      </c>
      <c r="CH124">
        <f>HYPERLINK("http://exon.niaid.nih.gov/transcriptome/Anopheles_sialome/links/cluster-b/anopheline-sialome-cds-pep-larger-orf80-50SimCLU5.txt", 5)</f>
        <v>5</v>
      </c>
      <c r="CI124">
        <f>HYPERLINK("http://exon.niaid.nih.gov/transcriptome/Anopheles_sialome/links/cluster-b/anopheline-sialome-cds-pep-larger-orf80-50SimCLTL5.txt", 19)</f>
        <v>19</v>
      </c>
      <c r="CJ124">
        <f>HYPERLINK("http://exon.niaid.nih.gov/transcriptome/Anopheles_sialome/links/cluster-b/anopheline-sialome-cds-pep-larger-orf85-50SimCLU4.txt", 4)</f>
        <v>4</v>
      </c>
      <c r="CK124">
        <f>HYPERLINK("http://exon.niaid.nih.gov/transcriptome/Anopheles_sialome/links/cluster-b/anopheline-sialome-cds-pep-larger-orf85-50SimCLTL4.txt", 19)</f>
        <v>19</v>
      </c>
      <c r="CL124">
        <f>HYPERLINK("http://exon.niaid.nih.gov/transcriptome/Anopheles_sialome/links/cluster-b/anopheline-sialome-cds-pep-larger-orf90-50SimCLU3.txt", 3)</f>
        <v>3</v>
      </c>
      <c r="CM124">
        <f>HYPERLINK("http://exon.niaid.nih.gov/transcriptome/Anopheles_sialome/links/cluster-b/anopheline-sialome-cds-pep-larger-orf90-50SimCLTL3.txt", 15)</f>
        <v>15</v>
      </c>
      <c r="CN124">
        <v>358</v>
      </c>
      <c r="CO124">
        <v>1</v>
      </c>
    </row>
    <row r="125" spans="1:93">
      <c r="A125" s="2" t="str">
        <f>HYPERLINK("http://exon.niaid.nih.gov/transcriptome/Anopheles_sialome/links/cds/anofun_Sal_SerPro1-cds.txt","anofun_Sal_SerPro1")</f>
        <v>anofun_Sal_SerPro1</v>
      </c>
      <c r="B125">
        <v>1191</v>
      </c>
      <c r="C125" t="s">
        <v>376</v>
      </c>
      <c r="D125" t="s">
        <v>4</v>
      </c>
      <c r="E125" t="s">
        <v>5</v>
      </c>
      <c r="F125" t="s">
        <v>1</v>
      </c>
      <c r="G125" t="str">
        <f>HYPERLINK("http://exon.niaid.nih.gov/transcriptome/Anopheles_sialome/links/pep/anofun_Sal_SerPro1-pep.txt","anofun_Sal_SerPro1")</f>
        <v>anofun_Sal_SerPro1</v>
      </c>
      <c r="H125">
        <v>396</v>
      </c>
      <c r="I125">
        <v>1</v>
      </c>
      <c r="J125" s="3" t="str">
        <f>HYPERLINK("http://exon.niaid.nih.gov/transcriptome/Anopheles_sialome/links/Sigp/anofun_Sal_SerPro1-SigP.txt","SIG")</f>
        <v>SIG</v>
      </c>
      <c r="K125" t="s">
        <v>715</v>
      </c>
      <c r="L125">
        <v>42.658000000000001</v>
      </c>
      <c r="M125">
        <v>8.64</v>
      </c>
      <c r="N125">
        <v>40.204999999999998</v>
      </c>
      <c r="O125">
        <v>8.74</v>
      </c>
      <c r="P125" t="s">
        <v>1633</v>
      </c>
      <c r="Q125" s="3">
        <v>0</v>
      </c>
      <c r="R125" t="s">
        <v>128</v>
      </c>
      <c r="S125" t="s">
        <v>128</v>
      </c>
      <c r="T125" t="s">
        <v>128</v>
      </c>
      <c r="U125" t="s">
        <v>128</v>
      </c>
      <c r="V125" t="s">
        <v>128</v>
      </c>
      <c r="W125" s="3" t="str">
        <f>HYPERLINK("http://exon.niaid.nih.gov/transcriptome/Anopheles_sialome/links/netoglyc/anofun_Sal_SerPro1-netoglyc.txt","2")</f>
        <v>2</v>
      </c>
      <c r="X125">
        <v>20.7</v>
      </c>
      <c r="Y125">
        <v>8.1</v>
      </c>
      <c r="Z125">
        <v>5.0999999999999996</v>
      </c>
      <c r="AA125">
        <v>0.8</v>
      </c>
      <c r="AB125" t="s">
        <v>128</v>
      </c>
      <c r="AC125" s="2" t="str">
        <f>HYPERLINK("http://exon.niaid.nih.gov/transcriptome/Anopheles_sialome/links/DIPTERA/anofun_Sal_SerPro1-DIPTERA.txt","AGAP011912-PA, partial")</f>
        <v>AGAP011912-PA, partial</v>
      </c>
      <c r="AD125" t="str">
        <f t="shared" si="87"/>
        <v>0.0</v>
      </c>
      <c r="AE125" t="str">
        <f t="shared" si="88"/>
        <v>gi|157013322</v>
      </c>
      <c r="AF125">
        <v>82</v>
      </c>
      <c r="AG125">
        <v>90</v>
      </c>
      <c r="AH125">
        <v>97</v>
      </c>
      <c r="AI125" t="s">
        <v>2285</v>
      </c>
      <c r="AJ125" s="2" t="str">
        <f>HYPERLINK("http://exon.niaid.nih.gov/transcriptome/Anopheles_sialome/links/CULICOMORPHA/anofun_Sal_SerPro1-CULICOMORPHA.txt","AGAP011912-PA, partial")</f>
        <v>AGAP011912-PA, partial</v>
      </c>
      <c r="AK125" t="str">
        <f t="shared" si="89"/>
        <v>0.0</v>
      </c>
      <c r="AL125" t="str">
        <f t="shared" si="90"/>
        <v>gi|157013322</v>
      </c>
      <c r="AM125">
        <v>82</v>
      </c>
      <c r="AN125">
        <v>90</v>
      </c>
      <c r="AO125">
        <v>97</v>
      </c>
      <c r="AP125" t="s">
        <v>2285</v>
      </c>
      <c r="AQ125" s="2" t="str">
        <f>HYPERLINK("http://exon.niaid.nih.gov/transcriptome/Anopheles_sialome/links/NR-LIGHT/anofun_Sal_SerPro1-NR-LIGHT.txt","AGAP011912-PA")</f>
        <v>AGAP011912-PA</v>
      </c>
      <c r="AR125" t="str">
        <f t="shared" si="91"/>
        <v>0.0</v>
      </c>
      <c r="AS125" t="str">
        <f t="shared" si="92"/>
        <v>gi|158300773</v>
      </c>
      <c r="AT125">
        <v>82</v>
      </c>
      <c r="AU125">
        <v>90</v>
      </c>
      <c r="AV125">
        <v>97</v>
      </c>
      <c r="AW125" t="s">
        <v>2285</v>
      </c>
      <c r="AX125" s="2" t="str">
        <f>HYPERLINK("http://exon.niaid.nih.gov/transcriptome/Anopheles_sialome/links/CDD/anofun_Sal_SerPro1-CDD.txt","Tryp_SPc")</f>
        <v>Tryp_SPc</v>
      </c>
      <c r="AY125" t="str">
        <f>HYPERLINK("http://www.ncbi.nlm.nih.gov/Structure/cdd/cddsrv.cgi?uid=cd00190&amp;version=v4.0","5E-052")</f>
        <v>5E-052</v>
      </c>
      <c r="AZ125" t="s">
        <v>2813</v>
      </c>
      <c r="BA125" s="2" t="str">
        <f>HYPERLINK("http://exon.niaid.nih.gov/transcriptome/Anopheles_sialome/links/KOG/anofun_Sal_SerPro1-KOG.txt","Trypsin")</f>
        <v>Trypsin</v>
      </c>
      <c r="BB125" t="str">
        <f>HYPERLINK("http://www.ncbi.nlm.nih.gov/Structure/cdd/cddsrv.cgi?uid=KOG3627","6E-043")</f>
        <v>6E-043</v>
      </c>
      <c r="BC125" t="s">
        <v>2287</v>
      </c>
      <c r="BD125" t="str">
        <f>HYPERLINK("http://exon.niaid.nih.gov/transcriptome/Anopheles_sialome/links/KOG/anofun_Sal_SerPro1-KOG.txt","KOG3627")</f>
        <v>KOG3627</v>
      </c>
      <c r="BE125" t="str">
        <f>HYPERLINK("http://exon.niaid.nih.gov/transcriptome/Anopheles_sialome/links/PFAM/anofun_Sal_SerPro1-PFAM.txt","Trypsin")</f>
        <v>Trypsin</v>
      </c>
      <c r="BF125" t="str">
        <f>HYPERLINK("http://pfam.sanger.ac.uk/family?acc=PF00089","2E-035")</f>
        <v>2E-035</v>
      </c>
      <c r="BG125" s="2" t="str">
        <f>HYPERLINK("http://exon.niaid.nih.gov/transcriptome/Anopheles_sialome/links/SMART/anofun_Sal_SerPro1-SMART.txt","Tryp_SPc")</f>
        <v>Tryp_SPc</v>
      </c>
      <c r="BH125" t="str">
        <f>HYPERLINK("http://smart.embl-heidelberg.de/smart/do_annotation.pl?DOMAIN=Tryp_SPc&amp;BLAST=DUMMY","2E-052")</f>
        <v>2E-052</v>
      </c>
      <c r="BI125" t="s">
        <v>128</v>
      </c>
      <c r="BJ125" s="2" t="s">
        <v>128</v>
      </c>
      <c r="BK125" t="s">
        <v>1632</v>
      </c>
      <c r="BL125">
        <f>HYPERLINK("http://exon.niaid.nih.gov/transcriptome/Anopheles_sialome/links/cluster-b/anopheline-sialome-cds-pep-larger-orf25-50SimCLU5.txt", 5)</f>
        <v>5</v>
      </c>
      <c r="BM125">
        <f>HYPERLINK("http://exon.niaid.nih.gov/transcriptome/Anopheles_sialome/links/cluster-b/anopheline-sialome-cds-pep-larger-orf25-50SimCLTL5.txt", 56)</f>
        <v>56</v>
      </c>
      <c r="BN125">
        <f>HYPERLINK("http://exon.niaid.nih.gov/transcriptome/Anopheles_sialome/links/cluster-b/anopheline-sialome-cds-pep-larger-orf30-50SimCLU7.txt", 7)</f>
        <v>7</v>
      </c>
      <c r="BO125">
        <f>HYPERLINK("http://exon.niaid.nih.gov/transcriptome/Anopheles_sialome/links/cluster-b/anopheline-sialome-cds-pep-larger-orf30-50SimCLTL7.txt", 40)</f>
        <v>40</v>
      </c>
      <c r="BP125">
        <f>HYPERLINK("http://exon.niaid.nih.gov/transcriptome/Anopheles_sialome/links/cluster-b/anopheline-sialome-cds-pep-larger-orf35-50SimCLU8.txt", 8)</f>
        <v>8</v>
      </c>
      <c r="BQ125">
        <f>HYPERLINK("http://exon.niaid.nih.gov/transcriptome/Anopheles_sialome/links/cluster-b/anopheline-sialome-cds-pep-larger-orf35-50SimCLTL8.txt", 40)</f>
        <v>40</v>
      </c>
      <c r="BR125">
        <f>HYPERLINK("http://exon.niaid.nih.gov/transcriptome/Anopheles_sialome/links/cluster-b/anopheline-sialome-cds-pep-larger-orf40-50SimCLU5.txt", 5)</f>
        <v>5</v>
      </c>
      <c r="BS125">
        <f>HYPERLINK("http://exon.niaid.nih.gov/transcriptome/Anopheles_sialome/links/cluster-b/anopheline-sialome-cds-pep-larger-orf40-50SimCLTL5.txt", 40)</f>
        <v>40</v>
      </c>
      <c r="BT125">
        <f>HYPERLINK("http://exon.niaid.nih.gov/transcriptome/Anopheles_sialome/links/cluster-b/anopheline-sialome-cds-pep-larger-orf45-50SimCLU4.txt", 4)</f>
        <v>4</v>
      </c>
      <c r="BU125">
        <f>HYPERLINK("http://exon.niaid.nih.gov/transcriptome/Anopheles_sialome/links/cluster-b/anopheline-sialome-cds-pep-larger-orf45-50SimCLTL4.txt", 40)</f>
        <v>40</v>
      </c>
      <c r="BV125">
        <f>HYPERLINK("http://exon.niaid.nih.gov/transcriptome/Anopheles_sialome/links/cluster-b/anopheline-sialome-cds-pep-larger-orf50-50SimCLU4.txt", 4)</f>
        <v>4</v>
      </c>
      <c r="BW125">
        <f>HYPERLINK("http://exon.niaid.nih.gov/transcriptome/Anopheles_sialome/links/cluster-b/anopheline-sialome-cds-pep-larger-orf50-50SimCLTL4.txt", 40)</f>
        <v>40</v>
      </c>
      <c r="BX125">
        <f>HYPERLINK("http://exon.niaid.nih.gov/transcriptome/Anopheles_sialome/links/cluster-b/anopheline-sialome-cds-pep-larger-orf55-50SimCLU4.txt", 4)</f>
        <v>4</v>
      </c>
      <c r="BY125">
        <f>HYPERLINK("http://exon.niaid.nih.gov/transcriptome/Anopheles_sialome/links/cluster-b/anopheline-sialome-cds-pep-larger-orf55-50SimCLTL4.txt", 40)</f>
        <v>40</v>
      </c>
      <c r="BZ125">
        <f>HYPERLINK("http://exon.niaid.nih.gov/transcriptome/Anopheles_sialome/links/cluster-b/anopheline-sialome-cds-pep-larger-orf60-50SimCLU3.txt", 3)</f>
        <v>3</v>
      </c>
      <c r="CA125">
        <f>HYPERLINK("http://exon.niaid.nih.gov/transcriptome/Anopheles_sialome/links/cluster-b/anopheline-sialome-cds-pep-larger-orf60-50SimCLTL3.txt", 40)</f>
        <v>40</v>
      </c>
      <c r="CB125">
        <f>HYPERLINK("http://exon.niaid.nih.gov/transcriptome/Anopheles_sialome/links/cluster-b/anopheline-sialome-cds-pep-larger-orf65-50SimCLU2.txt", 2)</f>
        <v>2</v>
      </c>
      <c r="CC125">
        <f>HYPERLINK("http://exon.niaid.nih.gov/transcriptome/Anopheles_sialome/links/cluster-b/anopheline-sialome-cds-pep-larger-orf65-50SimCLTL2.txt", 40)</f>
        <v>40</v>
      </c>
      <c r="CD125">
        <f>HYPERLINK("http://exon.niaid.nih.gov/transcriptome/Anopheles_sialome/links/cluster-b/anopheline-sialome-cds-pep-larger-orf70-50SimCLU11.txt", 11)</f>
        <v>11</v>
      </c>
      <c r="CE125">
        <f>HYPERLINK("http://exon.niaid.nih.gov/transcriptome/Anopheles_sialome/links/cluster-b/anopheline-sialome-cds-pep-larger-orf70-50SimCLTL11.txt", 19)</f>
        <v>19</v>
      </c>
      <c r="CF125">
        <f>HYPERLINK("http://exon.niaid.nih.gov/transcriptome/Anopheles_sialome/links/cluster-b/anopheline-sialome-cds-pep-larger-orf75-50SimCLU7.txt", 7)</f>
        <v>7</v>
      </c>
      <c r="CG125">
        <f>HYPERLINK("http://exon.niaid.nih.gov/transcriptome/Anopheles_sialome/links/cluster-b/anopheline-sialome-cds-pep-larger-orf75-50SimCLTL7.txt", 19)</f>
        <v>19</v>
      </c>
      <c r="CH125">
        <f>HYPERLINK("http://exon.niaid.nih.gov/transcriptome/Anopheles_sialome/links/cluster-b/anopheline-sialome-cds-pep-larger-orf80-50SimCLU5.txt", 5)</f>
        <v>5</v>
      </c>
      <c r="CI125">
        <f>HYPERLINK("http://exon.niaid.nih.gov/transcriptome/Anopheles_sialome/links/cluster-b/anopheline-sialome-cds-pep-larger-orf80-50SimCLTL5.txt", 19)</f>
        <v>19</v>
      </c>
      <c r="CJ125">
        <f>HYPERLINK("http://exon.niaid.nih.gov/transcriptome/Anopheles_sialome/links/cluster-b/anopheline-sialome-cds-pep-larger-orf85-50SimCLU4.txt", 4)</f>
        <v>4</v>
      </c>
      <c r="CK125">
        <f>HYPERLINK("http://exon.niaid.nih.gov/transcriptome/Anopheles_sialome/links/cluster-b/anopheline-sialome-cds-pep-larger-orf85-50SimCLTL4.txt", 19)</f>
        <v>19</v>
      </c>
      <c r="CL125">
        <f>HYPERLINK("http://exon.niaid.nih.gov/transcriptome/Anopheles_sialome/links/cluster-b/anopheline-sialome-cds-pep-larger-orf90-50SimCLU3.txt", 3)</f>
        <v>3</v>
      </c>
      <c r="CM125">
        <f>HYPERLINK("http://exon.niaid.nih.gov/transcriptome/Anopheles_sialome/links/cluster-b/anopheline-sialome-cds-pep-larger-orf90-50SimCLTL3.txt", 15)</f>
        <v>15</v>
      </c>
      <c r="CN125">
        <v>359</v>
      </c>
      <c r="CO125">
        <v>1</v>
      </c>
    </row>
    <row r="126" spans="1:93">
      <c r="A126" s="2" t="str">
        <f>HYPERLINK("http://exon.niaid.nih.gov/transcriptome/Anopheles_sialome/links/cds/anomin_Sal_SerPro1-cds.txt","anomin_Sal_SerPro1")</f>
        <v>anomin_Sal_SerPro1</v>
      </c>
      <c r="B126">
        <v>1191</v>
      </c>
      <c r="C126" t="s">
        <v>377</v>
      </c>
      <c r="D126" t="s">
        <v>4</v>
      </c>
      <c r="E126" t="s">
        <v>5</v>
      </c>
      <c r="F126" t="s">
        <v>1</v>
      </c>
      <c r="G126" t="str">
        <f>HYPERLINK("http://exon.niaid.nih.gov/transcriptome/Anopheles_sialome/links/pep/anomin_Sal_SerPro1-pep.txt","anomin_Sal_SerPro1")</f>
        <v>anomin_Sal_SerPro1</v>
      </c>
      <c r="H126">
        <v>396</v>
      </c>
      <c r="I126">
        <v>1</v>
      </c>
      <c r="J126" s="3" t="str">
        <f>HYPERLINK("http://exon.niaid.nih.gov/transcriptome/Anopheles_sialome/links/Sigp/anomin_Sal_SerPro1-SigP.txt","SIG")</f>
        <v>SIG</v>
      </c>
      <c r="K126" t="s">
        <v>787</v>
      </c>
      <c r="L126">
        <v>42.418999999999997</v>
      </c>
      <c r="M126">
        <v>8.7899999999999991</v>
      </c>
      <c r="N126">
        <v>39.985999999999997</v>
      </c>
      <c r="O126">
        <v>8.83</v>
      </c>
      <c r="P126" t="s">
        <v>1635</v>
      </c>
      <c r="Q126" s="3" t="str">
        <f>HYPERLINK("http://exon.niaid.nih.gov/transcriptome/Anopheles_sialome/links/tmhmm/anomin_Sal_SerPro1-tmhmm.txt","1")</f>
        <v>1</v>
      </c>
      <c r="R126">
        <v>5.6</v>
      </c>
      <c r="S126">
        <v>92.7</v>
      </c>
      <c r="T126">
        <v>1.8</v>
      </c>
      <c r="U126" t="s">
        <v>128</v>
      </c>
      <c r="V126">
        <v>367</v>
      </c>
      <c r="W126" s="3" t="str">
        <f>HYPERLINK("http://exon.niaid.nih.gov/transcriptome/Anopheles_sialome/links/netoglyc/anomin_Sal_SerPro1-netoglyc.txt","4")</f>
        <v>4</v>
      </c>
      <c r="X126">
        <v>21.5</v>
      </c>
      <c r="Y126">
        <v>8.3000000000000007</v>
      </c>
      <c r="Z126">
        <v>4.8</v>
      </c>
      <c r="AA126" t="s">
        <v>654</v>
      </c>
      <c r="AB126" t="s">
        <v>128</v>
      </c>
      <c r="AC126" s="2" t="str">
        <f>HYPERLINK("http://exon.niaid.nih.gov/transcriptome/Anopheles_sialome/links/DIPTERA/anomin_Sal_SerPro1-DIPTERA.txt","AGAP011912-PA, partial")</f>
        <v>AGAP011912-PA, partial</v>
      </c>
      <c r="AD126" t="str">
        <f t="shared" si="87"/>
        <v>0.0</v>
      </c>
      <c r="AE126" t="str">
        <f t="shared" si="88"/>
        <v>gi|157013322</v>
      </c>
      <c r="AF126">
        <v>84</v>
      </c>
      <c r="AG126">
        <v>92</v>
      </c>
      <c r="AH126">
        <v>97</v>
      </c>
      <c r="AI126" t="s">
        <v>2285</v>
      </c>
      <c r="AJ126" s="2" t="str">
        <f>HYPERLINK("http://exon.niaid.nih.gov/transcriptome/Anopheles_sialome/links/CULICOMORPHA/anomin_Sal_SerPro1-CULICOMORPHA.txt","AGAP011912-PA, partial")</f>
        <v>AGAP011912-PA, partial</v>
      </c>
      <c r="AK126" t="str">
        <f t="shared" si="89"/>
        <v>0.0</v>
      </c>
      <c r="AL126" t="str">
        <f t="shared" si="90"/>
        <v>gi|157013322</v>
      </c>
      <c r="AM126">
        <v>84</v>
      </c>
      <c r="AN126">
        <v>92</v>
      </c>
      <c r="AO126">
        <v>97</v>
      </c>
      <c r="AP126" t="s">
        <v>2285</v>
      </c>
      <c r="AQ126" s="2" t="str">
        <f>HYPERLINK("http://exon.niaid.nih.gov/transcriptome/Anopheles_sialome/links/NR-LIGHT/anomin_Sal_SerPro1-NR-LIGHT.txt","AGAP011912-PA")</f>
        <v>AGAP011912-PA</v>
      </c>
      <c r="AR126" t="str">
        <f t="shared" si="91"/>
        <v>0.0</v>
      </c>
      <c r="AS126" t="str">
        <f t="shared" si="92"/>
        <v>gi|158300773</v>
      </c>
      <c r="AT126">
        <v>84</v>
      </c>
      <c r="AU126">
        <v>92</v>
      </c>
      <c r="AV126">
        <v>97</v>
      </c>
      <c r="AW126" t="s">
        <v>2285</v>
      </c>
      <c r="AX126" s="2" t="str">
        <f>HYPERLINK("http://exon.niaid.nih.gov/transcriptome/Anopheles_sialome/links/CDD/anomin_Sal_SerPro1-CDD.txt","Tryp_SPc")</f>
        <v>Tryp_SPc</v>
      </c>
      <c r="AY126" t="str">
        <f>HYPERLINK("http://www.ncbi.nlm.nih.gov/Structure/cdd/cddsrv.cgi?uid=cd00190&amp;version=v4.0","9E-054")</f>
        <v>9E-054</v>
      </c>
      <c r="AZ126" t="s">
        <v>2814</v>
      </c>
      <c r="BA126" s="2" t="str">
        <f>HYPERLINK("http://exon.niaid.nih.gov/transcriptome/Anopheles_sialome/links/KOG/anomin_Sal_SerPro1-KOG.txt","Trypsin")</f>
        <v>Trypsin</v>
      </c>
      <c r="BB126" t="str">
        <f>HYPERLINK("http://www.ncbi.nlm.nih.gov/Structure/cdd/cddsrv.cgi?uid=KOG3627","4E-044")</f>
        <v>4E-044</v>
      </c>
      <c r="BC126" t="s">
        <v>2287</v>
      </c>
      <c r="BD126" t="str">
        <f>HYPERLINK("http://exon.niaid.nih.gov/transcriptome/Anopheles_sialome/links/KOG/anomin_Sal_SerPro1-KOG.txt","KOG3627")</f>
        <v>KOG3627</v>
      </c>
      <c r="BE126" t="str">
        <f>HYPERLINK("http://exon.niaid.nih.gov/transcriptome/Anopheles_sialome/links/PFAM/anomin_Sal_SerPro1-PFAM.txt","Trypsin")</f>
        <v>Trypsin</v>
      </c>
      <c r="BF126" t="str">
        <f>HYPERLINK("http://pfam.sanger.ac.uk/family?acc=PF00089","1E-034")</f>
        <v>1E-034</v>
      </c>
      <c r="BG126" s="2" t="str">
        <f>HYPERLINK("http://exon.niaid.nih.gov/transcriptome/Anopheles_sialome/links/SMART/anomin_Sal_SerPro1-SMART.txt","Tryp_SPc")</f>
        <v>Tryp_SPc</v>
      </c>
      <c r="BH126" t="str">
        <f>HYPERLINK("http://smart.embl-heidelberg.de/smart/do_annotation.pl?DOMAIN=Tryp_SPc&amp;BLAST=DUMMY","2E-052")</f>
        <v>2E-052</v>
      </c>
      <c r="BI126" t="s">
        <v>128</v>
      </c>
      <c r="BJ126" s="2" t="s">
        <v>128</v>
      </c>
      <c r="BK126" t="s">
        <v>1634</v>
      </c>
      <c r="BL126">
        <f>HYPERLINK("http://exon.niaid.nih.gov/transcriptome/Anopheles_sialome/links/cluster-b/anopheline-sialome-cds-pep-larger-orf25-50SimCLU5.txt", 5)</f>
        <v>5</v>
      </c>
      <c r="BM126">
        <f>HYPERLINK("http://exon.niaid.nih.gov/transcriptome/Anopheles_sialome/links/cluster-b/anopheline-sialome-cds-pep-larger-orf25-50SimCLTL5.txt", 56)</f>
        <v>56</v>
      </c>
      <c r="BN126">
        <f>HYPERLINK("http://exon.niaid.nih.gov/transcriptome/Anopheles_sialome/links/cluster-b/anopheline-sialome-cds-pep-larger-orf30-50SimCLU7.txt", 7)</f>
        <v>7</v>
      </c>
      <c r="BO126">
        <f>HYPERLINK("http://exon.niaid.nih.gov/transcriptome/Anopheles_sialome/links/cluster-b/anopheline-sialome-cds-pep-larger-orf30-50SimCLTL7.txt", 40)</f>
        <v>40</v>
      </c>
      <c r="BP126">
        <f>HYPERLINK("http://exon.niaid.nih.gov/transcriptome/Anopheles_sialome/links/cluster-b/anopheline-sialome-cds-pep-larger-orf35-50SimCLU8.txt", 8)</f>
        <v>8</v>
      </c>
      <c r="BQ126">
        <f>HYPERLINK("http://exon.niaid.nih.gov/transcriptome/Anopheles_sialome/links/cluster-b/anopheline-sialome-cds-pep-larger-orf35-50SimCLTL8.txt", 40)</f>
        <v>40</v>
      </c>
      <c r="BR126">
        <f>HYPERLINK("http://exon.niaid.nih.gov/transcriptome/Anopheles_sialome/links/cluster-b/anopheline-sialome-cds-pep-larger-orf40-50SimCLU5.txt", 5)</f>
        <v>5</v>
      </c>
      <c r="BS126">
        <f>HYPERLINK("http://exon.niaid.nih.gov/transcriptome/Anopheles_sialome/links/cluster-b/anopheline-sialome-cds-pep-larger-orf40-50SimCLTL5.txt", 40)</f>
        <v>40</v>
      </c>
      <c r="BT126">
        <f>HYPERLINK("http://exon.niaid.nih.gov/transcriptome/Anopheles_sialome/links/cluster-b/anopheline-sialome-cds-pep-larger-orf45-50SimCLU4.txt", 4)</f>
        <v>4</v>
      </c>
      <c r="BU126">
        <f>HYPERLINK("http://exon.niaid.nih.gov/transcriptome/Anopheles_sialome/links/cluster-b/anopheline-sialome-cds-pep-larger-orf45-50SimCLTL4.txt", 40)</f>
        <v>40</v>
      </c>
      <c r="BV126">
        <f>HYPERLINK("http://exon.niaid.nih.gov/transcriptome/Anopheles_sialome/links/cluster-b/anopheline-sialome-cds-pep-larger-orf50-50SimCLU4.txt", 4)</f>
        <v>4</v>
      </c>
      <c r="BW126">
        <f>HYPERLINK("http://exon.niaid.nih.gov/transcriptome/Anopheles_sialome/links/cluster-b/anopheline-sialome-cds-pep-larger-orf50-50SimCLTL4.txt", 40)</f>
        <v>40</v>
      </c>
      <c r="BX126">
        <f>HYPERLINK("http://exon.niaid.nih.gov/transcriptome/Anopheles_sialome/links/cluster-b/anopheline-sialome-cds-pep-larger-orf55-50SimCLU4.txt", 4)</f>
        <v>4</v>
      </c>
      <c r="BY126">
        <f>HYPERLINK("http://exon.niaid.nih.gov/transcriptome/Anopheles_sialome/links/cluster-b/anopheline-sialome-cds-pep-larger-orf55-50SimCLTL4.txt", 40)</f>
        <v>40</v>
      </c>
      <c r="BZ126">
        <f>HYPERLINK("http://exon.niaid.nih.gov/transcriptome/Anopheles_sialome/links/cluster-b/anopheline-sialome-cds-pep-larger-orf60-50SimCLU3.txt", 3)</f>
        <v>3</v>
      </c>
      <c r="CA126">
        <f>HYPERLINK("http://exon.niaid.nih.gov/transcriptome/Anopheles_sialome/links/cluster-b/anopheline-sialome-cds-pep-larger-orf60-50SimCLTL3.txt", 40)</f>
        <v>40</v>
      </c>
      <c r="CB126">
        <f>HYPERLINK("http://exon.niaid.nih.gov/transcriptome/Anopheles_sialome/links/cluster-b/anopheline-sialome-cds-pep-larger-orf65-50SimCLU2.txt", 2)</f>
        <v>2</v>
      </c>
      <c r="CC126">
        <f>HYPERLINK("http://exon.niaid.nih.gov/transcriptome/Anopheles_sialome/links/cluster-b/anopheline-sialome-cds-pep-larger-orf65-50SimCLTL2.txt", 40)</f>
        <v>40</v>
      </c>
      <c r="CD126">
        <f>HYPERLINK("http://exon.niaid.nih.gov/transcriptome/Anopheles_sialome/links/cluster-b/anopheline-sialome-cds-pep-larger-orf70-50SimCLU11.txt", 11)</f>
        <v>11</v>
      </c>
      <c r="CE126">
        <f>HYPERLINK("http://exon.niaid.nih.gov/transcriptome/Anopheles_sialome/links/cluster-b/anopheline-sialome-cds-pep-larger-orf70-50SimCLTL11.txt", 19)</f>
        <v>19</v>
      </c>
      <c r="CF126">
        <f>HYPERLINK("http://exon.niaid.nih.gov/transcriptome/Anopheles_sialome/links/cluster-b/anopheline-sialome-cds-pep-larger-orf75-50SimCLU7.txt", 7)</f>
        <v>7</v>
      </c>
      <c r="CG126">
        <f>HYPERLINK("http://exon.niaid.nih.gov/transcriptome/Anopheles_sialome/links/cluster-b/anopheline-sialome-cds-pep-larger-orf75-50SimCLTL7.txt", 19)</f>
        <v>19</v>
      </c>
      <c r="CH126">
        <f>HYPERLINK("http://exon.niaid.nih.gov/transcriptome/Anopheles_sialome/links/cluster-b/anopheline-sialome-cds-pep-larger-orf80-50SimCLU5.txt", 5)</f>
        <v>5</v>
      </c>
      <c r="CI126">
        <f>HYPERLINK("http://exon.niaid.nih.gov/transcriptome/Anopheles_sialome/links/cluster-b/anopheline-sialome-cds-pep-larger-orf80-50SimCLTL5.txt", 19)</f>
        <v>19</v>
      </c>
      <c r="CJ126">
        <f>HYPERLINK("http://exon.niaid.nih.gov/transcriptome/Anopheles_sialome/links/cluster-b/anopheline-sialome-cds-pep-larger-orf85-50SimCLU4.txt", 4)</f>
        <v>4</v>
      </c>
      <c r="CK126">
        <f>HYPERLINK("http://exon.niaid.nih.gov/transcriptome/Anopheles_sialome/links/cluster-b/anopheline-sialome-cds-pep-larger-orf85-50SimCLTL4.txt", 19)</f>
        <v>19</v>
      </c>
      <c r="CL126">
        <f>HYPERLINK("http://exon.niaid.nih.gov/transcriptome/Anopheles_sialome/links/cluster-b/anopheline-sialome-cds-pep-larger-orf90-50SimCLU3.txt", 3)</f>
        <v>3</v>
      </c>
      <c r="CM126">
        <f>HYPERLINK("http://exon.niaid.nih.gov/transcriptome/Anopheles_sialome/links/cluster-b/anopheline-sialome-cds-pep-larger-orf90-50SimCLTL3.txt", 15)</f>
        <v>15</v>
      </c>
      <c r="CN126">
        <f>HYPERLINK("http://exon.niaid.nih.gov/transcriptome/Anopheles_sialome/links/cluster-b/anopheline-sialome-cds-pep-larger-orf95-50SimCLU65.txt", 65)</f>
        <v>65</v>
      </c>
      <c r="CO126">
        <f>HYPERLINK("http://exon.niaid.nih.gov/transcriptome/Anopheles_sialome/links/cluster-b/anopheline-sialome-cds-pep-larger-orf95-50SimCLTL65.txt", 2)</f>
        <v>2</v>
      </c>
    </row>
    <row r="127" spans="1:93">
      <c r="A127" s="2" t="str">
        <f>HYPERLINK("http://exon.niaid.nih.gov/transcriptome/Anopheles_sialome/links/cds/anocul_Sal_SerPro1-cds.txt","anocul_Sal_SerPro1")</f>
        <v>anocul_Sal_SerPro1</v>
      </c>
      <c r="B127">
        <v>1188</v>
      </c>
      <c r="C127" t="s">
        <v>378</v>
      </c>
      <c r="D127" t="s">
        <v>4</v>
      </c>
      <c r="E127" t="s">
        <v>5</v>
      </c>
      <c r="F127" t="s">
        <v>1</v>
      </c>
      <c r="G127" t="str">
        <f>HYPERLINK("http://exon.niaid.nih.gov/transcriptome/Anopheles_sialome/links/pep/anocul_Sal_SerPro1-pep.txt","anocul_Sal_SerPro1")</f>
        <v>anocul_Sal_SerPro1</v>
      </c>
      <c r="H127">
        <v>395</v>
      </c>
      <c r="I127">
        <v>1</v>
      </c>
      <c r="J127" s="3" t="str">
        <f>HYPERLINK("http://exon.niaid.nih.gov/transcriptome/Anopheles_sialome/links/Sigp/anocul_Sal_SerPro1-SigP.txt","SIG")</f>
        <v>SIG</v>
      </c>
      <c r="K127" t="s">
        <v>715</v>
      </c>
      <c r="L127">
        <v>42.167999999999999</v>
      </c>
      <c r="M127">
        <v>8.8000000000000007</v>
      </c>
      <c r="N127">
        <v>39.781999999999996</v>
      </c>
      <c r="O127">
        <v>8.84</v>
      </c>
      <c r="P127" t="s">
        <v>1637</v>
      </c>
      <c r="Q127" s="3">
        <v>0</v>
      </c>
      <c r="R127" t="s">
        <v>128</v>
      </c>
      <c r="S127" t="s">
        <v>128</v>
      </c>
      <c r="T127" t="s">
        <v>128</v>
      </c>
      <c r="U127" t="s">
        <v>128</v>
      </c>
      <c r="V127" t="s">
        <v>128</v>
      </c>
      <c r="W127" s="3" t="str">
        <f>HYPERLINK("http://exon.niaid.nih.gov/transcriptome/Anopheles_sialome/links/netoglyc/anocul_Sal_SerPro1-netoglyc.txt","2")</f>
        <v>2</v>
      </c>
      <c r="X127">
        <v>22.5</v>
      </c>
      <c r="Y127">
        <v>8.4</v>
      </c>
      <c r="Z127">
        <v>4.5999999999999996</v>
      </c>
      <c r="AA127" t="s">
        <v>654</v>
      </c>
      <c r="AB127" t="s">
        <v>128</v>
      </c>
      <c r="AC127" s="2" t="str">
        <f>HYPERLINK("http://exon.niaid.nih.gov/transcriptome/Anopheles_sialome/links/DIPTERA/anocul_Sal_SerPro1-DIPTERA.txt","AGAP011912-PA, partial")</f>
        <v>AGAP011912-PA, partial</v>
      </c>
      <c r="AD127" t="str">
        <f t="shared" si="87"/>
        <v>0.0</v>
      </c>
      <c r="AE127" t="str">
        <f t="shared" si="88"/>
        <v>gi|157013322</v>
      </c>
      <c r="AF127">
        <v>83</v>
      </c>
      <c r="AG127">
        <v>92</v>
      </c>
      <c r="AH127">
        <v>97</v>
      </c>
      <c r="AI127" t="s">
        <v>2285</v>
      </c>
      <c r="AJ127" s="2" t="str">
        <f>HYPERLINK("http://exon.niaid.nih.gov/transcriptome/Anopheles_sialome/links/CULICOMORPHA/anocul_Sal_SerPro1-CULICOMORPHA.txt","AGAP011912-PA, partial")</f>
        <v>AGAP011912-PA, partial</v>
      </c>
      <c r="AK127" t="str">
        <f t="shared" si="89"/>
        <v>0.0</v>
      </c>
      <c r="AL127" t="str">
        <f t="shared" si="90"/>
        <v>gi|157013322</v>
      </c>
      <c r="AM127">
        <v>83</v>
      </c>
      <c r="AN127">
        <v>92</v>
      </c>
      <c r="AO127">
        <v>97</v>
      </c>
      <c r="AP127" t="s">
        <v>2285</v>
      </c>
      <c r="AQ127" s="2" t="str">
        <f>HYPERLINK("http://exon.niaid.nih.gov/transcriptome/Anopheles_sialome/links/NR-LIGHT/anocul_Sal_SerPro1-NR-LIGHT.txt","AGAP011912-PA")</f>
        <v>AGAP011912-PA</v>
      </c>
      <c r="AR127" t="str">
        <f t="shared" si="91"/>
        <v>0.0</v>
      </c>
      <c r="AS127" t="str">
        <f t="shared" si="92"/>
        <v>gi|158300773</v>
      </c>
      <c r="AT127">
        <v>83</v>
      </c>
      <c r="AU127">
        <v>92</v>
      </c>
      <c r="AV127">
        <v>97</v>
      </c>
      <c r="AW127" t="s">
        <v>2285</v>
      </c>
      <c r="AX127" s="2" t="str">
        <f>HYPERLINK("http://exon.niaid.nih.gov/transcriptome/Anopheles_sialome/links/CDD/anocul_Sal_SerPro1-CDD.txt","Tryp_SPc")</f>
        <v>Tryp_SPc</v>
      </c>
      <c r="AY127" t="str">
        <f>HYPERLINK("http://www.ncbi.nlm.nih.gov/Structure/cdd/cddsrv.cgi?uid=cd00190&amp;version=v4.0","2E-054")</f>
        <v>2E-054</v>
      </c>
      <c r="AZ127" t="s">
        <v>2815</v>
      </c>
      <c r="BA127" s="2" t="str">
        <f>HYPERLINK("http://exon.niaid.nih.gov/transcriptome/Anopheles_sialome/links/KOG/anocul_Sal_SerPro1-KOG.txt","Trypsin")</f>
        <v>Trypsin</v>
      </c>
      <c r="BB127" t="str">
        <f>HYPERLINK("http://www.ncbi.nlm.nih.gov/Structure/cdd/cddsrv.cgi?uid=KOG3627","1E-045")</f>
        <v>1E-045</v>
      </c>
      <c r="BC127" t="s">
        <v>2287</v>
      </c>
      <c r="BD127" t="str">
        <f>HYPERLINK("http://exon.niaid.nih.gov/transcriptome/Anopheles_sialome/links/KOG/anocul_Sal_SerPro1-KOG.txt","KOG3627")</f>
        <v>KOG3627</v>
      </c>
      <c r="BE127" t="str">
        <f>HYPERLINK("http://exon.niaid.nih.gov/transcriptome/Anopheles_sialome/links/PFAM/anocul_Sal_SerPro1-PFAM.txt","Trypsin")</f>
        <v>Trypsin</v>
      </c>
      <c r="BF127" t="str">
        <f>HYPERLINK("http://pfam.sanger.ac.uk/family?acc=PF00089","2E-036")</f>
        <v>2E-036</v>
      </c>
      <c r="BG127" s="2" t="str">
        <f>HYPERLINK("http://exon.niaid.nih.gov/transcriptome/Anopheles_sialome/links/SMART/anocul_Sal_SerPro1-SMART.txt","Tryp_SPc")</f>
        <v>Tryp_SPc</v>
      </c>
      <c r="BH127" t="str">
        <f>HYPERLINK("http://smart.embl-heidelberg.de/smart/do_annotation.pl?DOMAIN=Tryp_SPc&amp;BLAST=DUMMY","4E-053")</f>
        <v>4E-053</v>
      </c>
      <c r="BI127" t="s">
        <v>128</v>
      </c>
      <c r="BJ127" s="2" t="s">
        <v>128</v>
      </c>
      <c r="BK127" t="s">
        <v>1636</v>
      </c>
      <c r="BL127">
        <f>HYPERLINK("http://exon.niaid.nih.gov/transcriptome/Anopheles_sialome/links/cluster-b/anopheline-sialome-cds-pep-larger-orf25-50SimCLU5.txt", 5)</f>
        <v>5</v>
      </c>
      <c r="BM127">
        <f>HYPERLINK("http://exon.niaid.nih.gov/transcriptome/Anopheles_sialome/links/cluster-b/anopheline-sialome-cds-pep-larger-orf25-50SimCLTL5.txt", 56)</f>
        <v>56</v>
      </c>
      <c r="BN127">
        <f>HYPERLINK("http://exon.niaid.nih.gov/transcriptome/Anopheles_sialome/links/cluster-b/anopheline-sialome-cds-pep-larger-orf30-50SimCLU7.txt", 7)</f>
        <v>7</v>
      </c>
      <c r="BO127">
        <f>HYPERLINK("http://exon.niaid.nih.gov/transcriptome/Anopheles_sialome/links/cluster-b/anopheline-sialome-cds-pep-larger-orf30-50SimCLTL7.txt", 40)</f>
        <v>40</v>
      </c>
      <c r="BP127">
        <f>HYPERLINK("http://exon.niaid.nih.gov/transcriptome/Anopheles_sialome/links/cluster-b/anopheline-sialome-cds-pep-larger-orf35-50SimCLU8.txt", 8)</f>
        <v>8</v>
      </c>
      <c r="BQ127">
        <f>HYPERLINK("http://exon.niaid.nih.gov/transcriptome/Anopheles_sialome/links/cluster-b/anopheline-sialome-cds-pep-larger-orf35-50SimCLTL8.txt", 40)</f>
        <v>40</v>
      </c>
      <c r="BR127">
        <f>HYPERLINK("http://exon.niaid.nih.gov/transcriptome/Anopheles_sialome/links/cluster-b/anopheline-sialome-cds-pep-larger-orf40-50SimCLU5.txt", 5)</f>
        <v>5</v>
      </c>
      <c r="BS127">
        <f>HYPERLINK("http://exon.niaid.nih.gov/transcriptome/Anopheles_sialome/links/cluster-b/anopheline-sialome-cds-pep-larger-orf40-50SimCLTL5.txt", 40)</f>
        <v>40</v>
      </c>
      <c r="BT127">
        <f>HYPERLINK("http://exon.niaid.nih.gov/transcriptome/Anopheles_sialome/links/cluster-b/anopheline-sialome-cds-pep-larger-orf45-50SimCLU4.txt", 4)</f>
        <v>4</v>
      </c>
      <c r="BU127">
        <f>HYPERLINK("http://exon.niaid.nih.gov/transcriptome/Anopheles_sialome/links/cluster-b/anopheline-sialome-cds-pep-larger-orf45-50SimCLTL4.txt", 40)</f>
        <v>40</v>
      </c>
      <c r="BV127">
        <f>HYPERLINK("http://exon.niaid.nih.gov/transcriptome/Anopheles_sialome/links/cluster-b/anopheline-sialome-cds-pep-larger-orf50-50SimCLU4.txt", 4)</f>
        <v>4</v>
      </c>
      <c r="BW127">
        <f>HYPERLINK("http://exon.niaid.nih.gov/transcriptome/Anopheles_sialome/links/cluster-b/anopheline-sialome-cds-pep-larger-orf50-50SimCLTL4.txt", 40)</f>
        <v>40</v>
      </c>
      <c r="BX127">
        <f>HYPERLINK("http://exon.niaid.nih.gov/transcriptome/Anopheles_sialome/links/cluster-b/anopheline-sialome-cds-pep-larger-orf55-50SimCLU4.txt", 4)</f>
        <v>4</v>
      </c>
      <c r="BY127">
        <f>HYPERLINK("http://exon.niaid.nih.gov/transcriptome/Anopheles_sialome/links/cluster-b/anopheline-sialome-cds-pep-larger-orf55-50SimCLTL4.txt", 40)</f>
        <v>40</v>
      </c>
      <c r="BZ127">
        <f>HYPERLINK("http://exon.niaid.nih.gov/transcriptome/Anopheles_sialome/links/cluster-b/anopheline-sialome-cds-pep-larger-orf60-50SimCLU3.txt", 3)</f>
        <v>3</v>
      </c>
      <c r="CA127">
        <f>HYPERLINK("http://exon.niaid.nih.gov/transcriptome/Anopheles_sialome/links/cluster-b/anopheline-sialome-cds-pep-larger-orf60-50SimCLTL3.txt", 40)</f>
        <v>40</v>
      </c>
      <c r="CB127">
        <f>HYPERLINK("http://exon.niaid.nih.gov/transcriptome/Anopheles_sialome/links/cluster-b/anopheline-sialome-cds-pep-larger-orf65-50SimCLU2.txt", 2)</f>
        <v>2</v>
      </c>
      <c r="CC127">
        <f>HYPERLINK("http://exon.niaid.nih.gov/transcriptome/Anopheles_sialome/links/cluster-b/anopheline-sialome-cds-pep-larger-orf65-50SimCLTL2.txt", 40)</f>
        <v>40</v>
      </c>
      <c r="CD127">
        <f>HYPERLINK("http://exon.niaid.nih.gov/transcriptome/Anopheles_sialome/links/cluster-b/anopheline-sialome-cds-pep-larger-orf70-50SimCLU11.txt", 11)</f>
        <v>11</v>
      </c>
      <c r="CE127">
        <f>HYPERLINK("http://exon.niaid.nih.gov/transcriptome/Anopheles_sialome/links/cluster-b/anopheline-sialome-cds-pep-larger-orf70-50SimCLTL11.txt", 19)</f>
        <v>19</v>
      </c>
      <c r="CF127">
        <f>HYPERLINK("http://exon.niaid.nih.gov/transcriptome/Anopheles_sialome/links/cluster-b/anopheline-sialome-cds-pep-larger-orf75-50SimCLU7.txt", 7)</f>
        <v>7</v>
      </c>
      <c r="CG127">
        <f>HYPERLINK("http://exon.niaid.nih.gov/transcriptome/Anopheles_sialome/links/cluster-b/anopheline-sialome-cds-pep-larger-orf75-50SimCLTL7.txt", 19)</f>
        <v>19</v>
      </c>
      <c r="CH127">
        <f>HYPERLINK("http://exon.niaid.nih.gov/transcriptome/Anopheles_sialome/links/cluster-b/anopheline-sialome-cds-pep-larger-orf80-50SimCLU5.txt", 5)</f>
        <v>5</v>
      </c>
      <c r="CI127">
        <f>HYPERLINK("http://exon.niaid.nih.gov/transcriptome/Anopheles_sialome/links/cluster-b/anopheline-sialome-cds-pep-larger-orf80-50SimCLTL5.txt", 19)</f>
        <v>19</v>
      </c>
      <c r="CJ127">
        <f>HYPERLINK("http://exon.niaid.nih.gov/transcriptome/Anopheles_sialome/links/cluster-b/anopheline-sialome-cds-pep-larger-orf85-50SimCLU4.txt", 4)</f>
        <v>4</v>
      </c>
      <c r="CK127">
        <f>HYPERLINK("http://exon.niaid.nih.gov/transcriptome/Anopheles_sialome/links/cluster-b/anopheline-sialome-cds-pep-larger-orf85-50SimCLTL4.txt", 19)</f>
        <v>19</v>
      </c>
      <c r="CL127">
        <f>HYPERLINK("http://exon.niaid.nih.gov/transcriptome/Anopheles_sialome/links/cluster-b/anopheline-sialome-cds-pep-larger-orf90-50SimCLU3.txt", 3)</f>
        <v>3</v>
      </c>
      <c r="CM127">
        <f>HYPERLINK("http://exon.niaid.nih.gov/transcriptome/Anopheles_sialome/links/cluster-b/anopheline-sialome-cds-pep-larger-orf90-50SimCLTL3.txt", 15)</f>
        <v>15</v>
      </c>
      <c r="CN127">
        <f>HYPERLINK("http://exon.niaid.nih.gov/transcriptome/Anopheles_sialome/links/cluster-b/anopheline-sialome-cds-pep-larger-orf95-50SimCLU65.txt", 65)</f>
        <v>65</v>
      </c>
      <c r="CO127">
        <f>HYPERLINK("http://exon.niaid.nih.gov/transcriptome/Anopheles_sialome/links/cluster-b/anopheline-sialome-cds-pep-larger-orf95-50SimCLTL65.txt", 2)</f>
        <v>2</v>
      </c>
    </row>
    <row r="128" spans="1:93">
      <c r="A128" s="2" t="str">
        <f>HYPERLINK("http://exon.niaid.nih.gov/transcriptome/Anopheles_sialome/links/cds/anoste_Sal_SerPro1-cds.txt","anoste_Sal_SerPro1")</f>
        <v>anoste_Sal_SerPro1</v>
      </c>
      <c r="B128">
        <v>1185</v>
      </c>
      <c r="C128" t="s">
        <v>379</v>
      </c>
      <c r="D128" t="s">
        <v>4</v>
      </c>
      <c r="E128" t="s">
        <v>5</v>
      </c>
      <c r="F128" t="s">
        <v>1</v>
      </c>
      <c r="G128" t="str">
        <f>HYPERLINK("http://exon.niaid.nih.gov/transcriptome/Anopheles_sialome/links/pep/anoste_Sal_SerPro1-pep.txt","anoste_Sal_SerPro1")</f>
        <v>anoste_Sal_SerPro1</v>
      </c>
      <c r="H128">
        <v>394</v>
      </c>
      <c r="I128">
        <v>1</v>
      </c>
      <c r="J128" s="3" t="str">
        <f>HYPERLINK("http://exon.niaid.nih.gov/transcriptome/Anopheles_sialome/links/Sigp/anoste_Sal_SerPro1-SigP.txt","SIG")</f>
        <v>SIG</v>
      </c>
      <c r="K128" t="s">
        <v>708</v>
      </c>
      <c r="L128">
        <v>42.487000000000002</v>
      </c>
      <c r="M128">
        <v>8.93</v>
      </c>
      <c r="N128">
        <v>40.043999999999997</v>
      </c>
      <c r="O128">
        <v>8.98</v>
      </c>
      <c r="P128" t="s">
        <v>1639</v>
      </c>
      <c r="Q128" s="3">
        <v>0</v>
      </c>
      <c r="R128" t="s">
        <v>128</v>
      </c>
      <c r="S128" t="s">
        <v>128</v>
      </c>
      <c r="T128" t="s">
        <v>128</v>
      </c>
      <c r="U128" t="s">
        <v>128</v>
      </c>
      <c r="V128" t="s">
        <v>128</v>
      </c>
      <c r="W128" s="3" t="str">
        <f>HYPERLINK("http://exon.niaid.nih.gov/transcriptome/Anopheles_sialome/links/netoglyc/anoste_Sal_SerPro1-netoglyc.txt","1")</f>
        <v>1</v>
      </c>
      <c r="X128">
        <v>21.8</v>
      </c>
      <c r="Y128">
        <v>7.9</v>
      </c>
      <c r="Z128">
        <v>4.8</v>
      </c>
      <c r="AA128">
        <v>0.8</v>
      </c>
      <c r="AB128" t="s">
        <v>128</v>
      </c>
      <c r="AC128" s="2" t="str">
        <f>HYPERLINK("http://exon.niaid.nih.gov/transcriptome/Anopheles_sialome/links/DIPTERA/anoste_Sal_SerPro1-DIPTERA.txt","AGAP011912-PA, partial")</f>
        <v>AGAP011912-PA, partial</v>
      </c>
      <c r="AD128" t="str">
        <f t="shared" si="87"/>
        <v>0.0</v>
      </c>
      <c r="AE128" t="str">
        <f t="shared" si="88"/>
        <v>gi|157013322</v>
      </c>
      <c r="AF128">
        <v>85</v>
      </c>
      <c r="AG128">
        <v>93</v>
      </c>
      <c r="AH128">
        <v>97</v>
      </c>
      <c r="AI128" t="s">
        <v>2285</v>
      </c>
      <c r="AJ128" s="2" t="str">
        <f>HYPERLINK("http://exon.niaid.nih.gov/transcriptome/Anopheles_sialome/links/CULICOMORPHA/anoste_Sal_SerPro1-CULICOMORPHA.txt","AGAP011912-PA, partial")</f>
        <v>AGAP011912-PA, partial</v>
      </c>
      <c r="AK128" t="str">
        <f t="shared" si="89"/>
        <v>0.0</v>
      </c>
      <c r="AL128" t="str">
        <f t="shared" si="90"/>
        <v>gi|157013322</v>
      </c>
      <c r="AM128">
        <v>85</v>
      </c>
      <c r="AN128">
        <v>93</v>
      </c>
      <c r="AO128">
        <v>97</v>
      </c>
      <c r="AP128" t="s">
        <v>2285</v>
      </c>
      <c r="AQ128" s="2" t="str">
        <f>HYPERLINK("http://exon.niaid.nih.gov/transcriptome/Anopheles_sialome/links/NR-LIGHT/anoste_Sal_SerPro1-NR-LIGHT.txt","AGAP011912-PA")</f>
        <v>AGAP011912-PA</v>
      </c>
      <c r="AR128" t="str">
        <f t="shared" si="91"/>
        <v>0.0</v>
      </c>
      <c r="AS128" t="str">
        <f t="shared" si="92"/>
        <v>gi|158300773</v>
      </c>
      <c r="AT128">
        <v>85</v>
      </c>
      <c r="AU128">
        <v>93</v>
      </c>
      <c r="AV128">
        <v>97</v>
      </c>
      <c r="AW128" t="s">
        <v>2285</v>
      </c>
      <c r="AX128" s="2" t="str">
        <f>HYPERLINK("http://exon.niaid.nih.gov/transcriptome/Anopheles_sialome/links/CDD/anoste_Sal_SerPro1-CDD.txt","Tryp_SPc")</f>
        <v>Tryp_SPc</v>
      </c>
      <c r="AY128" t="str">
        <f>HYPERLINK("http://www.ncbi.nlm.nih.gov/Structure/cdd/cddsrv.cgi?uid=cd00190&amp;version=v4.0","3E-053")</f>
        <v>3E-053</v>
      </c>
      <c r="AZ128" t="s">
        <v>2816</v>
      </c>
      <c r="BA128" s="2" t="str">
        <f>HYPERLINK("http://exon.niaid.nih.gov/transcriptome/Anopheles_sialome/links/KOG/anoste_Sal_SerPro1-KOG.txt","Trypsin")</f>
        <v>Trypsin</v>
      </c>
      <c r="BB128" t="str">
        <f>HYPERLINK("http://www.ncbi.nlm.nih.gov/Structure/cdd/cddsrv.cgi?uid=KOG3627","4E-042")</f>
        <v>4E-042</v>
      </c>
      <c r="BC128" t="s">
        <v>2287</v>
      </c>
      <c r="BD128" t="str">
        <f>HYPERLINK("http://exon.niaid.nih.gov/transcriptome/Anopheles_sialome/links/KOG/anoste_Sal_SerPro1-KOG.txt","KOG3627")</f>
        <v>KOG3627</v>
      </c>
      <c r="BE128" t="str">
        <f>HYPERLINK("http://exon.niaid.nih.gov/transcriptome/Anopheles_sialome/links/PFAM/anoste_Sal_SerPro1-PFAM.txt","Trypsin")</f>
        <v>Trypsin</v>
      </c>
      <c r="BF128" t="str">
        <f>HYPERLINK("http://pfam.sanger.ac.uk/family?acc=PF00089","4E-036")</f>
        <v>4E-036</v>
      </c>
      <c r="BG128" s="2" t="str">
        <f>HYPERLINK("http://exon.niaid.nih.gov/transcriptome/Anopheles_sialome/links/SMART/anoste_Sal_SerPro1-SMART.txt","Tryp_SPc")</f>
        <v>Tryp_SPc</v>
      </c>
      <c r="BH128" t="str">
        <f>HYPERLINK("http://smart.embl-heidelberg.de/smart/do_annotation.pl?DOMAIN=Tryp_SPc&amp;BLAST=DUMMY","7E-053")</f>
        <v>7E-053</v>
      </c>
      <c r="BI128" t="s">
        <v>128</v>
      </c>
      <c r="BJ128" s="2" t="s">
        <v>128</v>
      </c>
      <c r="BK128" t="s">
        <v>1638</v>
      </c>
      <c r="BL128">
        <f>HYPERLINK("http://exon.niaid.nih.gov/transcriptome/Anopheles_sialome/links/cluster-b/anopheline-sialome-cds-pep-larger-orf25-50SimCLU5.txt", 5)</f>
        <v>5</v>
      </c>
      <c r="BM128">
        <f>HYPERLINK("http://exon.niaid.nih.gov/transcriptome/Anopheles_sialome/links/cluster-b/anopheline-sialome-cds-pep-larger-orf25-50SimCLTL5.txt", 56)</f>
        <v>56</v>
      </c>
      <c r="BN128">
        <f>HYPERLINK("http://exon.niaid.nih.gov/transcriptome/Anopheles_sialome/links/cluster-b/anopheline-sialome-cds-pep-larger-orf30-50SimCLU7.txt", 7)</f>
        <v>7</v>
      </c>
      <c r="BO128">
        <f>HYPERLINK("http://exon.niaid.nih.gov/transcriptome/Anopheles_sialome/links/cluster-b/anopheline-sialome-cds-pep-larger-orf30-50SimCLTL7.txt", 40)</f>
        <v>40</v>
      </c>
      <c r="BP128">
        <f>HYPERLINK("http://exon.niaid.nih.gov/transcriptome/Anopheles_sialome/links/cluster-b/anopheline-sialome-cds-pep-larger-orf35-50SimCLU8.txt", 8)</f>
        <v>8</v>
      </c>
      <c r="BQ128">
        <f>HYPERLINK("http://exon.niaid.nih.gov/transcriptome/Anopheles_sialome/links/cluster-b/anopheline-sialome-cds-pep-larger-orf35-50SimCLTL8.txt", 40)</f>
        <v>40</v>
      </c>
      <c r="BR128">
        <f>HYPERLINK("http://exon.niaid.nih.gov/transcriptome/Anopheles_sialome/links/cluster-b/anopheline-sialome-cds-pep-larger-orf40-50SimCLU5.txt", 5)</f>
        <v>5</v>
      </c>
      <c r="BS128">
        <f>HYPERLINK("http://exon.niaid.nih.gov/transcriptome/Anopheles_sialome/links/cluster-b/anopheline-sialome-cds-pep-larger-orf40-50SimCLTL5.txt", 40)</f>
        <v>40</v>
      </c>
      <c r="BT128">
        <f>HYPERLINK("http://exon.niaid.nih.gov/transcriptome/Anopheles_sialome/links/cluster-b/anopheline-sialome-cds-pep-larger-orf45-50SimCLU4.txt", 4)</f>
        <v>4</v>
      </c>
      <c r="BU128">
        <f>HYPERLINK("http://exon.niaid.nih.gov/transcriptome/Anopheles_sialome/links/cluster-b/anopheline-sialome-cds-pep-larger-orf45-50SimCLTL4.txt", 40)</f>
        <v>40</v>
      </c>
      <c r="BV128">
        <f>HYPERLINK("http://exon.niaid.nih.gov/transcriptome/Anopheles_sialome/links/cluster-b/anopheline-sialome-cds-pep-larger-orf50-50SimCLU4.txt", 4)</f>
        <v>4</v>
      </c>
      <c r="BW128">
        <f>HYPERLINK("http://exon.niaid.nih.gov/transcriptome/Anopheles_sialome/links/cluster-b/anopheline-sialome-cds-pep-larger-orf50-50SimCLTL4.txt", 40)</f>
        <v>40</v>
      </c>
      <c r="BX128">
        <f>HYPERLINK("http://exon.niaid.nih.gov/transcriptome/Anopheles_sialome/links/cluster-b/anopheline-sialome-cds-pep-larger-orf55-50SimCLU4.txt", 4)</f>
        <v>4</v>
      </c>
      <c r="BY128">
        <f>HYPERLINK("http://exon.niaid.nih.gov/transcriptome/Anopheles_sialome/links/cluster-b/anopheline-sialome-cds-pep-larger-orf55-50SimCLTL4.txt", 40)</f>
        <v>40</v>
      </c>
      <c r="BZ128">
        <f>HYPERLINK("http://exon.niaid.nih.gov/transcriptome/Anopheles_sialome/links/cluster-b/anopheline-sialome-cds-pep-larger-orf60-50SimCLU3.txt", 3)</f>
        <v>3</v>
      </c>
      <c r="CA128">
        <f>HYPERLINK("http://exon.niaid.nih.gov/transcriptome/Anopheles_sialome/links/cluster-b/anopheline-sialome-cds-pep-larger-orf60-50SimCLTL3.txt", 40)</f>
        <v>40</v>
      </c>
      <c r="CB128">
        <f>HYPERLINK("http://exon.niaid.nih.gov/transcriptome/Anopheles_sialome/links/cluster-b/anopheline-sialome-cds-pep-larger-orf65-50SimCLU2.txt", 2)</f>
        <v>2</v>
      </c>
      <c r="CC128">
        <f>HYPERLINK("http://exon.niaid.nih.gov/transcriptome/Anopheles_sialome/links/cluster-b/anopheline-sialome-cds-pep-larger-orf65-50SimCLTL2.txt", 40)</f>
        <v>40</v>
      </c>
      <c r="CD128">
        <f>HYPERLINK("http://exon.niaid.nih.gov/transcriptome/Anopheles_sialome/links/cluster-b/anopheline-sialome-cds-pep-larger-orf70-50SimCLU11.txt", 11)</f>
        <v>11</v>
      </c>
      <c r="CE128">
        <f>HYPERLINK("http://exon.niaid.nih.gov/transcriptome/Anopheles_sialome/links/cluster-b/anopheline-sialome-cds-pep-larger-orf70-50SimCLTL11.txt", 19)</f>
        <v>19</v>
      </c>
      <c r="CF128">
        <f>HYPERLINK("http://exon.niaid.nih.gov/transcriptome/Anopheles_sialome/links/cluster-b/anopheline-sialome-cds-pep-larger-orf75-50SimCLU7.txt", 7)</f>
        <v>7</v>
      </c>
      <c r="CG128">
        <f>HYPERLINK("http://exon.niaid.nih.gov/transcriptome/Anopheles_sialome/links/cluster-b/anopheline-sialome-cds-pep-larger-orf75-50SimCLTL7.txt", 19)</f>
        <v>19</v>
      </c>
      <c r="CH128">
        <f>HYPERLINK("http://exon.niaid.nih.gov/transcriptome/Anopheles_sialome/links/cluster-b/anopheline-sialome-cds-pep-larger-orf80-50SimCLU5.txt", 5)</f>
        <v>5</v>
      </c>
      <c r="CI128">
        <f>HYPERLINK("http://exon.niaid.nih.gov/transcriptome/Anopheles_sialome/links/cluster-b/anopheline-sialome-cds-pep-larger-orf80-50SimCLTL5.txt", 19)</f>
        <v>19</v>
      </c>
      <c r="CJ128">
        <f>HYPERLINK("http://exon.niaid.nih.gov/transcriptome/Anopheles_sialome/links/cluster-b/anopheline-sialome-cds-pep-larger-orf85-50SimCLU4.txt", 4)</f>
        <v>4</v>
      </c>
      <c r="CK128">
        <f>HYPERLINK("http://exon.niaid.nih.gov/transcriptome/Anopheles_sialome/links/cluster-b/anopheline-sialome-cds-pep-larger-orf85-50SimCLTL4.txt", 19)</f>
        <v>19</v>
      </c>
      <c r="CL128">
        <f>HYPERLINK("http://exon.niaid.nih.gov/transcriptome/Anopheles_sialome/links/cluster-b/anopheline-sialome-cds-pep-larger-orf90-50SimCLU3.txt", 3)</f>
        <v>3</v>
      </c>
      <c r="CM128">
        <f>HYPERLINK("http://exon.niaid.nih.gov/transcriptome/Anopheles_sialome/links/cluster-b/anopheline-sialome-cds-pep-larger-orf90-50SimCLTL3.txt", 15)</f>
        <v>15</v>
      </c>
      <c r="CN128">
        <v>360</v>
      </c>
      <c r="CO128">
        <v>1</v>
      </c>
    </row>
    <row r="129" spans="1:93">
      <c r="A129" s="2" t="str">
        <f>HYPERLINK("http://exon.niaid.nih.gov/transcriptome/Anopheles_sialome/links/cds/anomac_Sal_SerPro1-cds.txt","anomac_Sal_SerPro1")</f>
        <v>anomac_Sal_SerPro1</v>
      </c>
      <c r="B129">
        <v>1179</v>
      </c>
      <c r="C129" t="s">
        <v>380</v>
      </c>
      <c r="D129" t="s">
        <v>4</v>
      </c>
      <c r="E129" t="s">
        <v>5</v>
      </c>
      <c r="F129" t="s">
        <v>1</v>
      </c>
      <c r="G129" t="str">
        <f>HYPERLINK("http://exon.niaid.nih.gov/transcriptome/Anopheles_sialome/links/pep/anomac_Sal_SerPro1-pep.txt","anomac_Sal_SerPro1")</f>
        <v>anomac_Sal_SerPro1</v>
      </c>
      <c r="H129">
        <v>392</v>
      </c>
      <c r="I129">
        <v>1</v>
      </c>
      <c r="J129" s="3" t="str">
        <f>HYPERLINK("http://exon.niaid.nih.gov/transcriptome/Anopheles_sialome/links/Sigp/anomac_Sal_SerPro1-SigP.txt","SIG")</f>
        <v>SIG</v>
      </c>
      <c r="K129" t="s">
        <v>708</v>
      </c>
      <c r="L129">
        <v>42.08</v>
      </c>
      <c r="M129">
        <v>9.09</v>
      </c>
      <c r="N129">
        <v>39.634</v>
      </c>
      <c r="O129">
        <v>9.0399999999999991</v>
      </c>
      <c r="P129" t="s">
        <v>1641</v>
      </c>
      <c r="Q129" s="3" t="str">
        <f>HYPERLINK("http://exon.niaid.nih.gov/transcriptome/Anopheles_sialome/links/tmhmm/anomac_Sal_SerPro1-tmhmm.txt","1")</f>
        <v>1</v>
      </c>
      <c r="R129">
        <v>4.8</v>
      </c>
      <c r="S129">
        <v>93.4</v>
      </c>
      <c r="T129">
        <v>1.8</v>
      </c>
      <c r="U129" t="s">
        <v>128</v>
      </c>
      <c r="V129">
        <v>366</v>
      </c>
      <c r="W129" s="3" t="str">
        <f>HYPERLINK("http://exon.niaid.nih.gov/transcriptome/Anopheles_sialome/links/netoglyc/anomac_Sal_SerPro1-netoglyc.txt","3")</f>
        <v>3</v>
      </c>
      <c r="X129">
        <v>21.2</v>
      </c>
      <c r="Y129">
        <v>8.1999999999999993</v>
      </c>
      <c r="Z129">
        <v>5.0999999999999996</v>
      </c>
      <c r="AA129">
        <v>0.8</v>
      </c>
      <c r="AB129" t="s">
        <v>128</v>
      </c>
      <c r="AC129" s="2" t="str">
        <f>HYPERLINK("http://exon.niaid.nih.gov/transcriptome/Anopheles_sialome/links/DIPTERA/anomac_Sal_SerPro1-DIPTERA.txt","AGAP011912-PA, partial")</f>
        <v>AGAP011912-PA, partial</v>
      </c>
      <c r="AD129" t="str">
        <f t="shared" si="87"/>
        <v>0.0</v>
      </c>
      <c r="AE129" t="str">
        <f t="shared" si="88"/>
        <v>gi|157013322</v>
      </c>
      <c r="AF129">
        <v>83</v>
      </c>
      <c r="AG129">
        <v>91</v>
      </c>
      <c r="AH129">
        <v>97</v>
      </c>
      <c r="AI129" t="s">
        <v>2285</v>
      </c>
      <c r="AJ129" s="2" t="str">
        <f>HYPERLINK("http://exon.niaid.nih.gov/transcriptome/Anopheles_sialome/links/CULICOMORPHA/anomac_Sal_SerPro1-CULICOMORPHA.txt","AGAP011912-PA, partial")</f>
        <v>AGAP011912-PA, partial</v>
      </c>
      <c r="AK129" t="str">
        <f t="shared" si="89"/>
        <v>0.0</v>
      </c>
      <c r="AL129" t="str">
        <f t="shared" si="90"/>
        <v>gi|157013322</v>
      </c>
      <c r="AM129">
        <v>83</v>
      </c>
      <c r="AN129">
        <v>91</v>
      </c>
      <c r="AO129">
        <v>97</v>
      </c>
      <c r="AP129" t="s">
        <v>2285</v>
      </c>
      <c r="AQ129" s="2" t="str">
        <f>HYPERLINK("http://exon.niaid.nih.gov/transcriptome/Anopheles_sialome/links/NR-LIGHT/anomac_Sal_SerPro1-NR-LIGHT.txt","AGAP011912-PA")</f>
        <v>AGAP011912-PA</v>
      </c>
      <c r="AR129" t="str">
        <f t="shared" si="91"/>
        <v>0.0</v>
      </c>
      <c r="AS129" t="str">
        <f t="shared" si="92"/>
        <v>gi|158300773</v>
      </c>
      <c r="AT129">
        <v>83</v>
      </c>
      <c r="AU129">
        <v>91</v>
      </c>
      <c r="AV129">
        <v>97</v>
      </c>
      <c r="AW129" t="s">
        <v>2285</v>
      </c>
      <c r="AX129" s="2" t="str">
        <f>HYPERLINK("http://exon.niaid.nih.gov/transcriptome/Anopheles_sialome/links/CDD/anomac_Sal_SerPro1-CDD.txt","Tryp_SPc")</f>
        <v>Tryp_SPc</v>
      </c>
      <c r="AY129" t="str">
        <f>HYPERLINK("http://www.ncbi.nlm.nih.gov/Structure/cdd/cddsrv.cgi?uid=cd00190&amp;version=v4.0","5E-054")</f>
        <v>5E-054</v>
      </c>
      <c r="AZ129" t="s">
        <v>2817</v>
      </c>
      <c r="BA129" s="2" t="str">
        <f>HYPERLINK("http://exon.niaid.nih.gov/transcriptome/Anopheles_sialome/links/KOG/anomac_Sal_SerPro1-KOG.txt","Trypsin")</f>
        <v>Trypsin</v>
      </c>
      <c r="BB129" t="str">
        <f>HYPERLINK("http://www.ncbi.nlm.nih.gov/Structure/cdd/cddsrv.cgi?uid=KOG3627","1E-043")</f>
        <v>1E-043</v>
      </c>
      <c r="BC129" t="s">
        <v>2287</v>
      </c>
      <c r="BD129" t="str">
        <f>HYPERLINK("http://exon.niaid.nih.gov/transcriptome/Anopheles_sialome/links/KOG/anomac_Sal_SerPro1-KOG.txt","KOG3627")</f>
        <v>KOG3627</v>
      </c>
      <c r="BE129" t="str">
        <f>HYPERLINK("http://exon.niaid.nih.gov/transcriptome/Anopheles_sialome/links/PFAM/anomac_Sal_SerPro1-PFAM.txt","Trypsin")</f>
        <v>Trypsin</v>
      </c>
      <c r="BF129" t="str">
        <f>HYPERLINK("http://pfam.sanger.ac.uk/family?acc=PF00089","1E-037")</f>
        <v>1E-037</v>
      </c>
      <c r="BG129" s="2" t="str">
        <f>HYPERLINK("http://exon.niaid.nih.gov/transcriptome/Anopheles_sialome/links/SMART/anomac_Sal_SerPro1-SMART.txt","Tryp_SPc")</f>
        <v>Tryp_SPc</v>
      </c>
      <c r="BH129" t="str">
        <f>HYPERLINK("http://smart.embl-heidelberg.de/smart/do_annotation.pl?DOMAIN=Tryp_SPc&amp;BLAST=DUMMY","5E-053")</f>
        <v>5E-053</v>
      </c>
      <c r="BI129" t="s">
        <v>128</v>
      </c>
      <c r="BJ129" s="2" t="s">
        <v>128</v>
      </c>
      <c r="BK129" t="s">
        <v>1640</v>
      </c>
      <c r="BL129">
        <f>HYPERLINK("http://exon.niaid.nih.gov/transcriptome/Anopheles_sialome/links/cluster-b/anopheline-sialome-cds-pep-larger-orf25-50SimCLU5.txt", 5)</f>
        <v>5</v>
      </c>
      <c r="BM129">
        <f>HYPERLINK("http://exon.niaid.nih.gov/transcriptome/Anopheles_sialome/links/cluster-b/anopheline-sialome-cds-pep-larger-orf25-50SimCLTL5.txt", 56)</f>
        <v>56</v>
      </c>
      <c r="BN129">
        <f>HYPERLINK("http://exon.niaid.nih.gov/transcriptome/Anopheles_sialome/links/cluster-b/anopheline-sialome-cds-pep-larger-orf30-50SimCLU7.txt", 7)</f>
        <v>7</v>
      </c>
      <c r="BO129">
        <f>HYPERLINK("http://exon.niaid.nih.gov/transcriptome/Anopheles_sialome/links/cluster-b/anopheline-sialome-cds-pep-larger-orf30-50SimCLTL7.txt", 40)</f>
        <v>40</v>
      </c>
      <c r="BP129">
        <f>HYPERLINK("http://exon.niaid.nih.gov/transcriptome/Anopheles_sialome/links/cluster-b/anopheline-sialome-cds-pep-larger-orf35-50SimCLU8.txt", 8)</f>
        <v>8</v>
      </c>
      <c r="BQ129">
        <f>HYPERLINK("http://exon.niaid.nih.gov/transcriptome/Anopheles_sialome/links/cluster-b/anopheline-sialome-cds-pep-larger-orf35-50SimCLTL8.txt", 40)</f>
        <v>40</v>
      </c>
      <c r="BR129">
        <f>HYPERLINK("http://exon.niaid.nih.gov/transcriptome/Anopheles_sialome/links/cluster-b/anopheline-sialome-cds-pep-larger-orf40-50SimCLU5.txt", 5)</f>
        <v>5</v>
      </c>
      <c r="BS129">
        <f>HYPERLINK("http://exon.niaid.nih.gov/transcriptome/Anopheles_sialome/links/cluster-b/anopheline-sialome-cds-pep-larger-orf40-50SimCLTL5.txt", 40)</f>
        <v>40</v>
      </c>
      <c r="BT129">
        <f>HYPERLINK("http://exon.niaid.nih.gov/transcriptome/Anopheles_sialome/links/cluster-b/anopheline-sialome-cds-pep-larger-orf45-50SimCLU4.txt", 4)</f>
        <v>4</v>
      </c>
      <c r="BU129">
        <f>HYPERLINK("http://exon.niaid.nih.gov/transcriptome/Anopheles_sialome/links/cluster-b/anopheline-sialome-cds-pep-larger-orf45-50SimCLTL4.txt", 40)</f>
        <v>40</v>
      </c>
      <c r="BV129">
        <f>HYPERLINK("http://exon.niaid.nih.gov/transcriptome/Anopheles_sialome/links/cluster-b/anopheline-sialome-cds-pep-larger-orf50-50SimCLU4.txt", 4)</f>
        <v>4</v>
      </c>
      <c r="BW129">
        <f>HYPERLINK("http://exon.niaid.nih.gov/transcriptome/Anopheles_sialome/links/cluster-b/anopheline-sialome-cds-pep-larger-orf50-50SimCLTL4.txt", 40)</f>
        <v>40</v>
      </c>
      <c r="BX129">
        <f>HYPERLINK("http://exon.niaid.nih.gov/transcriptome/Anopheles_sialome/links/cluster-b/anopheline-sialome-cds-pep-larger-orf55-50SimCLU4.txt", 4)</f>
        <v>4</v>
      </c>
      <c r="BY129">
        <f>HYPERLINK("http://exon.niaid.nih.gov/transcriptome/Anopheles_sialome/links/cluster-b/anopheline-sialome-cds-pep-larger-orf55-50SimCLTL4.txt", 40)</f>
        <v>40</v>
      </c>
      <c r="BZ129">
        <f>HYPERLINK("http://exon.niaid.nih.gov/transcriptome/Anopheles_sialome/links/cluster-b/anopheline-sialome-cds-pep-larger-orf60-50SimCLU3.txt", 3)</f>
        <v>3</v>
      </c>
      <c r="CA129">
        <f>HYPERLINK("http://exon.niaid.nih.gov/transcriptome/Anopheles_sialome/links/cluster-b/anopheline-sialome-cds-pep-larger-orf60-50SimCLTL3.txt", 40)</f>
        <v>40</v>
      </c>
      <c r="CB129">
        <f>HYPERLINK("http://exon.niaid.nih.gov/transcriptome/Anopheles_sialome/links/cluster-b/anopheline-sialome-cds-pep-larger-orf65-50SimCLU2.txt", 2)</f>
        <v>2</v>
      </c>
      <c r="CC129">
        <f>HYPERLINK("http://exon.niaid.nih.gov/transcriptome/Anopheles_sialome/links/cluster-b/anopheline-sialome-cds-pep-larger-orf65-50SimCLTL2.txt", 40)</f>
        <v>40</v>
      </c>
      <c r="CD129">
        <f>HYPERLINK("http://exon.niaid.nih.gov/transcriptome/Anopheles_sialome/links/cluster-b/anopheline-sialome-cds-pep-larger-orf70-50SimCLU11.txt", 11)</f>
        <v>11</v>
      </c>
      <c r="CE129">
        <f>HYPERLINK("http://exon.niaid.nih.gov/transcriptome/Anopheles_sialome/links/cluster-b/anopheline-sialome-cds-pep-larger-orf70-50SimCLTL11.txt", 19)</f>
        <v>19</v>
      </c>
      <c r="CF129">
        <f>HYPERLINK("http://exon.niaid.nih.gov/transcriptome/Anopheles_sialome/links/cluster-b/anopheline-sialome-cds-pep-larger-orf75-50SimCLU7.txt", 7)</f>
        <v>7</v>
      </c>
      <c r="CG129">
        <f>HYPERLINK("http://exon.niaid.nih.gov/transcriptome/Anopheles_sialome/links/cluster-b/anopheline-sialome-cds-pep-larger-orf75-50SimCLTL7.txt", 19)</f>
        <v>19</v>
      </c>
      <c r="CH129">
        <f>HYPERLINK("http://exon.niaid.nih.gov/transcriptome/Anopheles_sialome/links/cluster-b/anopheline-sialome-cds-pep-larger-orf80-50SimCLU5.txt", 5)</f>
        <v>5</v>
      </c>
      <c r="CI129">
        <f>HYPERLINK("http://exon.niaid.nih.gov/transcriptome/Anopheles_sialome/links/cluster-b/anopheline-sialome-cds-pep-larger-orf80-50SimCLTL5.txt", 19)</f>
        <v>19</v>
      </c>
      <c r="CJ129">
        <f>HYPERLINK("http://exon.niaid.nih.gov/transcriptome/Anopheles_sialome/links/cluster-b/anopheline-sialome-cds-pep-larger-orf85-50SimCLU4.txt", 4)</f>
        <v>4</v>
      </c>
      <c r="CK129">
        <f>HYPERLINK("http://exon.niaid.nih.gov/transcriptome/Anopheles_sialome/links/cluster-b/anopheline-sialome-cds-pep-larger-orf85-50SimCLTL4.txt", 19)</f>
        <v>19</v>
      </c>
      <c r="CL129">
        <f>HYPERLINK("http://exon.niaid.nih.gov/transcriptome/Anopheles_sialome/links/cluster-b/anopheline-sialome-cds-pep-larger-orf90-50SimCLU3.txt", 3)</f>
        <v>3</v>
      </c>
      <c r="CM129">
        <f>HYPERLINK("http://exon.niaid.nih.gov/transcriptome/Anopheles_sialome/links/cluster-b/anopheline-sialome-cds-pep-larger-orf90-50SimCLTL3.txt", 15)</f>
        <v>15</v>
      </c>
      <c r="CN129">
        <v>361</v>
      </c>
      <c r="CO129">
        <v>1</v>
      </c>
    </row>
    <row r="130" spans="1:93">
      <c r="A130" s="2" t="str">
        <f>HYPERLINK("http://exon.niaid.nih.gov/transcriptome/Anopheles_sialome/links/cds/anofar_Sal_SerPro1-cds.txt","anofar_Sal_SerPro1")</f>
        <v>anofar_Sal_SerPro1</v>
      </c>
      <c r="B130">
        <v>1191</v>
      </c>
      <c r="C130" t="s">
        <v>381</v>
      </c>
      <c r="D130" t="s">
        <v>4</v>
      </c>
      <c r="E130" t="s">
        <v>5</v>
      </c>
      <c r="F130" t="s">
        <v>1</v>
      </c>
      <c r="G130" t="str">
        <f>HYPERLINK("http://exon.niaid.nih.gov/transcriptome/Anopheles_sialome/links/pep/anofar_Sal_SerPro1-pep.txt","anofar_Sal_SerPro1")</f>
        <v>anofar_Sal_SerPro1</v>
      </c>
      <c r="H130">
        <v>396</v>
      </c>
      <c r="I130">
        <v>1</v>
      </c>
      <c r="J130" s="3" t="str">
        <f>HYPERLINK("http://exon.niaid.nih.gov/transcriptome/Anopheles_sialome/links/Sigp/anofar_Sal_SerPro1-SigP.txt","SIG")</f>
        <v>SIG</v>
      </c>
      <c r="K130" t="s">
        <v>787</v>
      </c>
      <c r="L130">
        <v>42.368000000000002</v>
      </c>
      <c r="M130">
        <v>9.08</v>
      </c>
      <c r="N130">
        <v>39.93</v>
      </c>
      <c r="O130">
        <v>9.02</v>
      </c>
      <c r="P130" t="s">
        <v>1643</v>
      </c>
      <c r="Q130" s="3" t="str">
        <f>HYPERLINK("http://exon.niaid.nih.gov/transcriptome/Anopheles_sialome/links/tmhmm/anofar_Sal_SerPro1-tmhmm.txt","1")</f>
        <v>1</v>
      </c>
      <c r="R130">
        <v>5.6</v>
      </c>
      <c r="S130">
        <v>92.7</v>
      </c>
      <c r="T130">
        <v>1.8</v>
      </c>
      <c r="U130" t="s">
        <v>128</v>
      </c>
      <c r="V130">
        <v>367</v>
      </c>
      <c r="W130" s="3" t="str">
        <f>HYPERLINK("http://exon.niaid.nih.gov/transcriptome/Anopheles_sialome/links/netoglyc/anofar_Sal_SerPro1-netoglyc.txt","3")</f>
        <v>3</v>
      </c>
      <c r="X130">
        <v>20.5</v>
      </c>
      <c r="Y130">
        <v>8.6</v>
      </c>
      <c r="Z130">
        <v>5.3</v>
      </c>
      <c r="AA130">
        <v>0.8</v>
      </c>
      <c r="AB130" t="s">
        <v>128</v>
      </c>
      <c r="AC130" s="2" t="str">
        <f>HYPERLINK("http://exon.niaid.nih.gov/transcriptome/Anopheles_sialome/links/DIPTERA/anofar_Sal_SerPro1-DIPTERA.txt","AGAP011912-PA, partial")</f>
        <v>AGAP011912-PA, partial</v>
      </c>
      <c r="AD130" t="str">
        <f t="shared" si="87"/>
        <v>0.0</v>
      </c>
      <c r="AE130" t="str">
        <f t="shared" si="88"/>
        <v>gi|157013322</v>
      </c>
      <c r="AF130">
        <v>80</v>
      </c>
      <c r="AG130">
        <v>88</v>
      </c>
      <c r="AH130">
        <v>97</v>
      </c>
      <c r="AI130" t="s">
        <v>2285</v>
      </c>
      <c r="AJ130" s="2" t="str">
        <f>HYPERLINK("http://exon.niaid.nih.gov/transcriptome/Anopheles_sialome/links/CULICOMORPHA/anofar_Sal_SerPro1-CULICOMORPHA.txt","AGAP011912-PA, partial")</f>
        <v>AGAP011912-PA, partial</v>
      </c>
      <c r="AK130" t="str">
        <f t="shared" si="89"/>
        <v>0.0</v>
      </c>
      <c r="AL130" t="str">
        <f t="shared" si="90"/>
        <v>gi|157013322</v>
      </c>
      <c r="AM130">
        <v>80</v>
      </c>
      <c r="AN130">
        <v>88</v>
      </c>
      <c r="AO130">
        <v>97</v>
      </c>
      <c r="AP130" t="s">
        <v>2285</v>
      </c>
      <c r="AQ130" s="2" t="str">
        <f>HYPERLINK("http://exon.niaid.nih.gov/transcriptome/Anopheles_sialome/links/NR-LIGHT/anofar_Sal_SerPro1-NR-LIGHT.txt","AGAP011912-PA")</f>
        <v>AGAP011912-PA</v>
      </c>
      <c r="AR130" t="str">
        <f t="shared" si="91"/>
        <v>0.0</v>
      </c>
      <c r="AS130" t="str">
        <f t="shared" si="92"/>
        <v>gi|158300773</v>
      </c>
      <c r="AT130">
        <v>80</v>
      </c>
      <c r="AU130">
        <v>88</v>
      </c>
      <c r="AV130">
        <v>97</v>
      </c>
      <c r="AW130" t="s">
        <v>2285</v>
      </c>
      <c r="AX130" s="2" t="str">
        <f>HYPERLINK("http://exon.niaid.nih.gov/transcriptome/Anopheles_sialome/links/CDD/anofar_Sal_SerPro1-CDD.txt","Tryp_SPc")</f>
        <v>Tryp_SPc</v>
      </c>
      <c r="AY130" t="str">
        <f>HYPERLINK("http://www.ncbi.nlm.nih.gov/Structure/cdd/cddsrv.cgi?uid=cd00190&amp;version=v4.0","3E-050")</f>
        <v>3E-050</v>
      </c>
      <c r="AZ130" t="s">
        <v>2818</v>
      </c>
      <c r="BA130" s="2" t="str">
        <f>HYPERLINK("http://exon.niaid.nih.gov/transcriptome/Anopheles_sialome/links/KOG/anofar_Sal_SerPro1-KOG.txt","Trypsin")</f>
        <v>Trypsin</v>
      </c>
      <c r="BB130" t="str">
        <f>HYPERLINK("http://www.ncbi.nlm.nih.gov/Structure/cdd/cddsrv.cgi?uid=KOG3627","1E-041")</f>
        <v>1E-041</v>
      </c>
      <c r="BC130" t="s">
        <v>2287</v>
      </c>
      <c r="BD130" t="str">
        <f>HYPERLINK("http://exon.niaid.nih.gov/transcriptome/Anopheles_sialome/links/KOG/anofar_Sal_SerPro1-KOG.txt","KOG3627")</f>
        <v>KOG3627</v>
      </c>
      <c r="BE130" t="str">
        <f>HYPERLINK("http://exon.niaid.nih.gov/transcriptome/Anopheles_sialome/links/PFAM/anofar_Sal_SerPro1-PFAM.txt","Trypsin")</f>
        <v>Trypsin</v>
      </c>
      <c r="BF130" t="str">
        <f>HYPERLINK("http://pfam.sanger.ac.uk/family?acc=PF00089","2E-036")</f>
        <v>2E-036</v>
      </c>
      <c r="BG130" s="2" t="str">
        <f>HYPERLINK("http://exon.niaid.nih.gov/transcriptome/Anopheles_sialome/links/SMART/anofar_Sal_SerPro1-SMART.txt","Tryp_SPc")</f>
        <v>Tryp_SPc</v>
      </c>
      <c r="BH130" t="str">
        <f>HYPERLINK("http://smart.embl-heidelberg.de/smart/do_annotation.pl?DOMAIN=Tryp_SPc&amp;BLAST=DUMMY","6E-050")</f>
        <v>6E-050</v>
      </c>
      <c r="BI130" t="s">
        <v>128</v>
      </c>
      <c r="BJ130" s="2" t="s">
        <v>128</v>
      </c>
      <c r="BK130" t="s">
        <v>1642</v>
      </c>
      <c r="BL130">
        <f>HYPERLINK("http://exon.niaid.nih.gov/transcriptome/Anopheles_sialome/links/cluster-b/anopheline-sialome-cds-pep-larger-orf25-50SimCLU5.txt", 5)</f>
        <v>5</v>
      </c>
      <c r="BM130">
        <f>HYPERLINK("http://exon.niaid.nih.gov/transcriptome/Anopheles_sialome/links/cluster-b/anopheline-sialome-cds-pep-larger-orf25-50SimCLTL5.txt", 56)</f>
        <v>56</v>
      </c>
      <c r="BN130">
        <f>HYPERLINK("http://exon.niaid.nih.gov/transcriptome/Anopheles_sialome/links/cluster-b/anopheline-sialome-cds-pep-larger-orf30-50SimCLU7.txt", 7)</f>
        <v>7</v>
      </c>
      <c r="BO130">
        <f>HYPERLINK("http://exon.niaid.nih.gov/transcriptome/Anopheles_sialome/links/cluster-b/anopheline-sialome-cds-pep-larger-orf30-50SimCLTL7.txt", 40)</f>
        <v>40</v>
      </c>
      <c r="BP130">
        <f>HYPERLINK("http://exon.niaid.nih.gov/transcriptome/Anopheles_sialome/links/cluster-b/anopheline-sialome-cds-pep-larger-orf35-50SimCLU8.txt", 8)</f>
        <v>8</v>
      </c>
      <c r="BQ130">
        <f>HYPERLINK("http://exon.niaid.nih.gov/transcriptome/Anopheles_sialome/links/cluster-b/anopheline-sialome-cds-pep-larger-orf35-50SimCLTL8.txt", 40)</f>
        <v>40</v>
      </c>
      <c r="BR130">
        <f>HYPERLINK("http://exon.niaid.nih.gov/transcriptome/Anopheles_sialome/links/cluster-b/anopheline-sialome-cds-pep-larger-orf40-50SimCLU5.txt", 5)</f>
        <v>5</v>
      </c>
      <c r="BS130">
        <f>HYPERLINK("http://exon.niaid.nih.gov/transcriptome/Anopheles_sialome/links/cluster-b/anopheline-sialome-cds-pep-larger-orf40-50SimCLTL5.txt", 40)</f>
        <v>40</v>
      </c>
      <c r="BT130">
        <f>HYPERLINK("http://exon.niaid.nih.gov/transcriptome/Anopheles_sialome/links/cluster-b/anopheline-sialome-cds-pep-larger-orf45-50SimCLU4.txt", 4)</f>
        <v>4</v>
      </c>
      <c r="BU130">
        <f>HYPERLINK("http://exon.niaid.nih.gov/transcriptome/Anopheles_sialome/links/cluster-b/anopheline-sialome-cds-pep-larger-orf45-50SimCLTL4.txt", 40)</f>
        <v>40</v>
      </c>
      <c r="BV130">
        <f>HYPERLINK("http://exon.niaid.nih.gov/transcriptome/Anopheles_sialome/links/cluster-b/anopheline-sialome-cds-pep-larger-orf50-50SimCLU4.txt", 4)</f>
        <v>4</v>
      </c>
      <c r="BW130">
        <f>HYPERLINK("http://exon.niaid.nih.gov/transcriptome/Anopheles_sialome/links/cluster-b/anopheline-sialome-cds-pep-larger-orf50-50SimCLTL4.txt", 40)</f>
        <v>40</v>
      </c>
      <c r="BX130">
        <f>HYPERLINK("http://exon.niaid.nih.gov/transcriptome/Anopheles_sialome/links/cluster-b/anopheline-sialome-cds-pep-larger-orf55-50SimCLU4.txt", 4)</f>
        <v>4</v>
      </c>
      <c r="BY130">
        <f>HYPERLINK("http://exon.niaid.nih.gov/transcriptome/Anopheles_sialome/links/cluster-b/anopheline-sialome-cds-pep-larger-orf55-50SimCLTL4.txt", 40)</f>
        <v>40</v>
      </c>
      <c r="BZ130">
        <f>HYPERLINK("http://exon.niaid.nih.gov/transcriptome/Anopheles_sialome/links/cluster-b/anopheline-sialome-cds-pep-larger-orf60-50SimCLU3.txt", 3)</f>
        <v>3</v>
      </c>
      <c r="CA130">
        <f>HYPERLINK("http://exon.niaid.nih.gov/transcriptome/Anopheles_sialome/links/cluster-b/anopheline-sialome-cds-pep-larger-orf60-50SimCLTL3.txt", 40)</f>
        <v>40</v>
      </c>
      <c r="CB130">
        <f>HYPERLINK("http://exon.niaid.nih.gov/transcriptome/Anopheles_sialome/links/cluster-b/anopheline-sialome-cds-pep-larger-orf65-50SimCLU2.txt", 2)</f>
        <v>2</v>
      </c>
      <c r="CC130">
        <f>HYPERLINK("http://exon.niaid.nih.gov/transcriptome/Anopheles_sialome/links/cluster-b/anopheline-sialome-cds-pep-larger-orf65-50SimCLTL2.txt", 40)</f>
        <v>40</v>
      </c>
      <c r="CD130">
        <f>HYPERLINK("http://exon.niaid.nih.gov/transcriptome/Anopheles_sialome/links/cluster-b/anopheline-sialome-cds-pep-larger-orf70-50SimCLU11.txt", 11)</f>
        <v>11</v>
      </c>
      <c r="CE130">
        <f>HYPERLINK("http://exon.niaid.nih.gov/transcriptome/Anopheles_sialome/links/cluster-b/anopheline-sialome-cds-pep-larger-orf70-50SimCLTL11.txt", 19)</f>
        <v>19</v>
      </c>
      <c r="CF130">
        <f>HYPERLINK("http://exon.niaid.nih.gov/transcriptome/Anopheles_sialome/links/cluster-b/anopheline-sialome-cds-pep-larger-orf75-50SimCLU7.txt", 7)</f>
        <v>7</v>
      </c>
      <c r="CG130">
        <f>HYPERLINK("http://exon.niaid.nih.gov/transcriptome/Anopheles_sialome/links/cluster-b/anopheline-sialome-cds-pep-larger-orf75-50SimCLTL7.txt", 19)</f>
        <v>19</v>
      </c>
      <c r="CH130">
        <f>HYPERLINK("http://exon.niaid.nih.gov/transcriptome/Anopheles_sialome/links/cluster-b/anopheline-sialome-cds-pep-larger-orf80-50SimCLU5.txt", 5)</f>
        <v>5</v>
      </c>
      <c r="CI130">
        <f>HYPERLINK("http://exon.niaid.nih.gov/transcriptome/Anopheles_sialome/links/cluster-b/anopheline-sialome-cds-pep-larger-orf80-50SimCLTL5.txt", 19)</f>
        <v>19</v>
      </c>
      <c r="CJ130">
        <f>HYPERLINK("http://exon.niaid.nih.gov/transcriptome/Anopheles_sialome/links/cluster-b/anopheline-sialome-cds-pep-larger-orf85-50SimCLU4.txt", 4)</f>
        <v>4</v>
      </c>
      <c r="CK130">
        <f>HYPERLINK("http://exon.niaid.nih.gov/transcriptome/Anopheles_sialome/links/cluster-b/anopheline-sialome-cds-pep-larger-orf85-50SimCLTL4.txt", 19)</f>
        <v>19</v>
      </c>
      <c r="CL130">
        <f>HYPERLINK("http://exon.niaid.nih.gov/transcriptome/Anopheles_sialome/links/cluster-b/anopheline-sialome-cds-pep-larger-orf90-50SimCLU3.txt", 3)</f>
        <v>3</v>
      </c>
      <c r="CM130">
        <f>HYPERLINK("http://exon.niaid.nih.gov/transcriptome/Anopheles_sialome/links/cluster-b/anopheline-sialome-cds-pep-larger-orf90-50SimCLTL3.txt", 15)</f>
        <v>15</v>
      </c>
      <c r="CN130">
        <v>362</v>
      </c>
      <c r="CO130">
        <v>1</v>
      </c>
    </row>
    <row r="131" spans="1:93">
      <c r="A131" s="2" t="str">
        <f>HYPERLINK("http://exon.niaid.nih.gov/transcriptome/Anopheles_sialome/links/cds/anodir_Sal_SerPro1-cds.txt","anodir_Sal_SerPro1")</f>
        <v>anodir_Sal_SerPro1</v>
      </c>
      <c r="B131">
        <v>1182</v>
      </c>
      <c r="C131" t="s">
        <v>382</v>
      </c>
      <c r="D131" t="s">
        <v>4</v>
      </c>
      <c r="E131" t="s">
        <v>5</v>
      </c>
      <c r="F131" t="s">
        <v>1</v>
      </c>
      <c r="G131" t="str">
        <f>HYPERLINK("http://exon.niaid.nih.gov/transcriptome/Anopheles_sialome/links/pep/anodir_Sal_SerPro1-pep.txt","anodir_Sal_SerPro1")</f>
        <v>anodir_Sal_SerPro1</v>
      </c>
      <c r="H131">
        <v>393</v>
      </c>
      <c r="I131">
        <v>1</v>
      </c>
      <c r="J131" s="3" t="str">
        <f>HYPERLINK("http://exon.niaid.nih.gov/transcriptome/Anopheles_sialome/links/Sigp/anodir_Sal_SerPro1-SigP.txt","SIG")</f>
        <v>SIG</v>
      </c>
      <c r="K131" t="s">
        <v>695</v>
      </c>
      <c r="L131">
        <v>41.997999999999998</v>
      </c>
      <c r="M131">
        <v>8.77</v>
      </c>
      <c r="N131">
        <v>39.9</v>
      </c>
      <c r="O131">
        <v>8.8000000000000007</v>
      </c>
      <c r="P131" t="s">
        <v>1645</v>
      </c>
      <c r="Q131" s="3">
        <v>0</v>
      </c>
      <c r="R131" t="s">
        <v>128</v>
      </c>
      <c r="S131" t="s">
        <v>128</v>
      </c>
      <c r="T131" t="s">
        <v>128</v>
      </c>
      <c r="U131" t="s">
        <v>128</v>
      </c>
      <c r="V131" t="s">
        <v>128</v>
      </c>
      <c r="W131" s="3" t="str">
        <f>HYPERLINK("http://exon.niaid.nih.gov/transcriptome/Anopheles_sialome/links/netoglyc/anodir_Sal_SerPro1-netoglyc.txt","5")</f>
        <v>5</v>
      </c>
      <c r="X131">
        <v>22.1</v>
      </c>
      <c r="Y131">
        <v>8.1</v>
      </c>
      <c r="Z131">
        <v>4.8</v>
      </c>
      <c r="AA131" t="s">
        <v>654</v>
      </c>
      <c r="AB131" t="s">
        <v>128</v>
      </c>
      <c r="AC131" s="2" t="str">
        <f>HYPERLINK("http://exon.niaid.nih.gov/transcriptome/Anopheles_sialome/links/DIPTERA/anodir_Sal_SerPro1-DIPTERA.txt","AGAP011912-PA, partial")</f>
        <v>AGAP011912-PA, partial</v>
      </c>
      <c r="AD131" t="str">
        <f t="shared" si="87"/>
        <v>0.0</v>
      </c>
      <c r="AE131" t="str">
        <f t="shared" si="88"/>
        <v>gi|157013322</v>
      </c>
      <c r="AF131">
        <v>83</v>
      </c>
      <c r="AG131">
        <v>90</v>
      </c>
      <c r="AH131">
        <v>97</v>
      </c>
      <c r="AI131" t="s">
        <v>2285</v>
      </c>
      <c r="AJ131" s="2" t="str">
        <f>HYPERLINK("http://exon.niaid.nih.gov/transcriptome/Anopheles_sialome/links/CULICOMORPHA/anodir_Sal_SerPro1-CULICOMORPHA.txt","AGAP011912-PA, partial")</f>
        <v>AGAP011912-PA, partial</v>
      </c>
      <c r="AK131" t="str">
        <f t="shared" si="89"/>
        <v>0.0</v>
      </c>
      <c r="AL131" t="str">
        <f t="shared" si="90"/>
        <v>gi|157013322</v>
      </c>
      <c r="AM131">
        <v>83</v>
      </c>
      <c r="AN131">
        <v>90</v>
      </c>
      <c r="AO131">
        <v>97</v>
      </c>
      <c r="AP131" t="s">
        <v>2285</v>
      </c>
      <c r="AQ131" s="2" t="str">
        <f>HYPERLINK("http://exon.niaid.nih.gov/transcriptome/Anopheles_sialome/links/NR-LIGHT/anodir_Sal_SerPro1-NR-LIGHT.txt","AGAP011912-PA")</f>
        <v>AGAP011912-PA</v>
      </c>
      <c r="AR131" t="str">
        <f t="shared" si="91"/>
        <v>0.0</v>
      </c>
      <c r="AS131" t="str">
        <f t="shared" si="92"/>
        <v>gi|158300773</v>
      </c>
      <c r="AT131">
        <v>83</v>
      </c>
      <c r="AU131">
        <v>90</v>
      </c>
      <c r="AV131">
        <v>97</v>
      </c>
      <c r="AW131" t="s">
        <v>2285</v>
      </c>
      <c r="AX131" s="2" t="str">
        <f>HYPERLINK("http://exon.niaid.nih.gov/transcriptome/Anopheles_sialome/links/CDD/anodir_Sal_SerPro1-CDD.txt","Tryp_SPc")</f>
        <v>Tryp_SPc</v>
      </c>
      <c r="AY131" t="str">
        <f>HYPERLINK("http://www.ncbi.nlm.nih.gov/Structure/cdd/cddsrv.cgi?uid=cd00190&amp;version=v4.0","4E-050")</f>
        <v>4E-050</v>
      </c>
      <c r="AZ131" t="s">
        <v>2819</v>
      </c>
      <c r="BA131" s="2" t="str">
        <f>HYPERLINK("http://exon.niaid.nih.gov/transcriptome/Anopheles_sialome/links/KOG/anodir_Sal_SerPro1-KOG.txt","Trypsin")</f>
        <v>Trypsin</v>
      </c>
      <c r="BB131" t="str">
        <f>HYPERLINK("http://www.ncbi.nlm.nih.gov/Structure/cdd/cddsrv.cgi?uid=KOG3627","9E-042")</f>
        <v>9E-042</v>
      </c>
      <c r="BC131" t="s">
        <v>2287</v>
      </c>
      <c r="BD131" t="str">
        <f>HYPERLINK("http://exon.niaid.nih.gov/transcriptome/Anopheles_sialome/links/KOG/anodir_Sal_SerPro1-KOG.txt","KOG3627")</f>
        <v>KOG3627</v>
      </c>
      <c r="BE131" t="str">
        <f>HYPERLINK("http://exon.niaid.nih.gov/transcriptome/Anopheles_sialome/links/PFAM/anodir_Sal_SerPro1-PFAM.txt","Trypsin")</f>
        <v>Trypsin</v>
      </c>
      <c r="BF131" t="str">
        <f>HYPERLINK("http://pfam.sanger.ac.uk/family?acc=PF00089","6E-034")</f>
        <v>6E-034</v>
      </c>
      <c r="BG131" s="2" t="str">
        <f>HYPERLINK("http://exon.niaid.nih.gov/transcriptome/Anopheles_sialome/links/SMART/anodir_Sal_SerPro1-SMART.txt","Tryp_SPc")</f>
        <v>Tryp_SPc</v>
      </c>
      <c r="BH131" t="str">
        <f>HYPERLINK("http://smart.embl-heidelberg.de/smart/do_annotation.pl?DOMAIN=Tryp_SPc&amp;BLAST=DUMMY","9E-050")</f>
        <v>9E-050</v>
      </c>
      <c r="BI131" t="s">
        <v>128</v>
      </c>
      <c r="BJ131" s="2" t="s">
        <v>128</v>
      </c>
      <c r="BK131" t="s">
        <v>1644</v>
      </c>
      <c r="BL131">
        <f>HYPERLINK("http://exon.niaid.nih.gov/transcriptome/Anopheles_sialome/links/cluster-b/anopheline-sialome-cds-pep-larger-orf25-50SimCLU5.txt", 5)</f>
        <v>5</v>
      </c>
      <c r="BM131">
        <f>HYPERLINK("http://exon.niaid.nih.gov/transcriptome/Anopheles_sialome/links/cluster-b/anopheline-sialome-cds-pep-larger-orf25-50SimCLTL5.txt", 56)</f>
        <v>56</v>
      </c>
      <c r="BN131">
        <f>HYPERLINK("http://exon.niaid.nih.gov/transcriptome/Anopheles_sialome/links/cluster-b/anopheline-sialome-cds-pep-larger-orf30-50SimCLU7.txt", 7)</f>
        <v>7</v>
      </c>
      <c r="BO131">
        <f>HYPERLINK("http://exon.niaid.nih.gov/transcriptome/Anopheles_sialome/links/cluster-b/anopheline-sialome-cds-pep-larger-orf30-50SimCLTL7.txt", 40)</f>
        <v>40</v>
      </c>
      <c r="BP131">
        <f>HYPERLINK("http://exon.niaid.nih.gov/transcriptome/Anopheles_sialome/links/cluster-b/anopheline-sialome-cds-pep-larger-orf35-50SimCLU8.txt", 8)</f>
        <v>8</v>
      </c>
      <c r="BQ131">
        <f>HYPERLINK("http://exon.niaid.nih.gov/transcriptome/Anopheles_sialome/links/cluster-b/anopheline-sialome-cds-pep-larger-orf35-50SimCLTL8.txt", 40)</f>
        <v>40</v>
      </c>
      <c r="BR131">
        <f>HYPERLINK("http://exon.niaid.nih.gov/transcriptome/Anopheles_sialome/links/cluster-b/anopheline-sialome-cds-pep-larger-orf40-50SimCLU5.txt", 5)</f>
        <v>5</v>
      </c>
      <c r="BS131">
        <f>HYPERLINK("http://exon.niaid.nih.gov/transcriptome/Anopheles_sialome/links/cluster-b/anopheline-sialome-cds-pep-larger-orf40-50SimCLTL5.txt", 40)</f>
        <v>40</v>
      </c>
      <c r="BT131">
        <f>HYPERLINK("http://exon.niaid.nih.gov/transcriptome/Anopheles_sialome/links/cluster-b/anopheline-sialome-cds-pep-larger-orf45-50SimCLU4.txt", 4)</f>
        <v>4</v>
      </c>
      <c r="BU131">
        <f>HYPERLINK("http://exon.niaid.nih.gov/transcriptome/Anopheles_sialome/links/cluster-b/anopheline-sialome-cds-pep-larger-orf45-50SimCLTL4.txt", 40)</f>
        <v>40</v>
      </c>
      <c r="BV131">
        <f>HYPERLINK("http://exon.niaid.nih.gov/transcriptome/Anopheles_sialome/links/cluster-b/anopheline-sialome-cds-pep-larger-orf50-50SimCLU4.txt", 4)</f>
        <v>4</v>
      </c>
      <c r="BW131">
        <f>HYPERLINK("http://exon.niaid.nih.gov/transcriptome/Anopheles_sialome/links/cluster-b/anopheline-sialome-cds-pep-larger-orf50-50SimCLTL4.txt", 40)</f>
        <v>40</v>
      </c>
      <c r="BX131">
        <f>HYPERLINK("http://exon.niaid.nih.gov/transcriptome/Anopheles_sialome/links/cluster-b/anopheline-sialome-cds-pep-larger-orf55-50SimCLU4.txt", 4)</f>
        <v>4</v>
      </c>
      <c r="BY131">
        <f>HYPERLINK("http://exon.niaid.nih.gov/transcriptome/Anopheles_sialome/links/cluster-b/anopheline-sialome-cds-pep-larger-orf55-50SimCLTL4.txt", 40)</f>
        <v>40</v>
      </c>
      <c r="BZ131">
        <f>HYPERLINK("http://exon.niaid.nih.gov/transcriptome/Anopheles_sialome/links/cluster-b/anopheline-sialome-cds-pep-larger-orf60-50SimCLU3.txt", 3)</f>
        <v>3</v>
      </c>
      <c r="CA131">
        <f>HYPERLINK("http://exon.niaid.nih.gov/transcriptome/Anopheles_sialome/links/cluster-b/anopheline-sialome-cds-pep-larger-orf60-50SimCLTL3.txt", 40)</f>
        <v>40</v>
      </c>
      <c r="CB131">
        <f>HYPERLINK("http://exon.niaid.nih.gov/transcriptome/Anopheles_sialome/links/cluster-b/anopheline-sialome-cds-pep-larger-orf65-50SimCLU2.txt", 2)</f>
        <v>2</v>
      </c>
      <c r="CC131">
        <f>HYPERLINK("http://exon.niaid.nih.gov/transcriptome/Anopheles_sialome/links/cluster-b/anopheline-sialome-cds-pep-larger-orf65-50SimCLTL2.txt", 40)</f>
        <v>40</v>
      </c>
      <c r="CD131">
        <f>HYPERLINK("http://exon.niaid.nih.gov/transcriptome/Anopheles_sialome/links/cluster-b/anopheline-sialome-cds-pep-larger-orf70-50SimCLU11.txt", 11)</f>
        <v>11</v>
      </c>
      <c r="CE131">
        <f>HYPERLINK("http://exon.niaid.nih.gov/transcriptome/Anopheles_sialome/links/cluster-b/anopheline-sialome-cds-pep-larger-orf70-50SimCLTL11.txt", 19)</f>
        <v>19</v>
      </c>
      <c r="CF131">
        <f>HYPERLINK("http://exon.niaid.nih.gov/transcriptome/Anopheles_sialome/links/cluster-b/anopheline-sialome-cds-pep-larger-orf75-50SimCLU7.txt", 7)</f>
        <v>7</v>
      </c>
      <c r="CG131">
        <f>HYPERLINK("http://exon.niaid.nih.gov/transcriptome/Anopheles_sialome/links/cluster-b/anopheline-sialome-cds-pep-larger-orf75-50SimCLTL7.txt", 19)</f>
        <v>19</v>
      </c>
      <c r="CH131">
        <f>HYPERLINK("http://exon.niaid.nih.gov/transcriptome/Anopheles_sialome/links/cluster-b/anopheline-sialome-cds-pep-larger-orf80-50SimCLU5.txt", 5)</f>
        <v>5</v>
      </c>
      <c r="CI131">
        <f>HYPERLINK("http://exon.niaid.nih.gov/transcriptome/Anopheles_sialome/links/cluster-b/anopheline-sialome-cds-pep-larger-orf80-50SimCLTL5.txt", 19)</f>
        <v>19</v>
      </c>
      <c r="CJ131">
        <f>HYPERLINK("http://exon.niaid.nih.gov/transcriptome/Anopheles_sialome/links/cluster-b/anopheline-sialome-cds-pep-larger-orf85-50SimCLU4.txt", 4)</f>
        <v>4</v>
      </c>
      <c r="CK131">
        <f>HYPERLINK("http://exon.niaid.nih.gov/transcriptome/Anopheles_sialome/links/cluster-b/anopheline-sialome-cds-pep-larger-orf85-50SimCLTL4.txt", 19)</f>
        <v>19</v>
      </c>
      <c r="CL131">
        <f>HYPERLINK("http://exon.niaid.nih.gov/transcriptome/Anopheles_sialome/links/cluster-b/anopheline-sialome-cds-pep-larger-orf90-50SimCLU3.txt", 3)</f>
        <v>3</v>
      </c>
      <c r="CM131">
        <f>HYPERLINK("http://exon.niaid.nih.gov/transcriptome/Anopheles_sialome/links/cluster-b/anopheline-sialome-cds-pep-larger-orf90-50SimCLTL3.txt", 15)</f>
        <v>15</v>
      </c>
      <c r="CN131">
        <v>363</v>
      </c>
      <c r="CO131">
        <v>1</v>
      </c>
    </row>
    <row r="132" spans="1:93">
      <c r="A132" s="2" t="str">
        <f>HYPERLINK("http://exon.niaid.nih.gov/transcriptome/Anopheles_sialome/links/cds/anoatro_Sal_SerPro1-cds.txt","anoatro_Sal_SerPro1")</f>
        <v>anoatro_Sal_SerPro1</v>
      </c>
      <c r="B132">
        <v>1179</v>
      </c>
      <c r="C132" t="s">
        <v>383</v>
      </c>
      <c r="D132" t="s">
        <v>4</v>
      </c>
      <c r="E132" t="s">
        <v>5</v>
      </c>
      <c r="F132" t="s">
        <v>1</v>
      </c>
      <c r="G132" t="str">
        <f>HYPERLINK("http://exon.niaid.nih.gov/transcriptome/Anopheles_sialome/links/pep/anoatro_Sal_SerPro1-pep.txt","anoatro_Sal_SerPro1")</f>
        <v>anoatro_Sal_SerPro1</v>
      </c>
      <c r="H132">
        <v>392</v>
      </c>
      <c r="I132">
        <v>1</v>
      </c>
      <c r="J132" s="3" t="str">
        <f>HYPERLINK("http://exon.niaid.nih.gov/transcriptome/Anopheles_sialome/links/Sigp/anoatro_Sal_SerPro1-SigP.txt","SIG")</f>
        <v>SIG</v>
      </c>
      <c r="K132" t="s">
        <v>689</v>
      </c>
      <c r="L132">
        <v>42.058</v>
      </c>
      <c r="M132">
        <v>8.91</v>
      </c>
      <c r="N132">
        <v>39.985999999999997</v>
      </c>
      <c r="O132">
        <v>8.91</v>
      </c>
      <c r="P132" t="s">
        <v>1647</v>
      </c>
      <c r="Q132" s="3">
        <v>0</v>
      </c>
      <c r="R132" t="s">
        <v>128</v>
      </c>
      <c r="S132" t="s">
        <v>128</v>
      </c>
      <c r="T132" t="s">
        <v>128</v>
      </c>
      <c r="U132" t="s">
        <v>128</v>
      </c>
      <c r="V132" t="s">
        <v>128</v>
      </c>
      <c r="W132" s="3" t="str">
        <f>HYPERLINK("http://exon.niaid.nih.gov/transcriptome/Anopheles_sialome/links/netoglyc/anoatro_Sal_SerPro1-netoglyc.txt","4")</f>
        <v>4</v>
      </c>
      <c r="X132">
        <v>21.7</v>
      </c>
      <c r="Y132">
        <v>8.6999999999999993</v>
      </c>
      <c r="Z132">
        <v>5.4</v>
      </c>
      <c r="AA132">
        <v>0.8</v>
      </c>
      <c r="AB132" t="s">
        <v>128</v>
      </c>
      <c r="AC132" s="2" t="str">
        <f>HYPERLINK("http://exon.niaid.nih.gov/transcriptome/Anopheles_sialome/links/DIPTERA/anoatro_Sal_SerPro1-DIPTERA.txt","AGAP011912-PA-like protein")</f>
        <v>AGAP011912-PA-like protein</v>
      </c>
      <c r="AD132" t="str">
        <f>HYPERLINK("http://www.ncbi.nlm.nih.gov/sutils/blink.cgi?pid=668462587","0.0")</f>
        <v>0.0</v>
      </c>
      <c r="AE132" t="str">
        <f>HYPERLINK("http://www.ncbi.nlm.nih.gov/protein/668462587","gi|668462587")</f>
        <v>gi|668462587</v>
      </c>
      <c r="AF132">
        <v>81</v>
      </c>
      <c r="AG132">
        <v>91</v>
      </c>
      <c r="AH132">
        <v>97</v>
      </c>
      <c r="AI132" t="s">
        <v>2277</v>
      </c>
      <c r="AJ132" s="2" t="str">
        <f>HYPERLINK("http://exon.niaid.nih.gov/transcriptome/Anopheles_sialome/links/CULICOMORPHA/anoatro_Sal_SerPro1-CULICOMORPHA.txt","AGAP011912-PA-like protein")</f>
        <v>AGAP011912-PA-like protein</v>
      </c>
      <c r="AK132" t="str">
        <f>HYPERLINK("http://www.ncbi.nlm.nih.gov/sutils/blink.cgi?pid=668462587","0.0")</f>
        <v>0.0</v>
      </c>
      <c r="AL132" t="str">
        <f>HYPERLINK("http://www.ncbi.nlm.nih.gov/protein/668462587","gi|668462587")</f>
        <v>gi|668462587</v>
      </c>
      <c r="AM132">
        <v>81</v>
      </c>
      <c r="AN132">
        <v>91</v>
      </c>
      <c r="AO132">
        <v>97</v>
      </c>
      <c r="AP132" t="s">
        <v>2277</v>
      </c>
      <c r="AQ132" s="2" t="str">
        <f>HYPERLINK("http://exon.niaid.nih.gov/transcriptome/Anopheles_sialome/links/NR-LIGHT/anoatro_Sal_SerPro1-NR-LIGHT.txt","AGAP011912-PA-like protein")</f>
        <v>AGAP011912-PA-like protein</v>
      </c>
      <c r="AR132" t="str">
        <f>HYPERLINK("http://www.ncbi.nlm.nih.gov/sutils/blink.cgi?pid=668462587","0.0")</f>
        <v>0.0</v>
      </c>
      <c r="AS132" t="str">
        <f>HYPERLINK("http://www.ncbi.nlm.nih.gov/protein/668462587","gi|668462587")</f>
        <v>gi|668462587</v>
      </c>
      <c r="AT132">
        <v>81</v>
      </c>
      <c r="AU132">
        <v>91</v>
      </c>
      <c r="AV132">
        <v>97</v>
      </c>
      <c r="AW132" t="s">
        <v>2277</v>
      </c>
      <c r="AX132" s="2" t="str">
        <f>HYPERLINK("http://exon.niaid.nih.gov/transcriptome/Anopheles_sialome/links/CDD/anoatro_Sal_SerPro1-CDD.txt","Tryp_SPc")</f>
        <v>Tryp_SPc</v>
      </c>
      <c r="AY132" t="str">
        <f>HYPERLINK("http://www.ncbi.nlm.nih.gov/Structure/cdd/cddsrv.cgi?uid=cd00190&amp;version=v4.0","3E-049")</f>
        <v>3E-049</v>
      </c>
      <c r="AZ132" t="s">
        <v>2820</v>
      </c>
      <c r="BA132" s="2" t="str">
        <f>HYPERLINK("http://exon.niaid.nih.gov/transcriptome/Anopheles_sialome/links/KOG/anoatro_Sal_SerPro1-KOG.txt","Trypsin")</f>
        <v>Trypsin</v>
      </c>
      <c r="BB132" t="str">
        <f>HYPERLINK("http://www.ncbi.nlm.nih.gov/Structure/cdd/cddsrv.cgi?uid=KOG3627","5E-041")</f>
        <v>5E-041</v>
      </c>
      <c r="BC132" t="s">
        <v>2287</v>
      </c>
      <c r="BD132" t="str">
        <f>HYPERLINK("http://exon.niaid.nih.gov/transcriptome/Anopheles_sialome/links/KOG/anoatro_Sal_SerPro1-KOG.txt","KOG3627")</f>
        <v>KOG3627</v>
      </c>
      <c r="BE132" t="str">
        <f>HYPERLINK("http://exon.niaid.nih.gov/transcriptome/Anopheles_sialome/links/PFAM/anoatro_Sal_SerPro1-PFAM.txt","Trypsin")</f>
        <v>Trypsin</v>
      </c>
      <c r="BF132" t="str">
        <f>HYPERLINK("http://pfam.sanger.ac.uk/family?acc=PF00089","8E-034")</f>
        <v>8E-034</v>
      </c>
      <c r="BG132" s="2" t="str">
        <f>HYPERLINK("http://exon.niaid.nih.gov/transcriptome/Anopheles_sialome/links/SMART/anoatro_Sal_SerPro1-SMART.txt","Tryp_SPc")</f>
        <v>Tryp_SPc</v>
      </c>
      <c r="BH132" t="str">
        <f>HYPERLINK("http://smart.embl-heidelberg.de/smart/do_annotation.pl?DOMAIN=Tryp_SPc&amp;BLAST=DUMMY","3E-049")</f>
        <v>3E-049</v>
      </c>
      <c r="BI132" t="s">
        <v>128</v>
      </c>
      <c r="BJ132" s="2" t="s">
        <v>128</v>
      </c>
      <c r="BK132" t="s">
        <v>1646</v>
      </c>
      <c r="BL132">
        <f>HYPERLINK("http://exon.niaid.nih.gov/transcriptome/Anopheles_sialome/links/cluster-b/anopheline-sialome-cds-pep-larger-orf25-50SimCLU5.txt", 5)</f>
        <v>5</v>
      </c>
      <c r="BM132">
        <f>HYPERLINK("http://exon.niaid.nih.gov/transcriptome/Anopheles_sialome/links/cluster-b/anopheline-sialome-cds-pep-larger-orf25-50SimCLTL5.txt", 56)</f>
        <v>56</v>
      </c>
      <c r="BN132">
        <f>HYPERLINK("http://exon.niaid.nih.gov/transcriptome/Anopheles_sialome/links/cluster-b/anopheline-sialome-cds-pep-larger-orf30-50SimCLU7.txt", 7)</f>
        <v>7</v>
      </c>
      <c r="BO132">
        <f>HYPERLINK("http://exon.niaid.nih.gov/transcriptome/Anopheles_sialome/links/cluster-b/anopheline-sialome-cds-pep-larger-orf30-50SimCLTL7.txt", 40)</f>
        <v>40</v>
      </c>
      <c r="BP132">
        <f>HYPERLINK("http://exon.niaid.nih.gov/transcriptome/Anopheles_sialome/links/cluster-b/anopheline-sialome-cds-pep-larger-orf35-50SimCLU8.txt", 8)</f>
        <v>8</v>
      </c>
      <c r="BQ132">
        <f>HYPERLINK("http://exon.niaid.nih.gov/transcriptome/Anopheles_sialome/links/cluster-b/anopheline-sialome-cds-pep-larger-orf35-50SimCLTL8.txt", 40)</f>
        <v>40</v>
      </c>
      <c r="BR132">
        <f>HYPERLINK("http://exon.niaid.nih.gov/transcriptome/Anopheles_sialome/links/cluster-b/anopheline-sialome-cds-pep-larger-orf40-50SimCLU5.txt", 5)</f>
        <v>5</v>
      </c>
      <c r="BS132">
        <f>HYPERLINK("http://exon.niaid.nih.gov/transcriptome/Anopheles_sialome/links/cluster-b/anopheline-sialome-cds-pep-larger-orf40-50SimCLTL5.txt", 40)</f>
        <v>40</v>
      </c>
      <c r="BT132">
        <f>HYPERLINK("http://exon.niaid.nih.gov/transcriptome/Anopheles_sialome/links/cluster-b/anopheline-sialome-cds-pep-larger-orf45-50SimCLU4.txt", 4)</f>
        <v>4</v>
      </c>
      <c r="BU132">
        <f>HYPERLINK("http://exon.niaid.nih.gov/transcriptome/Anopheles_sialome/links/cluster-b/anopheline-sialome-cds-pep-larger-orf45-50SimCLTL4.txt", 40)</f>
        <v>40</v>
      </c>
      <c r="BV132">
        <f>HYPERLINK("http://exon.niaid.nih.gov/transcriptome/Anopheles_sialome/links/cluster-b/anopheline-sialome-cds-pep-larger-orf50-50SimCLU4.txt", 4)</f>
        <v>4</v>
      </c>
      <c r="BW132">
        <f>HYPERLINK("http://exon.niaid.nih.gov/transcriptome/Anopheles_sialome/links/cluster-b/anopheline-sialome-cds-pep-larger-orf50-50SimCLTL4.txt", 40)</f>
        <v>40</v>
      </c>
      <c r="BX132">
        <f>HYPERLINK("http://exon.niaid.nih.gov/transcriptome/Anopheles_sialome/links/cluster-b/anopheline-sialome-cds-pep-larger-orf55-50SimCLU4.txt", 4)</f>
        <v>4</v>
      </c>
      <c r="BY132">
        <f>HYPERLINK("http://exon.niaid.nih.gov/transcriptome/Anopheles_sialome/links/cluster-b/anopheline-sialome-cds-pep-larger-orf55-50SimCLTL4.txt", 40)</f>
        <v>40</v>
      </c>
      <c r="BZ132">
        <f>HYPERLINK("http://exon.niaid.nih.gov/transcriptome/Anopheles_sialome/links/cluster-b/anopheline-sialome-cds-pep-larger-orf60-50SimCLU3.txt", 3)</f>
        <v>3</v>
      </c>
      <c r="CA132">
        <f>HYPERLINK("http://exon.niaid.nih.gov/transcriptome/Anopheles_sialome/links/cluster-b/anopheline-sialome-cds-pep-larger-orf60-50SimCLTL3.txt", 40)</f>
        <v>40</v>
      </c>
      <c r="CB132">
        <f>HYPERLINK("http://exon.niaid.nih.gov/transcriptome/Anopheles_sialome/links/cluster-b/anopheline-sialome-cds-pep-larger-orf65-50SimCLU2.txt", 2)</f>
        <v>2</v>
      </c>
      <c r="CC132">
        <f>HYPERLINK("http://exon.niaid.nih.gov/transcriptome/Anopheles_sialome/links/cluster-b/anopheline-sialome-cds-pep-larger-orf65-50SimCLTL2.txt", 40)</f>
        <v>40</v>
      </c>
      <c r="CD132">
        <f>HYPERLINK("http://exon.niaid.nih.gov/transcriptome/Anopheles_sialome/links/cluster-b/anopheline-sialome-cds-pep-larger-orf70-50SimCLU11.txt", 11)</f>
        <v>11</v>
      </c>
      <c r="CE132">
        <f>HYPERLINK("http://exon.niaid.nih.gov/transcriptome/Anopheles_sialome/links/cluster-b/anopheline-sialome-cds-pep-larger-orf70-50SimCLTL11.txt", 19)</f>
        <v>19</v>
      </c>
      <c r="CF132">
        <f>HYPERLINK("http://exon.niaid.nih.gov/transcriptome/Anopheles_sialome/links/cluster-b/anopheline-sialome-cds-pep-larger-orf75-50SimCLU7.txt", 7)</f>
        <v>7</v>
      </c>
      <c r="CG132">
        <f>HYPERLINK("http://exon.niaid.nih.gov/transcriptome/Anopheles_sialome/links/cluster-b/anopheline-sialome-cds-pep-larger-orf75-50SimCLTL7.txt", 19)</f>
        <v>19</v>
      </c>
      <c r="CH132">
        <f>HYPERLINK("http://exon.niaid.nih.gov/transcriptome/Anopheles_sialome/links/cluster-b/anopheline-sialome-cds-pep-larger-orf80-50SimCLU5.txt", 5)</f>
        <v>5</v>
      </c>
      <c r="CI132">
        <f>HYPERLINK("http://exon.niaid.nih.gov/transcriptome/Anopheles_sialome/links/cluster-b/anopheline-sialome-cds-pep-larger-orf80-50SimCLTL5.txt", 19)</f>
        <v>19</v>
      </c>
      <c r="CJ132">
        <f>HYPERLINK("http://exon.niaid.nih.gov/transcriptome/Anopheles_sialome/links/cluster-b/anopheline-sialome-cds-pep-larger-orf85-50SimCLU4.txt", 4)</f>
        <v>4</v>
      </c>
      <c r="CK132">
        <f>HYPERLINK("http://exon.niaid.nih.gov/transcriptome/Anopheles_sialome/links/cluster-b/anopheline-sialome-cds-pep-larger-orf85-50SimCLTL4.txt", 19)</f>
        <v>19</v>
      </c>
      <c r="CL132">
        <f>HYPERLINK("http://exon.niaid.nih.gov/transcriptome/Anopheles_sialome/links/cluster-b/anopheline-sialome-cds-pep-larger-orf90-50SimCLU79.txt", 79)</f>
        <v>79</v>
      </c>
      <c r="CM132">
        <f>HYPERLINK("http://exon.niaid.nih.gov/transcriptome/Anopheles_sialome/links/cluster-b/anopheline-sialome-cds-pep-larger-orf90-50SimCLTL79.txt", 2)</f>
        <v>2</v>
      </c>
      <c r="CN132">
        <v>364</v>
      </c>
      <c r="CO132">
        <v>1</v>
      </c>
    </row>
    <row r="133" spans="1:93">
      <c r="A133" s="2" t="str">
        <f>HYPERLINK("http://exon.niaid.nih.gov/transcriptome/Anopheles_sialome/links/cds/anosin_Sal_SerPro1-cds.txt","anosin_Sal_SerPro1")</f>
        <v>anosin_Sal_SerPro1</v>
      </c>
      <c r="B133">
        <v>1179</v>
      </c>
      <c r="C133" t="s">
        <v>384</v>
      </c>
      <c r="D133" t="s">
        <v>7</v>
      </c>
      <c r="E133" t="s">
        <v>5</v>
      </c>
      <c r="F133" t="s">
        <v>1</v>
      </c>
      <c r="G133" t="str">
        <f>HYPERLINK("http://exon.niaid.nih.gov/transcriptome/Anopheles_sialome/links/pep/anosin_Sal_SerPro1-pep.txt","anosin_Sal_SerPro1")</f>
        <v>anosin_Sal_SerPro1</v>
      </c>
      <c r="H133">
        <v>392</v>
      </c>
      <c r="I133">
        <v>1</v>
      </c>
      <c r="J133" s="3" t="str">
        <f>HYPERLINK("http://exon.niaid.nih.gov/transcriptome/Anopheles_sialome/links/Sigp/anosin_Sal_SerPro1-SigP.txt","SIG")</f>
        <v>SIG</v>
      </c>
      <c r="K133" t="s">
        <v>689</v>
      </c>
      <c r="L133">
        <v>41.914999999999999</v>
      </c>
      <c r="M133">
        <v>8.8000000000000007</v>
      </c>
      <c r="N133">
        <v>39.838000000000001</v>
      </c>
      <c r="O133">
        <v>8.84</v>
      </c>
      <c r="P133" t="s">
        <v>1649</v>
      </c>
      <c r="Q133" s="3" t="str">
        <f>HYPERLINK("http://exon.niaid.nih.gov/transcriptome/Anopheles_sialome/links/tmhmm/anosin_Sal_SerPro1-tmhmm.txt","1")</f>
        <v>1</v>
      </c>
      <c r="R133">
        <v>5.6</v>
      </c>
      <c r="S133">
        <v>93.9</v>
      </c>
      <c r="T133">
        <v>0.5</v>
      </c>
      <c r="U133" t="s">
        <v>128</v>
      </c>
      <c r="V133">
        <v>368</v>
      </c>
      <c r="W133" s="3" t="str">
        <f>HYPERLINK("http://exon.niaid.nih.gov/transcriptome/Anopheles_sialome/links/netoglyc/anosin_Sal_SerPro1-netoglyc.txt","3")</f>
        <v>3</v>
      </c>
      <c r="X133">
        <v>20.2</v>
      </c>
      <c r="Y133">
        <v>9.1999999999999993</v>
      </c>
      <c r="Z133">
        <v>4.8</v>
      </c>
      <c r="AA133" t="s">
        <v>654</v>
      </c>
      <c r="AB133" t="s">
        <v>128</v>
      </c>
      <c r="AC133" s="2" t="str">
        <f>HYPERLINK("http://exon.niaid.nih.gov/transcriptome/Anopheles_sialome/links/DIPTERA/anosin_Sal_SerPro1-DIPTERA.txt","AGAP011912-PA-like protein")</f>
        <v>AGAP011912-PA-like protein</v>
      </c>
      <c r="AD133" t="str">
        <f>HYPERLINK("http://www.ncbi.nlm.nih.gov/sutils/blink.cgi?pid=668462587","0.0")</f>
        <v>0.0</v>
      </c>
      <c r="AE133" t="str">
        <f>HYPERLINK("http://www.ncbi.nlm.nih.gov/protein/668462587","gi|668462587")</f>
        <v>gi|668462587</v>
      </c>
      <c r="AF133">
        <v>99</v>
      </c>
      <c r="AG133">
        <v>99</v>
      </c>
      <c r="AH133">
        <v>97</v>
      </c>
      <c r="AI133" t="s">
        <v>2277</v>
      </c>
      <c r="AJ133" s="2" t="str">
        <f>HYPERLINK("http://exon.niaid.nih.gov/transcriptome/Anopheles_sialome/links/CULICOMORPHA/anosin_Sal_SerPro1-CULICOMORPHA.txt","AGAP011912-PA-like protein")</f>
        <v>AGAP011912-PA-like protein</v>
      </c>
      <c r="AK133" t="str">
        <f>HYPERLINK("http://www.ncbi.nlm.nih.gov/sutils/blink.cgi?pid=668462587","0.0")</f>
        <v>0.0</v>
      </c>
      <c r="AL133" t="str">
        <f>HYPERLINK("http://www.ncbi.nlm.nih.gov/protein/668462587","gi|668462587")</f>
        <v>gi|668462587</v>
      </c>
      <c r="AM133">
        <v>99</v>
      </c>
      <c r="AN133">
        <v>99</v>
      </c>
      <c r="AO133">
        <v>97</v>
      </c>
      <c r="AP133" t="s">
        <v>2277</v>
      </c>
      <c r="AQ133" s="2" t="str">
        <f>HYPERLINK("http://exon.niaid.nih.gov/transcriptome/Anopheles_sialome/links/NR-LIGHT/anosin_Sal_SerPro1-NR-LIGHT.txt","AGAP011912-PA-like protein")</f>
        <v>AGAP011912-PA-like protein</v>
      </c>
      <c r="AR133" t="str">
        <f>HYPERLINK("http://www.ncbi.nlm.nih.gov/sutils/blink.cgi?pid=668462587","0.0")</f>
        <v>0.0</v>
      </c>
      <c r="AS133" t="str">
        <f>HYPERLINK("http://www.ncbi.nlm.nih.gov/protein/668462587","gi|668462587")</f>
        <v>gi|668462587</v>
      </c>
      <c r="AT133">
        <v>99</v>
      </c>
      <c r="AU133">
        <v>99</v>
      </c>
      <c r="AV133">
        <v>97</v>
      </c>
      <c r="AW133" t="s">
        <v>2277</v>
      </c>
      <c r="AX133" s="2" t="str">
        <f>HYPERLINK("http://exon.niaid.nih.gov/transcriptome/Anopheles_sialome/links/CDD/anosin_Sal_SerPro1-CDD.txt","Tryp_SPc")</f>
        <v>Tryp_SPc</v>
      </c>
      <c r="AY133" t="str">
        <f>HYPERLINK("http://www.ncbi.nlm.nih.gov/Structure/cdd/cddsrv.cgi?uid=cd00190&amp;version=v4.0","3E-051")</f>
        <v>3E-051</v>
      </c>
      <c r="AZ133" t="s">
        <v>2821</v>
      </c>
      <c r="BA133" s="2" t="str">
        <f>HYPERLINK("http://exon.niaid.nih.gov/transcriptome/Anopheles_sialome/links/KOG/anosin_Sal_SerPro1-KOG.txt","Trypsin")</f>
        <v>Trypsin</v>
      </c>
      <c r="BB133" t="str">
        <f>HYPERLINK("http://www.ncbi.nlm.nih.gov/Structure/cdd/cddsrv.cgi?uid=KOG3627","3E-043")</f>
        <v>3E-043</v>
      </c>
      <c r="BC133" t="s">
        <v>2287</v>
      </c>
      <c r="BD133" t="str">
        <f>HYPERLINK("http://exon.niaid.nih.gov/transcriptome/Anopheles_sialome/links/KOG/anosin_Sal_SerPro1-KOG.txt","KOG3627")</f>
        <v>KOG3627</v>
      </c>
      <c r="BE133" t="str">
        <f>HYPERLINK("http://exon.niaid.nih.gov/transcriptome/Anopheles_sialome/links/PFAM/anosin_Sal_SerPro1-PFAM.txt","Trypsin")</f>
        <v>Trypsin</v>
      </c>
      <c r="BF133" t="str">
        <f>HYPERLINK("http://pfam.sanger.ac.uk/family?acc=PF00089","1E-035")</f>
        <v>1E-035</v>
      </c>
      <c r="BG133" s="2" t="str">
        <f>HYPERLINK("http://exon.niaid.nih.gov/transcriptome/Anopheles_sialome/links/SMART/anosin_Sal_SerPro1-SMART.txt","Tryp_SPc")</f>
        <v>Tryp_SPc</v>
      </c>
      <c r="BH133" t="str">
        <f>HYPERLINK("http://smart.embl-heidelberg.de/smart/do_annotation.pl?DOMAIN=Tryp_SPc&amp;BLAST=DUMMY","9E-051")</f>
        <v>9E-051</v>
      </c>
      <c r="BI133" t="s">
        <v>128</v>
      </c>
      <c r="BJ133" s="2" t="s">
        <v>128</v>
      </c>
      <c r="BK133" t="s">
        <v>1648</v>
      </c>
      <c r="BL133">
        <f>HYPERLINK("http://exon.niaid.nih.gov/transcriptome/Anopheles_sialome/links/cluster-b/anopheline-sialome-cds-pep-larger-orf25-50SimCLU5.txt", 5)</f>
        <v>5</v>
      </c>
      <c r="BM133">
        <f>HYPERLINK("http://exon.niaid.nih.gov/transcriptome/Anopheles_sialome/links/cluster-b/anopheline-sialome-cds-pep-larger-orf25-50SimCLTL5.txt", 56)</f>
        <v>56</v>
      </c>
      <c r="BN133">
        <f>HYPERLINK("http://exon.niaid.nih.gov/transcriptome/Anopheles_sialome/links/cluster-b/anopheline-sialome-cds-pep-larger-orf30-50SimCLU7.txt", 7)</f>
        <v>7</v>
      </c>
      <c r="BO133">
        <f>HYPERLINK("http://exon.niaid.nih.gov/transcriptome/Anopheles_sialome/links/cluster-b/anopheline-sialome-cds-pep-larger-orf30-50SimCLTL7.txt", 40)</f>
        <v>40</v>
      </c>
      <c r="BP133">
        <f>HYPERLINK("http://exon.niaid.nih.gov/transcriptome/Anopheles_sialome/links/cluster-b/anopheline-sialome-cds-pep-larger-orf35-50SimCLU8.txt", 8)</f>
        <v>8</v>
      </c>
      <c r="BQ133">
        <f>HYPERLINK("http://exon.niaid.nih.gov/transcriptome/Anopheles_sialome/links/cluster-b/anopheline-sialome-cds-pep-larger-orf35-50SimCLTL8.txt", 40)</f>
        <v>40</v>
      </c>
      <c r="BR133">
        <f>HYPERLINK("http://exon.niaid.nih.gov/transcriptome/Anopheles_sialome/links/cluster-b/anopheline-sialome-cds-pep-larger-orf40-50SimCLU5.txt", 5)</f>
        <v>5</v>
      </c>
      <c r="BS133">
        <f>HYPERLINK("http://exon.niaid.nih.gov/transcriptome/Anopheles_sialome/links/cluster-b/anopheline-sialome-cds-pep-larger-orf40-50SimCLTL5.txt", 40)</f>
        <v>40</v>
      </c>
      <c r="BT133">
        <f>HYPERLINK("http://exon.niaid.nih.gov/transcriptome/Anopheles_sialome/links/cluster-b/anopheline-sialome-cds-pep-larger-orf45-50SimCLU4.txt", 4)</f>
        <v>4</v>
      </c>
      <c r="BU133">
        <f>HYPERLINK("http://exon.niaid.nih.gov/transcriptome/Anopheles_sialome/links/cluster-b/anopheline-sialome-cds-pep-larger-orf45-50SimCLTL4.txt", 40)</f>
        <v>40</v>
      </c>
      <c r="BV133">
        <f>HYPERLINK("http://exon.niaid.nih.gov/transcriptome/Anopheles_sialome/links/cluster-b/anopheline-sialome-cds-pep-larger-orf50-50SimCLU4.txt", 4)</f>
        <v>4</v>
      </c>
      <c r="BW133">
        <f>HYPERLINK("http://exon.niaid.nih.gov/transcriptome/Anopheles_sialome/links/cluster-b/anopheline-sialome-cds-pep-larger-orf50-50SimCLTL4.txt", 40)</f>
        <v>40</v>
      </c>
      <c r="BX133">
        <f>HYPERLINK("http://exon.niaid.nih.gov/transcriptome/Anopheles_sialome/links/cluster-b/anopheline-sialome-cds-pep-larger-orf55-50SimCLU4.txt", 4)</f>
        <v>4</v>
      </c>
      <c r="BY133">
        <f>HYPERLINK("http://exon.niaid.nih.gov/transcriptome/Anopheles_sialome/links/cluster-b/anopheline-sialome-cds-pep-larger-orf55-50SimCLTL4.txt", 40)</f>
        <v>40</v>
      </c>
      <c r="BZ133">
        <f>HYPERLINK("http://exon.niaid.nih.gov/transcriptome/Anopheles_sialome/links/cluster-b/anopheline-sialome-cds-pep-larger-orf60-50SimCLU3.txt", 3)</f>
        <v>3</v>
      </c>
      <c r="CA133">
        <f>HYPERLINK("http://exon.niaid.nih.gov/transcriptome/Anopheles_sialome/links/cluster-b/anopheline-sialome-cds-pep-larger-orf60-50SimCLTL3.txt", 40)</f>
        <v>40</v>
      </c>
      <c r="CB133">
        <f>HYPERLINK("http://exon.niaid.nih.gov/transcriptome/Anopheles_sialome/links/cluster-b/anopheline-sialome-cds-pep-larger-orf65-50SimCLU2.txt", 2)</f>
        <v>2</v>
      </c>
      <c r="CC133">
        <f>HYPERLINK("http://exon.niaid.nih.gov/transcriptome/Anopheles_sialome/links/cluster-b/anopheline-sialome-cds-pep-larger-orf65-50SimCLTL2.txt", 40)</f>
        <v>40</v>
      </c>
      <c r="CD133">
        <f>HYPERLINK("http://exon.niaid.nih.gov/transcriptome/Anopheles_sialome/links/cluster-b/anopheline-sialome-cds-pep-larger-orf70-50SimCLU11.txt", 11)</f>
        <v>11</v>
      </c>
      <c r="CE133">
        <f>HYPERLINK("http://exon.niaid.nih.gov/transcriptome/Anopheles_sialome/links/cluster-b/anopheline-sialome-cds-pep-larger-orf70-50SimCLTL11.txt", 19)</f>
        <v>19</v>
      </c>
      <c r="CF133">
        <f>HYPERLINK("http://exon.niaid.nih.gov/transcriptome/Anopheles_sialome/links/cluster-b/anopheline-sialome-cds-pep-larger-orf75-50SimCLU7.txt", 7)</f>
        <v>7</v>
      </c>
      <c r="CG133">
        <f>HYPERLINK("http://exon.niaid.nih.gov/transcriptome/Anopheles_sialome/links/cluster-b/anopheline-sialome-cds-pep-larger-orf75-50SimCLTL7.txt", 19)</f>
        <v>19</v>
      </c>
      <c r="CH133">
        <f>HYPERLINK("http://exon.niaid.nih.gov/transcriptome/Anopheles_sialome/links/cluster-b/anopheline-sialome-cds-pep-larger-orf80-50SimCLU5.txt", 5)</f>
        <v>5</v>
      </c>
      <c r="CI133">
        <f>HYPERLINK("http://exon.niaid.nih.gov/transcriptome/Anopheles_sialome/links/cluster-b/anopheline-sialome-cds-pep-larger-orf80-50SimCLTL5.txt", 19)</f>
        <v>19</v>
      </c>
      <c r="CJ133">
        <f>HYPERLINK("http://exon.niaid.nih.gov/transcriptome/Anopheles_sialome/links/cluster-b/anopheline-sialome-cds-pep-larger-orf85-50SimCLU4.txt", 4)</f>
        <v>4</v>
      </c>
      <c r="CK133">
        <f>HYPERLINK("http://exon.niaid.nih.gov/transcriptome/Anopheles_sialome/links/cluster-b/anopheline-sialome-cds-pep-larger-orf85-50SimCLTL4.txt", 19)</f>
        <v>19</v>
      </c>
      <c r="CL133">
        <f>HYPERLINK("http://exon.niaid.nih.gov/transcriptome/Anopheles_sialome/links/cluster-b/anopheline-sialome-cds-pep-larger-orf90-50SimCLU79.txt", 79)</f>
        <v>79</v>
      </c>
      <c r="CM133">
        <f>HYPERLINK("http://exon.niaid.nih.gov/transcriptome/Anopheles_sialome/links/cluster-b/anopheline-sialome-cds-pep-larger-orf90-50SimCLTL79.txt", 2)</f>
        <v>2</v>
      </c>
      <c r="CN133">
        <v>365</v>
      </c>
      <c r="CO133">
        <v>1</v>
      </c>
    </row>
    <row r="134" spans="1:93">
      <c r="A134" s="2" t="str">
        <f>HYPERLINK("http://exon.niaid.nih.gov/transcriptome/Anopheles_sialome/links/cds/anoalb_Sal_SerPro1-cds.txt","anoalb_Sal_SerPro1")</f>
        <v>anoalb_Sal_SerPro1</v>
      </c>
      <c r="B134">
        <v>1179</v>
      </c>
      <c r="C134" t="s">
        <v>385</v>
      </c>
      <c r="D134" t="s">
        <v>4</v>
      </c>
      <c r="E134" t="s">
        <v>5</v>
      </c>
      <c r="F134" t="s">
        <v>1</v>
      </c>
      <c r="G134" t="str">
        <f>HYPERLINK("http://exon.niaid.nih.gov/transcriptome/Anopheles_sialome/links/pep/anoalb_Sal_SerPro1-pep.txt","anoalb_Sal_SerPro1")</f>
        <v>anoalb_Sal_SerPro1</v>
      </c>
      <c r="H134">
        <v>392</v>
      </c>
      <c r="I134">
        <v>1</v>
      </c>
      <c r="J134" s="3" t="str">
        <f>HYPERLINK("http://exon.niaid.nih.gov/transcriptome/Anopheles_sialome/links/Sigp/anoalb_Sal_SerPro1-SigP.txt","SIG")</f>
        <v>SIG</v>
      </c>
      <c r="K134" t="s">
        <v>689</v>
      </c>
      <c r="L134">
        <v>41.792000000000002</v>
      </c>
      <c r="M134">
        <v>9.0500000000000007</v>
      </c>
      <c r="N134">
        <v>39.767000000000003</v>
      </c>
      <c r="O134">
        <v>9.0500000000000007</v>
      </c>
      <c r="P134" t="s">
        <v>1651</v>
      </c>
      <c r="Q134" s="3">
        <v>0</v>
      </c>
      <c r="R134" t="s">
        <v>128</v>
      </c>
      <c r="S134" t="s">
        <v>128</v>
      </c>
      <c r="T134" t="s">
        <v>128</v>
      </c>
      <c r="U134" t="s">
        <v>128</v>
      </c>
      <c r="V134" t="s">
        <v>128</v>
      </c>
      <c r="W134" s="3" t="str">
        <f>HYPERLINK("http://exon.niaid.nih.gov/transcriptome/Anopheles_sialome/links/netoglyc/anoalb_Sal_SerPro1-netoglyc.txt","0")</f>
        <v>0</v>
      </c>
      <c r="X134">
        <v>19.100000000000001</v>
      </c>
      <c r="Y134">
        <v>8.4</v>
      </c>
      <c r="Z134">
        <v>4.3</v>
      </c>
      <c r="AA134">
        <v>0.8</v>
      </c>
      <c r="AB134" t="s">
        <v>128</v>
      </c>
      <c r="AC134" s="2" t="str">
        <f>HYPERLINK("http://exon.niaid.nih.gov/transcriptome/Anopheles_sialome/links/DIPTERA/anoalb_Sal_SerPro1-DIPTERA.txt","AGAP011912-PA, partial")</f>
        <v>AGAP011912-PA, partial</v>
      </c>
      <c r="AD134" t="str">
        <f>HYPERLINK("http://www.ncbi.nlm.nih.gov/sutils/blink.cgi?pid=157013322","1E-174")</f>
        <v>1E-174</v>
      </c>
      <c r="AE134" t="str">
        <f>HYPERLINK("http://www.ncbi.nlm.nih.gov/protein/157013322","gi|157013322")</f>
        <v>gi|157013322</v>
      </c>
      <c r="AF134">
        <v>74</v>
      </c>
      <c r="AG134">
        <v>85</v>
      </c>
      <c r="AH134">
        <v>97</v>
      </c>
      <c r="AI134" t="s">
        <v>2285</v>
      </c>
      <c r="AJ134" s="2" t="str">
        <f>HYPERLINK("http://exon.niaid.nih.gov/transcriptome/Anopheles_sialome/links/CULICOMORPHA/anoalb_Sal_SerPro1-CULICOMORPHA.txt","AGAP011912-PA, partial")</f>
        <v>AGAP011912-PA, partial</v>
      </c>
      <c r="AK134" t="str">
        <f>HYPERLINK("http://www.ncbi.nlm.nih.gov/sutils/blink.cgi?pid=157013322","1E-175")</f>
        <v>1E-175</v>
      </c>
      <c r="AL134" t="str">
        <f>HYPERLINK("http://www.ncbi.nlm.nih.gov/protein/157013322","gi|157013322")</f>
        <v>gi|157013322</v>
      </c>
      <c r="AM134">
        <v>74</v>
      </c>
      <c r="AN134">
        <v>85</v>
      </c>
      <c r="AO134">
        <v>97</v>
      </c>
      <c r="AP134" t="s">
        <v>2285</v>
      </c>
      <c r="AQ134" s="2" t="str">
        <f>HYPERLINK("http://exon.niaid.nih.gov/transcriptome/Anopheles_sialome/links/NR-LIGHT/anoalb_Sal_SerPro1-NR-LIGHT.txt","AGAP011912-PA")</f>
        <v>AGAP011912-PA</v>
      </c>
      <c r="AR134" t="str">
        <f>HYPERLINK("http://www.ncbi.nlm.nih.gov/sutils/blink.cgi?pid=158300773","1E-174")</f>
        <v>1E-174</v>
      </c>
      <c r="AS134" t="str">
        <f>HYPERLINK("http://www.ncbi.nlm.nih.gov/protein/158300773","gi|158300773")</f>
        <v>gi|158300773</v>
      </c>
      <c r="AT134">
        <v>74</v>
      </c>
      <c r="AU134">
        <v>85</v>
      </c>
      <c r="AV134">
        <v>97</v>
      </c>
      <c r="AW134" t="s">
        <v>2285</v>
      </c>
      <c r="AX134" s="2" t="str">
        <f>HYPERLINK("http://exon.niaid.nih.gov/transcriptome/Anopheles_sialome/links/CDD/anoalb_Sal_SerPro1-CDD.txt","Tryp_SPc")</f>
        <v>Tryp_SPc</v>
      </c>
      <c r="AY134" t="str">
        <f>HYPERLINK("http://www.ncbi.nlm.nih.gov/Structure/cdd/cddsrv.cgi?uid=cd00190&amp;version=v4.0","3E-049")</f>
        <v>3E-049</v>
      </c>
      <c r="AZ134" t="s">
        <v>2822</v>
      </c>
      <c r="BA134" s="2" t="str">
        <f>HYPERLINK("http://exon.niaid.nih.gov/transcriptome/Anopheles_sialome/links/KOG/anoalb_Sal_SerPro1-KOG.txt","Trypsin")</f>
        <v>Trypsin</v>
      </c>
      <c r="BB134" t="str">
        <f>HYPERLINK("http://www.ncbi.nlm.nih.gov/Structure/cdd/cddsrv.cgi?uid=KOG3627","2E-040")</f>
        <v>2E-040</v>
      </c>
      <c r="BC134" t="s">
        <v>2287</v>
      </c>
      <c r="BD134" t="str">
        <f>HYPERLINK("http://exon.niaid.nih.gov/transcriptome/Anopheles_sialome/links/KOG/anoalb_Sal_SerPro1-KOG.txt","KOG3627")</f>
        <v>KOG3627</v>
      </c>
      <c r="BE134" t="str">
        <f>HYPERLINK("http://exon.niaid.nih.gov/transcriptome/Anopheles_sialome/links/PFAM/anoalb_Sal_SerPro1-PFAM.txt","Trypsin")</f>
        <v>Trypsin</v>
      </c>
      <c r="BF134" t="str">
        <f>HYPERLINK("http://pfam.sanger.ac.uk/family?acc=PF00089","2E-035")</f>
        <v>2E-035</v>
      </c>
      <c r="BG134" s="2" t="str">
        <f>HYPERLINK("http://exon.niaid.nih.gov/transcriptome/Anopheles_sialome/links/SMART/anoalb_Sal_SerPro1-SMART.txt","Tryp_SPc")</f>
        <v>Tryp_SPc</v>
      </c>
      <c r="BH134" t="str">
        <f>HYPERLINK("http://smart.embl-heidelberg.de/smart/do_annotation.pl?DOMAIN=Tryp_SPc&amp;BLAST=DUMMY","1E-049")</f>
        <v>1E-049</v>
      </c>
      <c r="BI134" t="s">
        <v>128</v>
      </c>
      <c r="BJ134" s="2" t="s">
        <v>128</v>
      </c>
      <c r="BK134" t="s">
        <v>1650</v>
      </c>
      <c r="BL134">
        <f>HYPERLINK("http://exon.niaid.nih.gov/transcriptome/Anopheles_sialome/links/cluster-b/anopheline-sialome-cds-pep-larger-orf25-50SimCLU5.txt", 5)</f>
        <v>5</v>
      </c>
      <c r="BM134">
        <f>HYPERLINK("http://exon.niaid.nih.gov/transcriptome/Anopheles_sialome/links/cluster-b/anopheline-sialome-cds-pep-larger-orf25-50SimCLTL5.txt", 56)</f>
        <v>56</v>
      </c>
      <c r="BN134">
        <f>HYPERLINK("http://exon.niaid.nih.gov/transcriptome/Anopheles_sialome/links/cluster-b/anopheline-sialome-cds-pep-larger-orf30-50SimCLU7.txt", 7)</f>
        <v>7</v>
      </c>
      <c r="BO134">
        <f>HYPERLINK("http://exon.niaid.nih.gov/transcriptome/Anopheles_sialome/links/cluster-b/anopheline-sialome-cds-pep-larger-orf30-50SimCLTL7.txt", 40)</f>
        <v>40</v>
      </c>
      <c r="BP134">
        <f>HYPERLINK("http://exon.niaid.nih.gov/transcriptome/Anopheles_sialome/links/cluster-b/anopheline-sialome-cds-pep-larger-orf35-50SimCLU8.txt", 8)</f>
        <v>8</v>
      </c>
      <c r="BQ134">
        <f>HYPERLINK("http://exon.niaid.nih.gov/transcriptome/Anopheles_sialome/links/cluster-b/anopheline-sialome-cds-pep-larger-orf35-50SimCLTL8.txt", 40)</f>
        <v>40</v>
      </c>
      <c r="BR134">
        <f>HYPERLINK("http://exon.niaid.nih.gov/transcriptome/Anopheles_sialome/links/cluster-b/anopheline-sialome-cds-pep-larger-orf40-50SimCLU5.txt", 5)</f>
        <v>5</v>
      </c>
      <c r="BS134">
        <f>HYPERLINK("http://exon.niaid.nih.gov/transcriptome/Anopheles_sialome/links/cluster-b/anopheline-sialome-cds-pep-larger-orf40-50SimCLTL5.txt", 40)</f>
        <v>40</v>
      </c>
      <c r="BT134">
        <f>HYPERLINK("http://exon.niaid.nih.gov/transcriptome/Anopheles_sialome/links/cluster-b/anopheline-sialome-cds-pep-larger-orf45-50SimCLU4.txt", 4)</f>
        <v>4</v>
      </c>
      <c r="BU134">
        <f>HYPERLINK("http://exon.niaid.nih.gov/transcriptome/Anopheles_sialome/links/cluster-b/anopheline-sialome-cds-pep-larger-orf45-50SimCLTL4.txt", 40)</f>
        <v>40</v>
      </c>
      <c r="BV134">
        <f>HYPERLINK("http://exon.niaid.nih.gov/transcriptome/Anopheles_sialome/links/cluster-b/anopheline-sialome-cds-pep-larger-orf50-50SimCLU4.txt", 4)</f>
        <v>4</v>
      </c>
      <c r="BW134">
        <f>HYPERLINK("http://exon.niaid.nih.gov/transcriptome/Anopheles_sialome/links/cluster-b/anopheline-sialome-cds-pep-larger-orf50-50SimCLTL4.txt", 40)</f>
        <v>40</v>
      </c>
      <c r="BX134">
        <f>HYPERLINK("http://exon.niaid.nih.gov/transcriptome/Anopheles_sialome/links/cluster-b/anopheline-sialome-cds-pep-larger-orf55-50SimCLU4.txt", 4)</f>
        <v>4</v>
      </c>
      <c r="BY134">
        <f>HYPERLINK("http://exon.niaid.nih.gov/transcriptome/Anopheles_sialome/links/cluster-b/anopheline-sialome-cds-pep-larger-orf55-50SimCLTL4.txt", 40)</f>
        <v>40</v>
      </c>
      <c r="BZ134">
        <f>HYPERLINK("http://exon.niaid.nih.gov/transcriptome/Anopheles_sialome/links/cluster-b/anopheline-sialome-cds-pep-larger-orf60-50SimCLU3.txt", 3)</f>
        <v>3</v>
      </c>
      <c r="CA134">
        <f>HYPERLINK("http://exon.niaid.nih.gov/transcriptome/Anopheles_sialome/links/cluster-b/anopheline-sialome-cds-pep-larger-orf60-50SimCLTL3.txt", 40)</f>
        <v>40</v>
      </c>
      <c r="CB134">
        <f>HYPERLINK("http://exon.niaid.nih.gov/transcriptome/Anopheles_sialome/links/cluster-b/anopheline-sialome-cds-pep-larger-orf65-50SimCLU2.txt", 2)</f>
        <v>2</v>
      </c>
      <c r="CC134">
        <f>HYPERLINK("http://exon.niaid.nih.gov/transcriptome/Anopheles_sialome/links/cluster-b/anopheline-sialome-cds-pep-larger-orf65-50SimCLTL2.txt", 40)</f>
        <v>40</v>
      </c>
      <c r="CD134">
        <f>HYPERLINK("http://exon.niaid.nih.gov/transcriptome/Anopheles_sialome/links/cluster-b/anopheline-sialome-cds-pep-larger-orf70-50SimCLU11.txt", 11)</f>
        <v>11</v>
      </c>
      <c r="CE134">
        <f>HYPERLINK("http://exon.niaid.nih.gov/transcriptome/Anopheles_sialome/links/cluster-b/anopheline-sialome-cds-pep-larger-orf70-50SimCLTL11.txt", 19)</f>
        <v>19</v>
      </c>
      <c r="CF134">
        <f>HYPERLINK("http://exon.niaid.nih.gov/transcriptome/Anopheles_sialome/links/cluster-b/anopheline-sialome-cds-pep-larger-orf75-50SimCLU7.txt", 7)</f>
        <v>7</v>
      </c>
      <c r="CG134">
        <f>HYPERLINK("http://exon.niaid.nih.gov/transcriptome/Anopheles_sialome/links/cluster-b/anopheline-sialome-cds-pep-larger-orf75-50SimCLTL7.txt", 19)</f>
        <v>19</v>
      </c>
      <c r="CH134">
        <f>HYPERLINK("http://exon.niaid.nih.gov/transcriptome/Anopheles_sialome/links/cluster-b/anopheline-sialome-cds-pep-larger-orf80-50SimCLU5.txt", 5)</f>
        <v>5</v>
      </c>
      <c r="CI134">
        <f>HYPERLINK("http://exon.niaid.nih.gov/transcriptome/Anopheles_sialome/links/cluster-b/anopheline-sialome-cds-pep-larger-orf80-50SimCLTL5.txt", 19)</f>
        <v>19</v>
      </c>
      <c r="CJ134">
        <f>HYPERLINK("http://exon.niaid.nih.gov/transcriptome/Anopheles_sialome/links/cluster-b/anopheline-sialome-cds-pep-larger-orf85-50SimCLU4.txt", 4)</f>
        <v>4</v>
      </c>
      <c r="CK134">
        <f>HYPERLINK("http://exon.niaid.nih.gov/transcriptome/Anopheles_sialome/links/cluster-b/anopheline-sialome-cds-pep-larger-orf85-50SimCLTL4.txt", 19)</f>
        <v>19</v>
      </c>
      <c r="CL134">
        <f>HYPERLINK("http://exon.niaid.nih.gov/transcriptome/Anopheles_sialome/links/cluster-b/anopheline-sialome-cds-pep-larger-orf90-50SimCLU80.txt", 80)</f>
        <v>80</v>
      </c>
      <c r="CM134">
        <f>HYPERLINK("http://exon.niaid.nih.gov/transcriptome/Anopheles_sialome/links/cluster-b/anopheline-sialome-cds-pep-larger-orf90-50SimCLTL80.txt", 2)</f>
        <v>2</v>
      </c>
      <c r="CN134">
        <f>HYPERLINK("http://exon.niaid.nih.gov/transcriptome/Anopheles_sialome/links/cluster-b/anopheline-sialome-cds-pep-larger-orf95-50SimCLU66.txt", 66)</f>
        <v>66</v>
      </c>
      <c r="CO134">
        <f>HYPERLINK("http://exon.niaid.nih.gov/transcriptome/Anopheles_sialome/links/cluster-b/anopheline-sialome-cds-pep-larger-orf95-50SimCLTL66.txt", 2)</f>
        <v>2</v>
      </c>
    </row>
    <row r="135" spans="1:93">
      <c r="A135" s="2" t="str">
        <f>HYPERLINK("http://exon.niaid.nih.gov/transcriptome/Anopheles_sialome/links/cds/anodar_Sal_SerPro1-cds.txt","anodar_Sal_SerPro1")</f>
        <v>anodar_Sal_SerPro1</v>
      </c>
      <c r="B135">
        <v>1179</v>
      </c>
      <c r="C135" t="s">
        <v>386</v>
      </c>
      <c r="D135" t="s">
        <v>7</v>
      </c>
      <c r="E135" t="s">
        <v>5</v>
      </c>
      <c r="F135" t="s">
        <v>1</v>
      </c>
      <c r="G135" t="str">
        <f>HYPERLINK("http://exon.niaid.nih.gov/transcriptome/Anopheles_sialome/links/pep/anodar_Sal_SerPro1-pep.txt","anodar_Sal_SerPro1")</f>
        <v>anodar_Sal_SerPro1</v>
      </c>
      <c r="H135">
        <v>392</v>
      </c>
      <c r="I135">
        <v>1</v>
      </c>
      <c r="J135" s="3" t="str">
        <f>HYPERLINK("http://exon.niaid.nih.gov/transcriptome/Anopheles_sialome/links/Sigp/anodar_Sal_SerPro1-SigP.txt","SIG")</f>
        <v>SIG</v>
      </c>
      <c r="K135" t="s">
        <v>689</v>
      </c>
      <c r="L135">
        <v>41.637999999999998</v>
      </c>
      <c r="M135">
        <v>8.66</v>
      </c>
      <c r="N135">
        <v>39.625999999999998</v>
      </c>
      <c r="O135">
        <v>8.66</v>
      </c>
      <c r="P135" t="s">
        <v>1653</v>
      </c>
      <c r="Q135" s="3">
        <v>0</v>
      </c>
      <c r="R135" t="s">
        <v>128</v>
      </c>
      <c r="S135" t="s">
        <v>128</v>
      </c>
      <c r="T135" t="s">
        <v>128</v>
      </c>
      <c r="U135" t="s">
        <v>128</v>
      </c>
      <c r="V135" t="s">
        <v>128</v>
      </c>
      <c r="W135" s="3" t="str">
        <f>HYPERLINK("http://exon.niaid.nih.gov/transcriptome/Anopheles_sialome/links/netoglyc/anodar_Sal_SerPro1-netoglyc.txt","0")</f>
        <v>0</v>
      </c>
      <c r="X135">
        <v>21.2</v>
      </c>
      <c r="Y135">
        <v>8.1999999999999993</v>
      </c>
      <c r="Z135">
        <v>4.5999999999999996</v>
      </c>
      <c r="AA135" t="s">
        <v>654</v>
      </c>
      <c r="AB135" t="s">
        <v>128</v>
      </c>
      <c r="AC135" s="2" t="str">
        <f>HYPERLINK("http://exon.niaid.nih.gov/transcriptome/Anopheles_sialome/links/DIPTERA/anodar_Sal_SerPro1-DIPTERA.txt","AGAP011912-PA, partial")</f>
        <v>AGAP011912-PA, partial</v>
      </c>
      <c r="AD135" t="str">
        <f>HYPERLINK("http://www.ncbi.nlm.nih.gov/sutils/blink.cgi?pid=157013322","1E-178")</f>
        <v>1E-178</v>
      </c>
      <c r="AE135" t="str">
        <f>HYPERLINK("http://www.ncbi.nlm.nih.gov/protein/157013322","gi|157013322")</f>
        <v>gi|157013322</v>
      </c>
      <c r="AF135">
        <v>75</v>
      </c>
      <c r="AG135">
        <v>85</v>
      </c>
      <c r="AH135">
        <v>97</v>
      </c>
      <c r="AI135" t="s">
        <v>2285</v>
      </c>
      <c r="AJ135" s="2" t="str">
        <f>HYPERLINK("http://exon.niaid.nih.gov/transcriptome/Anopheles_sialome/links/CULICOMORPHA/anodar_Sal_SerPro1-CULICOMORPHA.txt","AGAP011912-PA, partial")</f>
        <v>AGAP011912-PA, partial</v>
      </c>
      <c r="AK135" t="str">
        <f>HYPERLINK("http://www.ncbi.nlm.nih.gov/sutils/blink.cgi?pid=157013322","1E-179")</f>
        <v>1E-179</v>
      </c>
      <c r="AL135" t="str">
        <f>HYPERLINK("http://www.ncbi.nlm.nih.gov/protein/157013322","gi|157013322")</f>
        <v>gi|157013322</v>
      </c>
      <c r="AM135">
        <v>75</v>
      </c>
      <c r="AN135">
        <v>85</v>
      </c>
      <c r="AO135">
        <v>97</v>
      </c>
      <c r="AP135" t="s">
        <v>2285</v>
      </c>
      <c r="AQ135" s="2" t="str">
        <f>HYPERLINK("http://exon.niaid.nih.gov/transcriptome/Anopheles_sialome/links/NR-LIGHT/anodar_Sal_SerPro1-NR-LIGHT.txt","AGAP011912-PA")</f>
        <v>AGAP011912-PA</v>
      </c>
      <c r="AR135" t="str">
        <f>HYPERLINK("http://www.ncbi.nlm.nih.gov/sutils/blink.cgi?pid=158300773","1E-178")</f>
        <v>1E-178</v>
      </c>
      <c r="AS135" t="str">
        <f>HYPERLINK("http://www.ncbi.nlm.nih.gov/protein/158300773","gi|158300773")</f>
        <v>gi|158300773</v>
      </c>
      <c r="AT135">
        <v>75</v>
      </c>
      <c r="AU135">
        <v>85</v>
      </c>
      <c r="AV135">
        <v>97</v>
      </c>
      <c r="AW135" t="s">
        <v>2285</v>
      </c>
      <c r="AX135" s="2" t="str">
        <f>HYPERLINK("http://exon.niaid.nih.gov/transcriptome/Anopheles_sialome/links/CDD/anodar_Sal_SerPro1-CDD.txt","Tryp_SPc")</f>
        <v>Tryp_SPc</v>
      </c>
      <c r="AY135" t="str">
        <f>HYPERLINK("http://www.ncbi.nlm.nih.gov/Structure/cdd/cddsrv.cgi?uid=cd00190&amp;version=v4.0","4E-052")</f>
        <v>4E-052</v>
      </c>
      <c r="AZ135" t="s">
        <v>2823</v>
      </c>
      <c r="BA135" s="2" t="str">
        <f>HYPERLINK("http://exon.niaid.nih.gov/transcriptome/Anopheles_sialome/links/KOG/anodar_Sal_SerPro1-KOG.txt","Trypsin")</f>
        <v>Trypsin</v>
      </c>
      <c r="BB135" t="str">
        <f>HYPERLINK("http://www.ncbi.nlm.nih.gov/Structure/cdd/cddsrv.cgi?uid=KOG3627","4E-042")</f>
        <v>4E-042</v>
      </c>
      <c r="BC135" t="s">
        <v>2287</v>
      </c>
      <c r="BD135" t="str">
        <f>HYPERLINK("http://exon.niaid.nih.gov/transcriptome/Anopheles_sialome/links/KOG/anodar_Sal_SerPro1-KOG.txt","KOG3627")</f>
        <v>KOG3627</v>
      </c>
      <c r="BE135" t="str">
        <f>HYPERLINK("http://exon.niaid.nih.gov/transcriptome/Anopheles_sialome/links/PFAM/anodar_Sal_SerPro1-PFAM.txt","Trypsin")</f>
        <v>Trypsin</v>
      </c>
      <c r="BF135" t="str">
        <f>HYPERLINK("http://pfam.sanger.ac.uk/family?acc=PF00089","2E-035")</f>
        <v>2E-035</v>
      </c>
      <c r="BG135" s="2" t="str">
        <f>HYPERLINK("http://exon.niaid.nih.gov/transcriptome/Anopheles_sialome/links/SMART/anodar_Sal_SerPro1-SMART.txt","Tryp_SPc")</f>
        <v>Tryp_SPc</v>
      </c>
      <c r="BH135" t="str">
        <f>HYPERLINK("http://smart.embl-heidelberg.de/smart/do_annotation.pl?DOMAIN=Tryp_SPc&amp;BLAST=DUMMY","2E-052")</f>
        <v>2E-052</v>
      </c>
      <c r="BI135" t="s">
        <v>128</v>
      </c>
      <c r="BJ135" s="2" t="s">
        <v>128</v>
      </c>
      <c r="BK135" t="s">
        <v>1652</v>
      </c>
      <c r="BL135">
        <f>HYPERLINK("http://exon.niaid.nih.gov/transcriptome/Anopheles_sialome/links/cluster-b/anopheline-sialome-cds-pep-larger-orf25-50SimCLU5.txt", 5)</f>
        <v>5</v>
      </c>
      <c r="BM135">
        <f>HYPERLINK("http://exon.niaid.nih.gov/transcriptome/Anopheles_sialome/links/cluster-b/anopheline-sialome-cds-pep-larger-orf25-50SimCLTL5.txt", 56)</f>
        <v>56</v>
      </c>
      <c r="BN135">
        <f>HYPERLINK("http://exon.niaid.nih.gov/transcriptome/Anopheles_sialome/links/cluster-b/anopheline-sialome-cds-pep-larger-orf30-50SimCLU7.txt", 7)</f>
        <v>7</v>
      </c>
      <c r="BO135">
        <f>HYPERLINK("http://exon.niaid.nih.gov/transcriptome/Anopheles_sialome/links/cluster-b/anopheline-sialome-cds-pep-larger-orf30-50SimCLTL7.txt", 40)</f>
        <v>40</v>
      </c>
      <c r="BP135">
        <f>HYPERLINK("http://exon.niaid.nih.gov/transcriptome/Anopheles_sialome/links/cluster-b/anopheline-sialome-cds-pep-larger-orf35-50SimCLU8.txt", 8)</f>
        <v>8</v>
      </c>
      <c r="BQ135">
        <f>HYPERLINK("http://exon.niaid.nih.gov/transcriptome/Anopheles_sialome/links/cluster-b/anopheline-sialome-cds-pep-larger-orf35-50SimCLTL8.txt", 40)</f>
        <v>40</v>
      </c>
      <c r="BR135">
        <f>HYPERLINK("http://exon.niaid.nih.gov/transcriptome/Anopheles_sialome/links/cluster-b/anopheline-sialome-cds-pep-larger-orf40-50SimCLU5.txt", 5)</f>
        <v>5</v>
      </c>
      <c r="BS135">
        <f>HYPERLINK("http://exon.niaid.nih.gov/transcriptome/Anopheles_sialome/links/cluster-b/anopheline-sialome-cds-pep-larger-orf40-50SimCLTL5.txt", 40)</f>
        <v>40</v>
      </c>
      <c r="BT135">
        <f>HYPERLINK("http://exon.niaid.nih.gov/transcriptome/Anopheles_sialome/links/cluster-b/anopheline-sialome-cds-pep-larger-orf45-50SimCLU4.txt", 4)</f>
        <v>4</v>
      </c>
      <c r="BU135">
        <f>HYPERLINK("http://exon.niaid.nih.gov/transcriptome/Anopheles_sialome/links/cluster-b/anopheline-sialome-cds-pep-larger-orf45-50SimCLTL4.txt", 40)</f>
        <v>40</v>
      </c>
      <c r="BV135">
        <f>HYPERLINK("http://exon.niaid.nih.gov/transcriptome/Anopheles_sialome/links/cluster-b/anopheline-sialome-cds-pep-larger-orf50-50SimCLU4.txt", 4)</f>
        <v>4</v>
      </c>
      <c r="BW135">
        <f>HYPERLINK("http://exon.niaid.nih.gov/transcriptome/Anopheles_sialome/links/cluster-b/anopheline-sialome-cds-pep-larger-orf50-50SimCLTL4.txt", 40)</f>
        <v>40</v>
      </c>
      <c r="BX135">
        <f>HYPERLINK("http://exon.niaid.nih.gov/transcriptome/Anopheles_sialome/links/cluster-b/anopheline-sialome-cds-pep-larger-orf55-50SimCLU4.txt", 4)</f>
        <v>4</v>
      </c>
      <c r="BY135">
        <f>HYPERLINK("http://exon.niaid.nih.gov/transcriptome/Anopheles_sialome/links/cluster-b/anopheline-sialome-cds-pep-larger-orf55-50SimCLTL4.txt", 40)</f>
        <v>40</v>
      </c>
      <c r="BZ135">
        <f>HYPERLINK("http://exon.niaid.nih.gov/transcriptome/Anopheles_sialome/links/cluster-b/anopheline-sialome-cds-pep-larger-orf60-50SimCLU3.txt", 3)</f>
        <v>3</v>
      </c>
      <c r="CA135">
        <f>HYPERLINK("http://exon.niaid.nih.gov/transcriptome/Anopheles_sialome/links/cluster-b/anopheline-sialome-cds-pep-larger-orf60-50SimCLTL3.txt", 40)</f>
        <v>40</v>
      </c>
      <c r="CB135">
        <f>HYPERLINK("http://exon.niaid.nih.gov/transcriptome/Anopheles_sialome/links/cluster-b/anopheline-sialome-cds-pep-larger-orf65-50SimCLU2.txt", 2)</f>
        <v>2</v>
      </c>
      <c r="CC135">
        <f>HYPERLINK("http://exon.niaid.nih.gov/transcriptome/Anopheles_sialome/links/cluster-b/anopheline-sialome-cds-pep-larger-orf65-50SimCLTL2.txt", 40)</f>
        <v>40</v>
      </c>
      <c r="CD135">
        <f>HYPERLINK("http://exon.niaid.nih.gov/transcriptome/Anopheles_sialome/links/cluster-b/anopheline-sialome-cds-pep-larger-orf70-50SimCLU11.txt", 11)</f>
        <v>11</v>
      </c>
      <c r="CE135">
        <f>HYPERLINK("http://exon.niaid.nih.gov/transcriptome/Anopheles_sialome/links/cluster-b/anopheline-sialome-cds-pep-larger-orf70-50SimCLTL11.txt", 19)</f>
        <v>19</v>
      </c>
      <c r="CF135">
        <f>HYPERLINK("http://exon.niaid.nih.gov/transcriptome/Anopheles_sialome/links/cluster-b/anopheline-sialome-cds-pep-larger-orf75-50SimCLU7.txt", 7)</f>
        <v>7</v>
      </c>
      <c r="CG135">
        <f>HYPERLINK("http://exon.niaid.nih.gov/transcriptome/Anopheles_sialome/links/cluster-b/anopheline-sialome-cds-pep-larger-orf75-50SimCLTL7.txt", 19)</f>
        <v>19</v>
      </c>
      <c r="CH135">
        <f>HYPERLINK("http://exon.niaid.nih.gov/transcriptome/Anopheles_sialome/links/cluster-b/anopheline-sialome-cds-pep-larger-orf80-50SimCLU5.txt", 5)</f>
        <v>5</v>
      </c>
      <c r="CI135">
        <f>HYPERLINK("http://exon.niaid.nih.gov/transcriptome/Anopheles_sialome/links/cluster-b/anopheline-sialome-cds-pep-larger-orf80-50SimCLTL5.txt", 19)</f>
        <v>19</v>
      </c>
      <c r="CJ135">
        <f>HYPERLINK("http://exon.niaid.nih.gov/transcriptome/Anopheles_sialome/links/cluster-b/anopheline-sialome-cds-pep-larger-orf85-50SimCLU4.txt", 4)</f>
        <v>4</v>
      </c>
      <c r="CK135">
        <f>HYPERLINK("http://exon.niaid.nih.gov/transcriptome/Anopheles_sialome/links/cluster-b/anopheline-sialome-cds-pep-larger-orf85-50SimCLTL4.txt", 19)</f>
        <v>19</v>
      </c>
      <c r="CL135">
        <f>HYPERLINK("http://exon.niaid.nih.gov/transcriptome/Anopheles_sialome/links/cluster-b/anopheline-sialome-cds-pep-larger-orf90-50SimCLU80.txt", 80)</f>
        <v>80</v>
      </c>
      <c r="CM135">
        <f>HYPERLINK("http://exon.niaid.nih.gov/transcriptome/Anopheles_sialome/links/cluster-b/anopheline-sialome-cds-pep-larger-orf90-50SimCLTL80.txt", 2)</f>
        <v>2</v>
      </c>
      <c r="CN135">
        <f>HYPERLINK("http://exon.niaid.nih.gov/transcriptome/Anopheles_sialome/links/cluster-b/anopheline-sialome-cds-pep-larger-orf95-50SimCLU66.txt", 66)</f>
        <v>66</v>
      </c>
      <c r="CO135">
        <f>HYPERLINK("http://exon.niaid.nih.gov/transcriptome/Anopheles_sialome/links/cluster-b/anopheline-sialome-cds-pep-larger-orf95-50SimCLTL66.txt", 2)</f>
        <v>2</v>
      </c>
    </row>
    <row r="136" spans="1:93">
      <c r="A136" s="5" t="s">
        <v>3189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</row>
    <row r="137" spans="1:93">
      <c r="A137" s="2" t="str">
        <f>HYPERLINK("http://exon.niaid.nih.gov/transcriptome/Anopheles_sialome/links/cds/anoga_Sal_SerPro2-cds.txt","anoga_Sal_SerPro2")</f>
        <v>anoga_Sal_SerPro2</v>
      </c>
      <c r="B137">
        <v>1197</v>
      </c>
      <c r="C137" t="s">
        <v>387</v>
      </c>
      <c r="D137" t="s">
        <v>4</v>
      </c>
      <c r="E137" t="s">
        <v>5</v>
      </c>
      <c r="F137" t="s">
        <v>1</v>
      </c>
      <c r="G137" t="str">
        <f>HYPERLINK("http://exon.niaid.nih.gov/transcriptome/Anopheles_sialome/links/pep/anoga_Sal_SerPro2-pep.txt","anoga_Sal_SerPro2")</f>
        <v>anoga_Sal_SerPro2</v>
      </c>
      <c r="H137">
        <v>398</v>
      </c>
      <c r="I137">
        <v>2</v>
      </c>
      <c r="J137" s="3" t="str">
        <f>HYPERLINK("http://exon.niaid.nih.gov/transcriptome/Anopheles_sialome/links/Sigp/anoga_Sal_SerPro2-SigP.txt","SIG")</f>
        <v>SIG</v>
      </c>
      <c r="K137" t="s">
        <v>787</v>
      </c>
      <c r="L137">
        <v>43.362000000000002</v>
      </c>
      <c r="M137">
        <v>8.27</v>
      </c>
      <c r="N137">
        <v>40.58</v>
      </c>
      <c r="O137">
        <v>8.2899999999999991</v>
      </c>
      <c r="P137" t="s">
        <v>1655</v>
      </c>
      <c r="Q137" s="3" t="str">
        <f>HYPERLINK("http://exon.niaid.nih.gov/transcriptome/Anopheles_sialome/links/tmhmm/anoga_Sal_SerPro2-tmhmm.txt","1")</f>
        <v>1</v>
      </c>
      <c r="R137">
        <v>5.5</v>
      </c>
      <c r="S137">
        <v>93.2</v>
      </c>
      <c r="T137">
        <v>1.3</v>
      </c>
      <c r="U137" t="s">
        <v>128</v>
      </c>
      <c r="V137">
        <v>371</v>
      </c>
      <c r="W137" s="3" t="str">
        <f>HYPERLINK("http://exon.niaid.nih.gov/transcriptome/Anopheles_sialome/links/netoglyc/anoga_Sal_SerPro2-netoglyc.txt","0")</f>
        <v>0</v>
      </c>
      <c r="X137">
        <v>20.9</v>
      </c>
      <c r="Y137">
        <v>8</v>
      </c>
      <c r="Z137">
        <v>4.3</v>
      </c>
      <c r="AA137" t="s">
        <v>654</v>
      </c>
      <c r="AB137" t="s">
        <v>128</v>
      </c>
      <c r="AC137" s="2" t="str">
        <f>HYPERLINK("http://exon.niaid.nih.gov/transcriptome/Anopheles_sialome/links/DIPTERA/anoga_Sal_SerPro2-DIPTERA.txt","AGAP011914-PA")</f>
        <v>AGAP011914-PA</v>
      </c>
      <c r="AD137" t="str">
        <f>HYPERLINK("http://www.ncbi.nlm.nih.gov/sutils/blink.cgi?pid=157013320","0.0")</f>
        <v>0.0</v>
      </c>
      <c r="AE137" t="str">
        <f>HYPERLINK("http://www.ncbi.nlm.nih.gov/protein/157013320","gi|157013320")</f>
        <v>gi|157013320</v>
      </c>
      <c r="AF137">
        <v>100</v>
      </c>
      <c r="AG137">
        <v>100</v>
      </c>
      <c r="AH137">
        <v>100</v>
      </c>
      <c r="AI137" t="s">
        <v>2285</v>
      </c>
      <c r="AJ137" s="2" t="str">
        <f>HYPERLINK("http://exon.niaid.nih.gov/transcriptome/Anopheles_sialome/links/CULICOMORPHA/anoga_Sal_SerPro2-CULICOMORPHA.txt","AGAP011914-PA")</f>
        <v>AGAP011914-PA</v>
      </c>
      <c r="AK137" t="str">
        <f>HYPERLINK("http://www.ncbi.nlm.nih.gov/sutils/blink.cgi?pid=157013320","0.0")</f>
        <v>0.0</v>
      </c>
      <c r="AL137" t="str">
        <f>HYPERLINK("http://www.ncbi.nlm.nih.gov/protein/157013320","gi|157013320")</f>
        <v>gi|157013320</v>
      </c>
      <c r="AM137">
        <v>100</v>
      </c>
      <c r="AN137">
        <v>100</v>
      </c>
      <c r="AO137">
        <v>100</v>
      </c>
      <c r="AP137" t="s">
        <v>2285</v>
      </c>
      <c r="AQ137" s="2" t="str">
        <f>HYPERLINK("http://exon.niaid.nih.gov/transcriptome/Anopheles_sialome/links/NR-LIGHT/anoga_Sal_SerPro2-NR-LIGHT.txt","AGAP011914-PA")</f>
        <v>AGAP011914-PA</v>
      </c>
      <c r="AR137" t="str">
        <f>HYPERLINK("http://www.ncbi.nlm.nih.gov/sutils/blink.cgi?pid=158300769","0.0")</f>
        <v>0.0</v>
      </c>
      <c r="AS137" t="str">
        <f>HYPERLINK("http://www.ncbi.nlm.nih.gov/protein/158300769","gi|158300769")</f>
        <v>gi|158300769</v>
      </c>
      <c r="AT137">
        <v>100</v>
      </c>
      <c r="AU137">
        <v>100</v>
      </c>
      <c r="AV137">
        <v>100</v>
      </c>
      <c r="AW137" t="s">
        <v>2285</v>
      </c>
      <c r="AX137" s="2" t="str">
        <f>HYPERLINK("http://exon.niaid.nih.gov/transcriptome/Anopheles_sialome/links/CDD/anoga_Sal_SerPro2-CDD.txt","Tryp_SPc")</f>
        <v>Tryp_SPc</v>
      </c>
      <c r="AY137" t="str">
        <f>HYPERLINK("http://www.ncbi.nlm.nih.gov/Structure/cdd/cddsrv.cgi?uid=cd00190&amp;version=v4.0","7E-047")</f>
        <v>7E-047</v>
      </c>
      <c r="AZ137" t="s">
        <v>2824</v>
      </c>
      <c r="BA137" s="2" t="str">
        <f>HYPERLINK("http://exon.niaid.nih.gov/transcriptome/Anopheles_sialome/links/KOG/anoga_Sal_SerPro2-KOG.txt","Trypsin")</f>
        <v>Trypsin</v>
      </c>
      <c r="BB137" t="str">
        <f>HYPERLINK("http://www.ncbi.nlm.nih.gov/Structure/cdd/cddsrv.cgi?uid=KOG3627","5E-041")</f>
        <v>5E-041</v>
      </c>
      <c r="BC137" t="s">
        <v>2287</v>
      </c>
      <c r="BD137" t="str">
        <f>HYPERLINK("http://exon.niaid.nih.gov/transcriptome/Anopheles_sialome/links/KOG/anoga_Sal_SerPro2-KOG.txt","KOG3627")</f>
        <v>KOG3627</v>
      </c>
      <c r="BE137" t="str">
        <f>HYPERLINK("http://exon.niaid.nih.gov/transcriptome/Anopheles_sialome/links/PFAM/anoga_Sal_SerPro2-PFAM.txt","Trypsin")</f>
        <v>Trypsin</v>
      </c>
      <c r="BF137" t="str">
        <f>HYPERLINK("http://pfam.sanger.ac.uk/family?acc=PF00089","2E-035")</f>
        <v>2E-035</v>
      </c>
      <c r="BG137" s="2" t="str">
        <f>HYPERLINK("http://exon.niaid.nih.gov/transcriptome/Anopheles_sialome/links/SMART/anoga_Sal_SerPro2-SMART.txt","Tryp_SPc")</f>
        <v>Tryp_SPc</v>
      </c>
      <c r="BH137" t="str">
        <f>HYPERLINK("http://smart.embl-heidelberg.de/smart/do_annotation.pl?DOMAIN=Tryp_SPc&amp;BLAST=DUMMY","7E-047")</f>
        <v>7E-047</v>
      </c>
      <c r="BI137" t="s">
        <v>128</v>
      </c>
      <c r="BJ137" s="2" t="s">
        <v>128</v>
      </c>
      <c r="BK137" t="s">
        <v>1654</v>
      </c>
      <c r="BL137">
        <f>HYPERLINK("http://exon.niaid.nih.gov/transcriptome/Anopheles_sialome/links/cluster-b/anopheline-sialome-cds-pep-larger-orf25-50SimCLU5.txt", 5)</f>
        <v>5</v>
      </c>
      <c r="BM137">
        <f>HYPERLINK("http://exon.niaid.nih.gov/transcriptome/Anopheles_sialome/links/cluster-b/anopheline-sialome-cds-pep-larger-orf25-50SimCLTL5.txt", 56)</f>
        <v>56</v>
      </c>
      <c r="BN137">
        <f>HYPERLINK("http://exon.niaid.nih.gov/transcriptome/Anopheles_sialome/links/cluster-b/anopheline-sialome-cds-pep-larger-orf30-50SimCLU7.txt", 7)</f>
        <v>7</v>
      </c>
      <c r="BO137">
        <f>HYPERLINK("http://exon.niaid.nih.gov/transcriptome/Anopheles_sialome/links/cluster-b/anopheline-sialome-cds-pep-larger-orf30-50SimCLTL7.txt", 40)</f>
        <v>40</v>
      </c>
      <c r="BP137">
        <f>HYPERLINK("http://exon.niaid.nih.gov/transcriptome/Anopheles_sialome/links/cluster-b/anopheline-sialome-cds-pep-larger-orf35-50SimCLU8.txt", 8)</f>
        <v>8</v>
      </c>
      <c r="BQ137">
        <f>HYPERLINK("http://exon.niaid.nih.gov/transcriptome/Anopheles_sialome/links/cluster-b/anopheline-sialome-cds-pep-larger-orf35-50SimCLTL8.txt", 40)</f>
        <v>40</v>
      </c>
      <c r="BR137">
        <f>HYPERLINK("http://exon.niaid.nih.gov/transcriptome/Anopheles_sialome/links/cluster-b/anopheline-sialome-cds-pep-larger-orf40-50SimCLU5.txt", 5)</f>
        <v>5</v>
      </c>
      <c r="BS137">
        <f>HYPERLINK("http://exon.niaid.nih.gov/transcriptome/Anopheles_sialome/links/cluster-b/anopheline-sialome-cds-pep-larger-orf40-50SimCLTL5.txt", 40)</f>
        <v>40</v>
      </c>
      <c r="BT137">
        <f>HYPERLINK("http://exon.niaid.nih.gov/transcriptome/Anopheles_sialome/links/cluster-b/anopheline-sialome-cds-pep-larger-orf45-50SimCLU4.txt", 4)</f>
        <v>4</v>
      </c>
      <c r="BU137">
        <f>HYPERLINK("http://exon.niaid.nih.gov/transcriptome/Anopheles_sialome/links/cluster-b/anopheline-sialome-cds-pep-larger-orf45-50SimCLTL4.txt", 40)</f>
        <v>40</v>
      </c>
      <c r="BV137">
        <f>HYPERLINK("http://exon.niaid.nih.gov/transcriptome/Anopheles_sialome/links/cluster-b/anopheline-sialome-cds-pep-larger-orf50-50SimCLU4.txt", 4)</f>
        <v>4</v>
      </c>
      <c r="BW137">
        <f>HYPERLINK("http://exon.niaid.nih.gov/transcriptome/Anopheles_sialome/links/cluster-b/anopheline-sialome-cds-pep-larger-orf50-50SimCLTL4.txt", 40)</f>
        <v>40</v>
      </c>
      <c r="BX137">
        <f>HYPERLINK("http://exon.niaid.nih.gov/transcriptome/Anopheles_sialome/links/cluster-b/anopheline-sialome-cds-pep-larger-orf55-50SimCLU4.txt", 4)</f>
        <v>4</v>
      </c>
      <c r="BY137">
        <f>HYPERLINK("http://exon.niaid.nih.gov/transcriptome/Anopheles_sialome/links/cluster-b/anopheline-sialome-cds-pep-larger-orf55-50SimCLTL4.txt", 40)</f>
        <v>40</v>
      </c>
      <c r="BZ137">
        <f>HYPERLINK("http://exon.niaid.nih.gov/transcriptome/Anopheles_sialome/links/cluster-b/anopheline-sialome-cds-pep-larger-orf60-50SimCLU3.txt", 3)</f>
        <v>3</v>
      </c>
      <c r="CA137">
        <f>HYPERLINK("http://exon.niaid.nih.gov/transcriptome/Anopheles_sialome/links/cluster-b/anopheline-sialome-cds-pep-larger-orf60-50SimCLTL3.txt", 40)</f>
        <v>40</v>
      </c>
      <c r="CB137">
        <f>HYPERLINK("http://exon.niaid.nih.gov/transcriptome/Anopheles_sialome/links/cluster-b/anopheline-sialome-cds-pep-larger-orf65-50SimCLU2.txt", 2)</f>
        <v>2</v>
      </c>
      <c r="CC137">
        <f>HYPERLINK("http://exon.niaid.nih.gov/transcriptome/Anopheles_sialome/links/cluster-b/anopheline-sialome-cds-pep-larger-orf65-50SimCLTL2.txt", 40)</f>
        <v>40</v>
      </c>
      <c r="CD137">
        <f>HYPERLINK("http://exon.niaid.nih.gov/transcriptome/Anopheles_sialome/links/cluster-b/anopheline-sialome-cds-pep-larger-orf70-50SimCLU6.txt", 6)</f>
        <v>6</v>
      </c>
      <c r="CE137">
        <f>HYPERLINK("http://exon.niaid.nih.gov/transcriptome/Anopheles_sialome/links/cluster-b/anopheline-sialome-cds-pep-larger-orf70-50SimCLTL6.txt", 21)</f>
        <v>21</v>
      </c>
      <c r="CF137">
        <f>HYPERLINK("http://exon.niaid.nih.gov/transcriptome/Anopheles_sialome/links/cluster-b/anopheline-sialome-cds-pep-larger-orf75-50SimCLU5.txt", 5)</f>
        <v>5</v>
      </c>
      <c r="CG137">
        <f>HYPERLINK("http://exon.niaid.nih.gov/transcriptome/Anopheles_sialome/links/cluster-b/anopheline-sialome-cds-pep-larger-orf75-50SimCLTL5.txt", 21)</f>
        <v>21</v>
      </c>
      <c r="CH137">
        <f>HYPERLINK("http://exon.niaid.nih.gov/transcriptome/Anopheles_sialome/links/cluster-b/anopheline-sialome-cds-pep-larger-orf80-50SimCLU3.txt", 3)</f>
        <v>3</v>
      </c>
      <c r="CI137">
        <f>HYPERLINK("http://exon.niaid.nih.gov/transcriptome/Anopheles_sialome/links/cluster-b/anopheline-sialome-cds-pep-larger-orf80-50SimCLTL3.txt", 21)</f>
        <v>21</v>
      </c>
      <c r="CJ137">
        <f>HYPERLINK("http://exon.niaid.nih.gov/transcriptome/Anopheles_sialome/links/cluster-b/anopheline-sialome-cds-pep-larger-orf85-50SimCLU2.txt", 2)</f>
        <v>2</v>
      </c>
      <c r="CK137">
        <f>HYPERLINK("http://exon.niaid.nih.gov/transcriptome/Anopheles_sialome/links/cluster-b/anopheline-sialome-cds-pep-larger-orf85-50SimCLTL2.txt", 21)</f>
        <v>21</v>
      </c>
      <c r="CL137">
        <f>HYPERLINK("http://exon.niaid.nih.gov/transcriptome/Anopheles_sialome/links/cluster-b/anopheline-sialome-cds-pep-larger-orf90-50SimCLU5.txt", 5)</f>
        <v>5</v>
      </c>
      <c r="CM137">
        <f>HYPERLINK("http://exon.niaid.nih.gov/transcriptome/Anopheles_sialome/links/cluster-b/anopheline-sialome-cds-pep-larger-orf90-50SimCLTL5.txt", 14)</f>
        <v>14</v>
      </c>
      <c r="CN137">
        <f>HYPERLINK("http://exon.niaid.nih.gov/transcriptome/Anopheles_sialome/links/cluster-b/anopheline-sialome-cds-pep-larger-orf95-50SimCLU48.txt", 48)</f>
        <v>48</v>
      </c>
      <c r="CO137">
        <f>HYPERLINK("http://exon.niaid.nih.gov/transcriptome/Anopheles_sialome/links/cluster-b/anopheline-sialome-cds-pep-larger-orf95-50SimCLTL48.txt", 4)</f>
        <v>4</v>
      </c>
    </row>
    <row r="138" spans="1:93">
      <c r="A138" s="2" t="str">
        <f>HYPERLINK("http://exon.niaid.nih.gov/transcriptome/Anopheles_sialome/links/cds/anocol_Sal_SerPro2-cds.txt","anocol_Sal_SerPro2")</f>
        <v>anocol_Sal_SerPro2</v>
      </c>
      <c r="B138">
        <v>1197</v>
      </c>
      <c r="C138" t="s">
        <v>388</v>
      </c>
      <c r="D138" t="s">
        <v>4</v>
      </c>
      <c r="E138" t="s">
        <v>5</v>
      </c>
      <c r="F138" t="s">
        <v>1</v>
      </c>
      <c r="G138" t="str">
        <f>HYPERLINK("http://exon.niaid.nih.gov/transcriptome/Anopheles_sialome/links/pep/anocol_Sal_SerPro2-pep.txt","anocol_Sal_SerPro2")</f>
        <v>anocol_Sal_SerPro2</v>
      </c>
      <c r="H138">
        <v>398</v>
      </c>
      <c r="I138">
        <v>2</v>
      </c>
      <c r="J138" s="3" t="str">
        <f>HYPERLINK("http://exon.niaid.nih.gov/transcriptome/Anopheles_sialome/links/Sigp/anocol_Sal_SerPro2-SigP.txt","SIG")</f>
        <v>SIG</v>
      </c>
      <c r="K138" t="s">
        <v>787</v>
      </c>
      <c r="L138">
        <v>43.405000000000001</v>
      </c>
      <c r="M138">
        <v>8.27</v>
      </c>
      <c r="N138">
        <v>40.622</v>
      </c>
      <c r="O138">
        <v>8.2899999999999991</v>
      </c>
      <c r="P138" t="s">
        <v>1655</v>
      </c>
      <c r="Q138" s="3" t="str">
        <f>HYPERLINK("http://exon.niaid.nih.gov/transcriptome/Anopheles_sialome/links/tmhmm/anocol_Sal_SerPro2-tmhmm.txt","1")</f>
        <v>1</v>
      </c>
      <c r="R138">
        <v>5.5</v>
      </c>
      <c r="S138">
        <v>93.2</v>
      </c>
      <c r="T138">
        <v>1.3</v>
      </c>
      <c r="U138" t="s">
        <v>128</v>
      </c>
      <c r="V138">
        <v>371</v>
      </c>
      <c r="W138" s="3" t="str">
        <f>HYPERLINK("http://exon.niaid.nih.gov/transcriptome/Anopheles_sialome/links/netoglyc/anocol_Sal_SerPro2-netoglyc.txt","0")</f>
        <v>0</v>
      </c>
      <c r="X138">
        <v>20.9</v>
      </c>
      <c r="Y138">
        <v>7.8</v>
      </c>
      <c r="Z138">
        <v>4.3</v>
      </c>
      <c r="AA138" t="s">
        <v>654</v>
      </c>
      <c r="AB138" t="s">
        <v>128</v>
      </c>
      <c r="AC138" s="2" t="str">
        <f>HYPERLINK("http://exon.niaid.nih.gov/transcriptome/Anopheles_sialome/links/DIPTERA/anocol_Sal_SerPro2-DIPTERA.txt","AGAP011914-PA")</f>
        <v>AGAP011914-PA</v>
      </c>
      <c r="AD138" t="str">
        <f>HYPERLINK("http://www.ncbi.nlm.nih.gov/sutils/blink.cgi?pid=157013320","0.0")</f>
        <v>0.0</v>
      </c>
      <c r="AE138" t="str">
        <f>HYPERLINK("http://www.ncbi.nlm.nih.gov/protein/157013320","gi|157013320")</f>
        <v>gi|157013320</v>
      </c>
      <c r="AF138">
        <v>99</v>
      </c>
      <c r="AG138">
        <v>99</v>
      </c>
      <c r="AH138">
        <v>100</v>
      </c>
      <c r="AI138" t="s">
        <v>2285</v>
      </c>
      <c r="AJ138" s="2" t="str">
        <f>HYPERLINK("http://exon.niaid.nih.gov/transcriptome/Anopheles_sialome/links/CULICOMORPHA/anocol_Sal_SerPro2-CULICOMORPHA.txt","AGAP011914-PA")</f>
        <v>AGAP011914-PA</v>
      </c>
      <c r="AK138" t="str">
        <f>HYPERLINK("http://www.ncbi.nlm.nih.gov/sutils/blink.cgi?pid=157013320","0.0")</f>
        <v>0.0</v>
      </c>
      <c r="AL138" t="str">
        <f>HYPERLINK("http://www.ncbi.nlm.nih.gov/protein/157013320","gi|157013320")</f>
        <v>gi|157013320</v>
      </c>
      <c r="AM138">
        <v>99</v>
      </c>
      <c r="AN138">
        <v>99</v>
      </c>
      <c r="AO138">
        <v>100</v>
      </c>
      <c r="AP138" t="s">
        <v>2285</v>
      </c>
      <c r="AQ138" s="2" t="str">
        <f>HYPERLINK("http://exon.niaid.nih.gov/transcriptome/Anopheles_sialome/links/NR-LIGHT/anocol_Sal_SerPro2-NR-LIGHT.txt","AGAP011914-PA")</f>
        <v>AGAP011914-PA</v>
      </c>
      <c r="AR138" t="str">
        <f>HYPERLINK("http://www.ncbi.nlm.nih.gov/sutils/blink.cgi?pid=158300769","0.0")</f>
        <v>0.0</v>
      </c>
      <c r="AS138" t="str">
        <f>HYPERLINK("http://www.ncbi.nlm.nih.gov/protein/158300769","gi|158300769")</f>
        <v>gi|158300769</v>
      </c>
      <c r="AT138">
        <v>99</v>
      </c>
      <c r="AU138">
        <v>99</v>
      </c>
      <c r="AV138">
        <v>100</v>
      </c>
      <c r="AW138" t="s">
        <v>2285</v>
      </c>
      <c r="AX138" s="2" t="str">
        <f>HYPERLINK("http://exon.niaid.nih.gov/transcriptome/Anopheles_sialome/links/CDD/anocol_Sal_SerPro2-CDD.txt","Tryp_SPc")</f>
        <v>Tryp_SPc</v>
      </c>
      <c r="AY138" t="str">
        <f>HYPERLINK("http://www.ncbi.nlm.nih.gov/Structure/cdd/cddsrv.cgi?uid=cd00190&amp;version=v4.0","9E-047")</f>
        <v>9E-047</v>
      </c>
      <c r="AZ138" t="s">
        <v>2825</v>
      </c>
      <c r="BA138" s="2" t="str">
        <f>HYPERLINK("http://exon.niaid.nih.gov/transcriptome/Anopheles_sialome/links/KOG/anocol_Sal_SerPro2-KOG.txt","Trypsin")</f>
        <v>Trypsin</v>
      </c>
      <c r="BB138" t="str">
        <f>HYPERLINK("http://www.ncbi.nlm.nih.gov/Structure/cdd/cddsrv.cgi?uid=KOG3627","7E-041")</f>
        <v>7E-041</v>
      </c>
      <c r="BC138" t="s">
        <v>2287</v>
      </c>
      <c r="BD138" t="str">
        <f>HYPERLINK("http://exon.niaid.nih.gov/transcriptome/Anopheles_sialome/links/KOG/anocol_Sal_SerPro2-KOG.txt","KOG3627")</f>
        <v>KOG3627</v>
      </c>
      <c r="BE138" t="str">
        <f>HYPERLINK("http://exon.niaid.nih.gov/transcriptome/Anopheles_sialome/links/PFAM/anocol_Sal_SerPro2-PFAM.txt","Trypsin")</f>
        <v>Trypsin</v>
      </c>
      <c r="BF138" t="str">
        <f>HYPERLINK("http://pfam.sanger.ac.uk/family?acc=PF00089","2E-035")</f>
        <v>2E-035</v>
      </c>
      <c r="BG138" s="2" t="str">
        <f>HYPERLINK("http://exon.niaid.nih.gov/transcriptome/Anopheles_sialome/links/SMART/anocol_Sal_SerPro2-SMART.txt","Tryp_SPc")</f>
        <v>Tryp_SPc</v>
      </c>
      <c r="BH138" t="str">
        <f>HYPERLINK("http://smart.embl-heidelberg.de/smart/do_annotation.pl?DOMAIN=Tryp_SPc&amp;BLAST=DUMMY","8E-047")</f>
        <v>8E-047</v>
      </c>
      <c r="BI138" t="s">
        <v>128</v>
      </c>
      <c r="BJ138" s="2" t="s">
        <v>128</v>
      </c>
      <c r="BK138" t="s">
        <v>1656</v>
      </c>
      <c r="BL138">
        <f>HYPERLINK("http://exon.niaid.nih.gov/transcriptome/Anopheles_sialome/links/cluster-b/anopheline-sialome-cds-pep-larger-orf25-50SimCLU5.txt", 5)</f>
        <v>5</v>
      </c>
      <c r="BM138">
        <f>HYPERLINK("http://exon.niaid.nih.gov/transcriptome/Anopheles_sialome/links/cluster-b/anopheline-sialome-cds-pep-larger-orf25-50SimCLTL5.txt", 56)</f>
        <v>56</v>
      </c>
      <c r="BN138">
        <f>HYPERLINK("http://exon.niaid.nih.gov/transcriptome/Anopheles_sialome/links/cluster-b/anopheline-sialome-cds-pep-larger-orf30-50SimCLU7.txt", 7)</f>
        <v>7</v>
      </c>
      <c r="BO138">
        <f>HYPERLINK("http://exon.niaid.nih.gov/transcriptome/Anopheles_sialome/links/cluster-b/anopheline-sialome-cds-pep-larger-orf30-50SimCLTL7.txt", 40)</f>
        <v>40</v>
      </c>
      <c r="BP138">
        <f>HYPERLINK("http://exon.niaid.nih.gov/transcriptome/Anopheles_sialome/links/cluster-b/anopheline-sialome-cds-pep-larger-orf35-50SimCLU8.txt", 8)</f>
        <v>8</v>
      </c>
      <c r="BQ138">
        <f>HYPERLINK("http://exon.niaid.nih.gov/transcriptome/Anopheles_sialome/links/cluster-b/anopheline-sialome-cds-pep-larger-orf35-50SimCLTL8.txt", 40)</f>
        <v>40</v>
      </c>
      <c r="BR138">
        <f>HYPERLINK("http://exon.niaid.nih.gov/transcriptome/Anopheles_sialome/links/cluster-b/anopheline-sialome-cds-pep-larger-orf40-50SimCLU5.txt", 5)</f>
        <v>5</v>
      </c>
      <c r="BS138">
        <f>HYPERLINK("http://exon.niaid.nih.gov/transcriptome/Anopheles_sialome/links/cluster-b/anopheline-sialome-cds-pep-larger-orf40-50SimCLTL5.txt", 40)</f>
        <v>40</v>
      </c>
      <c r="BT138">
        <f>HYPERLINK("http://exon.niaid.nih.gov/transcriptome/Anopheles_sialome/links/cluster-b/anopheline-sialome-cds-pep-larger-orf45-50SimCLU4.txt", 4)</f>
        <v>4</v>
      </c>
      <c r="BU138">
        <f>HYPERLINK("http://exon.niaid.nih.gov/transcriptome/Anopheles_sialome/links/cluster-b/anopheline-sialome-cds-pep-larger-orf45-50SimCLTL4.txt", 40)</f>
        <v>40</v>
      </c>
      <c r="BV138">
        <f>HYPERLINK("http://exon.niaid.nih.gov/transcriptome/Anopheles_sialome/links/cluster-b/anopheline-sialome-cds-pep-larger-orf50-50SimCLU4.txt", 4)</f>
        <v>4</v>
      </c>
      <c r="BW138">
        <f>HYPERLINK("http://exon.niaid.nih.gov/transcriptome/Anopheles_sialome/links/cluster-b/anopheline-sialome-cds-pep-larger-orf50-50SimCLTL4.txt", 40)</f>
        <v>40</v>
      </c>
      <c r="BX138">
        <f>HYPERLINK("http://exon.niaid.nih.gov/transcriptome/Anopheles_sialome/links/cluster-b/anopheline-sialome-cds-pep-larger-orf55-50SimCLU4.txt", 4)</f>
        <v>4</v>
      </c>
      <c r="BY138">
        <f>HYPERLINK("http://exon.niaid.nih.gov/transcriptome/Anopheles_sialome/links/cluster-b/anopheline-sialome-cds-pep-larger-orf55-50SimCLTL4.txt", 40)</f>
        <v>40</v>
      </c>
      <c r="BZ138">
        <f>HYPERLINK("http://exon.niaid.nih.gov/transcriptome/Anopheles_sialome/links/cluster-b/anopheline-sialome-cds-pep-larger-orf60-50SimCLU3.txt", 3)</f>
        <v>3</v>
      </c>
      <c r="CA138">
        <f>HYPERLINK("http://exon.niaid.nih.gov/transcriptome/Anopheles_sialome/links/cluster-b/anopheline-sialome-cds-pep-larger-orf60-50SimCLTL3.txt", 40)</f>
        <v>40</v>
      </c>
      <c r="CB138">
        <f>HYPERLINK("http://exon.niaid.nih.gov/transcriptome/Anopheles_sialome/links/cluster-b/anopheline-sialome-cds-pep-larger-orf65-50SimCLU2.txt", 2)</f>
        <v>2</v>
      </c>
      <c r="CC138">
        <f>HYPERLINK("http://exon.niaid.nih.gov/transcriptome/Anopheles_sialome/links/cluster-b/anopheline-sialome-cds-pep-larger-orf65-50SimCLTL2.txt", 40)</f>
        <v>40</v>
      </c>
      <c r="CD138">
        <f>HYPERLINK("http://exon.niaid.nih.gov/transcriptome/Anopheles_sialome/links/cluster-b/anopheline-sialome-cds-pep-larger-orf70-50SimCLU6.txt", 6)</f>
        <v>6</v>
      </c>
      <c r="CE138">
        <f>HYPERLINK("http://exon.niaid.nih.gov/transcriptome/Anopheles_sialome/links/cluster-b/anopheline-sialome-cds-pep-larger-orf70-50SimCLTL6.txt", 21)</f>
        <v>21</v>
      </c>
      <c r="CF138">
        <f>HYPERLINK("http://exon.niaid.nih.gov/transcriptome/Anopheles_sialome/links/cluster-b/anopheline-sialome-cds-pep-larger-orf75-50SimCLU5.txt", 5)</f>
        <v>5</v>
      </c>
      <c r="CG138">
        <f>HYPERLINK("http://exon.niaid.nih.gov/transcriptome/Anopheles_sialome/links/cluster-b/anopheline-sialome-cds-pep-larger-orf75-50SimCLTL5.txt", 21)</f>
        <v>21</v>
      </c>
      <c r="CH138">
        <f>HYPERLINK("http://exon.niaid.nih.gov/transcriptome/Anopheles_sialome/links/cluster-b/anopheline-sialome-cds-pep-larger-orf80-50SimCLU3.txt", 3)</f>
        <v>3</v>
      </c>
      <c r="CI138">
        <f>HYPERLINK("http://exon.niaid.nih.gov/transcriptome/Anopheles_sialome/links/cluster-b/anopheline-sialome-cds-pep-larger-orf80-50SimCLTL3.txt", 21)</f>
        <v>21</v>
      </c>
      <c r="CJ138">
        <f>HYPERLINK("http://exon.niaid.nih.gov/transcriptome/Anopheles_sialome/links/cluster-b/anopheline-sialome-cds-pep-larger-orf85-50SimCLU2.txt", 2)</f>
        <v>2</v>
      </c>
      <c r="CK138">
        <f>HYPERLINK("http://exon.niaid.nih.gov/transcriptome/Anopheles_sialome/links/cluster-b/anopheline-sialome-cds-pep-larger-orf85-50SimCLTL2.txt", 21)</f>
        <v>21</v>
      </c>
      <c r="CL138">
        <f>HYPERLINK("http://exon.niaid.nih.gov/transcriptome/Anopheles_sialome/links/cluster-b/anopheline-sialome-cds-pep-larger-orf90-50SimCLU5.txt", 5)</f>
        <v>5</v>
      </c>
      <c r="CM138">
        <f>HYPERLINK("http://exon.niaid.nih.gov/transcriptome/Anopheles_sialome/links/cluster-b/anopheline-sialome-cds-pep-larger-orf90-50SimCLTL5.txt", 14)</f>
        <v>14</v>
      </c>
      <c r="CN138">
        <f>HYPERLINK("http://exon.niaid.nih.gov/transcriptome/Anopheles_sialome/links/cluster-b/anopheline-sialome-cds-pep-larger-orf95-50SimCLU48.txt", 48)</f>
        <v>48</v>
      </c>
      <c r="CO138">
        <f>HYPERLINK("http://exon.niaid.nih.gov/transcriptome/Anopheles_sialome/links/cluster-b/anopheline-sialome-cds-pep-larger-orf95-50SimCLTL48.txt", 4)</f>
        <v>4</v>
      </c>
    </row>
    <row r="139" spans="1:93">
      <c r="A139" s="2" t="str">
        <f>HYPERLINK("http://exon.niaid.nih.gov/transcriptome/Anopheles_sialome/links/cds/anoara_Sal_SerPro2-cds.txt","anoara_Sal_SerPro2")</f>
        <v>anoara_Sal_SerPro2</v>
      </c>
      <c r="B139">
        <v>1197</v>
      </c>
      <c r="C139" t="s">
        <v>389</v>
      </c>
      <c r="D139" t="s">
        <v>7</v>
      </c>
      <c r="E139" t="s">
        <v>5</v>
      </c>
      <c r="F139" t="s">
        <v>1</v>
      </c>
      <c r="G139" t="str">
        <f>HYPERLINK("http://exon.niaid.nih.gov/transcriptome/Anopheles_sialome/links/pep/anoara_Sal_SerPro2-pep.txt","anoara_Sal_SerPro2")</f>
        <v>anoara_Sal_SerPro2</v>
      </c>
      <c r="H139">
        <v>398</v>
      </c>
      <c r="I139">
        <v>2</v>
      </c>
      <c r="J139" s="3" t="str">
        <f>HYPERLINK("http://exon.niaid.nih.gov/transcriptome/Anopheles_sialome/links/Sigp/anoara_Sal_SerPro2-SigP.txt","SIG")</f>
        <v>SIG</v>
      </c>
      <c r="K139" t="s">
        <v>787</v>
      </c>
      <c r="L139">
        <v>43.363</v>
      </c>
      <c r="M139">
        <v>8.27</v>
      </c>
      <c r="N139">
        <v>40.58</v>
      </c>
      <c r="O139">
        <v>8.2899999999999991</v>
      </c>
      <c r="P139" t="s">
        <v>1655</v>
      </c>
      <c r="Q139" s="3" t="str">
        <f>HYPERLINK("http://exon.niaid.nih.gov/transcriptome/Anopheles_sialome/links/tmhmm/anoara_Sal_SerPro2-tmhmm.txt","1")</f>
        <v>1</v>
      </c>
      <c r="R139">
        <v>5.5</v>
      </c>
      <c r="S139">
        <v>93.2</v>
      </c>
      <c r="T139">
        <v>1.3</v>
      </c>
      <c r="U139" t="s">
        <v>128</v>
      </c>
      <c r="V139">
        <v>371</v>
      </c>
      <c r="W139" s="3" t="str">
        <f>HYPERLINK("http://exon.niaid.nih.gov/transcriptome/Anopheles_sialome/links/netoglyc/anoara_Sal_SerPro2-netoglyc.txt","0")</f>
        <v>0</v>
      </c>
      <c r="X139">
        <v>20.9</v>
      </c>
      <c r="Y139">
        <v>8</v>
      </c>
      <c r="Z139">
        <v>4.3</v>
      </c>
      <c r="AA139" t="s">
        <v>654</v>
      </c>
      <c r="AB139" t="s">
        <v>128</v>
      </c>
      <c r="AC139" s="2" t="str">
        <f>HYPERLINK("http://exon.niaid.nih.gov/transcriptome/Anopheles_sialome/links/DIPTERA/anoara_Sal_SerPro2-DIPTERA.txt","AGAP011914-PA")</f>
        <v>AGAP011914-PA</v>
      </c>
      <c r="AD139" t="str">
        <f>HYPERLINK("http://www.ncbi.nlm.nih.gov/sutils/blink.cgi?pid=157013320","0.0")</f>
        <v>0.0</v>
      </c>
      <c r="AE139" t="str">
        <f>HYPERLINK("http://www.ncbi.nlm.nih.gov/protein/157013320","gi|157013320")</f>
        <v>gi|157013320</v>
      </c>
      <c r="AF139">
        <v>100</v>
      </c>
      <c r="AG139">
        <v>100</v>
      </c>
      <c r="AH139">
        <v>100</v>
      </c>
      <c r="AI139" t="s">
        <v>2285</v>
      </c>
      <c r="AJ139" s="2" t="str">
        <f>HYPERLINK("http://exon.niaid.nih.gov/transcriptome/Anopheles_sialome/links/CULICOMORPHA/anoara_Sal_SerPro2-CULICOMORPHA.txt","AGAP011914-PA")</f>
        <v>AGAP011914-PA</v>
      </c>
      <c r="AK139" t="str">
        <f>HYPERLINK("http://www.ncbi.nlm.nih.gov/sutils/blink.cgi?pid=157013320","0.0")</f>
        <v>0.0</v>
      </c>
      <c r="AL139" t="str">
        <f>HYPERLINK("http://www.ncbi.nlm.nih.gov/protein/157013320","gi|157013320")</f>
        <v>gi|157013320</v>
      </c>
      <c r="AM139">
        <v>100</v>
      </c>
      <c r="AN139">
        <v>100</v>
      </c>
      <c r="AO139">
        <v>100</v>
      </c>
      <c r="AP139" t="s">
        <v>2285</v>
      </c>
      <c r="AQ139" s="2" t="str">
        <f>HYPERLINK("http://exon.niaid.nih.gov/transcriptome/Anopheles_sialome/links/NR-LIGHT/anoara_Sal_SerPro2-NR-LIGHT.txt","AGAP011914-PA")</f>
        <v>AGAP011914-PA</v>
      </c>
      <c r="AR139" t="str">
        <f>HYPERLINK("http://www.ncbi.nlm.nih.gov/sutils/blink.cgi?pid=158300769","0.0")</f>
        <v>0.0</v>
      </c>
      <c r="AS139" t="str">
        <f>HYPERLINK("http://www.ncbi.nlm.nih.gov/protein/158300769","gi|158300769")</f>
        <v>gi|158300769</v>
      </c>
      <c r="AT139">
        <v>100</v>
      </c>
      <c r="AU139">
        <v>100</v>
      </c>
      <c r="AV139">
        <v>100</v>
      </c>
      <c r="AW139" t="s">
        <v>2285</v>
      </c>
      <c r="AX139" s="2" t="str">
        <f>HYPERLINK("http://exon.niaid.nih.gov/transcriptome/Anopheles_sialome/links/CDD/anoara_Sal_SerPro2-CDD.txt","Tryp_SPc")</f>
        <v>Tryp_SPc</v>
      </c>
      <c r="AY139" t="str">
        <f>HYPERLINK("http://www.ncbi.nlm.nih.gov/Structure/cdd/cddsrv.cgi?uid=cd00190&amp;version=v4.0","7E-047")</f>
        <v>7E-047</v>
      </c>
      <c r="AZ139" t="s">
        <v>2824</v>
      </c>
      <c r="BA139" s="2" t="str">
        <f>HYPERLINK("http://exon.niaid.nih.gov/transcriptome/Anopheles_sialome/links/KOG/anoara_Sal_SerPro2-KOG.txt","Trypsin")</f>
        <v>Trypsin</v>
      </c>
      <c r="BB139" t="str">
        <f>HYPERLINK("http://www.ncbi.nlm.nih.gov/Structure/cdd/cddsrv.cgi?uid=KOG3627","5E-041")</f>
        <v>5E-041</v>
      </c>
      <c r="BC139" t="s">
        <v>2287</v>
      </c>
      <c r="BD139" t="str">
        <f>HYPERLINK("http://exon.niaid.nih.gov/transcriptome/Anopheles_sialome/links/KOG/anoara_Sal_SerPro2-KOG.txt","KOG3627")</f>
        <v>KOG3627</v>
      </c>
      <c r="BE139" t="str">
        <f>HYPERLINK("http://exon.niaid.nih.gov/transcriptome/Anopheles_sialome/links/PFAM/anoara_Sal_SerPro2-PFAM.txt","Trypsin")</f>
        <v>Trypsin</v>
      </c>
      <c r="BF139" t="str">
        <f>HYPERLINK("http://pfam.sanger.ac.uk/family?acc=PF00089","2E-035")</f>
        <v>2E-035</v>
      </c>
      <c r="BG139" s="2" t="str">
        <f>HYPERLINK("http://exon.niaid.nih.gov/transcriptome/Anopheles_sialome/links/SMART/anoara_Sal_SerPro2-SMART.txt","Tryp_SPc")</f>
        <v>Tryp_SPc</v>
      </c>
      <c r="BH139" t="str">
        <f>HYPERLINK("http://smart.embl-heidelberg.de/smart/do_annotation.pl?DOMAIN=Tryp_SPc&amp;BLAST=DUMMY","7E-047")</f>
        <v>7E-047</v>
      </c>
      <c r="BI139" t="s">
        <v>128</v>
      </c>
      <c r="BJ139" s="2" t="s">
        <v>128</v>
      </c>
      <c r="BK139" t="s">
        <v>1657</v>
      </c>
      <c r="BL139">
        <f>HYPERLINK("http://exon.niaid.nih.gov/transcriptome/Anopheles_sialome/links/cluster-b/anopheline-sialome-cds-pep-larger-orf25-50SimCLU5.txt", 5)</f>
        <v>5</v>
      </c>
      <c r="BM139">
        <f>HYPERLINK("http://exon.niaid.nih.gov/transcriptome/Anopheles_sialome/links/cluster-b/anopheline-sialome-cds-pep-larger-orf25-50SimCLTL5.txt", 56)</f>
        <v>56</v>
      </c>
      <c r="BN139">
        <f>HYPERLINK("http://exon.niaid.nih.gov/transcriptome/Anopheles_sialome/links/cluster-b/anopheline-sialome-cds-pep-larger-orf30-50SimCLU7.txt", 7)</f>
        <v>7</v>
      </c>
      <c r="BO139">
        <f>HYPERLINK("http://exon.niaid.nih.gov/transcriptome/Anopheles_sialome/links/cluster-b/anopheline-sialome-cds-pep-larger-orf30-50SimCLTL7.txt", 40)</f>
        <v>40</v>
      </c>
      <c r="BP139">
        <f>HYPERLINK("http://exon.niaid.nih.gov/transcriptome/Anopheles_sialome/links/cluster-b/anopheline-sialome-cds-pep-larger-orf35-50SimCLU8.txt", 8)</f>
        <v>8</v>
      </c>
      <c r="BQ139">
        <f>HYPERLINK("http://exon.niaid.nih.gov/transcriptome/Anopheles_sialome/links/cluster-b/anopheline-sialome-cds-pep-larger-orf35-50SimCLTL8.txt", 40)</f>
        <v>40</v>
      </c>
      <c r="BR139">
        <f>HYPERLINK("http://exon.niaid.nih.gov/transcriptome/Anopheles_sialome/links/cluster-b/anopheline-sialome-cds-pep-larger-orf40-50SimCLU5.txt", 5)</f>
        <v>5</v>
      </c>
      <c r="BS139">
        <f>HYPERLINK("http://exon.niaid.nih.gov/transcriptome/Anopheles_sialome/links/cluster-b/anopheline-sialome-cds-pep-larger-orf40-50SimCLTL5.txt", 40)</f>
        <v>40</v>
      </c>
      <c r="BT139">
        <f>HYPERLINK("http://exon.niaid.nih.gov/transcriptome/Anopheles_sialome/links/cluster-b/anopheline-sialome-cds-pep-larger-orf45-50SimCLU4.txt", 4)</f>
        <v>4</v>
      </c>
      <c r="BU139">
        <f>HYPERLINK("http://exon.niaid.nih.gov/transcriptome/Anopheles_sialome/links/cluster-b/anopheline-sialome-cds-pep-larger-orf45-50SimCLTL4.txt", 40)</f>
        <v>40</v>
      </c>
      <c r="BV139">
        <f>HYPERLINK("http://exon.niaid.nih.gov/transcriptome/Anopheles_sialome/links/cluster-b/anopheline-sialome-cds-pep-larger-orf50-50SimCLU4.txt", 4)</f>
        <v>4</v>
      </c>
      <c r="BW139">
        <f>HYPERLINK("http://exon.niaid.nih.gov/transcriptome/Anopheles_sialome/links/cluster-b/anopheline-sialome-cds-pep-larger-orf50-50SimCLTL4.txt", 40)</f>
        <v>40</v>
      </c>
      <c r="BX139">
        <f>HYPERLINK("http://exon.niaid.nih.gov/transcriptome/Anopheles_sialome/links/cluster-b/anopheline-sialome-cds-pep-larger-orf55-50SimCLU4.txt", 4)</f>
        <v>4</v>
      </c>
      <c r="BY139">
        <f>HYPERLINK("http://exon.niaid.nih.gov/transcriptome/Anopheles_sialome/links/cluster-b/anopheline-sialome-cds-pep-larger-orf55-50SimCLTL4.txt", 40)</f>
        <v>40</v>
      </c>
      <c r="BZ139">
        <f>HYPERLINK("http://exon.niaid.nih.gov/transcriptome/Anopheles_sialome/links/cluster-b/anopheline-sialome-cds-pep-larger-orf60-50SimCLU3.txt", 3)</f>
        <v>3</v>
      </c>
      <c r="CA139">
        <f>HYPERLINK("http://exon.niaid.nih.gov/transcriptome/Anopheles_sialome/links/cluster-b/anopheline-sialome-cds-pep-larger-orf60-50SimCLTL3.txt", 40)</f>
        <v>40</v>
      </c>
      <c r="CB139">
        <f>HYPERLINK("http://exon.niaid.nih.gov/transcriptome/Anopheles_sialome/links/cluster-b/anopheline-sialome-cds-pep-larger-orf65-50SimCLU2.txt", 2)</f>
        <v>2</v>
      </c>
      <c r="CC139">
        <f>HYPERLINK("http://exon.niaid.nih.gov/transcriptome/Anopheles_sialome/links/cluster-b/anopheline-sialome-cds-pep-larger-orf65-50SimCLTL2.txt", 40)</f>
        <v>40</v>
      </c>
      <c r="CD139">
        <f>HYPERLINK("http://exon.niaid.nih.gov/transcriptome/Anopheles_sialome/links/cluster-b/anopheline-sialome-cds-pep-larger-orf70-50SimCLU6.txt", 6)</f>
        <v>6</v>
      </c>
      <c r="CE139">
        <f>HYPERLINK("http://exon.niaid.nih.gov/transcriptome/Anopheles_sialome/links/cluster-b/anopheline-sialome-cds-pep-larger-orf70-50SimCLTL6.txt", 21)</f>
        <v>21</v>
      </c>
      <c r="CF139">
        <f>HYPERLINK("http://exon.niaid.nih.gov/transcriptome/Anopheles_sialome/links/cluster-b/anopheline-sialome-cds-pep-larger-orf75-50SimCLU5.txt", 5)</f>
        <v>5</v>
      </c>
      <c r="CG139">
        <f>HYPERLINK("http://exon.niaid.nih.gov/transcriptome/Anopheles_sialome/links/cluster-b/anopheline-sialome-cds-pep-larger-orf75-50SimCLTL5.txt", 21)</f>
        <v>21</v>
      </c>
      <c r="CH139">
        <f>HYPERLINK("http://exon.niaid.nih.gov/transcriptome/Anopheles_sialome/links/cluster-b/anopheline-sialome-cds-pep-larger-orf80-50SimCLU3.txt", 3)</f>
        <v>3</v>
      </c>
      <c r="CI139">
        <f>HYPERLINK("http://exon.niaid.nih.gov/transcriptome/Anopheles_sialome/links/cluster-b/anopheline-sialome-cds-pep-larger-orf80-50SimCLTL3.txt", 21)</f>
        <v>21</v>
      </c>
      <c r="CJ139">
        <f>HYPERLINK("http://exon.niaid.nih.gov/transcriptome/Anopheles_sialome/links/cluster-b/anopheline-sialome-cds-pep-larger-orf85-50SimCLU2.txt", 2)</f>
        <v>2</v>
      </c>
      <c r="CK139">
        <f>HYPERLINK("http://exon.niaid.nih.gov/transcriptome/Anopheles_sialome/links/cluster-b/anopheline-sialome-cds-pep-larger-orf85-50SimCLTL2.txt", 21)</f>
        <v>21</v>
      </c>
      <c r="CL139">
        <f>HYPERLINK("http://exon.niaid.nih.gov/transcriptome/Anopheles_sialome/links/cluster-b/anopheline-sialome-cds-pep-larger-orf90-50SimCLU5.txt", 5)</f>
        <v>5</v>
      </c>
      <c r="CM139">
        <f>HYPERLINK("http://exon.niaid.nih.gov/transcriptome/Anopheles_sialome/links/cluster-b/anopheline-sialome-cds-pep-larger-orf90-50SimCLTL5.txt", 14)</f>
        <v>14</v>
      </c>
      <c r="CN139">
        <f>HYPERLINK("http://exon.niaid.nih.gov/transcriptome/Anopheles_sialome/links/cluster-b/anopheline-sialome-cds-pep-larger-orf95-50SimCLU48.txt", 48)</f>
        <v>48</v>
      </c>
      <c r="CO139">
        <f>HYPERLINK("http://exon.niaid.nih.gov/transcriptome/Anopheles_sialome/links/cluster-b/anopheline-sialome-cds-pep-larger-orf95-50SimCLTL48.txt", 4)</f>
        <v>4</v>
      </c>
    </row>
    <row r="140" spans="1:93">
      <c r="A140" s="2" t="str">
        <f>HYPERLINK("http://exon.niaid.nih.gov/transcriptome/Anopheles_sialome/links/cds/anoqua_Sal_SerPro2-cds.txt","anoqua_Sal_SerPro2")</f>
        <v>anoqua_Sal_SerPro2</v>
      </c>
      <c r="B140">
        <v>1197</v>
      </c>
      <c r="C140" t="s">
        <v>390</v>
      </c>
      <c r="D140" t="s">
        <v>7</v>
      </c>
      <c r="E140" t="s">
        <v>5</v>
      </c>
      <c r="F140" t="s">
        <v>1</v>
      </c>
      <c r="G140" t="str">
        <f>HYPERLINK("http://exon.niaid.nih.gov/transcriptome/Anopheles_sialome/links/pep/anoqua_Sal_SerPro2-pep.txt","anoqua_Sal_SerPro2")</f>
        <v>anoqua_Sal_SerPro2</v>
      </c>
      <c r="H140">
        <v>398</v>
      </c>
      <c r="I140">
        <v>2</v>
      </c>
      <c r="J140" s="3" t="str">
        <f>HYPERLINK("http://exon.niaid.nih.gov/transcriptome/Anopheles_sialome/links/Sigp/anoqua_Sal_SerPro2-SigP.txt","SIG")</f>
        <v>SIG</v>
      </c>
      <c r="K140" t="s">
        <v>787</v>
      </c>
      <c r="L140">
        <v>43.377000000000002</v>
      </c>
      <c r="M140">
        <v>8.2799999999999994</v>
      </c>
      <c r="N140">
        <v>40.607999999999997</v>
      </c>
      <c r="O140">
        <v>8.2899999999999991</v>
      </c>
      <c r="P140" t="s">
        <v>1659</v>
      </c>
      <c r="Q140" s="3" t="str">
        <f>HYPERLINK("http://exon.niaid.nih.gov/transcriptome/Anopheles_sialome/links/tmhmm/anoqua_Sal_SerPro2-tmhmm.txt","1")</f>
        <v>1</v>
      </c>
      <c r="R140">
        <v>5.5</v>
      </c>
      <c r="S140">
        <v>93.2</v>
      </c>
      <c r="T140">
        <v>1.3</v>
      </c>
      <c r="U140" t="s">
        <v>128</v>
      </c>
      <c r="V140">
        <v>371</v>
      </c>
      <c r="W140" s="3" t="str">
        <f>HYPERLINK("http://exon.niaid.nih.gov/transcriptome/Anopheles_sialome/links/netoglyc/anoqua_Sal_SerPro2-netoglyc.txt","0")</f>
        <v>0</v>
      </c>
      <c r="X140">
        <v>20.9</v>
      </c>
      <c r="Y140">
        <v>8</v>
      </c>
      <c r="Z140">
        <v>4.3</v>
      </c>
      <c r="AA140" t="s">
        <v>654</v>
      </c>
      <c r="AB140" t="s">
        <v>128</v>
      </c>
      <c r="AC140" s="2" t="str">
        <f>HYPERLINK("http://exon.niaid.nih.gov/transcriptome/Anopheles_sialome/links/DIPTERA/anoqua_Sal_SerPro2-DIPTERA.txt","AGAP011914-PA")</f>
        <v>AGAP011914-PA</v>
      </c>
      <c r="AD140" t="str">
        <f>HYPERLINK("http://www.ncbi.nlm.nih.gov/sutils/blink.cgi?pid=157013320","0.0")</f>
        <v>0.0</v>
      </c>
      <c r="AE140" t="str">
        <f>HYPERLINK("http://www.ncbi.nlm.nih.gov/protein/157013320","gi|157013320")</f>
        <v>gi|157013320</v>
      </c>
      <c r="AF140">
        <v>99</v>
      </c>
      <c r="AG140">
        <v>100</v>
      </c>
      <c r="AH140">
        <v>100</v>
      </c>
      <c r="AI140" t="s">
        <v>2285</v>
      </c>
      <c r="AJ140" s="2" t="str">
        <f>HYPERLINK("http://exon.niaid.nih.gov/transcriptome/Anopheles_sialome/links/CULICOMORPHA/anoqua_Sal_SerPro2-CULICOMORPHA.txt","AGAP011914-PA")</f>
        <v>AGAP011914-PA</v>
      </c>
      <c r="AK140" t="str">
        <f>HYPERLINK("http://www.ncbi.nlm.nih.gov/sutils/blink.cgi?pid=157013320","0.0")</f>
        <v>0.0</v>
      </c>
      <c r="AL140" t="str">
        <f>HYPERLINK("http://www.ncbi.nlm.nih.gov/protein/157013320","gi|157013320")</f>
        <v>gi|157013320</v>
      </c>
      <c r="AM140">
        <v>99</v>
      </c>
      <c r="AN140">
        <v>100</v>
      </c>
      <c r="AO140">
        <v>100</v>
      </c>
      <c r="AP140" t="s">
        <v>2285</v>
      </c>
      <c r="AQ140" s="2" t="str">
        <f>HYPERLINK("http://exon.niaid.nih.gov/transcriptome/Anopheles_sialome/links/NR-LIGHT/anoqua_Sal_SerPro2-NR-LIGHT.txt","AGAP011914-PA")</f>
        <v>AGAP011914-PA</v>
      </c>
      <c r="AR140" t="str">
        <f>HYPERLINK("http://www.ncbi.nlm.nih.gov/sutils/blink.cgi?pid=158300769","0.0")</f>
        <v>0.0</v>
      </c>
      <c r="AS140" t="str">
        <f>HYPERLINK("http://www.ncbi.nlm.nih.gov/protein/158300769","gi|158300769")</f>
        <v>gi|158300769</v>
      </c>
      <c r="AT140">
        <v>99</v>
      </c>
      <c r="AU140">
        <v>100</v>
      </c>
      <c r="AV140">
        <v>100</v>
      </c>
      <c r="AW140" t="s">
        <v>2285</v>
      </c>
      <c r="AX140" s="2" t="str">
        <f>HYPERLINK("http://exon.niaid.nih.gov/transcriptome/Anopheles_sialome/links/CDD/anoqua_Sal_SerPro2-CDD.txt","Tryp_SPc")</f>
        <v>Tryp_SPc</v>
      </c>
      <c r="AY140" t="str">
        <f>HYPERLINK("http://www.ncbi.nlm.nih.gov/Structure/cdd/cddsrv.cgi?uid=cd00190&amp;version=v4.0","3E-047")</f>
        <v>3E-047</v>
      </c>
      <c r="AZ140" t="s">
        <v>2826</v>
      </c>
      <c r="BA140" s="2" t="str">
        <f>HYPERLINK("http://exon.niaid.nih.gov/transcriptome/Anopheles_sialome/links/KOG/anoqua_Sal_SerPro2-KOG.txt","Trypsin")</f>
        <v>Trypsin</v>
      </c>
      <c r="BB140" t="str">
        <f>HYPERLINK("http://www.ncbi.nlm.nih.gov/Structure/cdd/cddsrv.cgi?uid=KOG3627","4E-041")</f>
        <v>4E-041</v>
      </c>
      <c r="BC140" t="s">
        <v>2287</v>
      </c>
      <c r="BD140" t="str">
        <f>HYPERLINK("http://exon.niaid.nih.gov/transcriptome/Anopheles_sialome/links/KOG/anoqua_Sal_SerPro2-KOG.txt","KOG3627")</f>
        <v>KOG3627</v>
      </c>
      <c r="BE140" t="str">
        <f>HYPERLINK("http://exon.niaid.nih.gov/transcriptome/Anopheles_sialome/links/PFAM/anoqua_Sal_SerPro2-PFAM.txt","Trypsin")</f>
        <v>Trypsin</v>
      </c>
      <c r="BF140" t="str">
        <f>HYPERLINK("http://pfam.sanger.ac.uk/family?acc=PF00089","2E-035")</f>
        <v>2E-035</v>
      </c>
      <c r="BG140" s="2" t="str">
        <f>HYPERLINK("http://exon.niaid.nih.gov/transcriptome/Anopheles_sialome/links/SMART/anoqua_Sal_SerPro2-SMART.txt","Tryp_SPc")</f>
        <v>Tryp_SPc</v>
      </c>
      <c r="BH140" t="str">
        <f>HYPERLINK("http://smart.embl-heidelberg.de/smart/do_annotation.pl?DOMAIN=Tryp_SPc&amp;BLAST=DUMMY","7E-047")</f>
        <v>7E-047</v>
      </c>
      <c r="BI140" t="s">
        <v>128</v>
      </c>
      <c r="BJ140" s="2" t="s">
        <v>128</v>
      </c>
      <c r="BK140" t="s">
        <v>1658</v>
      </c>
      <c r="BL140">
        <f>HYPERLINK("http://exon.niaid.nih.gov/transcriptome/Anopheles_sialome/links/cluster-b/anopheline-sialome-cds-pep-larger-orf25-50SimCLU5.txt", 5)</f>
        <v>5</v>
      </c>
      <c r="BM140">
        <f>HYPERLINK("http://exon.niaid.nih.gov/transcriptome/Anopheles_sialome/links/cluster-b/anopheline-sialome-cds-pep-larger-orf25-50SimCLTL5.txt", 56)</f>
        <v>56</v>
      </c>
      <c r="BN140">
        <f>HYPERLINK("http://exon.niaid.nih.gov/transcriptome/Anopheles_sialome/links/cluster-b/anopheline-sialome-cds-pep-larger-orf30-50SimCLU7.txt", 7)</f>
        <v>7</v>
      </c>
      <c r="BO140">
        <f>HYPERLINK("http://exon.niaid.nih.gov/transcriptome/Anopheles_sialome/links/cluster-b/anopheline-sialome-cds-pep-larger-orf30-50SimCLTL7.txt", 40)</f>
        <v>40</v>
      </c>
      <c r="BP140">
        <f>HYPERLINK("http://exon.niaid.nih.gov/transcriptome/Anopheles_sialome/links/cluster-b/anopheline-sialome-cds-pep-larger-orf35-50SimCLU8.txt", 8)</f>
        <v>8</v>
      </c>
      <c r="BQ140">
        <f>HYPERLINK("http://exon.niaid.nih.gov/transcriptome/Anopheles_sialome/links/cluster-b/anopheline-sialome-cds-pep-larger-orf35-50SimCLTL8.txt", 40)</f>
        <v>40</v>
      </c>
      <c r="BR140">
        <f>HYPERLINK("http://exon.niaid.nih.gov/transcriptome/Anopheles_sialome/links/cluster-b/anopheline-sialome-cds-pep-larger-orf40-50SimCLU5.txt", 5)</f>
        <v>5</v>
      </c>
      <c r="BS140">
        <f>HYPERLINK("http://exon.niaid.nih.gov/transcriptome/Anopheles_sialome/links/cluster-b/anopheline-sialome-cds-pep-larger-orf40-50SimCLTL5.txt", 40)</f>
        <v>40</v>
      </c>
      <c r="BT140">
        <f>HYPERLINK("http://exon.niaid.nih.gov/transcriptome/Anopheles_sialome/links/cluster-b/anopheline-sialome-cds-pep-larger-orf45-50SimCLU4.txt", 4)</f>
        <v>4</v>
      </c>
      <c r="BU140">
        <f>HYPERLINK("http://exon.niaid.nih.gov/transcriptome/Anopheles_sialome/links/cluster-b/anopheline-sialome-cds-pep-larger-orf45-50SimCLTL4.txt", 40)</f>
        <v>40</v>
      </c>
      <c r="BV140">
        <f>HYPERLINK("http://exon.niaid.nih.gov/transcriptome/Anopheles_sialome/links/cluster-b/anopheline-sialome-cds-pep-larger-orf50-50SimCLU4.txt", 4)</f>
        <v>4</v>
      </c>
      <c r="BW140">
        <f>HYPERLINK("http://exon.niaid.nih.gov/transcriptome/Anopheles_sialome/links/cluster-b/anopheline-sialome-cds-pep-larger-orf50-50SimCLTL4.txt", 40)</f>
        <v>40</v>
      </c>
      <c r="BX140">
        <f>HYPERLINK("http://exon.niaid.nih.gov/transcriptome/Anopheles_sialome/links/cluster-b/anopheline-sialome-cds-pep-larger-orf55-50SimCLU4.txt", 4)</f>
        <v>4</v>
      </c>
      <c r="BY140">
        <f>HYPERLINK("http://exon.niaid.nih.gov/transcriptome/Anopheles_sialome/links/cluster-b/anopheline-sialome-cds-pep-larger-orf55-50SimCLTL4.txt", 40)</f>
        <v>40</v>
      </c>
      <c r="BZ140">
        <f>HYPERLINK("http://exon.niaid.nih.gov/transcriptome/Anopheles_sialome/links/cluster-b/anopheline-sialome-cds-pep-larger-orf60-50SimCLU3.txt", 3)</f>
        <v>3</v>
      </c>
      <c r="CA140">
        <f>HYPERLINK("http://exon.niaid.nih.gov/transcriptome/Anopheles_sialome/links/cluster-b/anopheline-sialome-cds-pep-larger-orf60-50SimCLTL3.txt", 40)</f>
        <v>40</v>
      </c>
      <c r="CB140">
        <f>HYPERLINK("http://exon.niaid.nih.gov/transcriptome/Anopheles_sialome/links/cluster-b/anopheline-sialome-cds-pep-larger-orf65-50SimCLU2.txt", 2)</f>
        <v>2</v>
      </c>
      <c r="CC140">
        <f>HYPERLINK("http://exon.niaid.nih.gov/transcriptome/Anopheles_sialome/links/cluster-b/anopheline-sialome-cds-pep-larger-orf65-50SimCLTL2.txt", 40)</f>
        <v>40</v>
      </c>
      <c r="CD140">
        <f>HYPERLINK("http://exon.niaid.nih.gov/transcriptome/Anopheles_sialome/links/cluster-b/anopheline-sialome-cds-pep-larger-orf70-50SimCLU6.txt", 6)</f>
        <v>6</v>
      </c>
      <c r="CE140">
        <f>HYPERLINK("http://exon.niaid.nih.gov/transcriptome/Anopheles_sialome/links/cluster-b/anopheline-sialome-cds-pep-larger-orf70-50SimCLTL6.txt", 21)</f>
        <v>21</v>
      </c>
      <c r="CF140">
        <f>HYPERLINK("http://exon.niaid.nih.gov/transcriptome/Anopheles_sialome/links/cluster-b/anopheline-sialome-cds-pep-larger-orf75-50SimCLU5.txt", 5)</f>
        <v>5</v>
      </c>
      <c r="CG140">
        <f>HYPERLINK("http://exon.niaid.nih.gov/transcriptome/Anopheles_sialome/links/cluster-b/anopheline-sialome-cds-pep-larger-orf75-50SimCLTL5.txt", 21)</f>
        <v>21</v>
      </c>
      <c r="CH140">
        <f>HYPERLINK("http://exon.niaid.nih.gov/transcriptome/Anopheles_sialome/links/cluster-b/anopheline-sialome-cds-pep-larger-orf80-50SimCLU3.txt", 3)</f>
        <v>3</v>
      </c>
      <c r="CI140">
        <f>HYPERLINK("http://exon.niaid.nih.gov/transcriptome/Anopheles_sialome/links/cluster-b/anopheline-sialome-cds-pep-larger-orf80-50SimCLTL3.txt", 21)</f>
        <v>21</v>
      </c>
      <c r="CJ140">
        <f>HYPERLINK("http://exon.niaid.nih.gov/transcriptome/Anopheles_sialome/links/cluster-b/anopheline-sialome-cds-pep-larger-orf85-50SimCLU2.txt", 2)</f>
        <v>2</v>
      </c>
      <c r="CK140">
        <f>HYPERLINK("http://exon.niaid.nih.gov/transcriptome/Anopheles_sialome/links/cluster-b/anopheline-sialome-cds-pep-larger-orf85-50SimCLTL2.txt", 21)</f>
        <v>21</v>
      </c>
      <c r="CL140">
        <f>HYPERLINK("http://exon.niaid.nih.gov/transcriptome/Anopheles_sialome/links/cluster-b/anopheline-sialome-cds-pep-larger-orf90-50SimCLU5.txt", 5)</f>
        <v>5</v>
      </c>
      <c r="CM140">
        <f>HYPERLINK("http://exon.niaid.nih.gov/transcriptome/Anopheles_sialome/links/cluster-b/anopheline-sialome-cds-pep-larger-orf90-50SimCLTL5.txt", 14)</f>
        <v>14</v>
      </c>
      <c r="CN140">
        <f>HYPERLINK("http://exon.niaid.nih.gov/transcriptome/Anopheles_sialome/links/cluster-b/anopheline-sialome-cds-pep-larger-orf95-50SimCLU48.txt", 48)</f>
        <v>48</v>
      </c>
      <c r="CO140">
        <f>HYPERLINK("http://exon.niaid.nih.gov/transcriptome/Anopheles_sialome/links/cluster-b/anopheline-sialome-cds-pep-larger-orf95-50SimCLTL48.txt", 4)</f>
        <v>4</v>
      </c>
    </row>
    <row r="141" spans="1:93">
      <c r="A141" s="5" t="s">
        <v>3190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</row>
    <row r="142" spans="1:93">
      <c r="A142" s="2" t="str">
        <f>HYPERLINK("http://exon.niaid.nih.gov/transcriptome/Anopheles_sialome/links/cds/anoga_Sal_SerPro3-cds.txt","anoga_Sal_SerPro3")</f>
        <v>anoga_Sal_SerPro3</v>
      </c>
      <c r="B142">
        <v>1200</v>
      </c>
      <c r="C142" t="s">
        <v>391</v>
      </c>
      <c r="D142" t="s">
        <v>4</v>
      </c>
      <c r="E142" t="s">
        <v>5</v>
      </c>
      <c r="F142" t="s">
        <v>1</v>
      </c>
      <c r="G142" t="str">
        <f>HYPERLINK("http://exon.niaid.nih.gov/transcriptome/Anopheles_sialome/links/pep/anoga_Sal_SerPro3-pep.txt","anoga_Sal_SerPro3")</f>
        <v>anoga_Sal_SerPro3</v>
      </c>
      <c r="H142">
        <v>399</v>
      </c>
      <c r="I142">
        <v>2</v>
      </c>
      <c r="J142" s="3" t="str">
        <f>HYPERLINK("http://exon.niaid.nih.gov/transcriptome/Anopheles_sialome/links/Sigp/anoga_Sal_SerPro3-SigP.txt","SIG")</f>
        <v>SIG</v>
      </c>
      <c r="K142" t="s">
        <v>1182</v>
      </c>
      <c r="L142">
        <v>43.158000000000001</v>
      </c>
      <c r="M142">
        <v>5.93</v>
      </c>
      <c r="N142">
        <v>40.344999999999999</v>
      </c>
      <c r="O142">
        <v>5.94</v>
      </c>
      <c r="P142" t="s">
        <v>1661</v>
      </c>
      <c r="Q142" s="3">
        <v>0</v>
      </c>
      <c r="R142" t="s">
        <v>128</v>
      </c>
      <c r="S142" t="s">
        <v>128</v>
      </c>
      <c r="T142" t="s">
        <v>128</v>
      </c>
      <c r="U142" t="s">
        <v>128</v>
      </c>
      <c r="V142" t="s">
        <v>128</v>
      </c>
      <c r="W142" s="3" t="str">
        <f>HYPERLINK("http://exon.niaid.nih.gov/transcriptome/Anopheles_sialome/links/netoglyc/anoga_Sal_SerPro3-netoglyc.txt","0")</f>
        <v>0</v>
      </c>
      <c r="X142">
        <v>23.1</v>
      </c>
      <c r="Y142">
        <v>8</v>
      </c>
      <c r="Z142">
        <v>4.3</v>
      </c>
      <c r="AA142" t="s">
        <v>654</v>
      </c>
      <c r="AB142" t="s">
        <v>128</v>
      </c>
      <c r="AC142" s="2" t="str">
        <f>HYPERLINK("http://exon.niaid.nih.gov/transcriptome/Anopheles_sialome/links/DIPTERA/anoga_Sal_SerPro3-DIPTERA.txt","AGAP011913-PA")</f>
        <v>AGAP011913-PA</v>
      </c>
      <c r="AD142" t="str">
        <f t="shared" ref="AD142:AD147" si="93">HYPERLINK("http://www.ncbi.nlm.nih.gov/sutils/blink.cgi?pid=157013321","0.0")</f>
        <v>0.0</v>
      </c>
      <c r="AE142" t="str">
        <f t="shared" ref="AE142:AE147" si="94">HYPERLINK("http://www.ncbi.nlm.nih.gov/protein/157013321","gi|157013321")</f>
        <v>gi|157013321</v>
      </c>
      <c r="AF142">
        <v>100</v>
      </c>
      <c r="AG142">
        <v>100</v>
      </c>
      <c r="AH142">
        <v>100</v>
      </c>
      <c r="AI142" t="s">
        <v>2285</v>
      </c>
      <c r="AJ142" s="2" t="str">
        <f>HYPERLINK("http://exon.niaid.nih.gov/transcriptome/Anopheles_sialome/links/CULICOMORPHA/anoga_Sal_SerPro3-CULICOMORPHA.txt","AGAP011913-PA")</f>
        <v>AGAP011913-PA</v>
      </c>
      <c r="AK142" t="str">
        <f t="shared" ref="AK142:AK147" si="95">HYPERLINK("http://www.ncbi.nlm.nih.gov/sutils/blink.cgi?pid=157013321","0.0")</f>
        <v>0.0</v>
      </c>
      <c r="AL142" t="str">
        <f t="shared" ref="AL142:AL147" si="96">HYPERLINK("http://www.ncbi.nlm.nih.gov/protein/157013321","gi|157013321")</f>
        <v>gi|157013321</v>
      </c>
      <c r="AM142">
        <v>100</v>
      </c>
      <c r="AN142">
        <v>100</v>
      </c>
      <c r="AO142">
        <v>100</v>
      </c>
      <c r="AP142" t="s">
        <v>2285</v>
      </c>
      <c r="AQ142" s="2" t="str">
        <f>HYPERLINK("http://exon.niaid.nih.gov/transcriptome/Anopheles_sialome/links/NR-LIGHT/anoga_Sal_SerPro3-NR-LIGHT.txt","AGAP011913-PA")</f>
        <v>AGAP011913-PA</v>
      </c>
      <c r="AR142" t="str">
        <f t="shared" ref="AR142:AR147" si="97">HYPERLINK("http://www.ncbi.nlm.nih.gov/sutils/blink.cgi?pid=158300771","0.0")</f>
        <v>0.0</v>
      </c>
      <c r="AS142" t="str">
        <f t="shared" ref="AS142:AS147" si="98">HYPERLINK("http://www.ncbi.nlm.nih.gov/protein/158300771","gi|158300771")</f>
        <v>gi|158300771</v>
      </c>
      <c r="AT142">
        <v>100</v>
      </c>
      <c r="AU142">
        <v>100</v>
      </c>
      <c r="AV142">
        <v>100</v>
      </c>
      <c r="AW142" t="s">
        <v>2285</v>
      </c>
      <c r="AX142" s="2" t="str">
        <f>HYPERLINK("http://exon.niaid.nih.gov/transcriptome/Anopheles_sialome/links/CDD/anoga_Sal_SerPro3-CDD.txt","Tryp_SPc")</f>
        <v>Tryp_SPc</v>
      </c>
      <c r="AY142" t="str">
        <f>HYPERLINK("http://www.ncbi.nlm.nih.gov/Structure/cdd/cddsrv.cgi?uid=cd00190&amp;version=v4.0","2E-045")</f>
        <v>2E-045</v>
      </c>
      <c r="AZ142" t="s">
        <v>2827</v>
      </c>
      <c r="BA142" s="2" t="str">
        <f>HYPERLINK("http://exon.niaid.nih.gov/transcriptome/Anopheles_sialome/links/KOG/anoga_Sal_SerPro3-KOG.txt","Trypsin")</f>
        <v>Trypsin</v>
      </c>
      <c r="BB142" t="str">
        <f>HYPERLINK("http://www.ncbi.nlm.nih.gov/Structure/cdd/cddsrv.cgi?uid=KOG3627","2E-040")</f>
        <v>2E-040</v>
      </c>
      <c r="BC142" t="s">
        <v>2287</v>
      </c>
      <c r="BD142" t="str">
        <f>HYPERLINK("http://exon.niaid.nih.gov/transcriptome/Anopheles_sialome/links/KOG/anoga_Sal_SerPro3-KOG.txt","KOG3627")</f>
        <v>KOG3627</v>
      </c>
      <c r="BE142" t="str">
        <f>HYPERLINK("http://exon.niaid.nih.gov/transcriptome/Anopheles_sialome/links/PFAM/anoga_Sal_SerPro3-PFAM.txt","Trypsin")</f>
        <v>Trypsin</v>
      </c>
      <c r="BF142" t="str">
        <f>HYPERLINK("http://pfam.sanger.ac.uk/family?acc=PF00089","3E-034")</f>
        <v>3E-034</v>
      </c>
      <c r="BG142" s="2" t="str">
        <f>HYPERLINK("http://exon.niaid.nih.gov/transcriptome/Anopheles_sialome/links/SMART/anoga_Sal_SerPro3-SMART.txt","Tryp_SPc")</f>
        <v>Tryp_SPc</v>
      </c>
      <c r="BH142" t="str">
        <f>HYPERLINK("http://smart.embl-heidelberg.de/smart/do_annotation.pl?DOMAIN=Tryp_SPc&amp;BLAST=DUMMY","1E-046")</f>
        <v>1E-046</v>
      </c>
      <c r="BI142" t="s">
        <v>128</v>
      </c>
      <c r="BJ142" s="2" t="s">
        <v>128</v>
      </c>
      <c r="BK142" t="s">
        <v>1660</v>
      </c>
      <c r="BL142">
        <f>HYPERLINK("http://exon.niaid.nih.gov/transcriptome/Anopheles_sialome/links/cluster-b/anopheline-sialome-cds-pep-larger-orf25-50SimCLU5.txt", 5)</f>
        <v>5</v>
      </c>
      <c r="BM142">
        <f>HYPERLINK("http://exon.niaid.nih.gov/transcriptome/Anopheles_sialome/links/cluster-b/anopheline-sialome-cds-pep-larger-orf25-50SimCLTL5.txt", 56)</f>
        <v>56</v>
      </c>
      <c r="BN142">
        <f>HYPERLINK("http://exon.niaid.nih.gov/transcriptome/Anopheles_sialome/links/cluster-b/anopheline-sialome-cds-pep-larger-orf30-50SimCLU7.txt", 7)</f>
        <v>7</v>
      </c>
      <c r="BO142">
        <f>HYPERLINK("http://exon.niaid.nih.gov/transcriptome/Anopheles_sialome/links/cluster-b/anopheline-sialome-cds-pep-larger-orf30-50SimCLTL7.txt", 40)</f>
        <v>40</v>
      </c>
      <c r="BP142">
        <f>HYPERLINK("http://exon.niaid.nih.gov/transcriptome/Anopheles_sialome/links/cluster-b/anopheline-sialome-cds-pep-larger-orf35-50SimCLU8.txt", 8)</f>
        <v>8</v>
      </c>
      <c r="BQ142">
        <f>HYPERLINK("http://exon.niaid.nih.gov/transcriptome/Anopheles_sialome/links/cluster-b/anopheline-sialome-cds-pep-larger-orf35-50SimCLTL8.txt", 40)</f>
        <v>40</v>
      </c>
      <c r="BR142">
        <f>HYPERLINK("http://exon.niaid.nih.gov/transcriptome/Anopheles_sialome/links/cluster-b/anopheline-sialome-cds-pep-larger-orf40-50SimCLU5.txt", 5)</f>
        <v>5</v>
      </c>
      <c r="BS142">
        <f>HYPERLINK("http://exon.niaid.nih.gov/transcriptome/Anopheles_sialome/links/cluster-b/anopheline-sialome-cds-pep-larger-orf40-50SimCLTL5.txt", 40)</f>
        <v>40</v>
      </c>
      <c r="BT142">
        <f>HYPERLINK("http://exon.niaid.nih.gov/transcriptome/Anopheles_sialome/links/cluster-b/anopheline-sialome-cds-pep-larger-orf45-50SimCLU4.txt", 4)</f>
        <v>4</v>
      </c>
      <c r="BU142">
        <f>HYPERLINK("http://exon.niaid.nih.gov/transcriptome/Anopheles_sialome/links/cluster-b/anopheline-sialome-cds-pep-larger-orf45-50SimCLTL4.txt", 40)</f>
        <v>40</v>
      </c>
      <c r="BV142">
        <f>HYPERLINK("http://exon.niaid.nih.gov/transcriptome/Anopheles_sialome/links/cluster-b/anopheline-sialome-cds-pep-larger-orf50-50SimCLU4.txt", 4)</f>
        <v>4</v>
      </c>
      <c r="BW142">
        <f>HYPERLINK("http://exon.niaid.nih.gov/transcriptome/Anopheles_sialome/links/cluster-b/anopheline-sialome-cds-pep-larger-orf50-50SimCLTL4.txt", 40)</f>
        <v>40</v>
      </c>
      <c r="BX142">
        <f>HYPERLINK("http://exon.niaid.nih.gov/transcriptome/Anopheles_sialome/links/cluster-b/anopheline-sialome-cds-pep-larger-orf55-50SimCLU4.txt", 4)</f>
        <v>4</v>
      </c>
      <c r="BY142">
        <f>HYPERLINK("http://exon.niaid.nih.gov/transcriptome/Anopheles_sialome/links/cluster-b/anopheline-sialome-cds-pep-larger-orf55-50SimCLTL4.txt", 40)</f>
        <v>40</v>
      </c>
      <c r="BZ142">
        <f>HYPERLINK("http://exon.niaid.nih.gov/transcriptome/Anopheles_sialome/links/cluster-b/anopheline-sialome-cds-pep-larger-orf60-50SimCLU3.txt", 3)</f>
        <v>3</v>
      </c>
      <c r="CA142">
        <f>HYPERLINK("http://exon.niaid.nih.gov/transcriptome/Anopheles_sialome/links/cluster-b/anopheline-sialome-cds-pep-larger-orf60-50SimCLTL3.txt", 40)</f>
        <v>40</v>
      </c>
      <c r="CB142">
        <f>HYPERLINK("http://exon.niaid.nih.gov/transcriptome/Anopheles_sialome/links/cluster-b/anopheline-sialome-cds-pep-larger-orf65-50SimCLU2.txt", 2)</f>
        <v>2</v>
      </c>
      <c r="CC142">
        <f>HYPERLINK("http://exon.niaid.nih.gov/transcriptome/Anopheles_sialome/links/cluster-b/anopheline-sialome-cds-pep-larger-orf65-50SimCLTL2.txt", 40)</f>
        <v>40</v>
      </c>
      <c r="CD142">
        <f>HYPERLINK("http://exon.niaid.nih.gov/transcriptome/Anopheles_sialome/links/cluster-b/anopheline-sialome-cds-pep-larger-orf70-50SimCLU6.txt", 6)</f>
        <v>6</v>
      </c>
      <c r="CE142">
        <f>HYPERLINK("http://exon.niaid.nih.gov/transcriptome/Anopheles_sialome/links/cluster-b/anopheline-sialome-cds-pep-larger-orf70-50SimCLTL6.txt", 21)</f>
        <v>21</v>
      </c>
      <c r="CF142">
        <f>HYPERLINK("http://exon.niaid.nih.gov/transcriptome/Anopheles_sialome/links/cluster-b/anopheline-sialome-cds-pep-larger-orf75-50SimCLU5.txt", 5)</f>
        <v>5</v>
      </c>
      <c r="CG142">
        <f>HYPERLINK("http://exon.niaid.nih.gov/transcriptome/Anopheles_sialome/links/cluster-b/anopheline-sialome-cds-pep-larger-orf75-50SimCLTL5.txt", 21)</f>
        <v>21</v>
      </c>
      <c r="CH142">
        <f>HYPERLINK("http://exon.niaid.nih.gov/transcriptome/Anopheles_sialome/links/cluster-b/anopheline-sialome-cds-pep-larger-orf80-50SimCLU3.txt", 3)</f>
        <v>3</v>
      </c>
      <c r="CI142">
        <f>HYPERLINK("http://exon.niaid.nih.gov/transcriptome/Anopheles_sialome/links/cluster-b/anopheline-sialome-cds-pep-larger-orf80-50SimCLTL3.txt", 21)</f>
        <v>21</v>
      </c>
      <c r="CJ142">
        <f>HYPERLINK("http://exon.niaid.nih.gov/transcriptome/Anopheles_sialome/links/cluster-b/anopheline-sialome-cds-pep-larger-orf85-50SimCLU2.txt", 2)</f>
        <v>2</v>
      </c>
      <c r="CK142">
        <f>HYPERLINK("http://exon.niaid.nih.gov/transcriptome/Anopheles_sialome/links/cluster-b/anopheline-sialome-cds-pep-larger-orf85-50SimCLTL2.txt", 21)</f>
        <v>21</v>
      </c>
      <c r="CL142">
        <f>HYPERLINK("http://exon.niaid.nih.gov/transcriptome/Anopheles_sialome/links/cluster-b/anopheline-sialome-cds-pep-larger-orf90-50SimCLU5.txt", 5)</f>
        <v>5</v>
      </c>
      <c r="CM142">
        <f>HYPERLINK("http://exon.niaid.nih.gov/transcriptome/Anopheles_sialome/links/cluster-b/anopheline-sialome-cds-pep-larger-orf90-50SimCLTL5.txt", 14)</f>
        <v>14</v>
      </c>
      <c r="CN142">
        <f>HYPERLINK("http://exon.niaid.nih.gov/transcriptome/Anopheles_sialome/links/cluster-b/anopheline-sialome-cds-pep-larger-orf95-50SimCLU40.txt", 40)</f>
        <v>40</v>
      </c>
      <c r="CO142">
        <f>HYPERLINK("http://exon.niaid.nih.gov/transcriptome/Anopheles_sialome/links/cluster-b/anopheline-sialome-cds-pep-larger-orf95-50SimCLTL40.txt", 5)</f>
        <v>5</v>
      </c>
    </row>
    <row r="143" spans="1:93">
      <c r="A143" s="2" t="str">
        <f>HYPERLINK("http://exon.niaid.nih.gov/transcriptome/Anopheles_sialome/links/cds/anocol_Sal_SerPro3-cds.txt","anocol_Sal_SerPro3")</f>
        <v>anocol_Sal_SerPro3</v>
      </c>
      <c r="B143">
        <v>1200</v>
      </c>
      <c r="C143" t="s">
        <v>392</v>
      </c>
      <c r="D143" t="s">
        <v>4</v>
      </c>
      <c r="E143" t="s">
        <v>5</v>
      </c>
      <c r="F143" t="s">
        <v>1</v>
      </c>
      <c r="G143" t="str">
        <f>HYPERLINK("http://exon.niaid.nih.gov/transcriptome/Anopheles_sialome/links/pep/anocol_Sal_SerPro3-pep.txt","anocol_Sal_SerPro3")</f>
        <v>anocol_Sal_SerPro3</v>
      </c>
      <c r="H143">
        <v>399</v>
      </c>
      <c r="I143">
        <v>2</v>
      </c>
      <c r="J143" s="3" t="str">
        <f>HYPERLINK("http://exon.niaid.nih.gov/transcriptome/Anopheles_sialome/links/Sigp/anocol_Sal_SerPro3-SigP.txt","SIG")</f>
        <v>SIG</v>
      </c>
      <c r="K143" t="s">
        <v>1182</v>
      </c>
      <c r="L143">
        <v>43.128</v>
      </c>
      <c r="M143">
        <v>6.18</v>
      </c>
      <c r="N143">
        <v>40.314999999999998</v>
      </c>
      <c r="O143">
        <v>6.21</v>
      </c>
      <c r="P143" t="s">
        <v>1663</v>
      </c>
      <c r="Q143" s="3">
        <v>0</v>
      </c>
      <c r="R143" t="s">
        <v>128</v>
      </c>
      <c r="S143" t="s">
        <v>128</v>
      </c>
      <c r="T143" t="s">
        <v>128</v>
      </c>
      <c r="U143" t="s">
        <v>128</v>
      </c>
      <c r="V143" t="s">
        <v>128</v>
      </c>
      <c r="W143" s="3" t="str">
        <f>HYPERLINK("http://exon.niaid.nih.gov/transcriptome/Anopheles_sialome/links/netoglyc/anocol_Sal_SerPro3-netoglyc.txt","0")</f>
        <v>0</v>
      </c>
      <c r="X143">
        <v>22.6</v>
      </c>
      <c r="Y143">
        <v>8</v>
      </c>
      <c r="Z143">
        <v>4.3</v>
      </c>
      <c r="AA143" t="s">
        <v>654</v>
      </c>
      <c r="AB143" t="s">
        <v>128</v>
      </c>
      <c r="AC143" s="2" t="str">
        <f>HYPERLINK("http://exon.niaid.nih.gov/transcriptome/Anopheles_sialome/links/DIPTERA/anocol_Sal_SerPro3-DIPTERA.txt","AGAP011913-PA")</f>
        <v>AGAP011913-PA</v>
      </c>
      <c r="AD143" t="str">
        <f t="shared" si="93"/>
        <v>0.0</v>
      </c>
      <c r="AE143" t="str">
        <f t="shared" si="94"/>
        <v>gi|157013321</v>
      </c>
      <c r="AF143">
        <v>98</v>
      </c>
      <c r="AG143">
        <v>99</v>
      </c>
      <c r="AH143">
        <v>100</v>
      </c>
      <c r="AI143" t="s">
        <v>2285</v>
      </c>
      <c r="AJ143" s="2" t="str">
        <f>HYPERLINK("http://exon.niaid.nih.gov/transcriptome/Anopheles_sialome/links/CULICOMORPHA/anocol_Sal_SerPro3-CULICOMORPHA.txt","AGAP011913-PA")</f>
        <v>AGAP011913-PA</v>
      </c>
      <c r="AK143" t="str">
        <f t="shared" si="95"/>
        <v>0.0</v>
      </c>
      <c r="AL143" t="str">
        <f t="shared" si="96"/>
        <v>gi|157013321</v>
      </c>
      <c r="AM143">
        <v>98</v>
      </c>
      <c r="AN143">
        <v>99</v>
      </c>
      <c r="AO143">
        <v>100</v>
      </c>
      <c r="AP143" t="s">
        <v>2285</v>
      </c>
      <c r="AQ143" s="2" t="str">
        <f>HYPERLINK("http://exon.niaid.nih.gov/transcriptome/Anopheles_sialome/links/NR-LIGHT/anocol_Sal_SerPro3-NR-LIGHT.txt","AGAP011913-PA")</f>
        <v>AGAP011913-PA</v>
      </c>
      <c r="AR143" t="str">
        <f t="shared" si="97"/>
        <v>0.0</v>
      </c>
      <c r="AS143" t="str">
        <f t="shared" si="98"/>
        <v>gi|158300771</v>
      </c>
      <c r="AT143">
        <v>98</v>
      </c>
      <c r="AU143">
        <v>99</v>
      </c>
      <c r="AV143">
        <v>100</v>
      </c>
      <c r="AW143" t="s">
        <v>2285</v>
      </c>
      <c r="AX143" s="2" t="str">
        <f>HYPERLINK("http://exon.niaid.nih.gov/transcriptome/Anopheles_sialome/links/CDD/anocol_Sal_SerPro3-CDD.txt","Tryp_SPc")</f>
        <v>Tryp_SPc</v>
      </c>
      <c r="AY143" t="str">
        <f>HYPERLINK("http://www.ncbi.nlm.nih.gov/Structure/cdd/cddsrv.cgi?uid=cd00190&amp;version=v4.0","4E-046")</f>
        <v>4E-046</v>
      </c>
      <c r="AZ143" t="s">
        <v>2828</v>
      </c>
      <c r="BA143" s="2" t="str">
        <f>HYPERLINK("http://exon.niaid.nih.gov/transcriptome/Anopheles_sialome/links/KOG/anocol_Sal_SerPro3-KOG.txt","Trypsin")</f>
        <v>Trypsin</v>
      </c>
      <c r="BB143" t="str">
        <f>HYPERLINK("http://www.ncbi.nlm.nih.gov/Structure/cdd/cddsrv.cgi?uid=KOG3627","2E-040")</f>
        <v>2E-040</v>
      </c>
      <c r="BC143" t="s">
        <v>2287</v>
      </c>
      <c r="BD143" t="str">
        <f>HYPERLINK("http://exon.niaid.nih.gov/transcriptome/Anopheles_sialome/links/KOG/anocol_Sal_SerPro3-KOG.txt","KOG3627")</f>
        <v>KOG3627</v>
      </c>
      <c r="BE143" t="str">
        <f>HYPERLINK("http://exon.niaid.nih.gov/transcriptome/Anopheles_sialome/links/PFAM/anocol_Sal_SerPro3-PFAM.txt","Trypsin")</f>
        <v>Trypsin</v>
      </c>
      <c r="BF143" t="str">
        <f>HYPERLINK("http://pfam.sanger.ac.uk/family?acc=PF00089","4E-035")</f>
        <v>4E-035</v>
      </c>
      <c r="BG143" s="2" t="str">
        <f>HYPERLINK("http://exon.niaid.nih.gov/transcriptome/Anopheles_sialome/links/SMART/anocol_Sal_SerPro3-SMART.txt","Tryp_SPc")</f>
        <v>Tryp_SPc</v>
      </c>
      <c r="BH143" t="str">
        <f>HYPERLINK("http://smart.embl-heidelberg.de/smart/do_annotation.pl?DOMAIN=Tryp_SPc&amp;BLAST=DUMMY","2E-047")</f>
        <v>2E-047</v>
      </c>
      <c r="BI143" t="s">
        <v>128</v>
      </c>
      <c r="BJ143" s="2" t="s">
        <v>128</v>
      </c>
      <c r="BK143" t="s">
        <v>1662</v>
      </c>
      <c r="BL143">
        <f>HYPERLINK("http://exon.niaid.nih.gov/transcriptome/Anopheles_sialome/links/cluster-b/anopheline-sialome-cds-pep-larger-orf25-50SimCLU5.txt", 5)</f>
        <v>5</v>
      </c>
      <c r="BM143">
        <f>HYPERLINK("http://exon.niaid.nih.gov/transcriptome/Anopheles_sialome/links/cluster-b/anopheline-sialome-cds-pep-larger-orf25-50SimCLTL5.txt", 56)</f>
        <v>56</v>
      </c>
      <c r="BN143">
        <f>HYPERLINK("http://exon.niaid.nih.gov/transcriptome/Anopheles_sialome/links/cluster-b/anopheline-sialome-cds-pep-larger-orf30-50SimCLU7.txt", 7)</f>
        <v>7</v>
      </c>
      <c r="BO143">
        <f>HYPERLINK("http://exon.niaid.nih.gov/transcriptome/Anopheles_sialome/links/cluster-b/anopheline-sialome-cds-pep-larger-orf30-50SimCLTL7.txt", 40)</f>
        <v>40</v>
      </c>
      <c r="BP143">
        <f>HYPERLINK("http://exon.niaid.nih.gov/transcriptome/Anopheles_sialome/links/cluster-b/anopheline-sialome-cds-pep-larger-orf35-50SimCLU8.txt", 8)</f>
        <v>8</v>
      </c>
      <c r="BQ143">
        <f>HYPERLINK("http://exon.niaid.nih.gov/transcriptome/Anopheles_sialome/links/cluster-b/anopheline-sialome-cds-pep-larger-orf35-50SimCLTL8.txt", 40)</f>
        <v>40</v>
      </c>
      <c r="BR143">
        <f>HYPERLINK("http://exon.niaid.nih.gov/transcriptome/Anopheles_sialome/links/cluster-b/anopheline-sialome-cds-pep-larger-orf40-50SimCLU5.txt", 5)</f>
        <v>5</v>
      </c>
      <c r="BS143">
        <f>HYPERLINK("http://exon.niaid.nih.gov/transcriptome/Anopheles_sialome/links/cluster-b/anopheline-sialome-cds-pep-larger-orf40-50SimCLTL5.txt", 40)</f>
        <v>40</v>
      </c>
      <c r="BT143">
        <f>HYPERLINK("http://exon.niaid.nih.gov/transcriptome/Anopheles_sialome/links/cluster-b/anopheline-sialome-cds-pep-larger-orf45-50SimCLU4.txt", 4)</f>
        <v>4</v>
      </c>
      <c r="BU143">
        <f>HYPERLINK("http://exon.niaid.nih.gov/transcriptome/Anopheles_sialome/links/cluster-b/anopheline-sialome-cds-pep-larger-orf45-50SimCLTL4.txt", 40)</f>
        <v>40</v>
      </c>
      <c r="BV143">
        <f>HYPERLINK("http://exon.niaid.nih.gov/transcriptome/Anopheles_sialome/links/cluster-b/anopheline-sialome-cds-pep-larger-orf50-50SimCLU4.txt", 4)</f>
        <v>4</v>
      </c>
      <c r="BW143">
        <f>HYPERLINK("http://exon.niaid.nih.gov/transcriptome/Anopheles_sialome/links/cluster-b/anopheline-sialome-cds-pep-larger-orf50-50SimCLTL4.txt", 40)</f>
        <v>40</v>
      </c>
      <c r="BX143">
        <f>HYPERLINK("http://exon.niaid.nih.gov/transcriptome/Anopheles_sialome/links/cluster-b/anopheline-sialome-cds-pep-larger-orf55-50SimCLU4.txt", 4)</f>
        <v>4</v>
      </c>
      <c r="BY143">
        <f>HYPERLINK("http://exon.niaid.nih.gov/transcriptome/Anopheles_sialome/links/cluster-b/anopheline-sialome-cds-pep-larger-orf55-50SimCLTL4.txt", 40)</f>
        <v>40</v>
      </c>
      <c r="BZ143">
        <f>HYPERLINK("http://exon.niaid.nih.gov/transcriptome/Anopheles_sialome/links/cluster-b/anopheline-sialome-cds-pep-larger-orf60-50SimCLU3.txt", 3)</f>
        <v>3</v>
      </c>
      <c r="CA143">
        <f>HYPERLINK("http://exon.niaid.nih.gov/transcriptome/Anopheles_sialome/links/cluster-b/anopheline-sialome-cds-pep-larger-orf60-50SimCLTL3.txt", 40)</f>
        <v>40</v>
      </c>
      <c r="CB143">
        <f>HYPERLINK("http://exon.niaid.nih.gov/transcriptome/Anopheles_sialome/links/cluster-b/anopheline-sialome-cds-pep-larger-orf65-50SimCLU2.txt", 2)</f>
        <v>2</v>
      </c>
      <c r="CC143">
        <f>HYPERLINK("http://exon.niaid.nih.gov/transcriptome/Anopheles_sialome/links/cluster-b/anopheline-sialome-cds-pep-larger-orf65-50SimCLTL2.txt", 40)</f>
        <v>40</v>
      </c>
      <c r="CD143">
        <f>HYPERLINK("http://exon.niaid.nih.gov/transcriptome/Anopheles_sialome/links/cluster-b/anopheline-sialome-cds-pep-larger-orf70-50SimCLU6.txt", 6)</f>
        <v>6</v>
      </c>
      <c r="CE143">
        <f>HYPERLINK("http://exon.niaid.nih.gov/transcriptome/Anopheles_sialome/links/cluster-b/anopheline-sialome-cds-pep-larger-orf70-50SimCLTL6.txt", 21)</f>
        <v>21</v>
      </c>
      <c r="CF143">
        <f>HYPERLINK("http://exon.niaid.nih.gov/transcriptome/Anopheles_sialome/links/cluster-b/anopheline-sialome-cds-pep-larger-orf75-50SimCLU5.txt", 5)</f>
        <v>5</v>
      </c>
      <c r="CG143">
        <f>HYPERLINK("http://exon.niaid.nih.gov/transcriptome/Anopheles_sialome/links/cluster-b/anopheline-sialome-cds-pep-larger-orf75-50SimCLTL5.txt", 21)</f>
        <v>21</v>
      </c>
      <c r="CH143">
        <f>HYPERLINK("http://exon.niaid.nih.gov/transcriptome/Anopheles_sialome/links/cluster-b/anopheline-sialome-cds-pep-larger-orf80-50SimCLU3.txt", 3)</f>
        <v>3</v>
      </c>
      <c r="CI143">
        <f>HYPERLINK("http://exon.niaid.nih.gov/transcriptome/Anopheles_sialome/links/cluster-b/anopheline-sialome-cds-pep-larger-orf80-50SimCLTL3.txt", 21)</f>
        <v>21</v>
      </c>
      <c r="CJ143">
        <f>HYPERLINK("http://exon.niaid.nih.gov/transcriptome/Anopheles_sialome/links/cluster-b/anopheline-sialome-cds-pep-larger-orf85-50SimCLU2.txt", 2)</f>
        <v>2</v>
      </c>
      <c r="CK143">
        <f>HYPERLINK("http://exon.niaid.nih.gov/transcriptome/Anopheles_sialome/links/cluster-b/anopheline-sialome-cds-pep-larger-orf85-50SimCLTL2.txt", 21)</f>
        <v>21</v>
      </c>
      <c r="CL143">
        <f>HYPERLINK("http://exon.niaid.nih.gov/transcriptome/Anopheles_sialome/links/cluster-b/anopheline-sialome-cds-pep-larger-orf90-50SimCLU5.txt", 5)</f>
        <v>5</v>
      </c>
      <c r="CM143">
        <f>HYPERLINK("http://exon.niaid.nih.gov/transcriptome/Anopheles_sialome/links/cluster-b/anopheline-sialome-cds-pep-larger-orf90-50SimCLTL5.txt", 14)</f>
        <v>14</v>
      </c>
      <c r="CN143">
        <f>HYPERLINK("http://exon.niaid.nih.gov/transcriptome/Anopheles_sialome/links/cluster-b/anopheline-sialome-cds-pep-larger-orf95-50SimCLU40.txt", 40)</f>
        <v>40</v>
      </c>
      <c r="CO143">
        <f>HYPERLINK("http://exon.niaid.nih.gov/transcriptome/Anopheles_sialome/links/cluster-b/anopheline-sialome-cds-pep-larger-orf95-50SimCLTL40.txt", 5)</f>
        <v>5</v>
      </c>
    </row>
    <row r="144" spans="1:93">
      <c r="A144" s="2" t="str">
        <f>HYPERLINK("http://exon.niaid.nih.gov/transcriptome/Anopheles_sialome/links/cds/anoara_Sal_SerPro3-cds.txt","anoara_Sal_SerPro3")</f>
        <v>anoara_Sal_SerPro3</v>
      </c>
      <c r="B144">
        <v>1200</v>
      </c>
      <c r="C144" t="s">
        <v>389</v>
      </c>
      <c r="D144" t="s">
        <v>7</v>
      </c>
      <c r="E144" t="s">
        <v>5</v>
      </c>
      <c r="F144" t="s">
        <v>1</v>
      </c>
      <c r="G144" t="str">
        <f>HYPERLINK("http://exon.niaid.nih.gov/transcriptome/Anopheles_sialome/links/pep/anoara_Sal_SerPro3-pep.txt","anoara_Sal_SerPro3")</f>
        <v>anoara_Sal_SerPro3</v>
      </c>
      <c r="H144">
        <v>399</v>
      </c>
      <c r="I144">
        <v>2</v>
      </c>
      <c r="J144" s="3" t="str">
        <f>HYPERLINK("http://exon.niaid.nih.gov/transcriptome/Anopheles_sialome/links/Sigp/anoara_Sal_SerPro3-SigP.txt","SIG")</f>
        <v>SIG</v>
      </c>
      <c r="K144" t="s">
        <v>1182</v>
      </c>
      <c r="L144">
        <v>43.158000000000001</v>
      </c>
      <c r="M144">
        <v>5.93</v>
      </c>
      <c r="N144">
        <v>40.344999999999999</v>
      </c>
      <c r="O144">
        <v>5.94</v>
      </c>
      <c r="P144" t="s">
        <v>1661</v>
      </c>
      <c r="Q144" s="3">
        <v>0</v>
      </c>
      <c r="R144" t="s">
        <v>128</v>
      </c>
      <c r="S144" t="s">
        <v>128</v>
      </c>
      <c r="T144" t="s">
        <v>128</v>
      </c>
      <c r="U144" t="s">
        <v>128</v>
      </c>
      <c r="V144" t="s">
        <v>128</v>
      </c>
      <c r="W144" s="3" t="str">
        <f>HYPERLINK("http://exon.niaid.nih.gov/transcriptome/Anopheles_sialome/links/netoglyc/anoara_Sal_SerPro3-netoglyc.txt","0")</f>
        <v>0</v>
      </c>
      <c r="X144">
        <v>23.1</v>
      </c>
      <c r="Y144">
        <v>8</v>
      </c>
      <c r="Z144">
        <v>4.3</v>
      </c>
      <c r="AA144" t="s">
        <v>654</v>
      </c>
      <c r="AB144" t="s">
        <v>128</v>
      </c>
      <c r="AC144" s="2" t="str">
        <f>HYPERLINK("http://exon.niaid.nih.gov/transcriptome/Anopheles_sialome/links/DIPTERA/anoara_Sal_SerPro3-DIPTERA.txt","AGAP011913-PA")</f>
        <v>AGAP011913-PA</v>
      </c>
      <c r="AD144" t="str">
        <f t="shared" si="93"/>
        <v>0.0</v>
      </c>
      <c r="AE144" t="str">
        <f t="shared" si="94"/>
        <v>gi|157013321</v>
      </c>
      <c r="AF144">
        <v>100</v>
      </c>
      <c r="AG144">
        <v>100</v>
      </c>
      <c r="AH144">
        <v>100</v>
      </c>
      <c r="AI144" t="s">
        <v>2285</v>
      </c>
      <c r="AJ144" s="2" t="str">
        <f>HYPERLINK("http://exon.niaid.nih.gov/transcriptome/Anopheles_sialome/links/CULICOMORPHA/anoara_Sal_SerPro3-CULICOMORPHA.txt","AGAP011913-PA")</f>
        <v>AGAP011913-PA</v>
      </c>
      <c r="AK144" t="str">
        <f t="shared" si="95"/>
        <v>0.0</v>
      </c>
      <c r="AL144" t="str">
        <f t="shared" si="96"/>
        <v>gi|157013321</v>
      </c>
      <c r="AM144">
        <v>100</v>
      </c>
      <c r="AN144">
        <v>100</v>
      </c>
      <c r="AO144">
        <v>100</v>
      </c>
      <c r="AP144" t="s">
        <v>2285</v>
      </c>
      <c r="AQ144" s="2" t="str">
        <f>HYPERLINK("http://exon.niaid.nih.gov/transcriptome/Anopheles_sialome/links/NR-LIGHT/anoara_Sal_SerPro3-NR-LIGHT.txt","AGAP011913-PA")</f>
        <v>AGAP011913-PA</v>
      </c>
      <c r="AR144" t="str">
        <f t="shared" si="97"/>
        <v>0.0</v>
      </c>
      <c r="AS144" t="str">
        <f t="shared" si="98"/>
        <v>gi|158300771</v>
      </c>
      <c r="AT144">
        <v>100</v>
      </c>
      <c r="AU144">
        <v>100</v>
      </c>
      <c r="AV144">
        <v>100</v>
      </c>
      <c r="AW144" t="s">
        <v>2285</v>
      </c>
      <c r="AX144" s="2" t="str">
        <f>HYPERLINK("http://exon.niaid.nih.gov/transcriptome/Anopheles_sialome/links/CDD/anoara_Sal_SerPro3-CDD.txt","Tryp_SPc")</f>
        <v>Tryp_SPc</v>
      </c>
      <c r="AY144" t="str">
        <f>HYPERLINK("http://www.ncbi.nlm.nih.gov/Structure/cdd/cddsrv.cgi?uid=cd00190&amp;version=v4.0","2E-045")</f>
        <v>2E-045</v>
      </c>
      <c r="AZ144" t="s">
        <v>2827</v>
      </c>
      <c r="BA144" s="2" t="str">
        <f>HYPERLINK("http://exon.niaid.nih.gov/transcriptome/Anopheles_sialome/links/KOG/anoara_Sal_SerPro3-KOG.txt","Trypsin")</f>
        <v>Trypsin</v>
      </c>
      <c r="BB144" t="str">
        <f>HYPERLINK("http://www.ncbi.nlm.nih.gov/Structure/cdd/cddsrv.cgi?uid=KOG3627","2E-040")</f>
        <v>2E-040</v>
      </c>
      <c r="BC144" t="s">
        <v>2287</v>
      </c>
      <c r="BD144" t="str">
        <f>HYPERLINK("http://exon.niaid.nih.gov/transcriptome/Anopheles_sialome/links/KOG/anoara_Sal_SerPro3-KOG.txt","KOG3627")</f>
        <v>KOG3627</v>
      </c>
      <c r="BE144" t="str">
        <f>HYPERLINK("http://exon.niaid.nih.gov/transcriptome/Anopheles_sialome/links/PFAM/anoara_Sal_SerPro3-PFAM.txt","Trypsin")</f>
        <v>Trypsin</v>
      </c>
      <c r="BF144" t="str">
        <f>HYPERLINK("http://pfam.sanger.ac.uk/family?acc=PF00089","3E-034")</f>
        <v>3E-034</v>
      </c>
      <c r="BG144" s="2" t="str">
        <f>HYPERLINK("http://exon.niaid.nih.gov/transcriptome/Anopheles_sialome/links/SMART/anoara_Sal_SerPro3-SMART.txt","Tryp_SPc")</f>
        <v>Tryp_SPc</v>
      </c>
      <c r="BH144" t="str">
        <f>HYPERLINK("http://smart.embl-heidelberg.de/smart/do_annotation.pl?DOMAIN=Tryp_SPc&amp;BLAST=DUMMY","1E-046")</f>
        <v>1E-046</v>
      </c>
      <c r="BI144" t="s">
        <v>128</v>
      </c>
      <c r="BJ144" s="2" t="s">
        <v>128</v>
      </c>
      <c r="BK144" t="s">
        <v>1664</v>
      </c>
      <c r="BL144">
        <f>HYPERLINK("http://exon.niaid.nih.gov/transcriptome/Anopheles_sialome/links/cluster-b/anopheline-sialome-cds-pep-larger-orf25-50SimCLU5.txt", 5)</f>
        <v>5</v>
      </c>
      <c r="BM144">
        <f>HYPERLINK("http://exon.niaid.nih.gov/transcriptome/Anopheles_sialome/links/cluster-b/anopheline-sialome-cds-pep-larger-orf25-50SimCLTL5.txt", 56)</f>
        <v>56</v>
      </c>
      <c r="BN144">
        <f>HYPERLINK("http://exon.niaid.nih.gov/transcriptome/Anopheles_sialome/links/cluster-b/anopheline-sialome-cds-pep-larger-orf30-50SimCLU7.txt", 7)</f>
        <v>7</v>
      </c>
      <c r="BO144">
        <f>HYPERLINK("http://exon.niaid.nih.gov/transcriptome/Anopheles_sialome/links/cluster-b/anopheline-sialome-cds-pep-larger-orf30-50SimCLTL7.txt", 40)</f>
        <v>40</v>
      </c>
      <c r="BP144">
        <f>HYPERLINK("http://exon.niaid.nih.gov/transcriptome/Anopheles_sialome/links/cluster-b/anopheline-sialome-cds-pep-larger-orf35-50SimCLU8.txt", 8)</f>
        <v>8</v>
      </c>
      <c r="BQ144">
        <f>HYPERLINK("http://exon.niaid.nih.gov/transcriptome/Anopheles_sialome/links/cluster-b/anopheline-sialome-cds-pep-larger-orf35-50SimCLTL8.txt", 40)</f>
        <v>40</v>
      </c>
      <c r="BR144">
        <f>HYPERLINK("http://exon.niaid.nih.gov/transcriptome/Anopheles_sialome/links/cluster-b/anopheline-sialome-cds-pep-larger-orf40-50SimCLU5.txt", 5)</f>
        <v>5</v>
      </c>
      <c r="BS144">
        <f>HYPERLINK("http://exon.niaid.nih.gov/transcriptome/Anopheles_sialome/links/cluster-b/anopheline-sialome-cds-pep-larger-orf40-50SimCLTL5.txt", 40)</f>
        <v>40</v>
      </c>
      <c r="BT144">
        <f>HYPERLINK("http://exon.niaid.nih.gov/transcriptome/Anopheles_sialome/links/cluster-b/anopheline-sialome-cds-pep-larger-orf45-50SimCLU4.txt", 4)</f>
        <v>4</v>
      </c>
      <c r="BU144">
        <f>HYPERLINK("http://exon.niaid.nih.gov/transcriptome/Anopheles_sialome/links/cluster-b/anopheline-sialome-cds-pep-larger-orf45-50SimCLTL4.txt", 40)</f>
        <v>40</v>
      </c>
      <c r="BV144">
        <f>HYPERLINK("http://exon.niaid.nih.gov/transcriptome/Anopheles_sialome/links/cluster-b/anopheline-sialome-cds-pep-larger-orf50-50SimCLU4.txt", 4)</f>
        <v>4</v>
      </c>
      <c r="BW144">
        <f>HYPERLINK("http://exon.niaid.nih.gov/transcriptome/Anopheles_sialome/links/cluster-b/anopheline-sialome-cds-pep-larger-orf50-50SimCLTL4.txt", 40)</f>
        <v>40</v>
      </c>
      <c r="BX144">
        <f>HYPERLINK("http://exon.niaid.nih.gov/transcriptome/Anopheles_sialome/links/cluster-b/anopheline-sialome-cds-pep-larger-orf55-50SimCLU4.txt", 4)</f>
        <v>4</v>
      </c>
      <c r="BY144">
        <f>HYPERLINK("http://exon.niaid.nih.gov/transcriptome/Anopheles_sialome/links/cluster-b/anopheline-sialome-cds-pep-larger-orf55-50SimCLTL4.txt", 40)</f>
        <v>40</v>
      </c>
      <c r="BZ144">
        <f>HYPERLINK("http://exon.niaid.nih.gov/transcriptome/Anopheles_sialome/links/cluster-b/anopheline-sialome-cds-pep-larger-orf60-50SimCLU3.txt", 3)</f>
        <v>3</v>
      </c>
      <c r="CA144">
        <f>HYPERLINK("http://exon.niaid.nih.gov/transcriptome/Anopheles_sialome/links/cluster-b/anopheline-sialome-cds-pep-larger-orf60-50SimCLTL3.txt", 40)</f>
        <v>40</v>
      </c>
      <c r="CB144">
        <f>HYPERLINK("http://exon.niaid.nih.gov/transcriptome/Anopheles_sialome/links/cluster-b/anopheline-sialome-cds-pep-larger-orf65-50SimCLU2.txt", 2)</f>
        <v>2</v>
      </c>
      <c r="CC144">
        <f>HYPERLINK("http://exon.niaid.nih.gov/transcriptome/Anopheles_sialome/links/cluster-b/anopheline-sialome-cds-pep-larger-orf65-50SimCLTL2.txt", 40)</f>
        <v>40</v>
      </c>
      <c r="CD144">
        <f>HYPERLINK("http://exon.niaid.nih.gov/transcriptome/Anopheles_sialome/links/cluster-b/anopheline-sialome-cds-pep-larger-orf70-50SimCLU6.txt", 6)</f>
        <v>6</v>
      </c>
      <c r="CE144">
        <f>HYPERLINK("http://exon.niaid.nih.gov/transcriptome/Anopheles_sialome/links/cluster-b/anopheline-sialome-cds-pep-larger-orf70-50SimCLTL6.txt", 21)</f>
        <v>21</v>
      </c>
      <c r="CF144">
        <f>HYPERLINK("http://exon.niaid.nih.gov/transcriptome/Anopheles_sialome/links/cluster-b/anopheline-sialome-cds-pep-larger-orf75-50SimCLU5.txt", 5)</f>
        <v>5</v>
      </c>
      <c r="CG144">
        <f>HYPERLINK("http://exon.niaid.nih.gov/transcriptome/Anopheles_sialome/links/cluster-b/anopheline-sialome-cds-pep-larger-orf75-50SimCLTL5.txt", 21)</f>
        <v>21</v>
      </c>
      <c r="CH144">
        <f>HYPERLINK("http://exon.niaid.nih.gov/transcriptome/Anopheles_sialome/links/cluster-b/anopheline-sialome-cds-pep-larger-orf80-50SimCLU3.txt", 3)</f>
        <v>3</v>
      </c>
      <c r="CI144">
        <f>HYPERLINK("http://exon.niaid.nih.gov/transcriptome/Anopheles_sialome/links/cluster-b/anopheline-sialome-cds-pep-larger-orf80-50SimCLTL3.txt", 21)</f>
        <v>21</v>
      </c>
      <c r="CJ144">
        <f>HYPERLINK("http://exon.niaid.nih.gov/transcriptome/Anopheles_sialome/links/cluster-b/anopheline-sialome-cds-pep-larger-orf85-50SimCLU2.txt", 2)</f>
        <v>2</v>
      </c>
      <c r="CK144">
        <f>HYPERLINK("http://exon.niaid.nih.gov/transcriptome/Anopheles_sialome/links/cluster-b/anopheline-sialome-cds-pep-larger-orf85-50SimCLTL2.txt", 21)</f>
        <v>21</v>
      </c>
      <c r="CL144">
        <f>HYPERLINK("http://exon.niaid.nih.gov/transcriptome/Anopheles_sialome/links/cluster-b/anopheline-sialome-cds-pep-larger-orf90-50SimCLU5.txt", 5)</f>
        <v>5</v>
      </c>
      <c r="CM144">
        <f>HYPERLINK("http://exon.niaid.nih.gov/transcriptome/Anopheles_sialome/links/cluster-b/anopheline-sialome-cds-pep-larger-orf90-50SimCLTL5.txt", 14)</f>
        <v>14</v>
      </c>
      <c r="CN144">
        <f>HYPERLINK("http://exon.niaid.nih.gov/transcriptome/Anopheles_sialome/links/cluster-b/anopheline-sialome-cds-pep-larger-orf95-50SimCLU40.txt", 40)</f>
        <v>40</v>
      </c>
      <c r="CO144">
        <f>HYPERLINK("http://exon.niaid.nih.gov/transcriptome/Anopheles_sialome/links/cluster-b/anopheline-sialome-cds-pep-larger-orf95-50SimCLTL40.txt", 5)</f>
        <v>5</v>
      </c>
    </row>
    <row r="145" spans="1:93">
      <c r="A145" s="2" t="str">
        <f>HYPERLINK("http://exon.niaid.nih.gov/transcriptome/Anopheles_sialome/links/cds/anoqua_Sal_SerPro3-cds.txt","anoqua_Sal_SerPro3")</f>
        <v>anoqua_Sal_SerPro3</v>
      </c>
      <c r="B145">
        <v>1200</v>
      </c>
      <c r="C145" t="s">
        <v>390</v>
      </c>
      <c r="D145" t="s">
        <v>7</v>
      </c>
      <c r="E145" t="s">
        <v>5</v>
      </c>
      <c r="F145" t="s">
        <v>1</v>
      </c>
      <c r="G145" t="str">
        <f>HYPERLINK("http://exon.niaid.nih.gov/transcriptome/Anopheles_sialome/links/pep/anoqua_Sal_SerPro3-pep.txt","anoqua_Sal_SerPro3")</f>
        <v>anoqua_Sal_SerPro3</v>
      </c>
      <c r="H145">
        <v>399</v>
      </c>
      <c r="I145">
        <v>2</v>
      </c>
      <c r="J145" s="3" t="str">
        <f>HYPERLINK("http://exon.niaid.nih.gov/transcriptome/Anopheles_sialome/links/Sigp/anoqua_Sal_SerPro3-SigP.txt","SIG")</f>
        <v>SIG</v>
      </c>
      <c r="K145" t="s">
        <v>1182</v>
      </c>
      <c r="L145">
        <v>43.134</v>
      </c>
      <c r="M145">
        <v>5.93</v>
      </c>
      <c r="N145">
        <v>40.33</v>
      </c>
      <c r="O145">
        <v>5.94</v>
      </c>
      <c r="P145" t="s">
        <v>1666</v>
      </c>
      <c r="Q145" s="3">
        <v>0</v>
      </c>
      <c r="R145" t="s">
        <v>128</v>
      </c>
      <c r="S145" t="s">
        <v>128</v>
      </c>
      <c r="T145" t="s">
        <v>128</v>
      </c>
      <c r="U145" t="s">
        <v>128</v>
      </c>
      <c r="V145" t="s">
        <v>128</v>
      </c>
      <c r="W145" s="3" t="str">
        <f>HYPERLINK("http://exon.niaid.nih.gov/transcriptome/Anopheles_sialome/links/netoglyc/anoqua_Sal_SerPro3-netoglyc.txt","0")</f>
        <v>0</v>
      </c>
      <c r="X145">
        <v>23.1</v>
      </c>
      <c r="Y145">
        <v>8</v>
      </c>
      <c r="Z145">
        <v>4.3</v>
      </c>
      <c r="AA145" t="s">
        <v>654</v>
      </c>
      <c r="AB145" t="s">
        <v>128</v>
      </c>
      <c r="AC145" s="2" t="str">
        <f>HYPERLINK("http://exon.niaid.nih.gov/transcriptome/Anopheles_sialome/links/DIPTERA/anoqua_Sal_SerPro3-DIPTERA.txt","AGAP011913-PA")</f>
        <v>AGAP011913-PA</v>
      </c>
      <c r="AD145" t="str">
        <f t="shared" si="93"/>
        <v>0.0</v>
      </c>
      <c r="AE145" t="str">
        <f t="shared" si="94"/>
        <v>gi|157013321</v>
      </c>
      <c r="AF145">
        <v>98</v>
      </c>
      <c r="AG145">
        <v>98</v>
      </c>
      <c r="AH145">
        <v>100</v>
      </c>
      <c r="AI145" t="s">
        <v>2285</v>
      </c>
      <c r="AJ145" s="2" t="str">
        <f>HYPERLINK("http://exon.niaid.nih.gov/transcriptome/Anopheles_sialome/links/CULICOMORPHA/anoqua_Sal_SerPro3-CULICOMORPHA.txt","AGAP011913-PA")</f>
        <v>AGAP011913-PA</v>
      </c>
      <c r="AK145" t="str">
        <f t="shared" si="95"/>
        <v>0.0</v>
      </c>
      <c r="AL145" t="str">
        <f t="shared" si="96"/>
        <v>gi|157013321</v>
      </c>
      <c r="AM145">
        <v>98</v>
      </c>
      <c r="AN145">
        <v>98</v>
      </c>
      <c r="AO145">
        <v>100</v>
      </c>
      <c r="AP145" t="s">
        <v>2285</v>
      </c>
      <c r="AQ145" s="2" t="str">
        <f>HYPERLINK("http://exon.niaid.nih.gov/transcriptome/Anopheles_sialome/links/NR-LIGHT/anoqua_Sal_SerPro3-NR-LIGHT.txt","AGAP011913-PA")</f>
        <v>AGAP011913-PA</v>
      </c>
      <c r="AR145" t="str">
        <f t="shared" si="97"/>
        <v>0.0</v>
      </c>
      <c r="AS145" t="str">
        <f t="shared" si="98"/>
        <v>gi|158300771</v>
      </c>
      <c r="AT145">
        <v>98</v>
      </c>
      <c r="AU145">
        <v>98</v>
      </c>
      <c r="AV145">
        <v>100</v>
      </c>
      <c r="AW145" t="s">
        <v>2285</v>
      </c>
      <c r="AX145" s="2" t="str">
        <f>HYPERLINK("http://exon.niaid.nih.gov/transcriptome/Anopheles_sialome/links/CDD/anoqua_Sal_SerPro3-CDD.txt","Tryp_SPc")</f>
        <v>Tryp_SPc</v>
      </c>
      <c r="AY145" t="str">
        <f>HYPERLINK("http://www.ncbi.nlm.nih.gov/Structure/cdd/cddsrv.cgi?uid=cd00190&amp;version=v4.0","2E-046")</f>
        <v>2E-046</v>
      </c>
      <c r="AZ145" t="s">
        <v>2829</v>
      </c>
      <c r="BA145" s="2" t="str">
        <f>HYPERLINK("http://exon.niaid.nih.gov/transcriptome/Anopheles_sialome/links/KOG/anoqua_Sal_SerPro3-KOG.txt","Trypsin")</f>
        <v>Trypsin</v>
      </c>
      <c r="BB145" t="str">
        <f>HYPERLINK("http://www.ncbi.nlm.nih.gov/Structure/cdd/cddsrv.cgi?uid=KOG3627","8E-041")</f>
        <v>8E-041</v>
      </c>
      <c r="BC145" t="s">
        <v>2287</v>
      </c>
      <c r="BD145" t="str">
        <f>HYPERLINK("http://exon.niaid.nih.gov/transcriptome/Anopheles_sialome/links/KOG/anoqua_Sal_SerPro3-KOG.txt","KOG3627")</f>
        <v>KOG3627</v>
      </c>
      <c r="BE145" t="str">
        <f>HYPERLINK("http://exon.niaid.nih.gov/transcriptome/Anopheles_sialome/links/PFAM/anoqua_Sal_SerPro3-PFAM.txt","Trypsin")</f>
        <v>Trypsin</v>
      </c>
      <c r="BF145" t="str">
        <f>HYPERLINK("http://pfam.sanger.ac.uk/family?acc=PF00089","2E-035")</f>
        <v>2E-035</v>
      </c>
      <c r="BG145" s="2" t="str">
        <f>HYPERLINK("http://exon.niaid.nih.gov/transcriptome/Anopheles_sialome/links/SMART/anoqua_Sal_SerPro3-SMART.txt","Tryp_SPc")</f>
        <v>Tryp_SPc</v>
      </c>
      <c r="BH145" t="str">
        <f>HYPERLINK("http://smart.embl-heidelberg.de/smart/do_annotation.pl?DOMAIN=Tryp_SPc&amp;BLAST=DUMMY","8E-048")</f>
        <v>8E-048</v>
      </c>
      <c r="BI145" t="s">
        <v>128</v>
      </c>
      <c r="BJ145" s="2" t="s">
        <v>128</v>
      </c>
      <c r="BK145" t="s">
        <v>1665</v>
      </c>
      <c r="BL145">
        <f>HYPERLINK("http://exon.niaid.nih.gov/transcriptome/Anopheles_sialome/links/cluster-b/anopheline-sialome-cds-pep-larger-orf25-50SimCLU5.txt", 5)</f>
        <v>5</v>
      </c>
      <c r="BM145">
        <f>HYPERLINK("http://exon.niaid.nih.gov/transcriptome/Anopheles_sialome/links/cluster-b/anopheline-sialome-cds-pep-larger-orf25-50SimCLTL5.txt", 56)</f>
        <v>56</v>
      </c>
      <c r="BN145">
        <f>HYPERLINK("http://exon.niaid.nih.gov/transcriptome/Anopheles_sialome/links/cluster-b/anopheline-sialome-cds-pep-larger-orf30-50SimCLU7.txt", 7)</f>
        <v>7</v>
      </c>
      <c r="BO145">
        <f>HYPERLINK("http://exon.niaid.nih.gov/transcriptome/Anopheles_sialome/links/cluster-b/anopheline-sialome-cds-pep-larger-orf30-50SimCLTL7.txt", 40)</f>
        <v>40</v>
      </c>
      <c r="BP145">
        <f>HYPERLINK("http://exon.niaid.nih.gov/transcriptome/Anopheles_sialome/links/cluster-b/anopheline-sialome-cds-pep-larger-orf35-50SimCLU8.txt", 8)</f>
        <v>8</v>
      </c>
      <c r="BQ145">
        <f>HYPERLINK("http://exon.niaid.nih.gov/transcriptome/Anopheles_sialome/links/cluster-b/anopheline-sialome-cds-pep-larger-orf35-50SimCLTL8.txt", 40)</f>
        <v>40</v>
      </c>
      <c r="BR145">
        <f>HYPERLINK("http://exon.niaid.nih.gov/transcriptome/Anopheles_sialome/links/cluster-b/anopheline-sialome-cds-pep-larger-orf40-50SimCLU5.txt", 5)</f>
        <v>5</v>
      </c>
      <c r="BS145">
        <f>HYPERLINK("http://exon.niaid.nih.gov/transcriptome/Anopheles_sialome/links/cluster-b/anopheline-sialome-cds-pep-larger-orf40-50SimCLTL5.txt", 40)</f>
        <v>40</v>
      </c>
      <c r="BT145">
        <f>HYPERLINK("http://exon.niaid.nih.gov/transcriptome/Anopheles_sialome/links/cluster-b/anopheline-sialome-cds-pep-larger-orf45-50SimCLU4.txt", 4)</f>
        <v>4</v>
      </c>
      <c r="BU145">
        <f>HYPERLINK("http://exon.niaid.nih.gov/transcriptome/Anopheles_sialome/links/cluster-b/anopheline-sialome-cds-pep-larger-orf45-50SimCLTL4.txt", 40)</f>
        <v>40</v>
      </c>
      <c r="BV145">
        <f>HYPERLINK("http://exon.niaid.nih.gov/transcriptome/Anopheles_sialome/links/cluster-b/anopheline-sialome-cds-pep-larger-orf50-50SimCLU4.txt", 4)</f>
        <v>4</v>
      </c>
      <c r="BW145">
        <f>HYPERLINK("http://exon.niaid.nih.gov/transcriptome/Anopheles_sialome/links/cluster-b/anopheline-sialome-cds-pep-larger-orf50-50SimCLTL4.txt", 40)</f>
        <v>40</v>
      </c>
      <c r="BX145">
        <f>HYPERLINK("http://exon.niaid.nih.gov/transcriptome/Anopheles_sialome/links/cluster-b/anopheline-sialome-cds-pep-larger-orf55-50SimCLU4.txt", 4)</f>
        <v>4</v>
      </c>
      <c r="BY145">
        <f>HYPERLINK("http://exon.niaid.nih.gov/transcriptome/Anopheles_sialome/links/cluster-b/anopheline-sialome-cds-pep-larger-orf55-50SimCLTL4.txt", 40)</f>
        <v>40</v>
      </c>
      <c r="BZ145">
        <f>HYPERLINK("http://exon.niaid.nih.gov/transcriptome/Anopheles_sialome/links/cluster-b/anopheline-sialome-cds-pep-larger-orf60-50SimCLU3.txt", 3)</f>
        <v>3</v>
      </c>
      <c r="CA145">
        <f>HYPERLINK("http://exon.niaid.nih.gov/transcriptome/Anopheles_sialome/links/cluster-b/anopheline-sialome-cds-pep-larger-orf60-50SimCLTL3.txt", 40)</f>
        <v>40</v>
      </c>
      <c r="CB145">
        <f>HYPERLINK("http://exon.niaid.nih.gov/transcriptome/Anopheles_sialome/links/cluster-b/anopheline-sialome-cds-pep-larger-orf65-50SimCLU2.txt", 2)</f>
        <v>2</v>
      </c>
      <c r="CC145">
        <f>HYPERLINK("http://exon.niaid.nih.gov/transcriptome/Anopheles_sialome/links/cluster-b/anopheline-sialome-cds-pep-larger-orf65-50SimCLTL2.txt", 40)</f>
        <v>40</v>
      </c>
      <c r="CD145">
        <f>HYPERLINK("http://exon.niaid.nih.gov/transcriptome/Anopheles_sialome/links/cluster-b/anopheline-sialome-cds-pep-larger-orf70-50SimCLU6.txt", 6)</f>
        <v>6</v>
      </c>
      <c r="CE145">
        <f>HYPERLINK("http://exon.niaid.nih.gov/transcriptome/Anopheles_sialome/links/cluster-b/anopheline-sialome-cds-pep-larger-orf70-50SimCLTL6.txt", 21)</f>
        <v>21</v>
      </c>
      <c r="CF145">
        <f>HYPERLINK("http://exon.niaid.nih.gov/transcriptome/Anopheles_sialome/links/cluster-b/anopheline-sialome-cds-pep-larger-orf75-50SimCLU5.txt", 5)</f>
        <v>5</v>
      </c>
      <c r="CG145">
        <f>HYPERLINK("http://exon.niaid.nih.gov/transcriptome/Anopheles_sialome/links/cluster-b/anopheline-sialome-cds-pep-larger-orf75-50SimCLTL5.txt", 21)</f>
        <v>21</v>
      </c>
      <c r="CH145">
        <f>HYPERLINK("http://exon.niaid.nih.gov/transcriptome/Anopheles_sialome/links/cluster-b/anopheline-sialome-cds-pep-larger-orf80-50SimCLU3.txt", 3)</f>
        <v>3</v>
      </c>
      <c r="CI145">
        <f>HYPERLINK("http://exon.niaid.nih.gov/transcriptome/Anopheles_sialome/links/cluster-b/anopheline-sialome-cds-pep-larger-orf80-50SimCLTL3.txt", 21)</f>
        <v>21</v>
      </c>
      <c r="CJ145">
        <f>HYPERLINK("http://exon.niaid.nih.gov/transcriptome/Anopheles_sialome/links/cluster-b/anopheline-sialome-cds-pep-larger-orf85-50SimCLU2.txt", 2)</f>
        <v>2</v>
      </c>
      <c r="CK145">
        <f>HYPERLINK("http://exon.niaid.nih.gov/transcriptome/Anopheles_sialome/links/cluster-b/anopheline-sialome-cds-pep-larger-orf85-50SimCLTL2.txt", 21)</f>
        <v>21</v>
      </c>
      <c r="CL145">
        <f>HYPERLINK("http://exon.niaid.nih.gov/transcriptome/Anopheles_sialome/links/cluster-b/anopheline-sialome-cds-pep-larger-orf90-50SimCLU5.txt", 5)</f>
        <v>5</v>
      </c>
      <c r="CM145">
        <f>HYPERLINK("http://exon.niaid.nih.gov/transcriptome/Anopheles_sialome/links/cluster-b/anopheline-sialome-cds-pep-larger-orf90-50SimCLTL5.txt", 14)</f>
        <v>14</v>
      </c>
      <c r="CN145">
        <f>HYPERLINK("http://exon.niaid.nih.gov/transcriptome/Anopheles_sialome/links/cluster-b/anopheline-sialome-cds-pep-larger-orf95-50SimCLU40.txt", 40)</f>
        <v>40</v>
      </c>
      <c r="CO145">
        <f>HYPERLINK("http://exon.niaid.nih.gov/transcriptome/Anopheles_sialome/links/cluster-b/anopheline-sialome-cds-pep-larger-orf95-50SimCLTL40.txt", 5)</f>
        <v>5</v>
      </c>
    </row>
    <row r="146" spans="1:93">
      <c r="A146" s="2" t="str">
        <f>HYPERLINK("http://exon.niaid.nih.gov/transcriptome/Anopheles_sialome/links/cds/anomer_Sal_SerPro3-cds.txt","anomer_Sal_SerPro3")</f>
        <v>anomer_Sal_SerPro3</v>
      </c>
      <c r="B146">
        <v>1200</v>
      </c>
      <c r="C146" t="s">
        <v>4</v>
      </c>
      <c r="D146" t="s">
        <v>3178</v>
      </c>
      <c r="E146" t="s">
        <v>5</v>
      </c>
      <c r="F146" t="s">
        <v>1</v>
      </c>
      <c r="G146" t="str">
        <f>HYPERLINK("http://exon.niaid.nih.gov/transcriptome/Anopheles_sialome/links/pep/anomer_Sal_SerPro3-pep.txt","anomer_Sal_SerPro3")</f>
        <v>anomer_Sal_SerPro3</v>
      </c>
      <c r="H146">
        <v>399</v>
      </c>
      <c r="I146">
        <v>2</v>
      </c>
      <c r="J146" s="3" t="str">
        <f>HYPERLINK("http://exon.niaid.nih.gov/transcriptome/Anopheles_sialome/links/Sigp/anomer_Sal_SerPro3-SigP.txt","SIG")</f>
        <v>SIG</v>
      </c>
      <c r="K146" t="s">
        <v>1182</v>
      </c>
      <c r="L146">
        <v>43.07</v>
      </c>
      <c r="M146">
        <v>6.84</v>
      </c>
      <c r="N146">
        <v>40.225000000000001</v>
      </c>
      <c r="O146">
        <v>6.97</v>
      </c>
      <c r="P146" t="s">
        <v>1668</v>
      </c>
      <c r="Q146" s="3">
        <v>0</v>
      </c>
      <c r="R146" t="s">
        <v>128</v>
      </c>
      <c r="S146" t="s">
        <v>128</v>
      </c>
      <c r="T146" t="s">
        <v>128</v>
      </c>
      <c r="U146" t="s">
        <v>128</v>
      </c>
      <c r="V146" t="s">
        <v>128</v>
      </c>
      <c r="W146" s="3" t="str">
        <f>HYPERLINK("http://exon.niaid.nih.gov/transcriptome/Anopheles_sialome/links/netoglyc/anomer_Sal_SerPro3-netoglyc.txt","0")</f>
        <v>0</v>
      </c>
      <c r="X146">
        <v>22.3</v>
      </c>
      <c r="Y146">
        <v>8.3000000000000007</v>
      </c>
      <c r="Z146">
        <v>4.3</v>
      </c>
      <c r="AA146" t="s">
        <v>654</v>
      </c>
      <c r="AB146" t="s">
        <v>128</v>
      </c>
      <c r="AC146" s="2" t="str">
        <f>HYPERLINK("http://exon.niaid.nih.gov/transcriptome/Anopheles_sialome/links/DIPTERA/anomer_Sal_SerPro3-DIPTERA.txt","AGAP011913-PA")</f>
        <v>AGAP011913-PA</v>
      </c>
      <c r="AD146" t="str">
        <f t="shared" si="93"/>
        <v>0.0</v>
      </c>
      <c r="AE146" t="str">
        <f t="shared" si="94"/>
        <v>gi|157013321</v>
      </c>
      <c r="AF146">
        <v>96</v>
      </c>
      <c r="AG146">
        <v>98</v>
      </c>
      <c r="AH146">
        <v>100</v>
      </c>
      <c r="AI146" t="s">
        <v>2285</v>
      </c>
      <c r="AJ146" s="2" t="str">
        <f>HYPERLINK("http://exon.niaid.nih.gov/transcriptome/Anopheles_sialome/links/CULICOMORPHA/anomer_Sal_SerPro3-CULICOMORPHA.txt","AGAP011913-PA")</f>
        <v>AGAP011913-PA</v>
      </c>
      <c r="AK146" t="str">
        <f t="shared" si="95"/>
        <v>0.0</v>
      </c>
      <c r="AL146" t="str">
        <f t="shared" si="96"/>
        <v>gi|157013321</v>
      </c>
      <c r="AM146">
        <v>96</v>
      </c>
      <c r="AN146">
        <v>98</v>
      </c>
      <c r="AO146">
        <v>100</v>
      </c>
      <c r="AP146" t="s">
        <v>2285</v>
      </c>
      <c r="AQ146" s="2" t="str">
        <f>HYPERLINK("http://exon.niaid.nih.gov/transcriptome/Anopheles_sialome/links/NR-LIGHT/anomer_Sal_SerPro3-NR-LIGHT.txt","AGAP011913-PA")</f>
        <v>AGAP011913-PA</v>
      </c>
      <c r="AR146" t="str">
        <f t="shared" si="97"/>
        <v>0.0</v>
      </c>
      <c r="AS146" t="str">
        <f t="shared" si="98"/>
        <v>gi|158300771</v>
      </c>
      <c r="AT146">
        <v>96</v>
      </c>
      <c r="AU146">
        <v>98</v>
      </c>
      <c r="AV146">
        <v>100</v>
      </c>
      <c r="AW146" t="s">
        <v>2285</v>
      </c>
      <c r="AX146" s="2" t="str">
        <f>HYPERLINK("http://exon.niaid.nih.gov/transcriptome/Anopheles_sialome/links/CDD/anomer_Sal_SerPro3-CDD.txt","Tryp_SPc")</f>
        <v>Tryp_SPc</v>
      </c>
      <c r="AY146" t="str">
        <f>HYPERLINK("http://www.ncbi.nlm.nih.gov/Structure/cdd/cddsrv.cgi?uid=cd00190&amp;version=v4.0","3E-047")</f>
        <v>3E-047</v>
      </c>
      <c r="AZ146" t="s">
        <v>2830</v>
      </c>
      <c r="BA146" s="2" t="str">
        <f>HYPERLINK("http://exon.niaid.nih.gov/transcriptome/Anopheles_sialome/links/KOG/anomer_Sal_SerPro3-KOG.txt","Trypsin")</f>
        <v>Trypsin</v>
      </c>
      <c r="BB146" t="str">
        <f>HYPERLINK("http://www.ncbi.nlm.nih.gov/Structure/cdd/cddsrv.cgi?uid=KOG3627","1E-040")</f>
        <v>1E-040</v>
      </c>
      <c r="BC146" t="s">
        <v>2287</v>
      </c>
      <c r="BD146" t="str">
        <f>HYPERLINK("http://exon.niaid.nih.gov/transcriptome/Anopheles_sialome/links/KOG/anomer_Sal_SerPro3-KOG.txt","KOG3627")</f>
        <v>KOG3627</v>
      </c>
      <c r="BE146" t="str">
        <f>HYPERLINK("http://exon.niaid.nih.gov/transcriptome/Anopheles_sialome/links/PFAM/anomer_Sal_SerPro3-PFAM.txt","Trypsin")</f>
        <v>Trypsin</v>
      </c>
      <c r="BF146" t="str">
        <f>HYPERLINK("http://pfam.sanger.ac.uk/family?acc=PF00089","1E-035")</f>
        <v>1E-035</v>
      </c>
      <c r="BG146" s="2" t="str">
        <f>HYPERLINK("http://exon.niaid.nih.gov/transcriptome/Anopheles_sialome/links/SMART/anomer_Sal_SerPro3-SMART.txt","Tryp_SPc")</f>
        <v>Tryp_SPc</v>
      </c>
      <c r="BH146" t="str">
        <f>HYPERLINK("http://smart.embl-heidelberg.de/smart/do_annotation.pl?DOMAIN=Tryp_SPc&amp;BLAST=DUMMY","3E-048")</f>
        <v>3E-048</v>
      </c>
      <c r="BI146" t="s">
        <v>128</v>
      </c>
      <c r="BJ146" s="2" t="s">
        <v>128</v>
      </c>
      <c r="BK146" t="s">
        <v>1667</v>
      </c>
      <c r="BL146">
        <f>HYPERLINK("http://exon.niaid.nih.gov/transcriptome/Anopheles_sialome/links/cluster-b/anopheline-sialome-cds-pep-larger-orf25-50SimCLU5.txt", 5)</f>
        <v>5</v>
      </c>
      <c r="BM146">
        <f>HYPERLINK("http://exon.niaid.nih.gov/transcriptome/Anopheles_sialome/links/cluster-b/anopheline-sialome-cds-pep-larger-orf25-50SimCLTL5.txt", 56)</f>
        <v>56</v>
      </c>
      <c r="BN146">
        <f>HYPERLINK("http://exon.niaid.nih.gov/transcriptome/Anopheles_sialome/links/cluster-b/anopheline-sialome-cds-pep-larger-orf30-50SimCLU7.txt", 7)</f>
        <v>7</v>
      </c>
      <c r="BO146">
        <f>HYPERLINK("http://exon.niaid.nih.gov/transcriptome/Anopheles_sialome/links/cluster-b/anopheline-sialome-cds-pep-larger-orf30-50SimCLTL7.txt", 40)</f>
        <v>40</v>
      </c>
      <c r="BP146">
        <f>HYPERLINK("http://exon.niaid.nih.gov/transcriptome/Anopheles_sialome/links/cluster-b/anopheline-sialome-cds-pep-larger-orf35-50SimCLU8.txt", 8)</f>
        <v>8</v>
      </c>
      <c r="BQ146">
        <f>HYPERLINK("http://exon.niaid.nih.gov/transcriptome/Anopheles_sialome/links/cluster-b/anopheline-sialome-cds-pep-larger-orf35-50SimCLTL8.txt", 40)</f>
        <v>40</v>
      </c>
      <c r="BR146">
        <f>HYPERLINK("http://exon.niaid.nih.gov/transcriptome/Anopheles_sialome/links/cluster-b/anopheline-sialome-cds-pep-larger-orf40-50SimCLU5.txt", 5)</f>
        <v>5</v>
      </c>
      <c r="BS146">
        <f>HYPERLINK("http://exon.niaid.nih.gov/transcriptome/Anopheles_sialome/links/cluster-b/anopheline-sialome-cds-pep-larger-orf40-50SimCLTL5.txt", 40)</f>
        <v>40</v>
      </c>
      <c r="BT146">
        <f>HYPERLINK("http://exon.niaid.nih.gov/transcriptome/Anopheles_sialome/links/cluster-b/anopheline-sialome-cds-pep-larger-orf45-50SimCLU4.txt", 4)</f>
        <v>4</v>
      </c>
      <c r="BU146">
        <f>HYPERLINK("http://exon.niaid.nih.gov/transcriptome/Anopheles_sialome/links/cluster-b/anopheline-sialome-cds-pep-larger-orf45-50SimCLTL4.txt", 40)</f>
        <v>40</v>
      </c>
      <c r="BV146">
        <f>HYPERLINK("http://exon.niaid.nih.gov/transcriptome/Anopheles_sialome/links/cluster-b/anopheline-sialome-cds-pep-larger-orf50-50SimCLU4.txt", 4)</f>
        <v>4</v>
      </c>
      <c r="BW146">
        <f>HYPERLINK("http://exon.niaid.nih.gov/transcriptome/Anopheles_sialome/links/cluster-b/anopheline-sialome-cds-pep-larger-orf50-50SimCLTL4.txt", 40)</f>
        <v>40</v>
      </c>
      <c r="BX146">
        <f>HYPERLINK("http://exon.niaid.nih.gov/transcriptome/Anopheles_sialome/links/cluster-b/anopheline-sialome-cds-pep-larger-orf55-50SimCLU4.txt", 4)</f>
        <v>4</v>
      </c>
      <c r="BY146">
        <f>HYPERLINK("http://exon.niaid.nih.gov/transcriptome/Anopheles_sialome/links/cluster-b/anopheline-sialome-cds-pep-larger-orf55-50SimCLTL4.txt", 40)</f>
        <v>40</v>
      </c>
      <c r="BZ146">
        <f>HYPERLINK("http://exon.niaid.nih.gov/transcriptome/Anopheles_sialome/links/cluster-b/anopheline-sialome-cds-pep-larger-orf60-50SimCLU3.txt", 3)</f>
        <v>3</v>
      </c>
      <c r="CA146">
        <f>HYPERLINK("http://exon.niaid.nih.gov/transcriptome/Anopheles_sialome/links/cluster-b/anopheline-sialome-cds-pep-larger-orf60-50SimCLTL3.txt", 40)</f>
        <v>40</v>
      </c>
      <c r="CB146">
        <f>HYPERLINK("http://exon.niaid.nih.gov/transcriptome/Anopheles_sialome/links/cluster-b/anopheline-sialome-cds-pep-larger-orf65-50SimCLU2.txt", 2)</f>
        <v>2</v>
      </c>
      <c r="CC146">
        <f>HYPERLINK("http://exon.niaid.nih.gov/transcriptome/Anopheles_sialome/links/cluster-b/anopheline-sialome-cds-pep-larger-orf65-50SimCLTL2.txt", 40)</f>
        <v>40</v>
      </c>
      <c r="CD146">
        <f>HYPERLINK("http://exon.niaid.nih.gov/transcriptome/Anopheles_sialome/links/cluster-b/anopheline-sialome-cds-pep-larger-orf70-50SimCLU6.txt", 6)</f>
        <v>6</v>
      </c>
      <c r="CE146">
        <f>HYPERLINK("http://exon.niaid.nih.gov/transcriptome/Anopheles_sialome/links/cluster-b/anopheline-sialome-cds-pep-larger-orf70-50SimCLTL6.txt", 21)</f>
        <v>21</v>
      </c>
      <c r="CF146">
        <f>HYPERLINK("http://exon.niaid.nih.gov/transcriptome/Anopheles_sialome/links/cluster-b/anopheline-sialome-cds-pep-larger-orf75-50SimCLU5.txt", 5)</f>
        <v>5</v>
      </c>
      <c r="CG146">
        <f>HYPERLINK("http://exon.niaid.nih.gov/transcriptome/Anopheles_sialome/links/cluster-b/anopheline-sialome-cds-pep-larger-orf75-50SimCLTL5.txt", 21)</f>
        <v>21</v>
      </c>
      <c r="CH146">
        <f>HYPERLINK("http://exon.niaid.nih.gov/transcriptome/Anopheles_sialome/links/cluster-b/anopheline-sialome-cds-pep-larger-orf80-50SimCLU3.txt", 3)</f>
        <v>3</v>
      </c>
      <c r="CI146">
        <f>HYPERLINK("http://exon.niaid.nih.gov/transcriptome/Anopheles_sialome/links/cluster-b/anopheline-sialome-cds-pep-larger-orf80-50SimCLTL3.txt", 21)</f>
        <v>21</v>
      </c>
      <c r="CJ146">
        <f>HYPERLINK("http://exon.niaid.nih.gov/transcriptome/Anopheles_sialome/links/cluster-b/anopheline-sialome-cds-pep-larger-orf85-50SimCLU2.txt", 2)</f>
        <v>2</v>
      </c>
      <c r="CK146">
        <f>HYPERLINK("http://exon.niaid.nih.gov/transcriptome/Anopheles_sialome/links/cluster-b/anopheline-sialome-cds-pep-larger-orf85-50SimCLTL2.txt", 21)</f>
        <v>21</v>
      </c>
      <c r="CL146">
        <f>HYPERLINK("http://exon.niaid.nih.gov/transcriptome/Anopheles_sialome/links/cluster-b/anopheline-sialome-cds-pep-larger-orf90-50SimCLU5.txt", 5)</f>
        <v>5</v>
      </c>
      <c r="CM146">
        <f>HYPERLINK("http://exon.niaid.nih.gov/transcriptome/Anopheles_sialome/links/cluster-b/anopheline-sialome-cds-pep-larger-orf90-50SimCLTL5.txt", 14)</f>
        <v>14</v>
      </c>
      <c r="CN146">
        <f>HYPERLINK("http://exon.niaid.nih.gov/transcriptome/Anopheles_sialome/links/cluster-b/anopheline-sialome-cds-pep-larger-orf95-50SimCLU40.txt", 40)</f>
        <v>40</v>
      </c>
      <c r="CO146">
        <f>HYPERLINK("http://exon.niaid.nih.gov/transcriptome/Anopheles_sialome/links/cluster-b/anopheline-sialome-cds-pep-larger-orf95-50SimCLTL40.txt", 5)</f>
        <v>5</v>
      </c>
    </row>
    <row r="147" spans="1:93">
      <c r="A147" s="2" t="str">
        <f>HYPERLINK("http://exon.niaid.nih.gov/transcriptome/Anopheles_sialome/links/cds/anochris_Sal_SerPro3-cds.txt","anochris_Sal_SerPro3")</f>
        <v>anochris_Sal_SerPro3</v>
      </c>
      <c r="B147">
        <v>1191</v>
      </c>
      <c r="C147" t="s">
        <v>393</v>
      </c>
      <c r="D147" t="s">
        <v>4</v>
      </c>
      <c r="E147" t="s">
        <v>5</v>
      </c>
      <c r="F147" t="s">
        <v>1</v>
      </c>
      <c r="G147" t="str">
        <f>HYPERLINK("http://exon.niaid.nih.gov/transcriptome/Anopheles_sialome/links/pep/anochris_Sal_SerPro3-pep.txt","anochris_Sal_SerPro3")</f>
        <v>anochris_Sal_SerPro3</v>
      </c>
      <c r="H147">
        <v>396</v>
      </c>
      <c r="I147">
        <v>2</v>
      </c>
      <c r="J147" s="3" t="str">
        <f>HYPERLINK("http://exon.niaid.nih.gov/transcriptome/Anopheles_sialome/links/Sigp/anochris_Sal_SerPro3-SigP.txt","SIG")</f>
        <v>SIG</v>
      </c>
      <c r="K147" t="s">
        <v>708</v>
      </c>
      <c r="L147">
        <v>42.625999999999998</v>
      </c>
      <c r="M147">
        <v>7.82</v>
      </c>
      <c r="N147">
        <v>40.335999999999999</v>
      </c>
      <c r="O147">
        <v>7.52</v>
      </c>
      <c r="P147" t="s">
        <v>1670</v>
      </c>
      <c r="Q147" s="3" t="str">
        <f>HYPERLINK("http://exon.niaid.nih.gov/transcriptome/Anopheles_sialome/links/tmhmm/anochris_Sal_SerPro3-tmhmm.txt","1")</f>
        <v>1</v>
      </c>
      <c r="R147">
        <v>5.6</v>
      </c>
      <c r="S147">
        <v>93.2</v>
      </c>
      <c r="T147">
        <v>1.3</v>
      </c>
      <c r="U147" t="s">
        <v>128</v>
      </c>
      <c r="V147">
        <v>369</v>
      </c>
      <c r="W147" s="3" t="str">
        <f>HYPERLINK("http://exon.niaid.nih.gov/transcriptome/Anopheles_sialome/links/netoglyc/anochris_Sal_SerPro3-netoglyc.txt","1")</f>
        <v>1</v>
      </c>
      <c r="X147">
        <v>21.7</v>
      </c>
      <c r="Y147">
        <v>8.3000000000000007</v>
      </c>
      <c r="Z147">
        <v>4.8</v>
      </c>
      <c r="AA147" t="s">
        <v>654</v>
      </c>
      <c r="AB147" t="s">
        <v>128</v>
      </c>
      <c r="AC147" s="2" t="str">
        <f>HYPERLINK("http://exon.niaid.nih.gov/transcriptome/Anopheles_sialome/links/DIPTERA/anochris_Sal_SerPro3-DIPTERA.txt","AGAP011913-PA")</f>
        <v>AGAP011913-PA</v>
      </c>
      <c r="AD147" t="str">
        <f t="shared" si="93"/>
        <v>0.0</v>
      </c>
      <c r="AE147" t="str">
        <f t="shared" si="94"/>
        <v>gi|157013321</v>
      </c>
      <c r="AF147">
        <v>86</v>
      </c>
      <c r="AG147">
        <v>91</v>
      </c>
      <c r="AH147">
        <v>100</v>
      </c>
      <c r="AI147" t="s">
        <v>2285</v>
      </c>
      <c r="AJ147" s="2" t="str">
        <f>HYPERLINK("http://exon.niaid.nih.gov/transcriptome/Anopheles_sialome/links/CULICOMORPHA/anochris_Sal_SerPro3-CULICOMORPHA.txt","AGAP011913-PA")</f>
        <v>AGAP011913-PA</v>
      </c>
      <c r="AK147" t="str">
        <f t="shared" si="95"/>
        <v>0.0</v>
      </c>
      <c r="AL147" t="str">
        <f t="shared" si="96"/>
        <v>gi|157013321</v>
      </c>
      <c r="AM147">
        <v>86</v>
      </c>
      <c r="AN147">
        <v>91</v>
      </c>
      <c r="AO147">
        <v>100</v>
      </c>
      <c r="AP147" t="s">
        <v>2285</v>
      </c>
      <c r="AQ147" s="2" t="str">
        <f>HYPERLINK("http://exon.niaid.nih.gov/transcriptome/Anopheles_sialome/links/NR-LIGHT/anochris_Sal_SerPro3-NR-LIGHT.txt","AGAP011913-PA")</f>
        <v>AGAP011913-PA</v>
      </c>
      <c r="AR147" t="str">
        <f t="shared" si="97"/>
        <v>0.0</v>
      </c>
      <c r="AS147" t="str">
        <f t="shared" si="98"/>
        <v>gi|158300771</v>
      </c>
      <c r="AT147">
        <v>86</v>
      </c>
      <c r="AU147">
        <v>91</v>
      </c>
      <c r="AV147">
        <v>100</v>
      </c>
      <c r="AW147" t="s">
        <v>2285</v>
      </c>
      <c r="AX147" s="2" t="str">
        <f>HYPERLINK("http://exon.niaid.nih.gov/transcriptome/Anopheles_sialome/links/CDD/anochris_Sal_SerPro3-CDD.txt","Tryp_SPc")</f>
        <v>Tryp_SPc</v>
      </c>
      <c r="AY147" t="str">
        <f>HYPERLINK("http://www.ncbi.nlm.nih.gov/Structure/cdd/cddsrv.cgi?uid=cd00190&amp;version=v4.0","5E-047")</f>
        <v>5E-047</v>
      </c>
      <c r="AZ147" t="s">
        <v>2831</v>
      </c>
      <c r="BA147" s="2" t="str">
        <f>HYPERLINK("http://exon.niaid.nih.gov/transcriptome/Anopheles_sialome/links/KOG/anochris_Sal_SerPro3-KOG.txt","Trypsin")</f>
        <v>Trypsin</v>
      </c>
      <c r="BB147" t="str">
        <f>HYPERLINK("http://www.ncbi.nlm.nih.gov/Structure/cdd/cddsrv.cgi?uid=KOG3627","1E-040")</f>
        <v>1E-040</v>
      </c>
      <c r="BC147" t="s">
        <v>2287</v>
      </c>
      <c r="BD147" t="str">
        <f>HYPERLINK("http://exon.niaid.nih.gov/transcriptome/Anopheles_sialome/links/KOG/anochris_Sal_SerPro3-KOG.txt","KOG3627")</f>
        <v>KOG3627</v>
      </c>
      <c r="BE147" t="str">
        <f>HYPERLINK("http://exon.niaid.nih.gov/transcriptome/Anopheles_sialome/links/PFAM/anochris_Sal_SerPro3-PFAM.txt","Trypsin")</f>
        <v>Trypsin</v>
      </c>
      <c r="BF147" t="str">
        <f>HYPERLINK("http://pfam.sanger.ac.uk/family?acc=PF00089","7E-036")</f>
        <v>7E-036</v>
      </c>
      <c r="BG147" s="2" t="str">
        <f>HYPERLINK("http://exon.niaid.nih.gov/transcriptome/Anopheles_sialome/links/SMART/anochris_Sal_SerPro3-SMART.txt","Tryp_SPc")</f>
        <v>Tryp_SPc</v>
      </c>
      <c r="BH147" t="str">
        <f>HYPERLINK("http://smart.embl-heidelberg.de/smart/do_annotation.pl?DOMAIN=Tryp_SPc&amp;BLAST=DUMMY","1E-048")</f>
        <v>1E-048</v>
      </c>
      <c r="BI147" t="s">
        <v>128</v>
      </c>
      <c r="BJ147" s="2" t="s">
        <v>128</v>
      </c>
      <c r="BK147" t="s">
        <v>1669</v>
      </c>
      <c r="BL147">
        <f>HYPERLINK("http://exon.niaid.nih.gov/transcriptome/Anopheles_sialome/links/cluster-b/anopheline-sialome-cds-pep-larger-orf25-50SimCLU5.txt", 5)</f>
        <v>5</v>
      </c>
      <c r="BM147">
        <f>HYPERLINK("http://exon.niaid.nih.gov/transcriptome/Anopheles_sialome/links/cluster-b/anopheline-sialome-cds-pep-larger-orf25-50SimCLTL5.txt", 56)</f>
        <v>56</v>
      </c>
      <c r="BN147">
        <f>HYPERLINK("http://exon.niaid.nih.gov/transcriptome/Anopheles_sialome/links/cluster-b/anopheline-sialome-cds-pep-larger-orf30-50SimCLU7.txt", 7)</f>
        <v>7</v>
      </c>
      <c r="BO147">
        <f>HYPERLINK("http://exon.niaid.nih.gov/transcriptome/Anopheles_sialome/links/cluster-b/anopheline-sialome-cds-pep-larger-orf30-50SimCLTL7.txt", 40)</f>
        <v>40</v>
      </c>
      <c r="BP147">
        <f>HYPERLINK("http://exon.niaid.nih.gov/transcriptome/Anopheles_sialome/links/cluster-b/anopheline-sialome-cds-pep-larger-orf35-50SimCLU8.txt", 8)</f>
        <v>8</v>
      </c>
      <c r="BQ147">
        <f>HYPERLINK("http://exon.niaid.nih.gov/transcriptome/Anopheles_sialome/links/cluster-b/anopheline-sialome-cds-pep-larger-orf35-50SimCLTL8.txt", 40)</f>
        <v>40</v>
      </c>
      <c r="BR147">
        <f>HYPERLINK("http://exon.niaid.nih.gov/transcriptome/Anopheles_sialome/links/cluster-b/anopheline-sialome-cds-pep-larger-orf40-50SimCLU5.txt", 5)</f>
        <v>5</v>
      </c>
      <c r="BS147">
        <f>HYPERLINK("http://exon.niaid.nih.gov/transcriptome/Anopheles_sialome/links/cluster-b/anopheline-sialome-cds-pep-larger-orf40-50SimCLTL5.txt", 40)</f>
        <v>40</v>
      </c>
      <c r="BT147">
        <f>HYPERLINK("http://exon.niaid.nih.gov/transcriptome/Anopheles_sialome/links/cluster-b/anopheline-sialome-cds-pep-larger-orf45-50SimCLU4.txt", 4)</f>
        <v>4</v>
      </c>
      <c r="BU147">
        <f>HYPERLINK("http://exon.niaid.nih.gov/transcriptome/Anopheles_sialome/links/cluster-b/anopheline-sialome-cds-pep-larger-orf45-50SimCLTL4.txt", 40)</f>
        <v>40</v>
      </c>
      <c r="BV147">
        <f>HYPERLINK("http://exon.niaid.nih.gov/transcriptome/Anopheles_sialome/links/cluster-b/anopheline-sialome-cds-pep-larger-orf50-50SimCLU4.txt", 4)</f>
        <v>4</v>
      </c>
      <c r="BW147">
        <f>HYPERLINK("http://exon.niaid.nih.gov/transcriptome/Anopheles_sialome/links/cluster-b/anopheline-sialome-cds-pep-larger-orf50-50SimCLTL4.txt", 40)</f>
        <v>40</v>
      </c>
      <c r="BX147">
        <f>HYPERLINK("http://exon.niaid.nih.gov/transcriptome/Anopheles_sialome/links/cluster-b/anopheline-sialome-cds-pep-larger-orf55-50SimCLU4.txt", 4)</f>
        <v>4</v>
      </c>
      <c r="BY147">
        <f>HYPERLINK("http://exon.niaid.nih.gov/transcriptome/Anopheles_sialome/links/cluster-b/anopheline-sialome-cds-pep-larger-orf55-50SimCLTL4.txt", 40)</f>
        <v>40</v>
      </c>
      <c r="BZ147">
        <f>HYPERLINK("http://exon.niaid.nih.gov/transcriptome/Anopheles_sialome/links/cluster-b/anopheline-sialome-cds-pep-larger-orf60-50SimCLU3.txt", 3)</f>
        <v>3</v>
      </c>
      <c r="CA147">
        <f>HYPERLINK("http://exon.niaid.nih.gov/transcriptome/Anopheles_sialome/links/cluster-b/anopheline-sialome-cds-pep-larger-orf60-50SimCLTL3.txt", 40)</f>
        <v>40</v>
      </c>
      <c r="CB147">
        <f>HYPERLINK("http://exon.niaid.nih.gov/transcriptome/Anopheles_sialome/links/cluster-b/anopheline-sialome-cds-pep-larger-orf65-50SimCLU2.txt", 2)</f>
        <v>2</v>
      </c>
      <c r="CC147">
        <f>HYPERLINK("http://exon.niaid.nih.gov/transcriptome/Anopheles_sialome/links/cluster-b/anopheline-sialome-cds-pep-larger-orf65-50SimCLTL2.txt", 40)</f>
        <v>40</v>
      </c>
      <c r="CD147">
        <f>HYPERLINK("http://exon.niaid.nih.gov/transcriptome/Anopheles_sialome/links/cluster-b/anopheline-sialome-cds-pep-larger-orf70-50SimCLU6.txt", 6)</f>
        <v>6</v>
      </c>
      <c r="CE147">
        <f>HYPERLINK("http://exon.niaid.nih.gov/transcriptome/Anopheles_sialome/links/cluster-b/anopheline-sialome-cds-pep-larger-orf70-50SimCLTL6.txt", 21)</f>
        <v>21</v>
      </c>
      <c r="CF147">
        <f>HYPERLINK("http://exon.niaid.nih.gov/transcriptome/Anopheles_sialome/links/cluster-b/anopheline-sialome-cds-pep-larger-orf75-50SimCLU5.txt", 5)</f>
        <v>5</v>
      </c>
      <c r="CG147">
        <f>HYPERLINK("http://exon.niaid.nih.gov/transcriptome/Anopheles_sialome/links/cluster-b/anopheline-sialome-cds-pep-larger-orf75-50SimCLTL5.txt", 21)</f>
        <v>21</v>
      </c>
      <c r="CH147">
        <f>HYPERLINK("http://exon.niaid.nih.gov/transcriptome/Anopheles_sialome/links/cluster-b/anopheline-sialome-cds-pep-larger-orf80-50SimCLU3.txt", 3)</f>
        <v>3</v>
      </c>
      <c r="CI147">
        <f>HYPERLINK("http://exon.niaid.nih.gov/transcriptome/Anopheles_sialome/links/cluster-b/anopheline-sialome-cds-pep-larger-orf80-50SimCLTL3.txt", 21)</f>
        <v>21</v>
      </c>
      <c r="CJ147">
        <f>HYPERLINK("http://exon.niaid.nih.gov/transcriptome/Anopheles_sialome/links/cluster-b/anopheline-sialome-cds-pep-larger-orf85-50SimCLU2.txt", 2)</f>
        <v>2</v>
      </c>
      <c r="CK147">
        <f>HYPERLINK("http://exon.niaid.nih.gov/transcriptome/Anopheles_sialome/links/cluster-b/anopheline-sialome-cds-pep-larger-orf85-50SimCLTL2.txt", 21)</f>
        <v>21</v>
      </c>
      <c r="CL147">
        <f>HYPERLINK("http://exon.niaid.nih.gov/transcriptome/Anopheles_sialome/links/cluster-b/anopheline-sialome-cds-pep-larger-orf90-50SimCLU5.txt", 5)</f>
        <v>5</v>
      </c>
      <c r="CM147">
        <f>HYPERLINK("http://exon.niaid.nih.gov/transcriptome/Anopheles_sialome/links/cluster-b/anopheline-sialome-cds-pep-larger-orf90-50SimCLTL5.txt", 14)</f>
        <v>14</v>
      </c>
      <c r="CN147">
        <v>366</v>
      </c>
      <c r="CO147">
        <v>1</v>
      </c>
    </row>
    <row r="148" spans="1:93">
      <c r="A148" s="2" t="str">
        <f>HYPERLINK("http://exon.niaid.nih.gov/transcriptome/Anopheles_sialome/links/cds/anoepi_Sal_SerPro3-cds.txt","anoepi_Sal_SerPro3")</f>
        <v>anoepi_Sal_SerPro3</v>
      </c>
      <c r="B148">
        <v>1191</v>
      </c>
      <c r="C148" t="s">
        <v>394</v>
      </c>
      <c r="D148" t="s">
        <v>4</v>
      </c>
      <c r="E148" t="s">
        <v>5</v>
      </c>
      <c r="F148" t="s">
        <v>1</v>
      </c>
      <c r="G148" t="str">
        <f>HYPERLINK("http://exon.niaid.nih.gov/transcriptome/Anopheles_sialome/links/pep/anoepi_Sal_SerPro3-pep.txt","anoepi_Sal_SerPro3")</f>
        <v>anoepi_Sal_SerPro3</v>
      </c>
      <c r="H148">
        <v>396</v>
      </c>
      <c r="I148">
        <v>1</v>
      </c>
      <c r="J148" s="3" t="str">
        <f>HYPERLINK("http://exon.niaid.nih.gov/transcriptome/Anopheles_sialome/links/Sigp/anoepi_Sal_SerPro3-SigP.txt","SIG")</f>
        <v>SIG</v>
      </c>
      <c r="K148" t="s">
        <v>708</v>
      </c>
      <c r="L148">
        <v>43.051000000000002</v>
      </c>
      <c r="M148">
        <v>8.5399999999999991</v>
      </c>
      <c r="N148">
        <v>40.645000000000003</v>
      </c>
      <c r="O148">
        <v>8.3000000000000007</v>
      </c>
      <c r="P148" t="s">
        <v>1672</v>
      </c>
      <c r="Q148" s="3">
        <v>0</v>
      </c>
      <c r="R148" t="s">
        <v>128</v>
      </c>
      <c r="S148" t="s">
        <v>128</v>
      </c>
      <c r="T148" t="s">
        <v>128</v>
      </c>
      <c r="U148" t="s">
        <v>128</v>
      </c>
      <c r="V148" t="s">
        <v>128</v>
      </c>
      <c r="W148" s="3" t="str">
        <f>HYPERLINK("http://exon.niaid.nih.gov/transcriptome/Anopheles_sialome/links/netoglyc/anoepi_Sal_SerPro3-netoglyc.txt","0")</f>
        <v>0</v>
      </c>
      <c r="X148">
        <v>19.2</v>
      </c>
      <c r="Y148">
        <v>8.6</v>
      </c>
      <c r="Z148">
        <v>4.3</v>
      </c>
      <c r="AA148" t="s">
        <v>654</v>
      </c>
      <c r="AB148" t="s">
        <v>128</v>
      </c>
      <c r="AC148" s="2" t="str">
        <f>HYPERLINK("http://exon.niaid.nih.gov/transcriptome/Anopheles_sialome/links/DIPTERA/anoepi_Sal_SerPro3-DIPTERA.txt","AGAP011914-PA")</f>
        <v>AGAP011914-PA</v>
      </c>
      <c r="AD148" t="str">
        <f>HYPERLINK("http://www.ncbi.nlm.nih.gov/sutils/blink.cgi?pid=157013320","0.0")</f>
        <v>0.0</v>
      </c>
      <c r="AE148" t="str">
        <f>HYPERLINK("http://www.ncbi.nlm.nih.gov/protein/157013320","gi|157013320")</f>
        <v>gi|157013320</v>
      </c>
      <c r="AF148">
        <v>77</v>
      </c>
      <c r="AG148">
        <v>85</v>
      </c>
      <c r="AH148">
        <v>100</v>
      </c>
      <c r="AI148" t="s">
        <v>2285</v>
      </c>
      <c r="AJ148" s="2" t="str">
        <f>HYPERLINK("http://exon.niaid.nih.gov/transcriptome/Anopheles_sialome/links/CULICOMORPHA/anoepi_Sal_SerPro3-CULICOMORPHA.txt","AGAP011914-PA")</f>
        <v>AGAP011914-PA</v>
      </c>
      <c r="AK148" t="str">
        <f>HYPERLINK("http://www.ncbi.nlm.nih.gov/sutils/blink.cgi?pid=157013320","0.0")</f>
        <v>0.0</v>
      </c>
      <c r="AL148" t="str">
        <f>HYPERLINK("http://www.ncbi.nlm.nih.gov/protein/157013320","gi|157013320")</f>
        <v>gi|157013320</v>
      </c>
      <c r="AM148">
        <v>77</v>
      </c>
      <c r="AN148">
        <v>85</v>
      </c>
      <c r="AO148">
        <v>100</v>
      </c>
      <c r="AP148" t="s">
        <v>2285</v>
      </c>
      <c r="AQ148" s="2" t="str">
        <f>HYPERLINK("http://exon.niaid.nih.gov/transcriptome/Anopheles_sialome/links/NR-LIGHT/anoepi_Sal_SerPro3-NR-LIGHT.txt","AGAP011914-PA")</f>
        <v>AGAP011914-PA</v>
      </c>
      <c r="AR148" t="str">
        <f>HYPERLINK("http://www.ncbi.nlm.nih.gov/sutils/blink.cgi?pid=158300769","0.0")</f>
        <v>0.0</v>
      </c>
      <c r="AS148" t="str">
        <f>HYPERLINK("http://www.ncbi.nlm.nih.gov/protein/158300769","gi|158300769")</f>
        <v>gi|158300769</v>
      </c>
      <c r="AT148">
        <v>77</v>
      </c>
      <c r="AU148">
        <v>85</v>
      </c>
      <c r="AV148">
        <v>100</v>
      </c>
      <c r="AW148" t="s">
        <v>2285</v>
      </c>
      <c r="AX148" s="2" t="str">
        <f>HYPERLINK("http://exon.niaid.nih.gov/transcriptome/Anopheles_sialome/links/CDD/anoepi_Sal_SerPro3-CDD.txt","Tryp_SPc")</f>
        <v>Tryp_SPc</v>
      </c>
      <c r="AY148" t="str">
        <f>HYPERLINK("http://www.ncbi.nlm.nih.gov/Structure/cdd/cddsrv.cgi?uid=cd00190&amp;version=v4.0","2E-049")</f>
        <v>2E-049</v>
      </c>
      <c r="AZ148" t="s">
        <v>2832</v>
      </c>
      <c r="BA148" s="2" t="str">
        <f>HYPERLINK("http://exon.niaid.nih.gov/transcriptome/Anopheles_sialome/links/KOG/anoepi_Sal_SerPro3-KOG.txt","Trypsin")</f>
        <v>Trypsin</v>
      </c>
      <c r="BB148" t="str">
        <f>HYPERLINK("http://www.ncbi.nlm.nih.gov/Structure/cdd/cddsrv.cgi?uid=KOG3627","4E-042")</f>
        <v>4E-042</v>
      </c>
      <c r="BC148" t="s">
        <v>2287</v>
      </c>
      <c r="BD148" t="str">
        <f>HYPERLINK("http://exon.niaid.nih.gov/transcriptome/Anopheles_sialome/links/KOG/anoepi_Sal_SerPro3-KOG.txt","KOG3627")</f>
        <v>KOG3627</v>
      </c>
      <c r="BE148" t="str">
        <f>HYPERLINK("http://exon.niaid.nih.gov/transcriptome/Anopheles_sialome/links/PFAM/anoepi_Sal_SerPro3-PFAM.txt","Trypsin")</f>
        <v>Trypsin</v>
      </c>
      <c r="BF148" t="str">
        <f>HYPERLINK("http://pfam.sanger.ac.uk/family?acc=PF00089","2E-040")</f>
        <v>2E-040</v>
      </c>
      <c r="BG148" s="2" t="str">
        <f>HYPERLINK("http://exon.niaid.nih.gov/transcriptome/Anopheles_sialome/links/SMART/anoepi_Sal_SerPro3-SMART.txt","Tryp_SPc")</f>
        <v>Tryp_SPc</v>
      </c>
      <c r="BH148" t="str">
        <f>HYPERLINK("http://smart.embl-heidelberg.de/smart/do_annotation.pl?DOMAIN=Tryp_SPc&amp;BLAST=DUMMY","7E-051")</f>
        <v>7E-051</v>
      </c>
      <c r="BI148" t="s">
        <v>128</v>
      </c>
      <c r="BJ148" s="2" t="s">
        <v>128</v>
      </c>
      <c r="BK148" t="s">
        <v>1671</v>
      </c>
      <c r="BL148">
        <f>HYPERLINK("http://exon.niaid.nih.gov/transcriptome/Anopheles_sialome/links/cluster-b/anopheline-sialome-cds-pep-larger-orf25-50SimCLU5.txt", 5)</f>
        <v>5</v>
      </c>
      <c r="BM148">
        <f>HYPERLINK("http://exon.niaid.nih.gov/transcriptome/Anopheles_sialome/links/cluster-b/anopheline-sialome-cds-pep-larger-orf25-50SimCLTL5.txt", 56)</f>
        <v>56</v>
      </c>
      <c r="BN148">
        <f>HYPERLINK("http://exon.niaid.nih.gov/transcriptome/Anopheles_sialome/links/cluster-b/anopheline-sialome-cds-pep-larger-orf30-50SimCLU7.txt", 7)</f>
        <v>7</v>
      </c>
      <c r="BO148">
        <f>HYPERLINK("http://exon.niaid.nih.gov/transcriptome/Anopheles_sialome/links/cluster-b/anopheline-sialome-cds-pep-larger-orf30-50SimCLTL7.txt", 40)</f>
        <v>40</v>
      </c>
      <c r="BP148">
        <f>HYPERLINK("http://exon.niaid.nih.gov/transcriptome/Anopheles_sialome/links/cluster-b/anopheline-sialome-cds-pep-larger-orf35-50SimCLU8.txt", 8)</f>
        <v>8</v>
      </c>
      <c r="BQ148">
        <f>HYPERLINK("http://exon.niaid.nih.gov/transcriptome/Anopheles_sialome/links/cluster-b/anopheline-sialome-cds-pep-larger-orf35-50SimCLTL8.txt", 40)</f>
        <v>40</v>
      </c>
      <c r="BR148">
        <f>HYPERLINK("http://exon.niaid.nih.gov/transcriptome/Anopheles_sialome/links/cluster-b/anopheline-sialome-cds-pep-larger-orf40-50SimCLU5.txt", 5)</f>
        <v>5</v>
      </c>
      <c r="BS148">
        <f>HYPERLINK("http://exon.niaid.nih.gov/transcriptome/Anopheles_sialome/links/cluster-b/anopheline-sialome-cds-pep-larger-orf40-50SimCLTL5.txt", 40)</f>
        <v>40</v>
      </c>
      <c r="BT148">
        <f>HYPERLINK("http://exon.niaid.nih.gov/transcriptome/Anopheles_sialome/links/cluster-b/anopheline-sialome-cds-pep-larger-orf45-50SimCLU4.txt", 4)</f>
        <v>4</v>
      </c>
      <c r="BU148">
        <f>HYPERLINK("http://exon.niaid.nih.gov/transcriptome/Anopheles_sialome/links/cluster-b/anopheline-sialome-cds-pep-larger-orf45-50SimCLTL4.txt", 40)</f>
        <v>40</v>
      </c>
      <c r="BV148">
        <f>HYPERLINK("http://exon.niaid.nih.gov/transcriptome/Anopheles_sialome/links/cluster-b/anopheline-sialome-cds-pep-larger-orf50-50SimCLU4.txt", 4)</f>
        <v>4</v>
      </c>
      <c r="BW148">
        <f>HYPERLINK("http://exon.niaid.nih.gov/transcriptome/Anopheles_sialome/links/cluster-b/anopheline-sialome-cds-pep-larger-orf50-50SimCLTL4.txt", 40)</f>
        <v>40</v>
      </c>
      <c r="BX148">
        <f>HYPERLINK("http://exon.niaid.nih.gov/transcriptome/Anopheles_sialome/links/cluster-b/anopheline-sialome-cds-pep-larger-orf55-50SimCLU4.txt", 4)</f>
        <v>4</v>
      </c>
      <c r="BY148">
        <f>HYPERLINK("http://exon.niaid.nih.gov/transcriptome/Anopheles_sialome/links/cluster-b/anopheline-sialome-cds-pep-larger-orf55-50SimCLTL4.txt", 40)</f>
        <v>40</v>
      </c>
      <c r="BZ148">
        <f>HYPERLINK("http://exon.niaid.nih.gov/transcriptome/Anopheles_sialome/links/cluster-b/anopheline-sialome-cds-pep-larger-orf60-50SimCLU3.txt", 3)</f>
        <v>3</v>
      </c>
      <c r="CA148">
        <f>HYPERLINK("http://exon.niaid.nih.gov/transcriptome/Anopheles_sialome/links/cluster-b/anopheline-sialome-cds-pep-larger-orf60-50SimCLTL3.txt", 40)</f>
        <v>40</v>
      </c>
      <c r="CB148">
        <f>HYPERLINK("http://exon.niaid.nih.gov/transcriptome/Anopheles_sialome/links/cluster-b/anopheline-sialome-cds-pep-larger-orf65-50SimCLU2.txt", 2)</f>
        <v>2</v>
      </c>
      <c r="CC148">
        <f>HYPERLINK("http://exon.niaid.nih.gov/transcriptome/Anopheles_sialome/links/cluster-b/anopheline-sialome-cds-pep-larger-orf65-50SimCLTL2.txt", 40)</f>
        <v>40</v>
      </c>
      <c r="CD148">
        <f>HYPERLINK("http://exon.niaid.nih.gov/transcriptome/Anopheles_sialome/links/cluster-b/anopheline-sialome-cds-pep-larger-orf70-50SimCLU6.txt", 6)</f>
        <v>6</v>
      </c>
      <c r="CE148">
        <f>HYPERLINK("http://exon.niaid.nih.gov/transcriptome/Anopheles_sialome/links/cluster-b/anopheline-sialome-cds-pep-larger-orf70-50SimCLTL6.txt", 21)</f>
        <v>21</v>
      </c>
      <c r="CF148">
        <f>HYPERLINK("http://exon.niaid.nih.gov/transcriptome/Anopheles_sialome/links/cluster-b/anopheline-sialome-cds-pep-larger-orf75-50SimCLU5.txt", 5)</f>
        <v>5</v>
      </c>
      <c r="CG148">
        <f>HYPERLINK("http://exon.niaid.nih.gov/transcriptome/Anopheles_sialome/links/cluster-b/anopheline-sialome-cds-pep-larger-orf75-50SimCLTL5.txt", 21)</f>
        <v>21</v>
      </c>
      <c r="CH148">
        <f>HYPERLINK("http://exon.niaid.nih.gov/transcriptome/Anopheles_sialome/links/cluster-b/anopheline-sialome-cds-pep-larger-orf80-50SimCLU3.txt", 3)</f>
        <v>3</v>
      </c>
      <c r="CI148">
        <f>HYPERLINK("http://exon.niaid.nih.gov/transcriptome/Anopheles_sialome/links/cluster-b/anopheline-sialome-cds-pep-larger-orf80-50SimCLTL3.txt", 21)</f>
        <v>21</v>
      </c>
      <c r="CJ148">
        <f>HYPERLINK("http://exon.niaid.nih.gov/transcriptome/Anopheles_sialome/links/cluster-b/anopheline-sialome-cds-pep-larger-orf85-50SimCLU2.txt", 2)</f>
        <v>2</v>
      </c>
      <c r="CK148">
        <f>HYPERLINK("http://exon.niaid.nih.gov/transcriptome/Anopheles_sialome/links/cluster-b/anopheline-sialome-cds-pep-larger-orf85-50SimCLTL2.txt", 21)</f>
        <v>21</v>
      </c>
      <c r="CL148">
        <v>304</v>
      </c>
      <c r="CM148">
        <v>1</v>
      </c>
      <c r="CN148">
        <v>367</v>
      </c>
      <c r="CO148">
        <v>1</v>
      </c>
    </row>
    <row r="149" spans="1:93">
      <c r="A149" s="2" t="str">
        <f>HYPERLINK("http://exon.niaid.nih.gov/transcriptome/Anopheles_sialome/links/cds/anofun_Sal_SerPro3-cds.txt","anofun_Sal_SerPro3")</f>
        <v>anofun_Sal_SerPro3</v>
      </c>
      <c r="B149">
        <v>1191</v>
      </c>
      <c r="C149" t="s">
        <v>395</v>
      </c>
      <c r="D149" t="s">
        <v>4</v>
      </c>
      <c r="E149" t="s">
        <v>5</v>
      </c>
      <c r="F149" t="s">
        <v>1</v>
      </c>
      <c r="G149" t="str">
        <f>HYPERLINK("http://exon.niaid.nih.gov/transcriptome/Anopheles_sialome/links/pep/anofun_Sal_SerPro3-pep.txt","anofun_Sal_SerPro3")</f>
        <v>anofun_Sal_SerPro3</v>
      </c>
      <c r="H149">
        <v>396</v>
      </c>
      <c r="I149">
        <v>1</v>
      </c>
      <c r="J149" s="3" t="str">
        <f>HYPERLINK("http://exon.niaid.nih.gov/transcriptome/Anopheles_sialome/links/Sigp/anofun_Sal_SerPro3-SigP.txt","SIG")</f>
        <v>SIG</v>
      </c>
      <c r="K149" t="s">
        <v>708</v>
      </c>
      <c r="L149">
        <v>42.792000000000002</v>
      </c>
      <c r="M149">
        <v>7.39</v>
      </c>
      <c r="N149">
        <v>40.277999999999999</v>
      </c>
      <c r="O149">
        <v>7.52</v>
      </c>
      <c r="P149" t="s">
        <v>1674</v>
      </c>
      <c r="Q149" s="3">
        <v>0</v>
      </c>
      <c r="R149" t="s">
        <v>128</v>
      </c>
      <c r="S149" t="s">
        <v>128</v>
      </c>
      <c r="T149" t="s">
        <v>128</v>
      </c>
      <c r="U149" t="s">
        <v>128</v>
      </c>
      <c r="V149" t="s">
        <v>128</v>
      </c>
      <c r="W149" s="3" t="str">
        <f>HYPERLINK("http://exon.niaid.nih.gov/transcriptome/Anopheles_sialome/links/netoglyc/anofun_Sal_SerPro3-netoglyc.txt","0")</f>
        <v>0</v>
      </c>
      <c r="X149">
        <v>22.2</v>
      </c>
      <c r="Y149">
        <v>6.8</v>
      </c>
      <c r="Z149">
        <v>5.0999999999999996</v>
      </c>
      <c r="AA149" t="s">
        <v>654</v>
      </c>
      <c r="AB149" t="s">
        <v>128</v>
      </c>
      <c r="AC149" s="2" t="str">
        <f>HYPERLINK("http://exon.niaid.nih.gov/transcriptome/Anopheles_sialome/links/DIPTERA/anofun_Sal_SerPro3-DIPTERA.txt","AGAP011913-PA")</f>
        <v>AGAP011913-PA</v>
      </c>
      <c r="AD149" t="str">
        <f>HYPERLINK("http://www.ncbi.nlm.nih.gov/sutils/blink.cgi?pid=157013321","0.0")</f>
        <v>0.0</v>
      </c>
      <c r="AE149" t="str">
        <f t="shared" ref="AE149:AE154" si="99">HYPERLINK("http://www.ncbi.nlm.nih.gov/protein/157013321","gi|157013321")</f>
        <v>gi|157013321</v>
      </c>
      <c r="AF149">
        <v>77</v>
      </c>
      <c r="AG149">
        <v>87</v>
      </c>
      <c r="AH149">
        <v>100</v>
      </c>
      <c r="AI149" t="s">
        <v>2285</v>
      </c>
      <c r="AJ149" s="2" t="str">
        <f>HYPERLINK("http://exon.niaid.nih.gov/transcriptome/Anopheles_sialome/links/CULICOMORPHA/anofun_Sal_SerPro3-CULICOMORPHA.txt","AGAP011913-PA")</f>
        <v>AGAP011913-PA</v>
      </c>
      <c r="AK149" t="str">
        <f>HYPERLINK("http://www.ncbi.nlm.nih.gov/sutils/blink.cgi?pid=157013321","0.0")</f>
        <v>0.0</v>
      </c>
      <c r="AL149" t="str">
        <f t="shared" ref="AL149:AL154" si="100">HYPERLINK("http://www.ncbi.nlm.nih.gov/protein/157013321","gi|157013321")</f>
        <v>gi|157013321</v>
      </c>
      <c r="AM149">
        <v>77</v>
      </c>
      <c r="AN149">
        <v>87</v>
      </c>
      <c r="AO149">
        <v>100</v>
      </c>
      <c r="AP149" t="s">
        <v>2285</v>
      </c>
      <c r="AQ149" s="2" t="str">
        <f>HYPERLINK("http://exon.niaid.nih.gov/transcriptome/Anopheles_sialome/links/NR-LIGHT/anofun_Sal_SerPro3-NR-LIGHT.txt","AGAP011913-PA")</f>
        <v>AGAP011913-PA</v>
      </c>
      <c r="AR149" t="str">
        <f>HYPERLINK("http://www.ncbi.nlm.nih.gov/sutils/blink.cgi?pid=158300771","0.0")</f>
        <v>0.0</v>
      </c>
      <c r="AS149" t="str">
        <f t="shared" ref="AS149:AS154" si="101">HYPERLINK("http://www.ncbi.nlm.nih.gov/protein/158300771","gi|158300771")</f>
        <v>gi|158300771</v>
      </c>
      <c r="AT149">
        <v>77</v>
      </c>
      <c r="AU149">
        <v>87</v>
      </c>
      <c r="AV149">
        <v>100</v>
      </c>
      <c r="AW149" t="s">
        <v>2285</v>
      </c>
      <c r="AX149" s="2" t="str">
        <f>HYPERLINK("http://exon.niaid.nih.gov/transcriptome/Anopheles_sialome/links/CDD/anofun_Sal_SerPro3-CDD.txt","Tryp_SPc")</f>
        <v>Tryp_SPc</v>
      </c>
      <c r="AY149" t="str">
        <f>HYPERLINK("http://www.ncbi.nlm.nih.gov/Structure/cdd/cddsrv.cgi?uid=smart00020&amp;version=v4.0","6E-049")</f>
        <v>6E-049</v>
      </c>
      <c r="AZ149" t="s">
        <v>2833</v>
      </c>
      <c r="BA149" s="2" t="str">
        <f>HYPERLINK("http://exon.niaid.nih.gov/transcriptome/Anopheles_sialome/links/KOG/anofun_Sal_SerPro3-KOG.txt","Trypsin")</f>
        <v>Trypsin</v>
      </c>
      <c r="BB149" t="str">
        <f>HYPERLINK("http://www.ncbi.nlm.nih.gov/Structure/cdd/cddsrv.cgi?uid=KOG3627","5E-043")</f>
        <v>5E-043</v>
      </c>
      <c r="BC149" t="s">
        <v>2287</v>
      </c>
      <c r="BD149" t="str">
        <f>HYPERLINK("http://exon.niaid.nih.gov/transcriptome/Anopheles_sialome/links/KOG/anofun_Sal_SerPro3-KOG.txt","KOG3627")</f>
        <v>KOG3627</v>
      </c>
      <c r="BE149" t="str">
        <f>HYPERLINK("http://exon.niaid.nih.gov/transcriptome/Anopheles_sialome/links/PFAM/anofun_Sal_SerPro3-PFAM.txt","Trypsin")</f>
        <v>Trypsin</v>
      </c>
      <c r="BF149" t="str">
        <f>HYPERLINK("http://pfam.sanger.ac.uk/family?acc=PF00089","5E-038")</f>
        <v>5E-038</v>
      </c>
      <c r="BG149" s="2" t="str">
        <f>HYPERLINK("http://exon.niaid.nih.gov/transcriptome/Anopheles_sialome/links/SMART/anofun_Sal_SerPro3-SMART.txt","Tryp_SPc")</f>
        <v>Tryp_SPc</v>
      </c>
      <c r="BH149" t="str">
        <f>HYPERLINK("http://smart.embl-heidelberg.de/smart/do_annotation.pl?DOMAIN=Tryp_SPc&amp;BLAST=DUMMY","5E-051")</f>
        <v>5E-051</v>
      </c>
      <c r="BI149" t="s">
        <v>128</v>
      </c>
      <c r="BJ149" s="2" t="s">
        <v>128</v>
      </c>
      <c r="BK149" t="s">
        <v>1673</v>
      </c>
      <c r="BL149">
        <f>HYPERLINK("http://exon.niaid.nih.gov/transcriptome/Anopheles_sialome/links/cluster-b/anopheline-sialome-cds-pep-larger-orf25-50SimCLU5.txt", 5)</f>
        <v>5</v>
      </c>
      <c r="BM149">
        <f>HYPERLINK("http://exon.niaid.nih.gov/transcriptome/Anopheles_sialome/links/cluster-b/anopheline-sialome-cds-pep-larger-orf25-50SimCLTL5.txt", 56)</f>
        <v>56</v>
      </c>
      <c r="BN149">
        <f>HYPERLINK("http://exon.niaid.nih.gov/transcriptome/Anopheles_sialome/links/cluster-b/anopheline-sialome-cds-pep-larger-orf30-50SimCLU7.txt", 7)</f>
        <v>7</v>
      </c>
      <c r="BO149">
        <f>HYPERLINK("http://exon.niaid.nih.gov/transcriptome/Anopheles_sialome/links/cluster-b/anopheline-sialome-cds-pep-larger-orf30-50SimCLTL7.txt", 40)</f>
        <v>40</v>
      </c>
      <c r="BP149">
        <f>HYPERLINK("http://exon.niaid.nih.gov/transcriptome/Anopheles_sialome/links/cluster-b/anopheline-sialome-cds-pep-larger-orf35-50SimCLU8.txt", 8)</f>
        <v>8</v>
      </c>
      <c r="BQ149">
        <f>HYPERLINK("http://exon.niaid.nih.gov/transcriptome/Anopheles_sialome/links/cluster-b/anopheline-sialome-cds-pep-larger-orf35-50SimCLTL8.txt", 40)</f>
        <v>40</v>
      </c>
      <c r="BR149">
        <f>HYPERLINK("http://exon.niaid.nih.gov/transcriptome/Anopheles_sialome/links/cluster-b/anopheline-sialome-cds-pep-larger-orf40-50SimCLU5.txt", 5)</f>
        <v>5</v>
      </c>
      <c r="BS149">
        <f>HYPERLINK("http://exon.niaid.nih.gov/transcriptome/Anopheles_sialome/links/cluster-b/anopheline-sialome-cds-pep-larger-orf40-50SimCLTL5.txt", 40)</f>
        <v>40</v>
      </c>
      <c r="BT149">
        <f>HYPERLINK("http://exon.niaid.nih.gov/transcriptome/Anopheles_sialome/links/cluster-b/anopheline-sialome-cds-pep-larger-orf45-50SimCLU4.txt", 4)</f>
        <v>4</v>
      </c>
      <c r="BU149">
        <f>HYPERLINK("http://exon.niaid.nih.gov/transcriptome/Anopheles_sialome/links/cluster-b/anopheline-sialome-cds-pep-larger-orf45-50SimCLTL4.txt", 40)</f>
        <v>40</v>
      </c>
      <c r="BV149">
        <f>HYPERLINK("http://exon.niaid.nih.gov/transcriptome/Anopheles_sialome/links/cluster-b/anopheline-sialome-cds-pep-larger-orf50-50SimCLU4.txt", 4)</f>
        <v>4</v>
      </c>
      <c r="BW149">
        <f>HYPERLINK("http://exon.niaid.nih.gov/transcriptome/Anopheles_sialome/links/cluster-b/anopheline-sialome-cds-pep-larger-orf50-50SimCLTL4.txt", 40)</f>
        <v>40</v>
      </c>
      <c r="BX149">
        <f>HYPERLINK("http://exon.niaid.nih.gov/transcriptome/Anopheles_sialome/links/cluster-b/anopheline-sialome-cds-pep-larger-orf55-50SimCLU4.txt", 4)</f>
        <v>4</v>
      </c>
      <c r="BY149">
        <f>HYPERLINK("http://exon.niaid.nih.gov/transcriptome/Anopheles_sialome/links/cluster-b/anopheline-sialome-cds-pep-larger-orf55-50SimCLTL4.txt", 40)</f>
        <v>40</v>
      </c>
      <c r="BZ149">
        <f>HYPERLINK("http://exon.niaid.nih.gov/transcriptome/Anopheles_sialome/links/cluster-b/anopheline-sialome-cds-pep-larger-orf60-50SimCLU3.txt", 3)</f>
        <v>3</v>
      </c>
      <c r="CA149">
        <f>HYPERLINK("http://exon.niaid.nih.gov/transcriptome/Anopheles_sialome/links/cluster-b/anopheline-sialome-cds-pep-larger-orf60-50SimCLTL3.txt", 40)</f>
        <v>40</v>
      </c>
      <c r="CB149">
        <f>HYPERLINK("http://exon.niaid.nih.gov/transcriptome/Anopheles_sialome/links/cluster-b/anopheline-sialome-cds-pep-larger-orf65-50SimCLU2.txt", 2)</f>
        <v>2</v>
      </c>
      <c r="CC149">
        <f>HYPERLINK("http://exon.niaid.nih.gov/transcriptome/Anopheles_sialome/links/cluster-b/anopheline-sialome-cds-pep-larger-orf65-50SimCLTL2.txt", 40)</f>
        <v>40</v>
      </c>
      <c r="CD149">
        <f>HYPERLINK("http://exon.niaid.nih.gov/transcriptome/Anopheles_sialome/links/cluster-b/anopheline-sialome-cds-pep-larger-orf70-50SimCLU6.txt", 6)</f>
        <v>6</v>
      </c>
      <c r="CE149">
        <f>HYPERLINK("http://exon.niaid.nih.gov/transcriptome/Anopheles_sialome/links/cluster-b/anopheline-sialome-cds-pep-larger-orf70-50SimCLTL6.txt", 21)</f>
        <v>21</v>
      </c>
      <c r="CF149">
        <f>HYPERLINK("http://exon.niaid.nih.gov/transcriptome/Anopheles_sialome/links/cluster-b/anopheline-sialome-cds-pep-larger-orf75-50SimCLU5.txt", 5)</f>
        <v>5</v>
      </c>
      <c r="CG149">
        <f>HYPERLINK("http://exon.niaid.nih.gov/transcriptome/Anopheles_sialome/links/cluster-b/anopheline-sialome-cds-pep-larger-orf75-50SimCLTL5.txt", 21)</f>
        <v>21</v>
      </c>
      <c r="CH149">
        <f>HYPERLINK("http://exon.niaid.nih.gov/transcriptome/Anopheles_sialome/links/cluster-b/anopheline-sialome-cds-pep-larger-orf80-50SimCLU3.txt", 3)</f>
        <v>3</v>
      </c>
      <c r="CI149">
        <f>HYPERLINK("http://exon.niaid.nih.gov/transcriptome/Anopheles_sialome/links/cluster-b/anopheline-sialome-cds-pep-larger-orf80-50SimCLTL3.txt", 21)</f>
        <v>21</v>
      </c>
      <c r="CJ149">
        <f>HYPERLINK("http://exon.niaid.nih.gov/transcriptome/Anopheles_sialome/links/cluster-b/anopheline-sialome-cds-pep-larger-orf85-50SimCLU2.txt", 2)</f>
        <v>2</v>
      </c>
      <c r="CK149">
        <f>HYPERLINK("http://exon.niaid.nih.gov/transcriptome/Anopheles_sialome/links/cluster-b/anopheline-sialome-cds-pep-larger-orf85-50SimCLTL2.txt", 21)</f>
        <v>21</v>
      </c>
      <c r="CL149">
        <f>HYPERLINK("http://exon.niaid.nih.gov/transcriptome/Anopheles_sialome/links/cluster-b/anopheline-sialome-cds-pep-larger-orf90-50SimCLU5.txt", 5)</f>
        <v>5</v>
      </c>
      <c r="CM149">
        <f>HYPERLINK("http://exon.niaid.nih.gov/transcriptome/Anopheles_sialome/links/cluster-b/anopheline-sialome-cds-pep-larger-orf90-50SimCLTL5.txt", 14)</f>
        <v>14</v>
      </c>
      <c r="CN149">
        <v>368</v>
      </c>
      <c r="CO149">
        <v>1</v>
      </c>
    </row>
    <row r="150" spans="1:93">
      <c r="A150" s="2" t="str">
        <f>HYPERLINK("http://exon.niaid.nih.gov/transcriptome/Anopheles_sialome/links/cds/anomin_Sal_SerPro3-cds.txt","anomin_Sal_SerPro3")</f>
        <v>anomin_Sal_SerPro3</v>
      </c>
      <c r="B150">
        <v>1191</v>
      </c>
      <c r="C150" t="s">
        <v>396</v>
      </c>
      <c r="D150" t="s">
        <v>4</v>
      </c>
      <c r="E150" t="s">
        <v>5</v>
      </c>
      <c r="F150" t="s">
        <v>1</v>
      </c>
      <c r="G150" t="str">
        <f>HYPERLINK("http://exon.niaid.nih.gov/transcriptome/Anopheles_sialome/links/pep/anomin_Sal_SerPro3-pep.txt","anomin_Sal_SerPro3")</f>
        <v>anomin_Sal_SerPro3</v>
      </c>
      <c r="H150">
        <v>396</v>
      </c>
      <c r="I150">
        <v>1</v>
      </c>
      <c r="J150" s="3" t="str">
        <f>HYPERLINK("http://exon.niaid.nih.gov/transcriptome/Anopheles_sialome/links/Sigp/anomin_Sal_SerPro3-SigP.txt","SIG")</f>
        <v>SIG</v>
      </c>
      <c r="K150" t="s">
        <v>708</v>
      </c>
      <c r="L150">
        <v>42.698999999999998</v>
      </c>
      <c r="M150">
        <v>7.82</v>
      </c>
      <c r="N150">
        <v>40.351999999999997</v>
      </c>
      <c r="O150">
        <v>7.88</v>
      </c>
      <c r="P150" t="s">
        <v>1676</v>
      </c>
      <c r="Q150" s="3">
        <v>0</v>
      </c>
      <c r="R150" t="s">
        <v>128</v>
      </c>
      <c r="S150" t="s">
        <v>128</v>
      </c>
      <c r="T150" t="s">
        <v>128</v>
      </c>
      <c r="U150" t="s">
        <v>128</v>
      </c>
      <c r="V150" t="s">
        <v>128</v>
      </c>
      <c r="W150" s="3" t="str">
        <f>HYPERLINK("http://exon.niaid.nih.gov/transcriptome/Anopheles_sialome/links/netoglyc/anomin_Sal_SerPro3-netoglyc.txt","0")</f>
        <v>0</v>
      </c>
      <c r="X150">
        <v>22.2</v>
      </c>
      <c r="Y150">
        <v>7.6</v>
      </c>
      <c r="Z150">
        <v>4.5</v>
      </c>
      <c r="AA150" t="s">
        <v>654</v>
      </c>
      <c r="AB150" t="s">
        <v>128</v>
      </c>
      <c r="AC150" s="2" t="str">
        <f>HYPERLINK("http://exon.niaid.nih.gov/transcriptome/Anopheles_sialome/links/DIPTERA/anomin_Sal_SerPro3-DIPTERA.txt","AGAP011913-PA")</f>
        <v>AGAP011913-PA</v>
      </c>
      <c r="AD150" t="str">
        <f>HYPERLINK("http://www.ncbi.nlm.nih.gov/sutils/blink.cgi?pid=157013321","0.0")</f>
        <v>0.0</v>
      </c>
      <c r="AE150" t="str">
        <f t="shared" si="99"/>
        <v>gi|157013321</v>
      </c>
      <c r="AF150">
        <v>79</v>
      </c>
      <c r="AG150">
        <v>88</v>
      </c>
      <c r="AH150">
        <v>99</v>
      </c>
      <c r="AI150" t="s">
        <v>2285</v>
      </c>
      <c r="AJ150" s="2" t="str">
        <f>HYPERLINK("http://exon.niaid.nih.gov/transcriptome/Anopheles_sialome/links/CULICOMORPHA/anomin_Sal_SerPro3-CULICOMORPHA.txt","AGAP011913-PA")</f>
        <v>AGAP011913-PA</v>
      </c>
      <c r="AK150" t="str">
        <f>HYPERLINK("http://www.ncbi.nlm.nih.gov/sutils/blink.cgi?pid=157013321","0.0")</f>
        <v>0.0</v>
      </c>
      <c r="AL150" t="str">
        <f t="shared" si="100"/>
        <v>gi|157013321</v>
      </c>
      <c r="AM150">
        <v>79</v>
      </c>
      <c r="AN150">
        <v>88</v>
      </c>
      <c r="AO150">
        <v>99</v>
      </c>
      <c r="AP150" t="s">
        <v>2285</v>
      </c>
      <c r="AQ150" s="2" t="str">
        <f>HYPERLINK("http://exon.niaid.nih.gov/transcriptome/Anopheles_sialome/links/NR-LIGHT/anomin_Sal_SerPro3-NR-LIGHT.txt","AGAP011913-PA")</f>
        <v>AGAP011913-PA</v>
      </c>
      <c r="AR150" t="str">
        <f>HYPERLINK("http://www.ncbi.nlm.nih.gov/sutils/blink.cgi?pid=158300771","0.0")</f>
        <v>0.0</v>
      </c>
      <c r="AS150" t="str">
        <f t="shared" si="101"/>
        <v>gi|158300771</v>
      </c>
      <c r="AT150">
        <v>79</v>
      </c>
      <c r="AU150">
        <v>88</v>
      </c>
      <c r="AV150">
        <v>99</v>
      </c>
      <c r="AW150" t="s">
        <v>2285</v>
      </c>
      <c r="AX150" s="2" t="str">
        <f>HYPERLINK("http://exon.niaid.nih.gov/transcriptome/Anopheles_sialome/links/CDD/anomin_Sal_SerPro3-CDD.txt","Tryp_SPc")</f>
        <v>Tryp_SPc</v>
      </c>
      <c r="AY150" t="str">
        <f>HYPERLINK("http://www.ncbi.nlm.nih.gov/Structure/cdd/cddsrv.cgi?uid=smart00020&amp;version=v4.0","5E-048")</f>
        <v>5E-048</v>
      </c>
      <c r="AZ150" t="s">
        <v>2834</v>
      </c>
      <c r="BA150" s="2" t="str">
        <f>HYPERLINK("http://exon.niaid.nih.gov/transcriptome/Anopheles_sialome/links/KOG/anomin_Sal_SerPro3-KOG.txt","Trypsin")</f>
        <v>Trypsin</v>
      </c>
      <c r="BB150" t="str">
        <f>HYPERLINK("http://www.ncbi.nlm.nih.gov/Structure/cdd/cddsrv.cgi?uid=KOG3627","1E-041")</f>
        <v>1E-041</v>
      </c>
      <c r="BC150" t="s">
        <v>2287</v>
      </c>
      <c r="BD150" t="str">
        <f>HYPERLINK("http://exon.niaid.nih.gov/transcriptome/Anopheles_sialome/links/KOG/anomin_Sal_SerPro3-KOG.txt","KOG3627")</f>
        <v>KOG3627</v>
      </c>
      <c r="BE150" t="str">
        <f>HYPERLINK("http://exon.niaid.nih.gov/transcriptome/Anopheles_sialome/links/PFAM/anomin_Sal_SerPro3-PFAM.txt","Trypsin")</f>
        <v>Trypsin</v>
      </c>
      <c r="BF150" t="str">
        <f>HYPERLINK("http://pfam.sanger.ac.uk/family?acc=PF00089","8E-036")</f>
        <v>8E-036</v>
      </c>
      <c r="BG150" s="2" t="str">
        <f>HYPERLINK("http://exon.niaid.nih.gov/transcriptome/Anopheles_sialome/links/SMART/anomin_Sal_SerPro3-SMART.txt","Tryp_SPc")</f>
        <v>Tryp_SPc</v>
      </c>
      <c r="BH150" t="str">
        <f>HYPERLINK("http://smart.embl-heidelberg.de/smart/do_annotation.pl?DOMAIN=Tryp_SPc&amp;BLAST=DUMMY","5E-050")</f>
        <v>5E-050</v>
      </c>
      <c r="BI150" t="s">
        <v>128</v>
      </c>
      <c r="BJ150" s="2" t="s">
        <v>128</v>
      </c>
      <c r="BK150" t="s">
        <v>1675</v>
      </c>
      <c r="BL150">
        <f>HYPERLINK("http://exon.niaid.nih.gov/transcriptome/Anopheles_sialome/links/cluster-b/anopheline-sialome-cds-pep-larger-orf25-50SimCLU5.txt", 5)</f>
        <v>5</v>
      </c>
      <c r="BM150">
        <f>HYPERLINK("http://exon.niaid.nih.gov/transcriptome/Anopheles_sialome/links/cluster-b/anopheline-sialome-cds-pep-larger-orf25-50SimCLTL5.txt", 56)</f>
        <v>56</v>
      </c>
      <c r="BN150">
        <f>HYPERLINK("http://exon.niaid.nih.gov/transcriptome/Anopheles_sialome/links/cluster-b/anopheline-sialome-cds-pep-larger-orf30-50SimCLU7.txt", 7)</f>
        <v>7</v>
      </c>
      <c r="BO150">
        <f>HYPERLINK("http://exon.niaid.nih.gov/transcriptome/Anopheles_sialome/links/cluster-b/anopheline-sialome-cds-pep-larger-orf30-50SimCLTL7.txt", 40)</f>
        <v>40</v>
      </c>
      <c r="BP150">
        <f>HYPERLINK("http://exon.niaid.nih.gov/transcriptome/Anopheles_sialome/links/cluster-b/anopheline-sialome-cds-pep-larger-orf35-50SimCLU8.txt", 8)</f>
        <v>8</v>
      </c>
      <c r="BQ150">
        <f>HYPERLINK("http://exon.niaid.nih.gov/transcriptome/Anopheles_sialome/links/cluster-b/anopheline-sialome-cds-pep-larger-orf35-50SimCLTL8.txt", 40)</f>
        <v>40</v>
      </c>
      <c r="BR150">
        <f>HYPERLINK("http://exon.niaid.nih.gov/transcriptome/Anopheles_sialome/links/cluster-b/anopheline-sialome-cds-pep-larger-orf40-50SimCLU5.txt", 5)</f>
        <v>5</v>
      </c>
      <c r="BS150">
        <f>HYPERLINK("http://exon.niaid.nih.gov/transcriptome/Anopheles_sialome/links/cluster-b/anopheline-sialome-cds-pep-larger-orf40-50SimCLTL5.txt", 40)</f>
        <v>40</v>
      </c>
      <c r="BT150">
        <f>HYPERLINK("http://exon.niaid.nih.gov/transcriptome/Anopheles_sialome/links/cluster-b/anopheline-sialome-cds-pep-larger-orf45-50SimCLU4.txt", 4)</f>
        <v>4</v>
      </c>
      <c r="BU150">
        <f>HYPERLINK("http://exon.niaid.nih.gov/transcriptome/Anopheles_sialome/links/cluster-b/anopheline-sialome-cds-pep-larger-orf45-50SimCLTL4.txt", 40)</f>
        <v>40</v>
      </c>
      <c r="BV150">
        <f>HYPERLINK("http://exon.niaid.nih.gov/transcriptome/Anopheles_sialome/links/cluster-b/anopheline-sialome-cds-pep-larger-orf50-50SimCLU4.txt", 4)</f>
        <v>4</v>
      </c>
      <c r="BW150">
        <f>HYPERLINK("http://exon.niaid.nih.gov/transcriptome/Anopheles_sialome/links/cluster-b/anopheline-sialome-cds-pep-larger-orf50-50SimCLTL4.txt", 40)</f>
        <v>40</v>
      </c>
      <c r="BX150">
        <f>HYPERLINK("http://exon.niaid.nih.gov/transcriptome/Anopheles_sialome/links/cluster-b/anopheline-sialome-cds-pep-larger-orf55-50SimCLU4.txt", 4)</f>
        <v>4</v>
      </c>
      <c r="BY150">
        <f>HYPERLINK("http://exon.niaid.nih.gov/transcriptome/Anopheles_sialome/links/cluster-b/anopheline-sialome-cds-pep-larger-orf55-50SimCLTL4.txt", 40)</f>
        <v>40</v>
      </c>
      <c r="BZ150">
        <f>HYPERLINK("http://exon.niaid.nih.gov/transcriptome/Anopheles_sialome/links/cluster-b/anopheline-sialome-cds-pep-larger-orf60-50SimCLU3.txt", 3)</f>
        <v>3</v>
      </c>
      <c r="CA150">
        <f>HYPERLINK("http://exon.niaid.nih.gov/transcriptome/Anopheles_sialome/links/cluster-b/anopheline-sialome-cds-pep-larger-orf60-50SimCLTL3.txt", 40)</f>
        <v>40</v>
      </c>
      <c r="CB150">
        <f>HYPERLINK("http://exon.niaid.nih.gov/transcriptome/Anopheles_sialome/links/cluster-b/anopheline-sialome-cds-pep-larger-orf65-50SimCLU2.txt", 2)</f>
        <v>2</v>
      </c>
      <c r="CC150">
        <f>HYPERLINK("http://exon.niaid.nih.gov/transcriptome/Anopheles_sialome/links/cluster-b/anopheline-sialome-cds-pep-larger-orf65-50SimCLTL2.txt", 40)</f>
        <v>40</v>
      </c>
      <c r="CD150">
        <f>HYPERLINK("http://exon.niaid.nih.gov/transcriptome/Anopheles_sialome/links/cluster-b/anopheline-sialome-cds-pep-larger-orf70-50SimCLU6.txt", 6)</f>
        <v>6</v>
      </c>
      <c r="CE150">
        <f>HYPERLINK("http://exon.niaid.nih.gov/transcriptome/Anopheles_sialome/links/cluster-b/anopheline-sialome-cds-pep-larger-orf70-50SimCLTL6.txt", 21)</f>
        <v>21</v>
      </c>
      <c r="CF150">
        <f>HYPERLINK("http://exon.niaid.nih.gov/transcriptome/Anopheles_sialome/links/cluster-b/anopheline-sialome-cds-pep-larger-orf75-50SimCLU5.txt", 5)</f>
        <v>5</v>
      </c>
      <c r="CG150">
        <f>HYPERLINK("http://exon.niaid.nih.gov/transcriptome/Anopheles_sialome/links/cluster-b/anopheline-sialome-cds-pep-larger-orf75-50SimCLTL5.txt", 21)</f>
        <v>21</v>
      </c>
      <c r="CH150">
        <f>HYPERLINK("http://exon.niaid.nih.gov/transcriptome/Anopheles_sialome/links/cluster-b/anopheline-sialome-cds-pep-larger-orf80-50SimCLU3.txt", 3)</f>
        <v>3</v>
      </c>
      <c r="CI150">
        <f>HYPERLINK("http://exon.niaid.nih.gov/transcriptome/Anopheles_sialome/links/cluster-b/anopheline-sialome-cds-pep-larger-orf80-50SimCLTL3.txt", 21)</f>
        <v>21</v>
      </c>
      <c r="CJ150">
        <f>HYPERLINK("http://exon.niaid.nih.gov/transcriptome/Anopheles_sialome/links/cluster-b/anopheline-sialome-cds-pep-larger-orf85-50SimCLU2.txt", 2)</f>
        <v>2</v>
      </c>
      <c r="CK150">
        <f>HYPERLINK("http://exon.niaid.nih.gov/transcriptome/Anopheles_sialome/links/cluster-b/anopheline-sialome-cds-pep-larger-orf85-50SimCLTL2.txt", 21)</f>
        <v>21</v>
      </c>
      <c r="CL150">
        <f>HYPERLINK("http://exon.niaid.nih.gov/transcriptome/Anopheles_sialome/links/cluster-b/anopheline-sialome-cds-pep-larger-orf90-50SimCLU5.txt", 5)</f>
        <v>5</v>
      </c>
      <c r="CM150">
        <f>HYPERLINK("http://exon.niaid.nih.gov/transcriptome/Anopheles_sialome/links/cluster-b/anopheline-sialome-cds-pep-larger-orf90-50SimCLTL5.txt", 14)</f>
        <v>14</v>
      </c>
      <c r="CN150">
        <f>HYPERLINK("http://exon.niaid.nih.gov/transcriptome/Anopheles_sialome/links/cluster-b/anopheline-sialome-cds-pep-larger-orf95-50SimCLU67.txt", 67)</f>
        <v>67</v>
      </c>
      <c r="CO150">
        <f>HYPERLINK("http://exon.niaid.nih.gov/transcriptome/Anopheles_sialome/links/cluster-b/anopheline-sialome-cds-pep-larger-orf95-50SimCLTL67.txt", 2)</f>
        <v>2</v>
      </c>
    </row>
    <row r="151" spans="1:93">
      <c r="A151" s="2" t="str">
        <f>HYPERLINK("http://exon.niaid.nih.gov/transcriptome/Anopheles_sialome/links/cds/anocul_Sal_SerPro3-cds.txt","anocul_Sal_SerPro3")</f>
        <v>anocul_Sal_SerPro3</v>
      </c>
      <c r="B151">
        <v>1185</v>
      </c>
      <c r="C151" t="s">
        <v>397</v>
      </c>
      <c r="D151" t="s">
        <v>7</v>
      </c>
      <c r="E151" t="s">
        <v>5</v>
      </c>
      <c r="F151" t="s">
        <v>1</v>
      </c>
      <c r="G151" t="str">
        <f>HYPERLINK("http://exon.niaid.nih.gov/transcriptome/Anopheles_sialome/links/pep/anocul_Sal_SerPro3-pep.txt","anocul_Sal_SerPro3")</f>
        <v>anocul_Sal_SerPro3</v>
      </c>
      <c r="H151">
        <v>394</v>
      </c>
      <c r="I151">
        <v>1</v>
      </c>
      <c r="J151" s="3" t="str">
        <f>HYPERLINK("http://exon.niaid.nih.gov/transcriptome/Anopheles_sialome/links/Sigp/anocul_Sal_SerPro3-SigP.txt","SIG")</f>
        <v>SIG</v>
      </c>
      <c r="K151" t="s">
        <v>689</v>
      </c>
      <c r="L151">
        <v>42.512</v>
      </c>
      <c r="M151">
        <v>8.09</v>
      </c>
      <c r="N151">
        <v>40.320999999999998</v>
      </c>
      <c r="O151">
        <v>8.1199999999999992</v>
      </c>
      <c r="P151" t="s">
        <v>1678</v>
      </c>
      <c r="Q151" s="3">
        <v>0</v>
      </c>
      <c r="R151" t="s">
        <v>128</v>
      </c>
      <c r="S151" t="s">
        <v>128</v>
      </c>
      <c r="T151" t="s">
        <v>128</v>
      </c>
      <c r="U151" t="s">
        <v>128</v>
      </c>
      <c r="V151" t="s">
        <v>128</v>
      </c>
      <c r="W151" s="3" t="str">
        <f>HYPERLINK("http://exon.niaid.nih.gov/transcriptome/Anopheles_sialome/links/netoglyc/anocul_Sal_SerPro3-netoglyc.txt","0")</f>
        <v>0</v>
      </c>
      <c r="X151">
        <v>21.8</v>
      </c>
      <c r="Y151">
        <v>7.9</v>
      </c>
      <c r="Z151">
        <v>4.5999999999999996</v>
      </c>
      <c r="AA151" t="s">
        <v>654</v>
      </c>
      <c r="AB151" t="s">
        <v>128</v>
      </c>
      <c r="AC151" s="2" t="str">
        <f>HYPERLINK("http://exon.niaid.nih.gov/transcriptome/Anopheles_sialome/links/DIPTERA/anocul_Sal_SerPro3-DIPTERA.txt","AGAP011913-PA")</f>
        <v>AGAP011913-PA</v>
      </c>
      <c r="AD151" t="str">
        <f>HYPERLINK("http://www.ncbi.nlm.nih.gov/sutils/blink.cgi?pid=157013321","0.0")</f>
        <v>0.0</v>
      </c>
      <c r="AE151" t="str">
        <f t="shared" si="99"/>
        <v>gi|157013321</v>
      </c>
      <c r="AF151">
        <v>79</v>
      </c>
      <c r="AG151">
        <v>88</v>
      </c>
      <c r="AH151">
        <v>99</v>
      </c>
      <c r="AI151" t="s">
        <v>2285</v>
      </c>
      <c r="AJ151" s="2" t="str">
        <f>HYPERLINK("http://exon.niaid.nih.gov/transcriptome/Anopheles_sialome/links/CULICOMORPHA/anocul_Sal_SerPro3-CULICOMORPHA.txt","AGAP011913-PA")</f>
        <v>AGAP011913-PA</v>
      </c>
      <c r="AK151" t="str">
        <f>HYPERLINK("http://www.ncbi.nlm.nih.gov/sutils/blink.cgi?pid=157013321","0.0")</f>
        <v>0.0</v>
      </c>
      <c r="AL151" t="str">
        <f t="shared" si="100"/>
        <v>gi|157013321</v>
      </c>
      <c r="AM151">
        <v>79</v>
      </c>
      <c r="AN151">
        <v>88</v>
      </c>
      <c r="AO151">
        <v>99</v>
      </c>
      <c r="AP151" t="s">
        <v>2285</v>
      </c>
      <c r="AQ151" s="2" t="str">
        <f>HYPERLINK("http://exon.niaid.nih.gov/transcriptome/Anopheles_sialome/links/NR-LIGHT/anocul_Sal_SerPro3-NR-LIGHT.txt","AGAP011913-PA")</f>
        <v>AGAP011913-PA</v>
      </c>
      <c r="AR151" t="str">
        <f>HYPERLINK("http://www.ncbi.nlm.nih.gov/sutils/blink.cgi?pid=158300771","0.0")</f>
        <v>0.0</v>
      </c>
      <c r="AS151" t="str">
        <f t="shared" si="101"/>
        <v>gi|158300771</v>
      </c>
      <c r="AT151">
        <v>79</v>
      </c>
      <c r="AU151">
        <v>88</v>
      </c>
      <c r="AV151">
        <v>99</v>
      </c>
      <c r="AW151" t="s">
        <v>2285</v>
      </c>
      <c r="AX151" s="2" t="str">
        <f>HYPERLINK("http://exon.niaid.nih.gov/transcriptome/Anopheles_sialome/links/CDD/anocul_Sal_SerPro3-CDD.txt","Tryp_SPc")</f>
        <v>Tryp_SPc</v>
      </c>
      <c r="AY151" t="str">
        <f>HYPERLINK("http://www.ncbi.nlm.nih.gov/Structure/cdd/cddsrv.cgi?uid=smart00020&amp;version=v4.0","4E-048")</f>
        <v>4E-048</v>
      </c>
      <c r="AZ151" t="s">
        <v>2835</v>
      </c>
      <c r="BA151" s="2" t="str">
        <f>HYPERLINK("http://exon.niaid.nih.gov/transcriptome/Anopheles_sialome/links/KOG/anocul_Sal_SerPro3-KOG.txt","Trypsin")</f>
        <v>Trypsin</v>
      </c>
      <c r="BB151" t="str">
        <f>HYPERLINK("http://www.ncbi.nlm.nih.gov/Structure/cdd/cddsrv.cgi?uid=KOG3627","2E-041")</f>
        <v>2E-041</v>
      </c>
      <c r="BC151" t="s">
        <v>2287</v>
      </c>
      <c r="BD151" t="str">
        <f>HYPERLINK("http://exon.niaid.nih.gov/transcriptome/Anopheles_sialome/links/KOG/anocul_Sal_SerPro3-KOG.txt","KOG3627")</f>
        <v>KOG3627</v>
      </c>
      <c r="BE151" t="str">
        <f>HYPERLINK("http://exon.niaid.nih.gov/transcriptome/Anopheles_sialome/links/PFAM/anocul_Sal_SerPro3-PFAM.txt","Trypsin")</f>
        <v>Trypsin</v>
      </c>
      <c r="BF151" t="str">
        <f>HYPERLINK("http://pfam.sanger.ac.uk/family?acc=PF00089","6E-037")</f>
        <v>6E-037</v>
      </c>
      <c r="BG151" s="2" t="str">
        <f>HYPERLINK("http://exon.niaid.nih.gov/transcriptome/Anopheles_sialome/links/SMART/anocul_Sal_SerPro3-SMART.txt","Tryp_SPc")</f>
        <v>Tryp_SPc</v>
      </c>
      <c r="BH151" t="str">
        <f>HYPERLINK("http://smart.embl-heidelberg.de/smart/do_annotation.pl?DOMAIN=Tryp_SPc&amp;BLAST=DUMMY","4E-050")</f>
        <v>4E-050</v>
      </c>
      <c r="BI151" t="s">
        <v>128</v>
      </c>
      <c r="BJ151" s="2" t="s">
        <v>128</v>
      </c>
      <c r="BK151" t="s">
        <v>1677</v>
      </c>
      <c r="BL151">
        <f>HYPERLINK("http://exon.niaid.nih.gov/transcriptome/Anopheles_sialome/links/cluster-b/anopheline-sialome-cds-pep-larger-orf25-50SimCLU5.txt", 5)</f>
        <v>5</v>
      </c>
      <c r="BM151">
        <f>HYPERLINK("http://exon.niaid.nih.gov/transcriptome/Anopheles_sialome/links/cluster-b/anopheline-sialome-cds-pep-larger-orf25-50SimCLTL5.txt", 56)</f>
        <v>56</v>
      </c>
      <c r="BN151">
        <f>HYPERLINK("http://exon.niaid.nih.gov/transcriptome/Anopheles_sialome/links/cluster-b/anopheline-sialome-cds-pep-larger-orf30-50SimCLU7.txt", 7)</f>
        <v>7</v>
      </c>
      <c r="BO151">
        <f>HYPERLINK("http://exon.niaid.nih.gov/transcriptome/Anopheles_sialome/links/cluster-b/anopheline-sialome-cds-pep-larger-orf30-50SimCLTL7.txt", 40)</f>
        <v>40</v>
      </c>
      <c r="BP151">
        <f>HYPERLINK("http://exon.niaid.nih.gov/transcriptome/Anopheles_sialome/links/cluster-b/anopheline-sialome-cds-pep-larger-orf35-50SimCLU8.txt", 8)</f>
        <v>8</v>
      </c>
      <c r="BQ151">
        <f>HYPERLINK("http://exon.niaid.nih.gov/transcriptome/Anopheles_sialome/links/cluster-b/anopheline-sialome-cds-pep-larger-orf35-50SimCLTL8.txt", 40)</f>
        <v>40</v>
      </c>
      <c r="BR151">
        <f>HYPERLINK("http://exon.niaid.nih.gov/transcriptome/Anopheles_sialome/links/cluster-b/anopheline-sialome-cds-pep-larger-orf40-50SimCLU5.txt", 5)</f>
        <v>5</v>
      </c>
      <c r="BS151">
        <f>HYPERLINK("http://exon.niaid.nih.gov/transcriptome/Anopheles_sialome/links/cluster-b/anopheline-sialome-cds-pep-larger-orf40-50SimCLTL5.txt", 40)</f>
        <v>40</v>
      </c>
      <c r="BT151">
        <f>HYPERLINK("http://exon.niaid.nih.gov/transcriptome/Anopheles_sialome/links/cluster-b/anopheline-sialome-cds-pep-larger-orf45-50SimCLU4.txt", 4)</f>
        <v>4</v>
      </c>
      <c r="BU151">
        <f>HYPERLINK("http://exon.niaid.nih.gov/transcriptome/Anopheles_sialome/links/cluster-b/anopheline-sialome-cds-pep-larger-orf45-50SimCLTL4.txt", 40)</f>
        <v>40</v>
      </c>
      <c r="BV151">
        <f>HYPERLINK("http://exon.niaid.nih.gov/transcriptome/Anopheles_sialome/links/cluster-b/anopheline-sialome-cds-pep-larger-orf50-50SimCLU4.txt", 4)</f>
        <v>4</v>
      </c>
      <c r="BW151">
        <f>HYPERLINK("http://exon.niaid.nih.gov/transcriptome/Anopheles_sialome/links/cluster-b/anopheline-sialome-cds-pep-larger-orf50-50SimCLTL4.txt", 40)</f>
        <v>40</v>
      </c>
      <c r="BX151">
        <f>HYPERLINK("http://exon.niaid.nih.gov/transcriptome/Anopheles_sialome/links/cluster-b/anopheline-sialome-cds-pep-larger-orf55-50SimCLU4.txt", 4)</f>
        <v>4</v>
      </c>
      <c r="BY151">
        <f>HYPERLINK("http://exon.niaid.nih.gov/transcriptome/Anopheles_sialome/links/cluster-b/anopheline-sialome-cds-pep-larger-orf55-50SimCLTL4.txt", 40)</f>
        <v>40</v>
      </c>
      <c r="BZ151">
        <f>HYPERLINK("http://exon.niaid.nih.gov/transcriptome/Anopheles_sialome/links/cluster-b/anopheline-sialome-cds-pep-larger-orf60-50SimCLU3.txt", 3)</f>
        <v>3</v>
      </c>
      <c r="CA151">
        <f>HYPERLINK("http://exon.niaid.nih.gov/transcriptome/Anopheles_sialome/links/cluster-b/anopheline-sialome-cds-pep-larger-orf60-50SimCLTL3.txt", 40)</f>
        <v>40</v>
      </c>
      <c r="CB151">
        <f>HYPERLINK("http://exon.niaid.nih.gov/transcriptome/Anopheles_sialome/links/cluster-b/anopheline-sialome-cds-pep-larger-orf65-50SimCLU2.txt", 2)</f>
        <v>2</v>
      </c>
      <c r="CC151">
        <f>HYPERLINK("http://exon.niaid.nih.gov/transcriptome/Anopheles_sialome/links/cluster-b/anopheline-sialome-cds-pep-larger-orf65-50SimCLTL2.txt", 40)</f>
        <v>40</v>
      </c>
      <c r="CD151">
        <f>HYPERLINK("http://exon.niaid.nih.gov/transcriptome/Anopheles_sialome/links/cluster-b/anopheline-sialome-cds-pep-larger-orf70-50SimCLU6.txt", 6)</f>
        <v>6</v>
      </c>
      <c r="CE151">
        <f>HYPERLINK("http://exon.niaid.nih.gov/transcriptome/Anopheles_sialome/links/cluster-b/anopheline-sialome-cds-pep-larger-orf70-50SimCLTL6.txt", 21)</f>
        <v>21</v>
      </c>
      <c r="CF151">
        <f>HYPERLINK("http://exon.niaid.nih.gov/transcriptome/Anopheles_sialome/links/cluster-b/anopheline-sialome-cds-pep-larger-orf75-50SimCLU5.txt", 5)</f>
        <v>5</v>
      </c>
      <c r="CG151">
        <f>HYPERLINK("http://exon.niaid.nih.gov/transcriptome/Anopheles_sialome/links/cluster-b/anopheline-sialome-cds-pep-larger-orf75-50SimCLTL5.txt", 21)</f>
        <v>21</v>
      </c>
      <c r="CH151">
        <f>HYPERLINK("http://exon.niaid.nih.gov/transcriptome/Anopheles_sialome/links/cluster-b/anopheline-sialome-cds-pep-larger-orf80-50SimCLU3.txt", 3)</f>
        <v>3</v>
      </c>
      <c r="CI151">
        <f>HYPERLINK("http://exon.niaid.nih.gov/transcriptome/Anopheles_sialome/links/cluster-b/anopheline-sialome-cds-pep-larger-orf80-50SimCLTL3.txt", 21)</f>
        <v>21</v>
      </c>
      <c r="CJ151">
        <f>HYPERLINK("http://exon.niaid.nih.gov/transcriptome/Anopheles_sialome/links/cluster-b/anopheline-sialome-cds-pep-larger-orf85-50SimCLU2.txt", 2)</f>
        <v>2</v>
      </c>
      <c r="CK151">
        <f>HYPERLINK("http://exon.niaid.nih.gov/transcriptome/Anopheles_sialome/links/cluster-b/anopheline-sialome-cds-pep-larger-orf85-50SimCLTL2.txt", 21)</f>
        <v>21</v>
      </c>
      <c r="CL151">
        <f>HYPERLINK("http://exon.niaid.nih.gov/transcriptome/Anopheles_sialome/links/cluster-b/anopheline-sialome-cds-pep-larger-orf90-50SimCLU5.txt", 5)</f>
        <v>5</v>
      </c>
      <c r="CM151">
        <f>HYPERLINK("http://exon.niaid.nih.gov/transcriptome/Anopheles_sialome/links/cluster-b/anopheline-sialome-cds-pep-larger-orf90-50SimCLTL5.txt", 14)</f>
        <v>14</v>
      </c>
      <c r="CN151">
        <f>HYPERLINK("http://exon.niaid.nih.gov/transcriptome/Anopheles_sialome/links/cluster-b/anopheline-sialome-cds-pep-larger-orf95-50SimCLU67.txt", 67)</f>
        <v>67</v>
      </c>
      <c r="CO151">
        <f>HYPERLINK("http://exon.niaid.nih.gov/transcriptome/Anopheles_sialome/links/cluster-b/anopheline-sialome-cds-pep-larger-orf95-50SimCLTL67.txt", 2)</f>
        <v>2</v>
      </c>
    </row>
    <row r="152" spans="1:93">
      <c r="A152" s="2" t="str">
        <f>HYPERLINK("http://exon.niaid.nih.gov/transcriptome/Anopheles_sialome/links/cds/anoste_Sal_SerPro3-cds.txt","anoste_Sal_SerPro3")</f>
        <v>anoste_Sal_SerPro3</v>
      </c>
      <c r="B152">
        <v>1194</v>
      </c>
      <c r="C152" t="s">
        <v>398</v>
      </c>
      <c r="D152" t="s">
        <v>4</v>
      </c>
      <c r="E152" t="s">
        <v>5</v>
      </c>
      <c r="F152" t="s">
        <v>1</v>
      </c>
      <c r="G152" t="str">
        <f>HYPERLINK("http://exon.niaid.nih.gov/transcriptome/Anopheles_sialome/links/pep/anoste_Sal_SerPro3-pep.txt","anoste_Sal_SerPro3")</f>
        <v>anoste_Sal_SerPro3</v>
      </c>
      <c r="H152">
        <v>397</v>
      </c>
      <c r="I152">
        <v>1</v>
      </c>
      <c r="J152" s="3" t="str">
        <f>HYPERLINK("http://exon.niaid.nih.gov/transcriptome/Anopheles_sialome/links/Sigp/anoste_Sal_SerPro3-SigP.txt","SIG")</f>
        <v>SIG</v>
      </c>
      <c r="K152" t="s">
        <v>715</v>
      </c>
      <c r="L152">
        <v>42.548000000000002</v>
      </c>
      <c r="M152">
        <v>8.24</v>
      </c>
      <c r="N152">
        <v>40.106000000000002</v>
      </c>
      <c r="O152">
        <v>7.88</v>
      </c>
      <c r="P152" t="s">
        <v>1680</v>
      </c>
      <c r="Q152" s="3" t="str">
        <f>HYPERLINK("http://exon.niaid.nih.gov/transcriptome/Anopheles_sialome/links/tmhmm/anoste_Sal_SerPro3-tmhmm.txt","1")</f>
        <v>1</v>
      </c>
      <c r="R152">
        <v>5.5</v>
      </c>
      <c r="S152">
        <v>92.7</v>
      </c>
      <c r="T152">
        <v>1.8</v>
      </c>
      <c r="U152" t="s">
        <v>128</v>
      </c>
      <c r="V152">
        <v>368</v>
      </c>
      <c r="W152" s="3" t="str">
        <f>HYPERLINK("http://exon.niaid.nih.gov/transcriptome/Anopheles_sialome/links/netoglyc/anoste_Sal_SerPro3-netoglyc.txt","3")</f>
        <v>3</v>
      </c>
      <c r="X152">
        <v>21.9</v>
      </c>
      <c r="Y152">
        <v>7.8</v>
      </c>
      <c r="Z152">
        <v>4.3</v>
      </c>
      <c r="AA152" t="s">
        <v>654</v>
      </c>
      <c r="AB152" t="s">
        <v>128</v>
      </c>
      <c r="AC152" s="2" t="str">
        <f>HYPERLINK("http://exon.niaid.nih.gov/transcriptome/Anopheles_sialome/links/DIPTERA/anoste_Sal_SerPro3-DIPTERA.txt","AGAP011913-PA")</f>
        <v>AGAP011913-PA</v>
      </c>
      <c r="AD152" t="str">
        <f>HYPERLINK("http://www.ncbi.nlm.nih.gov/sutils/blink.cgi?pid=157013321","0.0")</f>
        <v>0.0</v>
      </c>
      <c r="AE152" t="str">
        <f t="shared" si="99"/>
        <v>gi|157013321</v>
      </c>
      <c r="AF152">
        <v>78</v>
      </c>
      <c r="AG152">
        <v>86</v>
      </c>
      <c r="AH152">
        <v>100</v>
      </c>
      <c r="AI152" t="s">
        <v>2285</v>
      </c>
      <c r="AJ152" s="2" t="str">
        <f>HYPERLINK("http://exon.niaid.nih.gov/transcriptome/Anopheles_sialome/links/CULICOMORPHA/anoste_Sal_SerPro3-CULICOMORPHA.txt","AGAP011913-PA")</f>
        <v>AGAP011913-PA</v>
      </c>
      <c r="AK152" t="str">
        <f>HYPERLINK("http://www.ncbi.nlm.nih.gov/sutils/blink.cgi?pid=157013321","0.0")</f>
        <v>0.0</v>
      </c>
      <c r="AL152" t="str">
        <f t="shared" si="100"/>
        <v>gi|157013321</v>
      </c>
      <c r="AM152">
        <v>78</v>
      </c>
      <c r="AN152">
        <v>86</v>
      </c>
      <c r="AO152">
        <v>100</v>
      </c>
      <c r="AP152" t="s">
        <v>2285</v>
      </c>
      <c r="AQ152" s="2" t="str">
        <f>HYPERLINK("http://exon.niaid.nih.gov/transcriptome/Anopheles_sialome/links/NR-LIGHT/anoste_Sal_SerPro3-NR-LIGHT.txt","AGAP011913-PA")</f>
        <v>AGAP011913-PA</v>
      </c>
      <c r="AR152" t="str">
        <f>HYPERLINK("http://www.ncbi.nlm.nih.gov/sutils/blink.cgi?pid=158300771","0.0")</f>
        <v>0.0</v>
      </c>
      <c r="AS152" t="str">
        <f t="shared" si="101"/>
        <v>gi|158300771</v>
      </c>
      <c r="AT152">
        <v>78</v>
      </c>
      <c r="AU152">
        <v>86</v>
      </c>
      <c r="AV152">
        <v>100</v>
      </c>
      <c r="AW152" t="s">
        <v>2285</v>
      </c>
      <c r="AX152" s="2" t="str">
        <f>HYPERLINK("http://exon.niaid.nih.gov/transcriptome/Anopheles_sialome/links/CDD/anoste_Sal_SerPro3-CDD.txt","Tryp_SPc")</f>
        <v>Tryp_SPc</v>
      </c>
      <c r="AY152" t="str">
        <f>HYPERLINK("http://www.ncbi.nlm.nih.gov/Structure/cdd/cddsrv.cgi?uid=smart00020&amp;version=v4.0","2E-044")</f>
        <v>2E-044</v>
      </c>
      <c r="AZ152" t="s">
        <v>2836</v>
      </c>
      <c r="BA152" s="2" t="str">
        <f>HYPERLINK("http://exon.niaid.nih.gov/transcriptome/Anopheles_sialome/links/KOG/anoste_Sal_SerPro3-KOG.txt","Trypsin")</f>
        <v>Trypsin</v>
      </c>
      <c r="BB152" t="str">
        <f>HYPERLINK("http://www.ncbi.nlm.nih.gov/Structure/cdd/cddsrv.cgi?uid=KOG3627","4E-041")</f>
        <v>4E-041</v>
      </c>
      <c r="BC152" t="s">
        <v>2287</v>
      </c>
      <c r="BD152" t="str">
        <f>HYPERLINK("http://exon.niaid.nih.gov/transcriptome/Anopheles_sialome/links/KOG/anoste_Sal_SerPro3-KOG.txt","KOG3627")</f>
        <v>KOG3627</v>
      </c>
      <c r="BE152" t="str">
        <f>HYPERLINK("http://exon.niaid.nih.gov/transcriptome/Anopheles_sialome/links/PFAM/anoste_Sal_SerPro3-PFAM.txt","Trypsin")</f>
        <v>Trypsin</v>
      </c>
      <c r="BF152" t="str">
        <f>HYPERLINK("http://pfam.sanger.ac.uk/family?acc=PF00089","7E-035")</f>
        <v>7E-035</v>
      </c>
      <c r="BG152" s="2" t="str">
        <f>HYPERLINK("http://exon.niaid.nih.gov/transcriptome/Anopheles_sialome/links/SMART/anoste_Sal_SerPro3-SMART.txt","Tryp_SPc")</f>
        <v>Tryp_SPc</v>
      </c>
      <c r="BH152" t="str">
        <f>HYPERLINK("http://smart.embl-heidelberg.de/smart/do_annotation.pl?DOMAIN=Tryp_SPc&amp;BLAST=DUMMY","2E-046")</f>
        <v>2E-046</v>
      </c>
      <c r="BI152" t="s">
        <v>128</v>
      </c>
      <c r="BJ152" s="2" t="s">
        <v>128</v>
      </c>
      <c r="BK152" t="s">
        <v>1679</v>
      </c>
      <c r="BL152">
        <f>HYPERLINK("http://exon.niaid.nih.gov/transcriptome/Anopheles_sialome/links/cluster-b/anopheline-sialome-cds-pep-larger-orf25-50SimCLU5.txt", 5)</f>
        <v>5</v>
      </c>
      <c r="BM152">
        <f>HYPERLINK("http://exon.niaid.nih.gov/transcriptome/Anopheles_sialome/links/cluster-b/anopheline-sialome-cds-pep-larger-orf25-50SimCLTL5.txt", 56)</f>
        <v>56</v>
      </c>
      <c r="BN152">
        <f>HYPERLINK("http://exon.niaid.nih.gov/transcriptome/Anopheles_sialome/links/cluster-b/anopheline-sialome-cds-pep-larger-orf30-50SimCLU7.txt", 7)</f>
        <v>7</v>
      </c>
      <c r="BO152">
        <f>HYPERLINK("http://exon.niaid.nih.gov/transcriptome/Anopheles_sialome/links/cluster-b/anopheline-sialome-cds-pep-larger-orf30-50SimCLTL7.txt", 40)</f>
        <v>40</v>
      </c>
      <c r="BP152">
        <f>HYPERLINK("http://exon.niaid.nih.gov/transcriptome/Anopheles_sialome/links/cluster-b/anopheline-sialome-cds-pep-larger-orf35-50SimCLU8.txt", 8)</f>
        <v>8</v>
      </c>
      <c r="BQ152">
        <f>HYPERLINK("http://exon.niaid.nih.gov/transcriptome/Anopheles_sialome/links/cluster-b/anopheline-sialome-cds-pep-larger-orf35-50SimCLTL8.txt", 40)</f>
        <v>40</v>
      </c>
      <c r="BR152">
        <f>HYPERLINK("http://exon.niaid.nih.gov/transcriptome/Anopheles_sialome/links/cluster-b/anopheline-sialome-cds-pep-larger-orf40-50SimCLU5.txt", 5)</f>
        <v>5</v>
      </c>
      <c r="BS152">
        <f>HYPERLINK("http://exon.niaid.nih.gov/transcriptome/Anopheles_sialome/links/cluster-b/anopheline-sialome-cds-pep-larger-orf40-50SimCLTL5.txt", 40)</f>
        <v>40</v>
      </c>
      <c r="BT152">
        <f>HYPERLINK("http://exon.niaid.nih.gov/transcriptome/Anopheles_sialome/links/cluster-b/anopheline-sialome-cds-pep-larger-orf45-50SimCLU4.txt", 4)</f>
        <v>4</v>
      </c>
      <c r="BU152">
        <f>HYPERLINK("http://exon.niaid.nih.gov/transcriptome/Anopheles_sialome/links/cluster-b/anopheline-sialome-cds-pep-larger-orf45-50SimCLTL4.txt", 40)</f>
        <v>40</v>
      </c>
      <c r="BV152">
        <f>HYPERLINK("http://exon.niaid.nih.gov/transcriptome/Anopheles_sialome/links/cluster-b/anopheline-sialome-cds-pep-larger-orf50-50SimCLU4.txt", 4)</f>
        <v>4</v>
      </c>
      <c r="BW152">
        <f>HYPERLINK("http://exon.niaid.nih.gov/transcriptome/Anopheles_sialome/links/cluster-b/anopheline-sialome-cds-pep-larger-orf50-50SimCLTL4.txt", 40)</f>
        <v>40</v>
      </c>
      <c r="BX152">
        <f>HYPERLINK("http://exon.niaid.nih.gov/transcriptome/Anopheles_sialome/links/cluster-b/anopheline-sialome-cds-pep-larger-orf55-50SimCLU4.txt", 4)</f>
        <v>4</v>
      </c>
      <c r="BY152">
        <f>HYPERLINK("http://exon.niaid.nih.gov/transcriptome/Anopheles_sialome/links/cluster-b/anopheline-sialome-cds-pep-larger-orf55-50SimCLTL4.txt", 40)</f>
        <v>40</v>
      </c>
      <c r="BZ152">
        <f>HYPERLINK("http://exon.niaid.nih.gov/transcriptome/Anopheles_sialome/links/cluster-b/anopheline-sialome-cds-pep-larger-orf60-50SimCLU3.txt", 3)</f>
        <v>3</v>
      </c>
      <c r="CA152">
        <f>HYPERLINK("http://exon.niaid.nih.gov/transcriptome/Anopheles_sialome/links/cluster-b/anopheline-sialome-cds-pep-larger-orf60-50SimCLTL3.txt", 40)</f>
        <v>40</v>
      </c>
      <c r="CB152">
        <f>HYPERLINK("http://exon.niaid.nih.gov/transcriptome/Anopheles_sialome/links/cluster-b/anopheline-sialome-cds-pep-larger-orf65-50SimCLU2.txt", 2)</f>
        <v>2</v>
      </c>
      <c r="CC152">
        <f>HYPERLINK("http://exon.niaid.nih.gov/transcriptome/Anopheles_sialome/links/cluster-b/anopheline-sialome-cds-pep-larger-orf65-50SimCLTL2.txt", 40)</f>
        <v>40</v>
      </c>
      <c r="CD152">
        <f>HYPERLINK("http://exon.niaid.nih.gov/transcriptome/Anopheles_sialome/links/cluster-b/anopheline-sialome-cds-pep-larger-orf70-50SimCLU6.txt", 6)</f>
        <v>6</v>
      </c>
      <c r="CE152">
        <f>HYPERLINK("http://exon.niaid.nih.gov/transcriptome/Anopheles_sialome/links/cluster-b/anopheline-sialome-cds-pep-larger-orf70-50SimCLTL6.txt", 21)</f>
        <v>21</v>
      </c>
      <c r="CF152">
        <f>HYPERLINK("http://exon.niaid.nih.gov/transcriptome/Anopheles_sialome/links/cluster-b/anopheline-sialome-cds-pep-larger-orf75-50SimCLU5.txt", 5)</f>
        <v>5</v>
      </c>
      <c r="CG152">
        <f>HYPERLINK("http://exon.niaid.nih.gov/transcriptome/Anopheles_sialome/links/cluster-b/anopheline-sialome-cds-pep-larger-orf75-50SimCLTL5.txt", 21)</f>
        <v>21</v>
      </c>
      <c r="CH152">
        <f>HYPERLINK("http://exon.niaid.nih.gov/transcriptome/Anopheles_sialome/links/cluster-b/anopheline-sialome-cds-pep-larger-orf80-50SimCLU3.txt", 3)</f>
        <v>3</v>
      </c>
      <c r="CI152">
        <f>HYPERLINK("http://exon.niaid.nih.gov/transcriptome/Anopheles_sialome/links/cluster-b/anopheline-sialome-cds-pep-larger-orf80-50SimCLTL3.txt", 21)</f>
        <v>21</v>
      </c>
      <c r="CJ152">
        <f>HYPERLINK("http://exon.niaid.nih.gov/transcriptome/Anopheles_sialome/links/cluster-b/anopheline-sialome-cds-pep-larger-orf85-50SimCLU2.txt", 2)</f>
        <v>2</v>
      </c>
      <c r="CK152">
        <f>HYPERLINK("http://exon.niaid.nih.gov/transcriptome/Anopheles_sialome/links/cluster-b/anopheline-sialome-cds-pep-larger-orf85-50SimCLTL2.txt", 21)</f>
        <v>21</v>
      </c>
      <c r="CL152">
        <f>HYPERLINK("http://exon.niaid.nih.gov/transcriptome/Anopheles_sialome/links/cluster-b/anopheline-sialome-cds-pep-larger-orf90-50SimCLU5.txt", 5)</f>
        <v>5</v>
      </c>
      <c r="CM152">
        <f>HYPERLINK("http://exon.niaid.nih.gov/transcriptome/Anopheles_sialome/links/cluster-b/anopheline-sialome-cds-pep-larger-orf90-50SimCLTL5.txt", 14)</f>
        <v>14</v>
      </c>
      <c r="CN152">
        <v>369</v>
      </c>
      <c r="CO152">
        <v>1</v>
      </c>
    </row>
    <row r="153" spans="1:93">
      <c r="A153" s="2" t="str">
        <f>HYPERLINK("http://exon.niaid.nih.gov/transcriptome/Anopheles_sialome/links/cds/anofar_Sal_SerPro3-cds.txt","anofar_Sal_SerPro3")</f>
        <v>anofar_Sal_SerPro3</v>
      </c>
      <c r="B153">
        <v>1191</v>
      </c>
      <c r="C153" t="s">
        <v>399</v>
      </c>
      <c r="D153" t="s">
        <v>4</v>
      </c>
      <c r="E153" t="s">
        <v>5</v>
      </c>
      <c r="F153" t="s">
        <v>1</v>
      </c>
      <c r="G153" t="str">
        <f>HYPERLINK("http://exon.niaid.nih.gov/transcriptome/Anopheles_sialome/links/pep/anofar_Sal_SerPro3-pep.txt","anofar_Sal_SerPro3")</f>
        <v>anofar_Sal_SerPro3</v>
      </c>
      <c r="H153">
        <v>396</v>
      </c>
      <c r="I153">
        <v>2</v>
      </c>
      <c r="J153" s="3" t="str">
        <f>HYPERLINK("http://exon.niaid.nih.gov/transcriptome/Anopheles_sialome/links/Sigp/anofar_Sal_SerPro3-SigP.txt","SIG")</f>
        <v>SIG</v>
      </c>
      <c r="K153" t="s">
        <v>708</v>
      </c>
      <c r="L153">
        <v>42.921999999999997</v>
      </c>
      <c r="M153">
        <v>7.36</v>
      </c>
      <c r="N153">
        <v>40.470999999999997</v>
      </c>
      <c r="O153">
        <v>7.5</v>
      </c>
      <c r="P153" t="s">
        <v>1682</v>
      </c>
      <c r="Q153" s="3">
        <v>0</v>
      </c>
      <c r="R153" t="s">
        <v>128</v>
      </c>
      <c r="S153" t="s">
        <v>128</v>
      </c>
      <c r="T153" t="s">
        <v>128</v>
      </c>
      <c r="U153" t="s">
        <v>128</v>
      </c>
      <c r="V153" t="s">
        <v>128</v>
      </c>
      <c r="W153" s="3" t="str">
        <f>HYPERLINK("http://exon.niaid.nih.gov/transcriptome/Anopheles_sialome/links/netoglyc/anofar_Sal_SerPro3-netoglyc.txt","0")</f>
        <v>0</v>
      </c>
      <c r="X153">
        <v>18.899999999999999</v>
      </c>
      <c r="Y153">
        <v>8.3000000000000007</v>
      </c>
      <c r="Z153">
        <v>5.0999999999999996</v>
      </c>
      <c r="AA153">
        <v>0.8</v>
      </c>
      <c r="AB153" t="s">
        <v>128</v>
      </c>
      <c r="AC153" s="2" t="str">
        <f>HYPERLINK("http://exon.niaid.nih.gov/transcriptome/Anopheles_sialome/links/DIPTERA/anofar_Sal_SerPro3-DIPTERA.txt","AGAP011913-PA")</f>
        <v>AGAP011913-PA</v>
      </c>
      <c r="AD153" t="str">
        <f>HYPERLINK("http://www.ncbi.nlm.nih.gov/sutils/blink.cgi?pid=157013321","1E-173")</f>
        <v>1E-173</v>
      </c>
      <c r="AE153" t="str">
        <f t="shared" si="99"/>
        <v>gi|157013321</v>
      </c>
      <c r="AF153">
        <v>73</v>
      </c>
      <c r="AG153">
        <v>84</v>
      </c>
      <c r="AH153">
        <v>97</v>
      </c>
      <c r="AI153" t="s">
        <v>2285</v>
      </c>
      <c r="AJ153" s="2" t="str">
        <f>HYPERLINK("http://exon.niaid.nih.gov/transcriptome/Anopheles_sialome/links/CULICOMORPHA/anofar_Sal_SerPro3-CULICOMORPHA.txt","AGAP011913-PA")</f>
        <v>AGAP011913-PA</v>
      </c>
      <c r="AK153" t="str">
        <f>HYPERLINK("http://www.ncbi.nlm.nih.gov/sutils/blink.cgi?pid=157013321","1E-174")</f>
        <v>1E-174</v>
      </c>
      <c r="AL153" t="str">
        <f t="shared" si="100"/>
        <v>gi|157013321</v>
      </c>
      <c r="AM153">
        <v>73</v>
      </c>
      <c r="AN153">
        <v>84</v>
      </c>
      <c r="AO153">
        <v>97</v>
      </c>
      <c r="AP153" t="s">
        <v>2285</v>
      </c>
      <c r="AQ153" s="2" t="str">
        <f>HYPERLINK("http://exon.niaid.nih.gov/transcriptome/Anopheles_sialome/links/NR-LIGHT/anofar_Sal_SerPro3-NR-LIGHT.txt","AGAP011913-PA")</f>
        <v>AGAP011913-PA</v>
      </c>
      <c r="AR153" t="str">
        <f>HYPERLINK("http://www.ncbi.nlm.nih.gov/sutils/blink.cgi?pid=158300771","1E-172")</f>
        <v>1E-172</v>
      </c>
      <c r="AS153" t="str">
        <f t="shared" si="101"/>
        <v>gi|158300771</v>
      </c>
      <c r="AT153">
        <v>73</v>
      </c>
      <c r="AU153">
        <v>84</v>
      </c>
      <c r="AV153">
        <v>97</v>
      </c>
      <c r="AW153" t="s">
        <v>2285</v>
      </c>
      <c r="AX153" s="2" t="str">
        <f>HYPERLINK("http://exon.niaid.nih.gov/transcriptome/Anopheles_sialome/links/CDD/anofar_Sal_SerPro3-CDD.txt","Tryp_SPc")</f>
        <v>Tryp_SPc</v>
      </c>
      <c r="AY153" t="str">
        <f>HYPERLINK("http://www.ncbi.nlm.nih.gov/Structure/cdd/cddsrv.cgi?uid=cd00190&amp;version=v4.0","1E-047")</f>
        <v>1E-047</v>
      </c>
      <c r="AZ153" t="s">
        <v>2837</v>
      </c>
      <c r="BA153" s="2" t="str">
        <f>HYPERLINK("http://exon.niaid.nih.gov/transcriptome/Anopheles_sialome/links/KOG/anofar_Sal_SerPro3-KOG.txt","Trypsin")</f>
        <v>Trypsin</v>
      </c>
      <c r="BB153" t="str">
        <f>HYPERLINK("http://www.ncbi.nlm.nih.gov/Structure/cdd/cddsrv.cgi?uid=KOG3627","4E-042")</f>
        <v>4E-042</v>
      </c>
      <c r="BC153" t="s">
        <v>2287</v>
      </c>
      <c r="BD153" t="str">
        <f>HYPERLINK("http://exon.niaid.nih.gov/transcriptome/Anopheles_sialome/links/KOG/anofar_Sal_SerPro3-KOG.txt","KOG3627")</f>
        <v>KOG3627</v>
      </c>
      <c r="BE153" t="str">
        <f>HYPERLINK("http://exon.niaid.nih.gov/transcriptome/Anopheles_sialome/links/PFAM/anofar_Sal_SerPro3-PFAM.txt","Trypsin")</f>
        <v>Trypsin</v>
      </c>
      <c r="BF153" t="str">
        <f>HYPERLINK("http://pfam.sanger.ac.uk/family?acc=PF00089","3E-038")</f>
        <v>3E-038</v>
      </c>
      <c r="BG153" s="2" t="str">
        <f>HYPERLINK("http://exon.niaid.nih.gov/transcriptome/Anopheles_sialome/links/SMART/anofar_Sal_SerPro3-SMART.txt","Tryp_SPc")</f>
        <v>Tryp_SPc</v>
      </c>
      <c r="BH153" t="str">
        <f>HYPERLINK("http://smart.embl-heidelberg.de/smart/do_annotation.pl?DOMAIN=Tryp_SPc&amp;BLAST=DUMMY","5E-049")</f>
        <v>5E-049</v>
      </c>
      <c r="BI153" t="s">
        <v>128</v>
      </c>
      <c r="BJ153" s="2" t="s">
        <v>128</v>
      </c>
      <c r="BK153" t="s">
        <v>1681</v>
      </c>
      <c r="BL153">
        <f>HYPERLINK("http://exon.niaid.nih.gov/transcriptome/Anopheles_sialome/links/cluster-b/anopheline-sialome-cds-pep-larger-orf25-50SimCLU5.txt", 5)</f>
        <v>5</v>
      </c>
      <c r="BM153">
        <f>HYPERLINK("http://exon.niaid.nih.gov/transcriptome/Anopheles_sialome/links/cluster-b/anopheline-sialome-cds-pep-larger-orf25-50SimCLTL5.txt", 56)</f>
        <v>56</v>
      </c>
      <c r="BN153">
        <f>HYPERLINK("http://exon.niaid.nih.gov/transcriptome/Anopheles_sialome/links/cluster-b/anopheline-sialome-cds-pep-larger-orf30-50SimCLU7.txt", 7)</f>
        <v>7</v>
      </c>
      <c r="BO153">
        <f>HYPERLINK("http://exon.niaid.nih.gov/transcriptome/Anopheles_sialome/links/cluster-b/anopheline-sialome-cds-pep-larger-orf30-50SimCLTL7.txt", 40)</f>
        <v>40</v>
      </c>
      <c r="BP153">
        <f>HYPERLINK("http://exon.niaid.nih.gov/transcriptome/Anopheles_sialome/links/cluster-b/anopheline-sialome-cds-pep-larger-orf35-50SimCLU8.txt", 8)</f>
        <v>8</v>
      </c>
      <c r="BQ153">
        <f>HYPERLINK("http://exon.niaid.nih.gov/transcriptome/Anopheles_sialome/links/cluster-b/anopheline-sialome-cds-pep-larger-orf35-50SimCLTL8.txt", 40)</f>
        <v>40</v>
      </c>
      <c r="BR153">
        <f>HYPERLINK("http://exon.niaid.nih.gov/transcriptome/Anopheles_sialome/links/cluster-b/anopheline-sialome-cds-pep-larger-orf40-50SimCLU5.txt", 5)</f>
        <v>5</v>
      </c>
      <c r="BS153">
        <f>HYPERLINK("http://exon.niaid.nih.gov/transcriptome/Anopheles_sialome/links/cluster-b/anopheline-sialome-cds-pep-larger-orf40-50SimCLTL5.txt", 40)</f>
        <v>40</v>
      </c>
      <c r="BT153">
        <f>HYPERLINK("http://exon.niaid.nih.gov/transcriptome/Anopheles_sialome/links/cluster-b/anopheline-sialome-cds-pep-larger-orf45-50SimCLU4.txt", 4)</f>
        <v>4</v>
      </c>
      <c r="BU153">
        <f>HYPERLINK("http://exon.niaid.nih.gov/transcriptome/Anopheles_sialome/links/cluster-b/anopheline-sialome-cds-pep-larger-orf45-50SimCLTL4.txt", 40)</f>
        <v>40</v>
      </c>
      <c r="BV153">
        <f>HYPERLINK("http://exon.niaid.nih.gov/transcriptome/Anopheles_sialome/links/cluster-b/anopheline-sialome-cds-pep-larger-orf50-50SimCLU4.txt", 4)</f>
        <v>4</v>
      </c>
      <c r="BW153">
        <f>HYPERLINK("http://exon.niaid.nih.gov/transcriptome/Anopheles_sialome/links/cluster-b/anopheline-sialome-cds-pep-larger-orf50-50SimCLTL4.txt", 40)</f>
        <v>40</v>
      </c>
      <c r="BX153">
        <f>HYPERLINK("http://exon.niaid.nih.gov/transcriptome/Anopheles_sialome/links/cluster-b/anopheline-sialome-cds-pep-larger-orf55-50SimCLU4.txt", 4)</f>
        <v>4</v>
      </c>
      <c r="BY153">
        <f>HYPERLINK("http://exon.niaid.nih.gov/transcriptome/Anopheles_sialome/links/cluster-b/anopheline-sialome-cds-pep-larger-orf55-50SimCLTL4.txt", 40)</f>
        <v>40</v>
      </c>
      <c r="BZ153">
        <f>HYPERLINK("http://exon.niaid.nih.gov/transcriptome/Anopheles_sialome/links/cluster-b/anopheline-sialome-cds-pep-larger-orf60-50SimCLU3.txt", 3)</f>
        <v>3</v>
      </c>
      <c r="CA153">
        <f>HYPERLINK("http://exon.niaid.nih.gov/transcriptome/Anopheles_sialome/links/cluster-b/anopheline-sialome-cds-pep-larger-orf60-50SimCLTL3.txt", 40)</f>
        <v>40</v>
      </c>
      <c r="CB153">
        <f>HYPERLINK("http://exon.niaid.nih.gov/transcriptome/Anopheles_sialome/links/cluster-b/anopheline-sialome-cds-pep-larger-orf65-50SimCLU2.txt", 2)</f>
        <v>2</v>
      </c>
      <c r="CC153">
        <f>HYPERLINK("http://exon.niaid.nih.gov/transcriptome/Anopheles_sialome/links/cluster-b/anopheline-sialome-cds-pep-larger-orf65-50SimCLTL2.txt", 40)</f>
        <v>40</v>
      </c>
      <c r="CD153">
        <f>HYPERLINK("http://exon.niaid.nih.gov/transcriptome/Anopheles_sialome/links/cluster-b/anopheline-sialome-cds-pep-larger-orf70-50SimCLU6.txt", 6)</f>
        <v>6</v>
      </c>
      <c r="CE153">
        <f>HYPERLINK("http://exon.niaid.nih.gov/transcriptome/Anopheles_sialome/links/cluster-b/anopheline-sialome-cds-pep-larger-orf70-50SimCLTL6.txt", 21)</f>
        <v>21</v>
      </c>
      <c r="CF153">
        <f>HYPERLINK("http://exon.niaid.nih.gov/transcriptome/Anopheles_sialome/links/cluster-b/anopheline-sialome-cds-pep-larger-orf75-50SimCLU5.txt", 5)</f>
        <v>5</v>
      </c>
      <c r="CG153">
        <f>HYPERLINK("http://exon.niaid.nih.gov/transcriptome/Anopheles_sialome/links/cluster-b/anopheline-sialome-cds-pep-larger-orf75-50SimCLTL5.txt", 21)</f>
        <v>21</v>
      </c>
      <c r="CH153">
        <f>HYPERLINK("http://exon.niaid.nih.gov/transcriptome/Anopheles_sialome/links/cluster-b/anopheline-sialome-cds-pep-larger-orf80-50SimCLU3.txt", 3)</f>
        <v>3</v>
      </c>
      <c r="CI153">
        <f>HYPERLINK("http://exon.niaid.nih.gov/transcriptome/Anopheles_sialome/links/cluster-b/anopheline-sialome-cds-pep-larger-orf80-50SimCLTL3.txt", 21)</f>
        <v>21</v>
      </c>
      <c r="CJ153">
        <f>HYPERLINK("http://exon.niaid.nih.gov/transcriptome/Anopheles_sialome/links/cluster-b/anopheline-sialome-cds-pep-larger-orf85-50SimCLU2.txt", 2)</f>
        <v>2</v>
      </c>
      <c r="CK153">
        <f>HYPERLINK("http://exon.niaid.nih.gov/transcriptome/Anopheles_sialome/links/cluster-b/anopheline-sialome-cds-pep-larger-orf85-50SimCLTL2.txt", 21)</f>
        <v>21</v>
      </c>
      <c r="CL153">
        <v>305</v>
      </c>
      <c r="CM153">
        <v>1</v>
      </c>
      <c r="CN153">
        <v>370</v>
      </c>
      <c r="CO153">
        <v>1</v>
      </c>
    </row>
    <row r="154" spans="1:93">
      <c r="A154" s="2" t="str">
        <f>HYPERLINK("http://exon.niaid.nih.gov/transcriptome/Anopheles_sialome/links/cds/anodir_Sal_SerPro3-cds.txt","anodir_Sal_SerPro3")</f>
        <v>anodir_Sal_SerPro3</v>
      </c>
      <c r="B154">
        <v>1188</v>
      </c>
      <c r="C154" t="s">
        <v>400</v>
      </c>
      <c r="D154" t="s">
        <v>4</v>
      </c>
      <c r="E154" t="s">
        <v>5</v>
      </c>
      <c r="F154" t="s">
        <v>1</v>
      </c>
      <c r="G154" t="str">
        <f>HYPERLINK("http://exon.niaid.nih.gov/transcriptome/Anopheles_sialome/links/pep/anodir_Sal_SerPro3-pep.txt","anodir_Sal_SerPro3")</f>
        <v>anodir_Sal_SerPro3</v>
      </c>
      <c r="H154">
        <v>395</v>
      </c>
      <c r="I154">
        <v>2</v>
      </c>
      <c r="J154" s="3" t="str">
        <f>HYPERLINK("http://exon.niaid.nih.gov/transcriptome/Anopheles_sialome/links/Sigp/anodir_Sal_SerPro3-SigP.txt","SIG")</f>
        <v>SIG</v>
      </c>
      <c r="K154" t="s">
        <v>695</v>
      </c>
      <c r="L154">
        <v>42.631</v>
      </c>
      <c r="M154">
        <v>7.81</v>
      </c>
      <c r="N154">
        <v>40.356999999999999</v>
      </c>
      <c r="O154">
        <v>7.52</v>
      </c>
      <c r="P154" t="s">
        <v>1684</v>
      </c>
      <c r="Q154" s="3" t="str">
        <f>HYPERLINK("http://exon.niaid.nih.gov/transcriptome/Anopheles_sialome/links/tmhmm/anodir_Sal_SerPro3-tmhmm.txt","1")</f>
        <v>1</v>
      </c>
      <c r="R154">
        <v>5.6</v>
      </c>
      <c r="S154">
        <v>93.2</v>
      </c>
      <c r="T154">
        <v>1.3</v>
      </c>
      <c r="U154" t="s">
        <v>128</v>
      </c>
      <c r="V154">
        <v>368</v>
      </c>
      <c r="W154" s="3" t="str">
        <f>HYPERLINK("http://exon.niaid.nih.gov/transcriptome/Anopheles_sialome/links/netoglyc/anodir_Sal_SerPro3-netoglyc.txt","0")</f>
        <v>0</v>
      </c>
      <c r="X154">
        <v>19.5</v>
      </c>
      <c r="Y154">
        <v>9.1</v>
      </c>
      <c r="Z154">
        <v>4.3</v>
      </c>
      <c r="AA154">
        <v>0.8</v>
      </c>
      <c r="AB154" t="s">
        <v>128</v>
      </c>
      <c r="AC154" s="2" t="str">
        <f>HYPERLINK("http://exon.niaid.nih.gov/transcriptome/Anopheles_sialome/links/DIPTERA/anodir_Sal_SerPro3-DIPTERA.txt","AGAP011913-PA")</f>
        <v>AGAP011913-PA</v>
      </c>
      <c r="AD154" t="str">
        <f>HYPERLINK("http://www.ncbi.nlm.nih.gov/sutils/blink.cgi?pid=157013321","1E-179")</f>
        <v>1E-179</v>
      </c>
      <c r="AE154" t="str">
        <f t="shared" si="99"/>
        <v>gi|157013321</v>
      </c>
      <c r="AF154">
        <v>76</v>
      </c>
      <c r="AG154">
        <v>84</v>
      </c>
      <c r="AH154">
        <v>99</v>
      </c>
      <c r="AI154" t="s">
        <v>2285</v>
      </c>
      <c r="AJ154" s="2" t="str">
        <f>HYPERLINK("http://exon.niaid.nih.gov/transcriptome/Anopheles_sialome/links/CULICOMORPHA/anodir_Sal_SerPro3-CULICOMORPHA.txt","AGAP011913-PA")</f>
        <v>AGAP011913-PA</v>
      </c>
      <c r="AK154" t="str">
        <f>HYPERLINK("http://www.ncbi.nlm.nih.gov/sutils/blink.cgi?pid=157013321","1E-180")</f>
        <v>1E-180</v>
      </c>
      <c r="AL154" t="str">
        <f t="shared" si="100"/>
        <v>gi|157013321</v>
      </c>
      <c r="AM154">
        <v>76</v>
      </c>
      <c r="AN154">
        <v>84</v>
      </c>
      <c r="AO154">
        <v>99</v>
      </c>
      <c r="AP154" t="s">
        <v>2285</v>
      </c>
      <c r="AQ154" s="2" t="str">
        <f>HYPERLINK("http://exon.niaid.nih.gov/transcriptome/Anopheles_sialome/links/NR-LIGHT/anodir_Sal_SerPro3-NR-LIGHT.txt","AGAP011913-PA")</f>
        <v>AGAP011913-PA</v>
      </c>
      <c r="AR154" t="str">
        <f>HYPERLINK("http://www.ncbi.nlm.nih.gov/sutils/blink.cgi?pid=158300771","1E-179")</f>
        <v>1E-179</v>
      </c>
      <c r="AS154" t="str">
        <f t="shared" si="101"/>
        <v>gi|158300771</v>
      </c>
      <c r="AT154">
        <v>76</v>
      </c>
      <c r="AU154">
        <v>84</v>
      </c>
      <c r="AV154">
        <v>99</v>
      </c>
      <c r="AW154" t="s">
        <v>2285</v>
      </c>
      <c r="AX154" s="2" t="str">
        <f>HYPERLINK("http://exon.niaid.nih.gov/transcriptome/Anopheles_sialome/links/CDD/anodir_Sal_SerPro3-CDD.txt","Tryp_SPc")</f>
        <v>Tryp_SPc</v>
      </c>
      <c r="AY154" t="str">
        <f>HYPERLINK("http://www.ncbi.nlm.nih.gov/Structure/cdd/cddsrv.cgi?uid=cd00190&amp;version=v4.0","7E-045")</f>
        <v>7E-045</v>
      </c>
      <c r="AZ154" t="s">
        <v>2838</v>
      </c>
      <c r="BA154" s="2" t="str">
        <f>HYPERLINK("http://exon.niaid.nih.gov/transcriptome/Anopheles_sialome/links/KOG/anodir_Sal_SerPro3-KOG.txt","Trypsin")</f>
        <v>Trypsin</v>
      </c>
      <c r="BB154" t="str">
        <f>HYPERLINK("http://www.ncbi.nlm.nih.gov/Structure/cdd/cddsrv.cgi?uid=KOG3627","2E-040")</f>
        <v>2E-040</v>
      </c>
      <c r="BC154" t="s">
        <v>2287</v>
      </c>
      <c r="BD154" t="str">
        <f>HYPERLINK("http://exon.niaid.nih.gov/transcriptome/Anopheles_sialome/links/KOG/anodir_Sal_SerPro3-KOG.txt","KOG3627")</f>
        <v>KOG3627</v>
      </c>
      <c r="BE154" t="str">
        <f>HYPERLINK("http://exon.niaid.nih.gov/transcriptome/Anopheles_sialome/links/PFAM/anodir_Sal_SerPro3-PFAM.txt","Trypsin")</f>
        <v>Trypsin</v>
      </c>
      <c r="BF154" t="str">
        <f>HYPERLINK("http://pfam.sanger.ac.uk/family?acc=PF00089","2E-036")</f>
        <v>2E-036</v>
      </c>
      <c r="BG154" s="2" t="str">
        <f>HYPERLINK("http://exon.niaid.nih.gov/transcriptome/Anopheles_sialome/links/SMART/anodir_Sal_SerPro3-SMART.txt","Tryp_SPc")</f>
        <v>Tryp_SPc</v>
      </c>
      <c r="BH154" t="str">
        <f>HYPERLINK("http://smart.embl-heidelberg.de/smart/do_annotation.pl?DOMAIN=Tryp_SPc&amp;BLAST=DUMMY","2E-046")</f>
        <v>2E-046</v>
      </c>
      <c r="BI154" t="s">
        <v>128</v>
      </c>
      <c r="BJ154" s="2" t="s">
        <v>128</v>
      </c>
      <c r="BK154" t="s">
        <v>1683</v>
      </c>
      <c r="BL154">
        <f>HYPERLINK("http://exon.niaid.nih.gov/transcriptome/Anopheles_sialome/links/cluster-b/anopheline-sialome-cds-pep-larger-orf25-50SimCLU5.txt", 5)</f>
        <v>5</v>
      </c>
      <c r="BM154">
        <f>HYPERLINK("http://exon.niaid.nih.gov/transcriptome/Anopheles_sialome/links/cluster-b/anopheline-sialome-cds-pep-larger-orf25-50SimCLTL5.txt", 56)</f>
        <v>56</v>
      </c>
      <c r="BN154">
        <f>HYPERLINK("http://exon.niaid.nih.gov/transcriptome/Anopheles_sialome/links/cluster-b/anopheline-sialome-cds-pep-larger-orf30-50SimCLU7.txt", 7)</f>
        <v>7</v>
      </c>
      <c r="BO154">
        <f>HYPERLINK("http://exon.niaid.nih.gov/transcriptome/Anopheles_sialome/links/cluster-b/anopheline-sialome-cds-pep-larger-orf30-50SimCLTL7.txt", 40)</f>
        <v>40</v>
      </c>
      <c r="BP154">
        <f>HYPERLINK("http://exon.niaid.nih.gov/transcriptome/Anopheles_sialome/links/cluster-b/anopheline-sialome-cds-pep-larger-orf35-50SimCLU8.txt", 8)</f>
        <v>8</v>
      </c>
      <c r="BQ154">
        <f>HYPERLINK("http://exon.niaid.nih.gov/transcriptome/Anopheles_sialome/links/cluster-b/anopheline-sialome-cds-pep-larger-orf35-50SimCLTL8.txt", 40)</f>
        <v>40</v>
      </c>
      <c r="BR154">
        <f>HYPERLINK("http://exon.niaid.nih.gov/transcriptome/Anopheles_sialome/links/cluster-b/anopheline-sialome-cds-pep-larger-orf40-50SimCLU5.txt", 5)</f>
        <v>5</v>
      </c>
      <c r="BS154">
        <f>HYPERLINK("http://exon.niaid.nih.gov/transcriptome/Anopheles_sialome/links/cluster-b/anopheline-sialome-cds-pep-larger-orf40-50SimCLTL5.txt", 40)</f>
        <v>40</v>
      </c>
      <c r="BT154">
        <f>HYPERLINK("http://exon.niaid.nih.gov/transcriptome/Anopheles_sialome/links/cluster-b/anopheline-sialome-cds-pep-larger-orf45-50SimCLU4.txt", 4)</f>
        <v>4</v>
      </c>
      <c r="BU154">
        <f>HYPERLINK("http://exon.niaid.nih.gov/transcriptome/Anopheles_sialome/links/cluster-b/anopheline-sialome-cds-pep-larger-orf45-50SimCLTL4.txt", 40)</f>
        <v>40</v>
      </c>
      <c r="BV154">
        <f>HYPERLINK("http://exon.niaid.nih.gov/transcriptome/Anopheles_sialome/links/cluster-b/anopheline-sialome-cds-pep-larger-orf50-50SimCLU4.txt", 4)</f>
        <v>4</v>
      </c>
      <c r="BW154">
        <f>HYPERLINK("http://exon.niaid.nih.gov/transcriptome/Anopheles_sialome/links/cluster-b/anopheline-sialome-cds-pep-larger-orf50-50SimCLTL4.txt", 40)</f>
        <v>40</v>
      </c>
      <c r="BX154">
        <f>HYPERLINK("http://exon.niaid.nih.gov/transcriptome/Anopheles_sialome/links/cluster-b/anopheline-sialome-cds-pep-larger-orf55-50SimCLU4.txt", 4)</f>
        <v>4</v>
      </c>
      <c r="BY154">
        <f>HYPERLINK("http://exon.niaid.nih.gov/transcriptome/Anopheles_sialome/links/cluster-b/anopheline-sialome-cds-pep-larger-orf55-50SimCLTL4.txt", 40)</f>
        <v>40</v>
      </c>
      <c r="BZ154">
        <f>HYPERLINK("http://exon.niaid.nih.gov/transcriptome/Anopheles_sialome/links/cluster-b/anopheline-sialome-cds-pep-larger-orf60-50SimCLU3.txt", 3)</f>
        <v>3</v>
      </c>
      <c r="CA154">
        <f>HYPERLINK("http://exon.niaid.nih.gov/transcriptome/Anopheles_sialome/links/cluster-b/anopheline-sialome-cds-pep-larger-orf60-50SimCLTL3.txt", 40)</f>
        <v>40</v>
      </c>
      <c r="CB154">
        <f>HYPERLINK("http://exon.niaid.nih.gov/transcriptome/Anopheles_sialome/links/cluster-b/anopheline-sialome-cds-pep-larger-orf65-50SimCLU2.txt", 2)</f>
        <v>2</v>
      </c>
      <c r="CC154">
        <f>HYPERLINK("http://exon.niaid.nih.gov/transcriptome/Anopheles_sialome/links/cluster-b/anopheline-sialome-cds-pep-larger-orf65-50SimCLTL2.txt", 40)</f>
        <v>40</v>
      </c>
      <c r="CD154">
        <f>HYPERLINK("http://exon.niaid.nih.gov/transcriptome/Anopheles_sialome/links/cluster-b/anopheline-sialome-cds-pep-larger-orf70-50SimCLU6.txt", 6)</f>
        <v>6</v>
      </c>
      <c r="CE154">
        <f>HYPERLINK("http://exon.niaid.nih.gov/transcriptome/Anopheles_sialome/links/cluster-b/anopheline-sialome-cds-pep-larger-orf70-50SimCLTL6.txt", 21)</f>
        <v>21</v>
      </c>
      <c r="CF154">
        <f>HYPERLINK("http://exon.niaid.nih.gov/transcriptome/Anopheles_sialome/links/cluster-b/anopheline-sialome-cds-pep-larger-orf75-50SimCLU5.txt", 5)</f>
        <v>5</v>
      </c>
      <c r="CG154">
        <f>HYPERLINK("http://exon.niaid.nih.gov/transcriptome/Anopheles_sialome/links/cluster-b/anopheline-sialome-cds-pep-larger-orf75-50SimCLTL5.txt", 21)</f>
        <v>21</v>
      </c>
      <c r="CH154">
        <f>HYPERLINK("http://exon.niaid.nih.gov/transcriptome/Anopheles_sialome/links/cluster-b/anopheline-sialome-cds-pep-larger-orf80-50SimCLU3.txt", 3)</f>
        <v>3</v>
      </c>
      <c r="CI154">
        <f>HYPERLINK("http://exon.niaid.nih.gov/transcriptome/Anopheles_sialome/links/cluster-b/anopheline-sialome-cds-pep-larger-orf80-50SimCLTL3.txt", 21)</f>
        <v>21</v>
      </c>
      <c r="CJ154">
        <f>HYPERLINK("http://exon.niaid.nih.gov/transcriptome/Anopheles_sialome/links/cluster-b/anopheline-sialome-cds-pep-larger-orf85-50SimCLU2.txt", 2)</f>
        <v>2</v>
      </c>
      <c r="CK154">
        <f>HYPERLINK("http://exon.niaid.nih.gov/transcriptome/Anopheles_sialome/links/cluster-b/anopheline-sialome-cds-pep-larger-orf85-50SimCLTL2.txt", 21)</f>
        <v>21</v>
      </c>
      <c r="CL154">
        <v>306</v>
      </c>
      <c r="CM154">
        <v>1</v>
      </c>
      <c r="CN154">
        <v>371</v>
      </c>
      <c r="CO154">
        <v>1</v>
      </c>
    </row>
    <row r="155" spans="1:93">
      <c r="A155" s="2" t="str">
        <f>HYPERLINK("http://exon.niaid.nih.gov/transcriptome/Anopheles_sialome/links/cds/anoatro_Sal_SerPro3-cds.txt","anoatro_Sal_SerPro3")</f>
        <v>anoatro_Sal_SerPro3</v>
      </c>
      <c r="B155">
        <v>1188</v>
      </c>
      <c r="C155" t="s">
        <v>401</v>
      </c>
      <c r="D155" t="s">
        <v>4</v>
      </c>
      <c r="E155" t="s">
        <v>5</v>
      </c>
      <c r="F155" t="s">
        <v>1</v>
      </c>
      <c r="G155" t="str">
        <f>HYPERLINK("http://exon.niaid.nih.gov/transcriptome/Anopheles_sialome/links/pep/anoatro_Sal_SerPro3-pep.txt","anoatro_Sal_SerPro3")</f>
        <v>anoatro_Sal_SerPro3</v>
      </c>
      <c r="H155">
        <v>395</v>
      </c>
      <c r="I155">
        <v>1</v>
      </c>
      <c r="J155" s="3" t="str">
        <f>HYPERLINK("http://exon.niaid.nih.gov/transcriptome/Anopheles_sialome/links/Sigp/anoatro_Sal_SerPro3-SigP.txt","SIG")</f>
        <v>SIG</v>
      </c>
      <c r="K155" t="s">
        <v>695</v>
      </c>
      <c r="L155">
        <v>42.591000000000001</v>
      </c>
      <c r="M155">
        <v>8.26</v>
      </c>
      <c r="N155">
        <v>40.353000000000002</v>
      </c>
      <c r="O155">
        <v>8.11</v>
      </c>
      <c r="P155" t="s">
        <v>1686</v>
      </c>
      <c r="Q155" s="3" t="str">
        <f>HYPERLINK("http://exon.niaid.nih.gov/transcriptome/Anopheles_sialome/links/tmhmm/anoatro_Sal_SerPro3-tmhmm.txt","1")</f>
        <v>1</v>
      </c>
      <c r="R155">
        <v>4.8</v>
      </c>
      <c r="S155">
        <v>94.7</v>
      </c>
      <c r="T155">
        <v>0.5</v>
      </c>
      <c r="U155" t="s">
        <v>128</v>
      </c>
      <c r="V155">
        <v>374</v>
      </c>
      <c r="W155" s="3" t="str">
        <f>HYPERLINK("http://exon.niaid.nih.gov/transcriptome/Anopheles_sialome/links/netoglyc/anoatro_Sal_SerPro3-netoglyc.txt","0")</f>
        <v>0</v>
      </c>
      <c r="X155">
        <v>19</v>
      </c>
      <c r="Y155">
        <v>8.9</v>
      </c>
      <c r="Z155">
        <v>4.5999999999999996</v>
      </c>
      <c r="AA155" t="s">
        <v>654</v>
      </c>
      <c r="AB155" t="s">
        <v>128</v>
      </c>
      <c r="AC155" s="2" t="str">
        <f>HYPERLINK("http://exon.niaid.nih.gov/transcriptome/Anopheles_sialome/links/DIPTERA/anoatro_Sal_SerPro3-DIPTERA.txt","AGAP011913-PA-like protein")</f>
        <v>AGAP011913-PA-like protein</v>
      </c>
      <c r="AD155" t="str">
        <f>HYPERLINK("http://www.ncbi.nlm.nih.gov/sutils/blink.cgi?pid=668462586","0.0")</f>
        <v>0.0</v>
      </c>
      <c r="AE155" t="str">
        <f>HYPERLINK("http://www.ncbi.nlm.nih.gov/protein/668462586","gi|668462586")</f>
        <v>gi|668462586</v>
      </c>
      <c r="AF155">
        <v>80</v>
      </c>
      <c r="AG155">
        <v>89</v>
      </c>
      <c r="AH155">
        <v>100</v>
      </c>
      <c r="AI155" t="s">
        <v>2277</v>
      </c>
      <c r="AJ155" s="2" t="str">
        <f>HYPERLINK("http://exon.niaid.nih.gov/transcriptome/Anopheles_sialome/links/CULICOMORPHA/anoatro_Sal_SerPro3-CULICOMORPHA.txt","AGAP011913-PA-like protein")</f>
        <v>AGAP011913-PA-like protein</v>
      </c>
      <c r="AK155" t="str">
        <f>HYPERLINK("http://www.ncbi.nlm.nih.gov/sutils/blink.cgi?pid=668462586","0.0")</f>
        <v>0.0</v>
      </c>
      <c r="AL155" t="str">
        <f>HYPERLINK("http://www.ncbi.nlm.nih.gov/protein/668462586","gi|668462586")</f>
        <v>gi|668462586</v>
      </c>
      <c r="AM155">
        <v>80</v>
      </c>
      <c r="AN155">
        <v>89</v>
      </c>
      <c r="AO155">
        <v>100</v>
      </c>
      <c r="AP155" t="s">
        <v>2277</v>
      </c>
      <c r="AQ155" s="2" t="str">
        <f>HYPERLINK("http://exon.niaid.nih.gov/transcriptome/Anopheles_sialome/links/NR-LIGHT/anoatro_Sal_SerPro3-NR-LIGHT.txt","AGAP011913-PA-like protein")</f>
        <v>AGAP011913-PA-like protein</v>
      </c>
      <c r="AR155" t="str">
        <f>HYPERLINK("http://www.ncbi.nlm.nih.gov/sutils/blink.cgi?pid=668462586","0.0")</f>
        <v>0.0</v>
      </c>
      <c r="AS155" t="str">
        <f>HYPERLINK("http://www.ncbi.nlm.nih.gov/protein/668462586","gi|668462586")</f>
        <v>gi|668462586</v>
      </c>
      <c r="AT155">
        <v>80</v>
      </c>
      <c r="AU155">
        <v>89</v>
      </c>
      <c r="AV155">
        <v>100</v>
      </c>
      <c r="AW155" t="s">
        <v>2277</v>
      </c>
      <c r="AX155" s="2" t="str">
        <f>HYPERLINK("http://exon.niaid.nih.gov/transcriptome/Anopheles_sialome/links/CDD/anoatro_Sal_SerPro3-CDD.txt","Tryp_SPc")</f>
        <v>Tryp_SPc</v>
      </c>
      <c r="AY155" t="str">
        <f>HYPERLINK("http://www.ncbi.nlm.nih.gov/Structure/cdd/cddsrv.cgi?uid=smart00020&amp;version=v4.0","1E-049")</f>
        <v>1E-049</v>
      </c>
      <c r="AZ155" t="s">
        <v>2839</v>
      </c>
      <c r="BA155" s="2" t="str">
        <f>HYPERLINK("http://exon.niaid.nih.gov/transcriptome/Anopheles_sialome/links/KOG/anoatro_Sal_SerPro3-KOG.txt","Trypsin")</f>
        <v>Trypsin</v>
      </c>
      <c r="BB155" t="str">
        <f>HYPERLINK("http://www.ncbi.nlm.nih.gov/Structure/cdd/cddsrv.cgi?uid=KOG3627","3E-042")</f>
        <v>3E-042</v>
      </c>
      <c r="BC155" t="s">
        <v>2287</v>
      </c>
      <c r="BD155" t="str">
        <f>HYPERLINK("http://exon.niaid.nih.gov/transcriptome/Anopheles_sialome/links/KOG/anoatro_Sal_SerPro3-KOG.txt","KOG3627")</f>
        <v>KOG3627</v>
      </c>
      <c r="BE155" t="str">
        <f>HYPERLINK("http://exon.niaid.nih.gov/transcriptome/Anopheles_sialome/links/PFAM/anoatro_Sal_SerPro3-PFAM.txt","Trypsin")</f>
        <v>Trypsin</v>
      </c>
      <c r="BF155" t="str">
        <f>HYPERLINK("http://pfam.sanger.ac.uk/family?acc=PF00089","1E-037")</f>
        <v>1E-037</v>
      </c>
      <c r="BG155" s="2" t="str">
        <f>HYPERLINK("http://exon.niaid.nih.gov/transcriptome/Anopheles_sialome/links/SMART/anoatro_Sal_SerPro3-SMART.txt","Tryp_SPc")</f>
        <v>Tryp_SPc</v>
      </c>
      <c r="BH155" t="str">
        <f>HYPERLINK("http://smart.embl-heidelberg.de/smart/do_annotation.pl?DOMAIN=Tryp_SPc&amp;BLAST=DUMMY","1E-051")</f>
        <v>1E-051</v>
      </c>
      <c r="BI155" t="s">
        <v>128</v>
      </c>
      <c r="BJ155" s="2" t="s">
        <v>128</v>
      </c>
      <c r="BK155" t="s">
        <v>1685</v>
      </c>
      <c r="BL155">
        <f>HYPERLINK("http://exon.niaid.nih.gov/transcriptome/Anopheles_sialome/links/cluster-b/anopheline-sialome-cds-pep-larger-orf25-50SimCLU5.txt", 5)</f>
        <v>5</v>
      </c>
      <c r="BM155">
        <f>HYPERLINK("http://exon.niaid.nih.gov/transcriptome/Anopheles_sialome/links/cluster-b/anopheline-sialome-cds-pep-larger-orf25-50SimCLTL5.txt", 56)</f>
        <v>56</v>
      </c>
      <c r="BN155">
        <f>HYPERLINK("http://exon.niaid.nih.gov/transcriptome/Anopheles_sialome/links/cluster-b/anopheline-sialome-cds-pep-larger-orf30-50SimCLU7.txt", 7)</f>
        <v>7</v>
      </c>
      <c r="BO155">
        <f>HYPERLINK("http://exon.niaid.nih.gov/transcriptome/Anopheles_sialome/links/cluster-b/anopheline-sialome-cds-pep-larger-orf30-50SimCLTL7.txt", 40)</f>
        <v>40</v>
      </c>
      <c r="BP155">
        <f>HYPERLINK("http://exon.niaid.nih.gov/transcriptome/Anopheles_sialome/links/cluster-b/anopheline-sialome-cds-pep-larger-orf35-50SimCLU8.txt", 8)</f>
        <v>8</v>
      </c>
      <c r="BQ155">
        <f>HYPERLINK("http://exon.niaid.nih.gov/transcriptome/Anopheles_sialome/links/cluster-b/anopheline-sialome-cds-pep-larger-orf35-50SimCLTL8.txt", 40)</f>
        <v>40</v>
      </c>
      <c r="BR155">
        <f>HYPERLINK("http://exon.niaid.nih.gov/transcriptome/Anopheles_sialome/links/cluster-b/anopheline-sialome-cds-pep-larger-orf40-50SimCLU5.txt", 5)</f>
        <v>5</v>
      </c>
      <c r="BS155">
        <f>HYPERLINK("http://exon.niaid.nih.gov/transcriptome/Anopheles_sialome/links/cluster-b/anopheline-sialome-cds-pep-larger-orf40-50SimCLTL5.txt", 40)</f>
        <v>40</v>
      </c>
      <c r="BT155">
        <f>HYPERLINK("http://exon.niaid.nih.gov/transcriptome/Anopheles_sialome/links/cluster-b/anopheline-sialome-cds-pep-larger-orf45-50SimCLU4.txt", 4)</f>
        <v>4</v>
      </c>
      <c r="BU155">
        <f>HYPERLINK("http://exon.niaid.nih.gov/transcriptome/Anopheles_sialome/links/cluster-b/anopheline-sialome-cds-pep-larger-orf45-50SimCLTL4.txt", 40)</f>
        <v>40</v>
      </c>
      <c r="BV155">
        <f>HYPERLINK("http://exon.niaid.nih.gov/transcriptome/Anopheles_sialome/links/cluster-b/anopheline-sialome-cds-pep-larger-orf50-50SimCLU4.txt", 4)</f>
        <v>4</v>
      </c>
      <c r="BW155">
        <f>HYPERLINK("http://exon.niaid.nih.gov/transcriptome/Anopheles_sialome/links/cluster-b/anopheline-sialome-cds-pep-larger-orf50-50SimCLTL4.txt", 40)</f>
        <v>40</v>
      </c>
      <c r="BX155">
        <f>HYPERLINK("http://exon.niaid.nih.gov/transcriptome/Anopheles_sialome/links/cluster-b/anopheline-sialome-cds-pep-larger-orf55-50SimCLU4.txt", 4)</f>
        <v>4</v>
      </c>
      <c r="BY155">
        <f>HYPERLINK("http://exon.niaid.nih.gov/transcriptome/Anopheles_sialome/links/cluster-b/anopheline-sialome-cds-pep-larger-orf55-50SimCLTL4.txt", 40)</f>
        <v>40</v>
      </c>
      <c r="BZ155">
        <f>HYPERLINK("http://exon.niaid.nih.gov/transcriptome/Anopheles_sialome/links/cluster-b/anopheline-sialome-cds-pep-larger-orf60-50SimCLU3.txt", 3)</f>
        <v>3</v>
      </c>
      <c r="CA155">
        <f>HYPERLINK("http://exon.niaid.nih.gov/transcriptome/Anopheles_sialome/links/cluster-b/anopheline-sialome-cds-pep-larger-orf60-50SimCLTL3.txt", 40)</f>
        <v>40</v>
      </c>
      <c r="CB155">
        <f>HYPERLINK("http://exon.niaid.nih.gov/transcriptome/Anopheles_sialome/links/cluster-b/anopheline-sialome-cds-pep-larger-orf65-50SimCLU2.txt", 2)</f>
        <v>2</v>
      </c>
      <c r="CC155">
        <f>HYPERLINK("http://exon.niaid.nih.gov/transcriptome/Anopheles_sialome/links/cluster-b/anopheline-sialome-cds-pep-larger-orf65-50SimCLTL2.txt", 40)</f>
        <v>40</v>
      </c>
      <c r="CD155">
        <f>HYPERLINK("http://exon.niaid.nih.gov/transcriptome/Anopheles_sialome/links/cluster-b/anopheline-sialome-cds-pep-larger-orf70-50SimCLU6.txt", 6)</f>
        <v>6</v>
      </c>
      <c r="CE155">
        <f>HYPERLINK("http://exon.niaid.nih.gov/transcriptome/Anopheles_sialome/links/cluster-b/anopheline-sialome-cds-pep-larger-orf70-50SimCLTL6.txt", 21)</f>
        <v>21</v>
      </c>
      <c r="CF155">
        <f>HYPERLINK("http://exon.niaid.nih.gov/transcriptome/Anopheles_sialome/links/cluster-b/anopheline-sialome-cds-pep-larger-orf75-50SimCLU5.txt", 5)</f>
        <v>5</v>
      </c>
      <c r="CG155">
        <f>HYPERLINK("http://exon.niaid.nih.gov/transcriptome/Anopheles_sialome/links/cluster-b/anopheline-sialome-cds-pep-larger-orf75-50SimCLTL5.txt", 21)</f>
        <v>21</v>
      </c>
      <c r="CH155">
        <f>HYPERLINK("http://exon.niaid.nih.gov/transcriptome/Anopheles_sialome/links/cluster-b/anopheline-sialome-cds-pep-larger-orf80-50SimCLU3.txt", 3)</f>
        <v>3</v>
      </c>
      <c r="CI155">
        <f>HYPERLINK("http://exon.niaid.nih.gov/transcriptome/Anopheles_sialome/links/cluster-b/anopheline-sialome-cds-pep-larger-orf80-50SimCLTL3.txt", 21)</f>
        <v>21</v>
      </c>
      <c r="CJ155">
        <f>HYPERLINK("http://exon.niaid.nih.gov/transcriptome/Anopheles_sialome/links/cluster-b/anopheline-sialome-cds-pep-larger-orf85-50SimCLU2.txt", 2)</f>
        <v>2</v>
      </c>
      <c r="CK155">
        <f>HYPERLINK("http://exon.niaid.nih.gov/transcriptome/Anopheles_sialome/links/cluster-b/anopheline-sialome-cds-pep-larger-orf85-50SimCLTL2.txt", 21)</f>
        <v>21</v>
      </c>
      <c r="CL155">
        <v>307</v>
      </c>
      <c r="CM155">
        <v>1</v>
      </c>
      <c r="CN155">
        <v>372</v>
      </c>
      <c r="CO155">
        <v>1</v>
      </c>
    </row>
    <row r="156" spans="1:93">
      <c r="A156" s="2" t="str">
        <f>HYPERLINK("http://exon.niaid.nih.gov/transcriptome/Anopheles_sialome/links/cds/anosin_Sal_SerPro3-cds.txt","anosin_Sal_SerPro3")</f>
        <v>anosin_Sal_SerPro3</v>
      </c>
      <c r="B156">
        <v>1188</v>
      </c>
      <c r="C156" t="s">
        <v>402</v>
      </c>
      <c r="D156" t="s">
        <v>7</v>
      </c>
      <c r="E156" t="s">
        <v>5</v>
      </c>
      <c r="F156" t="s">
        <v>1</v>
      </c>
      <c r="G156" t="str">
        <f>HYPERLINK("http://exon.niaid.nih.gov/transcriptome/Anopheles_sialome/links/pep/anosin_Sal_SerPro3-pep.txt","anosin_Sal_SerPro3")</f>
        <v>anosin_Sal_SerPro3</v>
      </c>
      <c r="H156">
        <v>395</v>
      </c>
      <c r="I156">
        <v>1</v>
      </c>
      <c r="J156" s="3" t="str">
        <f>HYPERLINK("http://exon.niaid.nih.gov/transcriptome/Anopheles_sialome/links/Sigp/anosin_Sal_SerPro3-SigP.txt","SIG")</f>
        <v>SIG</v>
      </c>
      <c r="K156" t="s">
        <v>695</v>
      </c>
      <c r="L156">
        <v>42.43</v>
      </c>
      <c r="M156">
        <v>7.8</v>
      </c>
      <c r="N156">
        <v>40.301000000000002</v>
      </c>
      <c r="O156">
        <v>7.88</v>
      </c>
      <c r="P156" t="s">
        <v>1688</v>
      </c>
      <c r="Q156" s="3" t="str">
        <f>HYPERLINK("http://exon.niaid.nih.gov/transcriptome/Anopheles_sialome/links/tmhmm/anosin_Sal_SerPro3-tmhmm.txt","1")</f>
        <v>1</v>
      </c>
      <c r="R156">
        <v>5.6</v>
      </c>
      <c r="S156">
        <v>93.9</v>
      </c>
      <c r="T156">
        <v>0.5</v>
      </c>
      <c r="U156" t="s">
        <v>128</v>
      </c>
      <c r="V156">
        <v>371</v>
      </c>
      <c r="W156" s="3" t="str">
        <f>HYPERLINK("http://exon.niaid.nih.gov/transcriptome/Anopheles_sialome/links/netoglyc/anosin_Sal_SerPro3-netoglyc.txt","0")</f>
        <v>0</v>
      </c>
      <c r="X156">
        <v>21</v>
      </c>
      <c r="Y156">
        <v>9.6</v>
      </c>
      <c r="Z156">
        <v>4.3</v>
      </c>
      <c r="AA156" t="s">
        <v>654</v>
      </c>
      <c r="AB156" t="s">
        <v>128</v>
      </c>
      <c r="AC156" s="2" t="str">
        <f>HYPERLINK("http://exon.niaid.nih.gov/transcriptome/Anopheles_sialome/links/DIPTERA/anosin_Sal_SerPro3-DIPTERA.txt","AGAP011913-PA-like protein")</f>
        <v>AGAP011913-PA-like protein</v>
      </c>
      <c r="AD156" t="str">
        <f>HYPERLINK("http://www.ncbi.nlm.nih.gov/sutils/blink.cgi?pid=668462586","0.0")</f>
        <v>0.0</v>
      </c>
      <c r="AE156" t="str">
        <f>HYPERLINK("http://www.ncbi.nlm.nih.gov/protein/668462586","gi|668462586")</f>
        <v>gi|668462586</v>
      </c>
      <c r="AF156">
        <v>99</v>
      </c>
      <c r="AG156">
        <v>100</v>
      </c>
      <c r="AH156">
        <v>100</v>
      </c>
      <c r="AI156" t="s">
        <v>2277</v>
      </c>
      <c r="AJ156" s="2" t="str">
        <f>HYPERLINK("http://exon.niaid.nih.gov/transcriptome/Anopheles_sialome/links/CULICOMORPHA/anosin_Sal_SerPro3-CULICOMORPHA.txt","AGAP011913-PA-like protein")</f>
        <v>AGAP011913-PA-like protein</v>
      </c>
      <c r="AK156" t="str">
        <f>HYPERLINK("http://www.ncbi.nlm.nih.gov/sutils/blink.cgi?pid=668462586","0.0")</f>
        <v>0.0</v>
      </c>
      <c r="AL156" t="str">
        <f>HYPERLINK("http://www.ncbi.nlm.nih.gov/protein/668462586","gi|668462586")</f>
        <v>gi|668462586</v>
      </c>
      <c r="AM156">
        <v>99</v>
      </c>
      <c r="AN156">
        <v>100</v>
      </c>
      <c r="AO156">
        <v>100</v>
      </c>
      <c r="AP156" t="s">
        <v>2277</v>
      </c>
      <c r="AQ156" s="2" t="str">
        <f>HYPERLINK("http://exon.niaid.nih.gov/transcriptome/Anopheles_sialome/links/NR-LIGHT/anosin_Sal_SerPro3-NR-LIGHT.txt","AGAP011913-PA-like protein")</f>
        <v>AGAP011913-PA-like protein</v>
      </c>
      <c r="AR156" t="str">
        <f>HYPERLINK("http://www.ncbi.nlm.nih.gov/sutils/blink.cgi?pid=668462586","0.0")</f>
        <v>0.0</v>
      </c>
      <c r="AS156" t="str">
        <f>HYPERLINK("http://www.ncbi.nlm.nih.gov/protein/668462586","gi|668462586")</f>
        <v>gi|668462586</v>
      </c>
      <c r="AT156">
        <v>99</v>
      </c>
      <c r="AU156">
        <v>100</v>
      </c>
      <c r="AV156">
        <v>100</v>
      </c>
      <c r="AW156" t="s">
        <v>2277</v>
      </c>
      <c r="AX156" s="2" t="str">
        <f>HYPERLINK("http://exon.niaid.nih.gov/transcriptome/Anopheles_sialome/links/CDD/anosin_Sal_SerPro3-CDD.txt","Tryp_SPc")</f>
        <v>Tryp_SPc</v>
      </c>
      <c r="AY156" t="str">
        <f>HYPERLINK("http://www.ncbi.nlm.nih.gov/Structure/cdd/cddsrv.cgi?uid=cd00190&amp;version=v4.0","2E-052")</f>
        <v>2E-052</v>
      </c>
      <c r="AZ156" t="s">
        <v>2840</v>
      </c>
      <c r="BA156" s="2" t="str">
        <f>HYPERLINK("http://exon.niaid.nih.gov/transcriptome/Anopheles_sialome/links/KOG/anosin_Sal_SerPro3-KOG.txt","Trypsin")</f>
        <v>Trypsin</v>
      </c>
      <c r="BB156" t="str">
        <f>HYPERLINK("http://www.ncbi.nlm.nih.gov/Structure/cdd/cddsrv.cgi?uid=KOG3627","1E-043")</f>
        <v>1E-043</v>
      </c>
      <c r="BC156" t="s">
        <v>2287</v>
      </c>
      <c r="BD156" t="str">
        <f>HYPERLINK("http://exon.niaid.nih.gov/transcriptome/Anopheles_sialome/links/KOG/anosin_Sal_SerPro3-KOG.txt","KOG3627")</f>
        <v>KOG3627</v>
      </c>
      <c r="BE156" t="str">
        <f>HYPERLINK("http://exon.niaid.nih.gov/transcriptome/Anopheles_sialome/links/PFAM/anosin_Sal_SerPro3-PFAM.txt","Trypsin")</f>
        <v>Trypsin</v>
      </c>
      <c r="BF156" t="str">
        <f>HYPERLINK("http://pfam.sanger.ac.uk/family?acc=PF00089","1E-040")</f>
        <v>1E-040</v>
      </c>
      <c r="BG156" s="2" t="str">
        <f>HYPERLINK("http://exon.niaid.nih.gov/transcriptome/Anopheles_sialome/links/SMART/anosin_Sal_SerPro3-SMART.txt","Tryp_SPc")</f>
        <v>Tryp_SPc</v>
      </c>
      <c r="BH156" t="str">
        <f>HYPERLINK("http://smart.embl-heidelberg.de/smart/do_annotation.pl?DOMAIN=Tryp_SPc&amp;BLAST=DUMMY","2E-053")</f>
        <v>2E-053</v>
      </c>
      <c r="BI156" t="s">
        <v>128</v>
      </c>
      <c r="BJ156" s="2" t="s">
        <v>128</v>
      </c>
      <c r="BK156" t="s">
        <v>1687</v>
      </c>
      <c r="BL156">
        <f>HYPERLINK("http://exon.niaid.nih.gov/transcriptome/Anopheles_sialome/links/cluster-b/anopheline-sialome-cds-pep-larger-orf25-50SimCLU5.txt", 5)</f>
        <v>5</v>
      </c>
      <c r="BM156">
        <f>HYPERLINK("http://exon.niaid.nih.gov/transcriptome/Anopheles_sialome/links/cluster-b/anopheline-sialome-cds-pep-larger-orf25-50SimCLTL5.txt", 56)</f>
        <v>56</v>
      </c>
      <c r="BN156">
        <f>HYPERLINK("http://exon.niaid.nih.gov/transcriptome/Anopheles_sialome/links/cluster-b/anopheline-sialome-cds-pep-larger-orf30-50SimCLU7.txt", 7)</f>
        <v>7</v>
      </c>
      <c r="BO156">
        <f>HYPERLINK("http://exon.niaid.nih.gov/transcriptome/Anopheles_sialome/links/cluster-b/anopheline-sialome-cds-pep-larger-orf30-50SimCLTL7.txt", 40)</f>
        <v>40</v>
      </c>
      <c r="BP156">
        <f>HYPERLINK("http://exon.niaid.nih.gov/transcriptome/Anopheles_sialome/links/cluster-b/anopheline-sialome-cds-pep-larger-orf35-50SimCLU8.txt", 8)</f>
        <v>8</v>
      </c>
      <c r="BQ156">
        <f>HYPERLINK("http://exon.niaid.nih.gov/transcriptome/Anopheles_sialome/links/cluster-b/anopheline-sialome-cds-pep-larger-orf35-50SimCLTL8.txt", 40)</f>
        <v>40</v>
      </c>
      <c r="BR156">
        <f>HYPERLINK("http://exon.niaid.nih.gov/transcriptome/Anopheles_sialome/links/cluster-b/anopheline-sialome-cds-pep-larger-orf40-50SimCLU5.txt", 5)</f>
        <v>5</v>
      </c>
      <c r="BS156">
        <f>HYPERLINK("http://exon.niaid.nih.gov/transcriptome/Anopheles_sialome/links/cluster-b/anopheline-sialome-cds-pep-larger-orf40-50SimCLTL5.txt", 40)</f>
        <v>40</v>
      </c>
      <c r="BT156">
        <f>HYPERLINK("http://exon.niaid.nih.gov/transcriptome/Anopheles_sialome/links/cluster-b/anopheline-sialome-cds-pep-larger-orf45-50SimCLU4.txt", 4)</f>
        <v>4</v>
      </c>
      <c r="BU156">
        <f>HYPERLINK("http://exon.niaid.nih.gov/transcriptome/Anopheles_sialome/links/cluster-b/anopheline-sialome-cds-pep-larger-orf45-50SimCLTL4.txt", 40)</f>
        <v>40</v>
      </c>
      <c r="BV156">
        <f>HYPERLINK("http://exon.niaid.nih.gov/transcriptome/Anopheles_sialome/links/cluster-b/anopheline-sialome-cds-pep-larger-orf50-50SimCLU4.txt", 4)</f>
        <v>4</v>
      </c>
      <c r="BW156">
        <f>HYPERLINK("http://exon.niaid.nih.gov/transcriptome/Anopheles_sialome/links/cluster-b/anopheline-sialome-cds-pep-larger-orf50-50SimCLTL4.txt", 40)</f>
        <v>40</v>
      </c>
      <c r="BX156">
        <f>HYPERLINK("http://exon.niaid.nih.gov/transcriptome/Anopheles_sialome/links/cluster-b/anopheline-sialome-cds-pep-larger-orf55-50SimCLU4.txt", 4)</f>
        <v>4</v>
      </c>
      <c r="BY156">
        <f>HYPERLINK("http://exon.niaid.nih.gov/transcriptome/Anopheles_sialome/links/cluster-b/anopheline-sialome-cds-pep-larger-orf55-50SimCLTL4.txt", 40)</f>
        <v>40</v>
      </c>
      <c r="BZ156">
        <f>HYPERLINK("http://exon.niaid.nih.gov/transcriptome/Anopheles_sialome/links/cluster-b/anopheline-sialome-cds-pep-larger-orf60-50SimCLU3.txt", 3)</f>
        <v>3</v>
      </c>
      <c r="CA156">
        <f>HYPERLINK("http://exon.niaid.nih.gov/transcriptome/Anopheles_sialome/links/cluster-b/anopheline-sialome-cds-pep-larger-orf60-50SimCLTL3.txt", 40)</f>
        <v>40</v>
      </c>
      <c r="CB156">
        <f>HYPERLINK("http://exon.niaid.nih.gov/transcriptome/Anopheles_sialome/links/cluster-b/anopheline-sialome-cds-pep-larger-orf65-50SimCLU2.txt", 2)</f>
        <v>2</v>
      </c>
      <c r="CC156">
        <f>HYPERLINK("http://exon.niaid.nih.gov/transcriptome/Anopheles_sialome/links/cluster-b/anopheline-sialome-cds-pep-larger-orf65-50SimCLTL2.txt", 40)</f>
        <v>40</v>
      </c>
      <c r="CD156">
        <f>HYPERLINK("http://exon.niaid.nih.gov/transcriptome/Anopheles_sialome/links/cluster-b/anopheline-sialome-cds-pep-larger-orf70-50SimCLU6.txt", 6)</f>
        <v>6</v>
      </c>
      <c r="CE156">
        <f>HYPERLINK("http://exon.niaid.nih.gov/transcriptome/Anopheles_sialome/links/cluster-b/anopheline-sialome-cds-pep-larger-orf70-50SimCLTL6.txt", 21)</f>
        <v>21</v>
      </c>
      <c r="CF156">
        <f>HYPERLINK("http://exon.niaid.nih.gov/transcriptome/Anopheles_sialome/links/cluster-b/anopheline-sialome-cds-pep-larger-orf75-50SimCLU5.txt", 5)</f>
        <v>5</v>
      </c>
      <c r="CG156">
        <f>HYPERLINK("http://exon.niaid.nih.gov/transcriptome/Anopheles_sialome/links/cluster-b/anopheline-sialome-cds-pep-larger-orf75-50SimCLTL5.txt", 21)</f>
        <v>21</v>
      </c>
      <c r="CH156">
        <f>HYPERLINK("http://exon.niaid.nih.gov/transcriptome/Anopheles_sialome/links/cluster-b/anopheline-sialome-cds-pep-larger-orf80-50SimCLU3.txt", 3)</f>
        <v>3</v>
      </c>
      <c r="CI156">
        <f>HYPERLINK("http://exon.niaid.nih.gov/transcriptome/Anopheles_sialome/links/cluster-b/anopheline-sialome-cds-pep-larger-orf80-50SimCLTL3.txt", 21)</f>
        <v>21</v>
      </c>
      <c r="CJ156">
        <f>HYPERLINK("http://exon.niaid.nih.gov/transcriptome/Anopheles_sialome/links/cluster-b/anopheline-sialome-cds-pep-larger-orf85-50SimCLU2.txt", 2)</f>
        <v>2</v>
      </c>
      <c r="CK156">
        <f>HYPERLINK("http://exon.niaid.nih.gov/transcriptome/Anopheles_sialome/links/cluster-b/anopheline-sialome-cds-pep-larger-orf85-50SimCLTL2.txt", 21)</f>
        <v>21</v>
      </c>
      <c r="CL156">
        <v>308</v>
      </c>
      <c r="CM156">
        <v>1</v>
      </c>
      <c r="CN156">
        <v>373</v>
      </c>
      <c r="CO156">
        <v>1</v>
      </c>
    </row>
    <row r="157" spans="1:93">
      <c r="A157" s="2" t="str">
        <f>HYPERLINK("http://exon.niaid.nih.gov/transcriptome/Anopheles_sialome/links/cds/anoalb_Sal_SerPro3-cds.txt","anoalb_Sal_SerPro3")</f>
        <v>anoalb_Sal_SerPro3</v>
      </c>
      <c r="B157">
        <v>1185</v>
      </c>
      <c r="C157" t="s">
        <v>403</v>
      </c>
      <c r="D157" t="s">
        <v>4</v>
      </c>
      <c r="E157" t="s">
        <v>5</v>
      </c>
      <c r="F157" t="s">
        <v>1</v>
      </c>
      <c r="G157" t="str">
        <f>HYPERLINK("http://exon.niaid.nih.gov/transcriptome/Anopheles_sialome/links/pep/anoalb_Sal_SerPro3-pep.txt","anoalb_Sal_SerPro3")</f>
        <v>anoalb_Sal_SerPro3</v>
      </c>
      <c r="H157">
        <v>394</v>
      </c>
      <c r="I157">
        <v>1</v>
      </c>
      <c r="J157" s="3" t="str">
        <f>HYPERLINK("http://exon.niaid.nih.gov/transcriptome/Anopheles_sialome/links/Sigp/anoalb_Sal_SerPro3-SigP.txt","SIG")</f>
        <v>SIG</v>
      </c>
      <c r="K157" t="s">
        <v>689</v>
      </c>
      <c r="L157">
        <v>42.363999999999997</v>
      </c>
      <c r="M157">
        <v>8.08</v>
      </c>
      <c r="N157">
        <v>40.281999999999996</v>
      </c>
      <c r="O157">
        <v>8.1</v>
      </c>
      <c r="P157" t="s">
        <v>1690</v>
      </c>
      <c r="Q157" s="3" t="str">
        <f>HYPERLINK("http://exon.niaid.nih.gov/transcriptome/Anopheles_sialome/links/tmhmm/anoalb_Sal_SerPro3-tmhmm.txt","1")</f>
        <v>1</v>
      </c>
      <c r="R157">
        <v>5.6</v>
      </c>
      <c r="S157">
        <v>93.9</v>
      </c>
      <c r="T157">
        <v>0.5</v>
      </c>
      <c r="U157" t="s">
        <v>128</v>
      </c>
      <c r="V157">
        <v>370</v>
      </c>
      <c r="W157" s="3" t="str">
        <f>HYPERLINK("http://exon.niaid.nih.gov/transcriptome/Anopheles_sialome/links/netoglyc/anoalb_Sal_SerPro3-netoglyc.txt","0")</f>
        <v>0</v>
      </c>
      <c r="X157">
        <v>21.3</v>
      </c>
      <c r="Y157">
        <v>9.4</v>
      </c>
      <c r="Z157">
        <v>4.3</v>
      </c>
      <c r="AA157" t="s">
        <v>654</v>
      </c>
      <c r="AB157" t="s">
        <v>128</v>
      </c>
      <c r="AC157" s="2" t="str">
        <f>HYPERLINK("http://exon.niaid.nih.gov/transcriptome/Anopheles_sialome/links/DIPTERA/anoalb_Sal_SerPro3-DIPTERA.txt","putative proteolysis, partial")</f>
        <v>putative proteolysis, partial</v>
      </c>
      <c r="AD157" t="str">
        <f>HYPERLINK("http://www.ncbi.nlm.nih.gov/sutils/blink.cgi?pid=524946466","0.0")</f>
        <v>0.0</v>
      </c>
      <c r="AE157" t="str">
        <f>HYPERLINK("http://www.ncbi.nlm.nih.gov/protein/524946466","gi|524946466")</f>
        <v>gi|524946466</v>
      </c>
      <c r="AF157">
        <v>92</v>
      </c>
      <c r="AG157">
        <v>94</v>
      </c>
      <c r="AH157">
        <v>97</v>
      </c>
      <c r="AI157" t="s">
        <v>2477</v>
      </c>
      <c r="AJ157" s="2" t="str">
        <f>HYPERLINK("http://exon.niaid.nih.gov/transcriptome/Anopheles_sialome/links/CULICOMORPHA/anoalb_Sal_SerPro3-CULICOMORPHA.txt","putative proteolysis, partial")</f>
        <v>putative proteolysis, partial</v>
      </c>
      <c r="AK157" t="str">
        <f>HYPERLINK("http://www.ncbi.nlm.nih.gov/sutils/blink.cgi?pid=524946466","0.0")</f>
        <v>0.0</v>
      </c>
      <c r="AL157" t="str">
        <f>HYPERLINK("http://www.ncbi.nlm.nih.gov/protein/524946466","gi|524946466")</f>
        <v>gi|524946466</v>
      </c>
      <c r="AM157">
        <v>92</v>
      </c>
      <c r="AN157">
        <v>94</v>
      </c>
      <c r="AO157">
        <v>97</v>
      </c>
      <c r="AP157" t="s">
        <v>2477</v>
      </c>
      <c r="AQ157" s="2" t="str">
        <f>HYPERLINK("http://exon.niaid.nih.gov/transcriptome/Anopheles_sialome/links/NR-LIGHT/anoalb_Sal_SerPro3-NR-LIGHT.txt","AGAP011913-PA-like protein")</f>
        <v>AGAP011913-PA-like protein</v>
      </c>
      <c r="AR157" t="str">
        <f>HYPERLINK("http://www.ncbi.nlm.nih.gov/sutils/blink.cgi?pid=668462586","1E-175")</f>
        <v>1E-175</v>
      </c>
      <c r="AS157" t="str">
        <f>HYPERLINK("http://www.ncbi.nlm.nih.gov/protein/668462586","gi|668462586")</f>
        <v>gi|668462586</v>
      </c>
      <c r="AT157">
        <v>74</v>
      </c>
      <c r="AU157">
        <v>84</v>
      </c>
      <c r="AV157">
        <v>99</v>
      </c>
      <c r="AW157" t="s">
        <v>2277</v>
      </c>
      <c r="AX157" s="2" t="str">
        <f>HYPERLINK("http://exon.niaid.nih.gov/transcriptome/Anopheles_sialome/links/CDD/anoalb_Sal_SerPro3-CDD.txt","Tryp_SPc")</f>
        <v>Tryp_SPc</v>
      </c>
      <c r="AY157" t="str">
        <f>HYPERLINK("http://www.ncbi.nlm.nih.gov/Structure/cdd/cddsrv.cgi?uid=smart00020&amp;version=v4.0","1E-044")</f>
        <v>1E-044</v>
      </c>
      <c r="AZ157" t="s">
        <v>2841</v>
      </c>
      <c r="BA157" s="2" t="str">
        <f>HYPERLINK("http://exon.niaid.nih.gov/transcriptome/Anopheles_sialome/links/KOG/anoalb_Sal_SerPro3-KOG.txt","Trypsin")</f>
        <v>Trypsin</v>
      </c>
      <c r="BB157" t="str">
        <f>HYPERLINK("http://www.ncbi.nlm.nih.gov/Structure/cdd/cddsrv.cgi?uid=KOG3627","2E-037")</f>
        <v>2E-037</v>
      </c>
      <c r="BC157" t="s">
        <v>2287</v>
      </c>
      <c r="BD157" t="str">
        <f>HYPERLINK("http://exon.niaid.nih.gov/transcriptome/Anopheles_sialome/links/KOG/anoalb_Sal_SerPro3-KOG.txt","KOG3627")</f>
        <v>KOG3627</v>
      </c>
      <c r="BE157" t="str">
        <f>HYPERLINK("http://exon.niaid.nih.gov/transcriptome/Anopheles_sialome/links/PFAM/anoalb_Sal_SerPro3-PFAM.txt","Trypsin")</f>
        <v>Trypsin</v>
      </c>
      <c r="BF157" t="str">
        <f>HYPERLINK("http://pfam.sanger.ac.uk/family?acc=PF00089","2E-032")</f>
        <v>2E-032</v>
      </c>
      <c r="BG157" s="2" t="str">
        <f>HYPERLINK("http://exon.niaid.nih.gov/transcriptome/Anopheles_sialome/links/SMART/anoalb_Sal_SerPro3-SMART.txt","Tryp_SPc")</f>
        <v>Tryp_SPc</v>
      </c>
      <c r="BH157" t="str">
        <f>HYPERLINK("http://smart.embl-heidelberg.de/smart/do_annotation.pl?DOMAIN=Tryp_SPc&amp;BLAST=DUMMY","9E-047")</f>
        <v>9E-047</v>
      </c>
      <c r="BI157" t="s">
        <v>128</v>
      </c>
      <c r="BJ157" s="2" t="s">
        <v>128</v>
      </c>
      <c r="BK157" t="s">
        <v>1689</v>
      </c>
      <c r="BL157">
        <f>HYPERLINK("http://exon.niaid.nih.gov/transcriptome/Anopheles_sialome/links/cluster-b/anopheline-sialome-cds-pep-larger-orf25-50SimCLU5.txt", 5)</f>
        <v>5</v>
      </c>
      <c r="BM157">
        <f>HYPERLINK("http://exon.niaid.nih.gov/transcriptome/Anopheles_sialome/links/cluster-b/anopheline-sialome-cds-pep-larger-orf25-50SimCLTL5.txt", 56)</f>
        <v>56</v>
      </c>
      <c r="BN157">
        <f>HYPERLINK("http://exon.niaid.nih.gov/transcriptome/Anopheles_sialome/links/cluster-b/anopheline-sialome-cds-pep-larger-orf30-50SimCLU7.txt", 7)</f>
        <v>7</v>
      </c>
      <c r="BO157">
        <f>HYPERLINK("http://exon.niaid.nih.gov/transcriptome/Anopheles_sialome/links/cluster-b/anopheline-sialome-cds-pep-larger-orf30-50SimCLTL7.txt", 40)</f>
        <v>40</v>
      </c>
      <c r="BP157">
        <f>HYPERLINK("http://exon.niaid.nih.gov/transcriptome/Anopheles_sialome/links/cluster-b/anopheline-sialome-cds-pep-larger-orf35-50SimCLU8.txt", 8)</f>
        <v>8</v>
      </c>
      <c r="BQ157">
        <f>HYPERLINK("http://exon.niaid.nih.gov/transcriptome/Anopheles_sialome/links/cluster-b/anopheline-sialome-cds-pep-larger-orf35-50SimCLTL8.txt", 40)</f>
        <v>40</v>
      </c>
      <c r="BR157">
        <f>HYPERLINK("http://exon.niaid.nih.gov/transcriptome/Anopheles_sialome/links/cluster-b/anopheline-sialome-cds-pep-larger-orf40-50SimCLU5.txt", 5)</f>
        <v>5</v>
      </c>
      <c r="BS157">
        <f>HYPERLINK("http://exon.niaid.nih.gov/transcriptome/Anopheles_sialome/links/cluster-b/anopheline-sialome-cds-pep-larger-orf40-50SimCLTL5.txt", 40)</f>
        <v>40</v>
      </c>
      <c r="BT157">
        <f>HYPERLINK("http://exon.niaid.nih.gov/transcriptome/Anopheles_sialome/links/cluster-b/anopheline-sialome-cds-pep-larger-orf45-50SimCLU4.txt", 4)</f>
        <v>4</v>
      </c>
      <c r="BU157">
        <f>HYPERLINK("http://exon.niaid.nih.gov/transcriptome/Anopheles_sialome/links/cluster-b/anopheline-sialome-cds-pep-larger-orf45-50SimCLTL4.txt", 40)</f>
        <v>40</v>
      </c>
      <c r="BV157">
        <f>HYPERLINK("http://exon.niaid.nih.gov/transcriptome/Anopheles_sialome/links/cluster-b/anopheline-sialome-cds-pep-larger-orf50-50SimCLU4.txt", 4)</f>
        <v>4</v>
      </c>
      <c r="BW157">
        <f>HYPERLINK("http://exon.niaid.nih.gov/transcriptome/Anopheles_sialome/links/cluster-b/anopheline-sialome-cds-pep-larger-orf50-50SimCLTL4.txt", 40)</f>
        <v>40</v>
      </c>
      <c r="BX157">
        <f>HYPERLINK("http://exon.niaid.nih.gov/transcriptome/Anopheles_sialome/links/cluster-b/anopheline-sialome-cds-pep-larger-orf55-50SimCLU4.txt", 4)</f>
        <v>4</v>
      </c>
      <c r="BY157">
        <f>HYPERLINK("http://exon.niaid.nih.gov/transcriptome/Anopheles_sialome/links/cluster-b/anopheline-sialome-cds-pep-larger-orf55-50SimCLTL4.txt", 40)</f>
        <v>40</v>
      </c>
      <c r="BZ157">
        <f>HYPERLINK("http://exon.niaid.nih.gov/transcriptome/Anopheles_sialome/links/cluster-b/anopheline-sialome-cds-pep-larger-orf60-50SimCLU3.txt", 3)</f>
        <v>3</v>
      </c>
      <c r="CA157">
        <f>HYPERLINK("http://exon.niaid.nih.gov/transcriptome/Anopheles_sialome/links/cluster-b/anopheline-sialome-cds-pep-larger-orf60-50SimCLTL3.txt", 40)</f>
        <v>40</v>
      </c>
      <c r="CB157">
        <f>HYPERLINK("http://exon.niaid.nih.gov/transcriptome/Anopheles_sialome/links/cluster-b/anopheline-sialome-cds-pep-larger-orf65-50SimCLU2.txt", 2)</f>
        <v>2</v>
      </c>
      <c r="CC157">
        <f>HYPERLINK("http://exon.niaid.nih.gov/transcriptome/Anopheles_sialome/links/cluster-b/anopheline-sialome-cds-pep-larger-orf65-50SimCLTL2.txt", 40)</f>
        <v>40</v>
      </c>
      <c r="CD157">
        <f>HYPERLINK("http://exon.niaid.nih.gov/transcriptome/Anopheles_sialome/links/cluster-b/anopheline-sialome-cds-pep-larger-orf70-50SimCLU6.txt", 6)</f>
        <v>6</v>
      </c>
      <c r="CE157">
        <f>HYPERLINK("http://exon.niaid.nih.gov/transcriptome/Anopheles_sialome/links/cluster-b/anopheline-sialome-cds-pep-larger-orf70-50SimCLTL6.txt", 21)</f>
        <v>21</v>
      </c>
      <c r="CF157">
        <f>HYPERLINK("http://exon.niaid.nih.gov/transcriptome/Anopheles_sialome/links/cluster-b/anopheline-sialome-cds-pep-larger-orf75-50SimCLU5.txt", 5)</f>
        <v>5</v>
      </c>
      <c r="CG157">
        <f>HYPERLINK("http://exon.niaid.nih.gov/transcriptome/Anopheles_sialome/links/cluster-b/anopheline-sialome-cds-pep-larger-orf75-50SimCLTL5.txt", 21)</f>
        <v>21</v>
      </c>
      <c r="CH157">
        <f>HYPERLINK("http://exon.niaid.nih.gov/transcriptome/Anopheles_sialome/links/cluster-b/anopheline-sialome-cds-pep-larger-orf80-50SimCLU3.txt", 3)</f>
        <v>3</v>
      </c>
      <c r="CI157">
        <f>HYPERLINK("http://exon.niaid.nih.gov/transcriptome/Anopheles_sialome/links/cluster-b/anopheline-sialome-cds-pep-larger-orf80-50SimCLTL3.txt", 21)</f>
        <v>21</v>
      </c>
      <c r="CJ157">
        <f>HYPERLINK("http://exon.niaid.nih.gov/transcriptome/Anopheles_sialome/links/cluster-b/anopheline-sialome-cds-pep-larger-orf85-50SimCLU2.txt", 2)</f>
        <v>2</v>
      </c>
      <c r="CK157">
        <f>HYPERLINK("http://exon.niaid.nih.gov/transcriptome/Anopheles_sialome/links/cluster-b/anopheline-sialome-cds-pep-larger-orf85-50SimCLTL2.txt", 21)</f>
        <v>21</v>
      </c>
      <c r="CL157">
        <f>HYPERLINK("http://exon.niaid.nih.gov/transcriptome/Anopheles_sialome/links/cluster-b/anopheline-sialome-cds-pep-larger-orf90-50SimCLU81.txt", 81)</f>
        <v>81</v>
      </c>
      <c r="CM157">
        <f>HYPERLINK("http://exon.niaid.nih.gov/transcriptome/Anopheles_sialome/links/cluster-b/anopheline-sialome-cds-pep-larger-orf90-50SimCLTL81.txt", 2)</f>
        <v>2</v>
      </c>
      <c r="CN157">
        <v>374</v>
      </c>
      <c r="CO157">
        <v>1</v>
      </c>
    </row>
    <row r="158" spans="1:93">
      <c r="A158" s="2" t="str">
        <f>HYPERLINK("http://exon.niaid.nih.gov/transcriptome/Anopheles_sialome/links/cds/anodar_Sal_SerPro3-cds.txt","anodar_Sal_SerPro3")</f>
        <v>anodar_Sal_SerPro3</v>
      </c>
      <c r="B158">
        <v>1185</v>
      </c>
      <c r="C158" t="s">
        <v>4</v>
      </c>
      <c r="D158" t="s">
        <v>3178</v>
      </c>
      <c r="E158" t="s">
        <v>5</v>
      </c>
      <c r="F158" t="s">
        <v>1</v>
      </c>
      <c r="G158" t="str">
        <f>HYPERLINK("http://exon.niaid.nih.gov/transcriptome/Anopheles_sialome/links/pep/anodar_Sal_SerPro3-pep.txt","anodar_Sal_SerPro3")</f>
        <v>anodar_Sal_SerPro3</v>
      </c>
      <c r="H158">
        <v>394</v>
      </c>
      <c r="I158">
        <v>1</v>
      </c>
      <c r="J158" s="3" t="str">
        <f>HYPERLINK("http://exon.niaid.nih.gov/transcriptome/Anopheles_sialome/links/Sigp/anodar_Sal_SerPro3-SigP.txt","SIG")</f>
        <v>SIG</v>
      </c>
      <c r="K158" t="s">
        <v>689</v>
      </c>
      <c r="L158">
        <v>42.463000000000001</v>
      </c>
      <c r="M158">
        <v>7.34</v>
      </c>
      <c r="N158">
        <v>40.289000000000001</v>
      </c>
      <c r="O158">
        <v>7.5</v>
      </c>
      <c r="P158" t="s">
        <v>1692</v>
      </c>
      <c r="Q158" s="3">
        <v>0</v>
      </c>
      <c r="R158" t="s">
        <v>128</v>
      </c>
      <c r="S158" t="s">
        <v>128</v>
      </c>
      <c r="T158" t="s">
        <v>128</v>
      </c>
      <c r="U158" t="s">
        <v>128</v>
      </c>
      <c r="V158" t="s">
        <v>128</v>
      </c>
      <c r="W158" s="3" t="str">
        <f>HYPERLINK("http://exon.niaid.nih.gov/transcriptome/Anopheles_sialome/links/netoglyc/anodar_Sal_SerPro3-netoglyc.txt","0")</f>
        <v>0</v>
      </c>
      <c r="X158">
        <v>20.8</v>
      </c>
      <c r="Y158">
        <v>8.6</v>
      </c>
      <c r="Z158">
        <v>3.8</v>
      </c>
      <c r="AA158" t="s">
        <v>654</v>
      </c>
      <c r="AB158" t="s">
        <v>128</v>
      </c>
      <c r="AC158" s="2" t="str">
        <f>HYPERLINK("http://exon.niaid.nih.gov/transcriptome/Anopheles_sialome/links/DIPTERA/anodar_Sal_SerPro3-DIPTERA.txt","putative proteolysis, partial")</f>
        <v>putative proteolysis, partial</v>
      </c>
      <c r="AD158" t="str">
        <f>HYPERLINK("http://www.ncbi.nlm.nih.gov/sutils/blink.cgi?pid=524946466","0.0")</f>
        <v>0.0</v>
      </c>
      <c r="AE158" t="str">
        <f>HYPERLINK("http://www.ncbi.nlm.nih.gov/protein/524946466","gi|524946466")</f>
        <v>gi|524946466</v>
      </c>
      <c r="AF158">
        <v>91</v>
      </c>
      <c r="AG158">
        <v>94</v>
      </c>
      <c r="AH158">
        <v>97</v>
      </c>
      <c r="AI158" t="s">
        <v>2477</v>
      </c>
      <c r="AJ158" s="2" t="str">
        <f>HYPERLINK("http://exon.niaid.nih.gov/transcriptome/Anopheles_sialome/links/CULICOMORPHA/anodar_Sal_SerPro3-CULICOMORPHA.txt","putative proteolysis, partial")</f>
        <v>putative proteolysis, partial</v>
      </c>
      <c r="AK158" t="str">
        <f>HYPERLINK("http://www.ncbi.nlm.nih.gov/sutils/blink.cgi?pid=524946466","0.0")</f>
        <v>0.0</v>
      </c>
      <c r="AL158" t="str">
        <f>HYPERLINK("http://www.ncbi.nlm.nih.gov/protein/524946466","gi|524946466")</f>
        <v>gi|524946466</v>
      </c>
      <c r="AM158">
        <v>91</v>
      </c>
      <c r="AN158">
        <v>94</v>
      </c>
      <c r="AO158">
        <v>97</v>
      </c>
      <c r="AP158" t="s">
        <v>2477</v>
      </c>
      <c r="AQ158" s="2" t="str">
        <f>HYPERLINK("http://exon.niaid.nih.gov/transcriptome/Anopheles_sialome/links/NR-LIGHT/anodar_Sal_SerPro3-NR-LIGHT.txt","AGAP011913-PA-like protein")</f>
        <v>AGAP011913-PA-like protein</v>
      </c>
      <c r="AR158" t="str">
        <f>HYPERLINK("http://www.ncbi.nlm.nih.gov/sutils/blink.cgi?pid=668462586","1E-172")</f>
        <v>1E-172</v>
      </c>
      <c r="AS158" t="str">
        <f>HYPERLINK("http://www.ncbi.nlm.nih.gov/protein/668462586","gi|668462586")</f>
        <v>gi|668462586</v>
      </c>
      <c r="AT158">
        <v>72</v>
      </c>
      <c r="AU158">
        <v>83</v>
      </c>
      <c r="AV158">
        <v>99</v>
      </c>
      <c r="AW158" t="s">
        <v>2277</v>
      </c>
      <c r="AX158" s="2" t="str">
        <f>HYPERLINK("http://exon.niaid.nih.gov/transcriptome/Anopheles_sialome/links/CDD/anodar_Sal_SerPro3-CDD.txt","Tryp_SPc")</f>
        <v>Tryp_SPc</v>
      </c>
      <c r="AY158" t="str">
        <f>HYPERLINK("http://www.ncbi.nlm.nih.gov/Structure/cdd/cddsrv.cgi?uid=cd00190&amp;version=v4.0","1E-044")</f>
        <v>1E-044</v>
      </c>
      <c r="AZ158" t="s">
        <v>2842</v>
      </c>
      <c r="BA158" s="2" t="str">
        <f>HYPERLINK("http://exon.niaid.nih.gov/transcriptome/Anopheles_sialome/links/KOG/anodar_Sal_SerPro3-KOG.txt","Trypsin")</f>
        <v>Trypsin</v>
      </c>
      <c r="BB158" t="str">
        <f>HYPERLINK("http://www.ncbi.nlm.nih.gov/Structure/cdd/cddsrv.cgi?uid=KOG3627","2E-037")</f>
        <v>2E-037</v>
      </c>
      <c r="BC158" t="s">
        <v>2287</v>
      </c>
      <c r="BD158" t="str">
        <f>HYPERLINK("http://exon.niaid.nih.gov/transcriptome/Anopheles_sialome/links/KOG/anodar_Sal_SerPro3-KOG.txt","KOG3627")</f>
        <v>KOG3627</v>
      </c>
      <c r="BE158" t="str">
        <f>HYPERLINK("http://exon.niaid.nih.gov/transcriptome/Anopheles_sialome/links/PFAM/anodar_Sal_SerPro3-PFAM.txt","Trypsin")</f>
        <v>Trypsin</v>
      </c>
      <c r="BF158" t="str">
        <f>HYPERLINK("http://pfam.sanger.ac.uk/family?acc=PF00089","2E-033")</f>
        <v>2E-033</v>
      </c>
      <c r="BG158" s="2" t="str">
        <f>HYPERLINK("http://exon.niaid.nih.gov/transcriptome/Anopheles_sialome/links/SMART/anodar_Sal_SerPro3-SMART.txt","Tryp_SPc")</f>
        <v>Tryp_SPc</v>
      </c>
      <c r="BH158" t="str">
        <f>HYPERLINK("http://smart.embl-heidelberg.de/smart/do_annotation.pl?DOMAIN=Tryp_SPc&amp;BLAST=DUMMY","2E-046")</f>
        <v>2E-046</v>
      </c>
      <c r="BI158" t="s">
        <v>128</v>
      </c>
      <c r="BJ158" s="2" t="s">
        <v>128</v>
      </c>
      <c r="BK158" t="s">
        <v>1691</v>
      </c>
      <c r="BL158">
        <f>HYPERLINK("http://exon.niaid.nih.gov/transcriptome/Anopheles_sialome/links/cluster-b/anopheline-sialome-cds-pep-larger-orf25-50SimCLU5.txt", 5)</f>
        <v>5</v>
      </c>
      <c r="BM158">
        <f>HYPERLINK("http://exon.niaid.nih.gov/transcriptome/Anopheles_sialome/links/cluster-b/anopheline-sialome-cds-pep-larger-orf25-50SimCLTL5.txt", 56)</f>
        <v>56</v>
      </c>
      <c r="BN158">
        <f>HYPERLINK("http://exon.niaid.nih.gov/transcriptome/Anopheles_sialome/links/cluster-b/anopheline-sialome-cds-pep-larger-orf30-50SimCLU7.txt", 7)</f>
        <v>7</v>
      </c>
      <c r="BO158">
        <f>HYPERLINK("http://exon.niaid.nih.gov/transcriptome/Anopheles_sialome/links/cluster-b/anopheline-sialome-cds-pep-larger-orf30-50SimCLTL7.txt", 40)</f>
        <v>40</v>
      </c>
      <c r="BP158">
        <f>HYPERLINK("http://exon.niaid.nih.gov/transcriptome/Anopheles_sialome/links/cluster-b/anopheline-sialome-cds-pep-larger-orf35-50SimCLU8.txt", 8)</f>
        <v>8</v>
      </c>
      <c r="BQ158">
        <f>HYPERLINK("http://exon.niaid.nih.gov/transcriptome/Anopheles_sialome/links/cluster-b/anopheline-sialome-cds-pep-larger-orf35-50SimCLTL8.txt", 40)</f>
        <v>40</v>
      </c>
      <c r="BR158">
        <f>HYPERLINK("http://exon.niaid.nih.gov/transcriptome/Anopheles_sialome/links/cluster-b/anopheline-sialome-cds-pep-larger-orf40-50SimCLU5.txt", 5)</f>
        <v>5</v>
      </c>
      <c r="BS158">
        <f>HYPERLINK("http://exon.niaid.nih.gov/transcriptome/Anopheles_sialome/links/cluster-b/anopheline-sialome-cds-pep-larger-orf40-50SimCLTL5.txt", 40)</f>
        <v>40</v>
      </c>
      <c r="BT158">
        <f>HYPERLINK("http://exon.niaid.nih.gov/transcriptome/Anopheles_sialome/links/cluster-b/anopheline-sialome-cds-pep-larger-orf45-50SimCLU4.txt", 4)</f>
        <v>4</v>
      </c>
      <c r="BU158">
        <f>HYPERLINK("http://exon.niaid.nih.gov/transcriptome/Anopheles_sialome/links/cluster-b/anopheline-sialome-cds-pep-larger-orf45-50SimCLTL4.txt", 40)</f>
        <v>40</v>
      </c>
      <c r="BV158">
        <f>HYPERLINK("http://exon.niaid.nih.gov/transcriptome/Anopheles_sialome/links/cluster-b/anopheline-sialome-cds-pep-larger-orf50-50SimCLU4.txt", 4)</f>
        <v>4</v>
      </c>
      <c r="BW158">
        <f>HYPERLINK("http://exon.niaid.nih.gov/transcriptome/Anopheles_sialome/links/cluster-b/anopheline-sialome-cds-pep-larger-orf50-50SimCLTL4.txt", 40)</f>
        <v>40</v>
      </c>
      <c r="BX158">
        <f>HYPERLINK("http://exon.niaid.nih.gov/transcriptome/Anopheles_sialome/links/cluster-b/anopheline-sialome-cds-pep-larger-orf55-50SimCLU4.txt", 4)</f>
        <v>4</v>
      </c>
      <c r="BY158">
        <f>HYPERLINK("http://exon.niaid.nih.gov/transcriptome/Anopheles_sialome/links/cluster-b/anopheline-sialome-cds-pep-larger-orf55-50SimCLTL4.txt", 40)</f>
        <v>40</v>
      </c>
      <c r="BZ158">
        <f>HYPERLINK("http://exon.niaid.nih.gov/transcriptome/Anopheles_sialome/links/cluster-b/anopheline-sialome-cds-pep-larger-orf60-50SimCLU3.txt", 3)</f>
        <v>3</v>
      </c>
      <c r="CA158">
        <f>HYPERLINK("http://exon.niaid.nih.gov/transcriptome/Anopheles_sialome/links/cluster-b/anopheline-sialome-cds-pep-larger-orf60-50SimCLTL3.txt", 40)</f>
        <v>40</v>
      </c>
      <c r="CB158">
        <f>HYPERLINK("http://exon.niaid.nih.gov/transcriptome/Anopheles_sialome/links/cluster-b/anopheline-sialome-cds-pep-larger-orf65-50SimCLU2.txt", 2)</f>
        <v>2</v>
      </c>
      <c r="CC158">
        <f>HYPERLINK("http://exon.niaid.nih.gov/transcriptome/Anopheles_sialome/links/cluster-b/anopheline-sialome-cds-pep-larger-orf65-50SimCLTL2.txt", 40)</f>
        <v>40</v>
      </c>
      <c r="CD158">
        <f>HYPERLINK("http://exon.niaid.nih.gov/transcriptome/Anopheles_sialome/links/cluster-b/anopheline-sialome-cds-pep-larger-orf70-50SimCLU6.txt", 6)</f>
        <v>6</v>
      </c>
      <c r="CE158">
        <f>HYPERLINK("http://exon.niaid.nih.gov/transcriptome/Anopheles_sialome/links/cluster-b/anopheline-sialome-cds-pep-larger-orf70-50SimCLTL6.txt", 21)</f>
        <v>21</v>
      </c>
      <c r="CF158">
        <f>HYPERLINK("http://exon.niaid.nih.gov/transcriptome/Anopheles_sialome/links/cluster-b/anopheline-sialome-cds-pep-larger-orf75-50SimCLU5.txt", 5)</f>
        <v>5</v>
      </c>
      <c r="CG158">
        <f>HYPERLINK("http://exon.niaid.nih.gov/transcriptome/Anopheles_sialome/links/cluster-b/anopheline-sialome-cds-pep-larger-orf75-50SimCLTL5.txt", 21)</f>
        <v>21</v>
      </c>
      <c r="CH158">
        <f>HYPERLINK("http://exon.niaid.nih.gov/transcriptome/Anopheles_sialome/links/cluster-b/anopheline-sialome-cds-pep-larger-orf80-50SimCLU3.txt", 3)</f>
        <v>3</v>
      </c>
      <c r="CI158">
        <f>HYPERLINK("http://exon.niaid.nih.gov/transcriptome/Anopheles_sialome/links/cluster-b/anopheline-sialome-cds-pep-larger-orf80-50SimCLTL3.txt", 21)</f>
        <v>21</v>
      </c>
      <c r="CJ158">
        <f>HYPERLINK("http://exon.niaid.nih.gov/transcriptome/Anopheles_sialome/links/cluster-b/anopheline-sialome-cds-pep-larger-orf85-50SimCLU2.txt", 2)</f>
        <v>2</v>
      </c>
      <c r="CK158">
        <f>HYPERLINK("http://exon.niaid.nih.gov/transcriptome/Anopheles_sialome/links/cluster-b/anopheline-sialome-cds-pep-larger-orf85-50SimCLTL2.txt", 21)</f>
        <v>21</v>
      </c>
      <c r="CL158">
        <f>HYPERLINK("http://exon.niaid.nih.gov/transcriptome/Anopheles_sialome/links/cluster-b/anopheline-sialome-cds-pep-larger-orf90-50SimCLU81.txt", 81)</f>
        <v>81</v>
      </c>
      <c r="CM158">
        <f>HYPERLINK("http://exon.niaid.nih.gov/transcriptome/Anopheles_sialome/links/cluster-b/anopheline-sialome-cds-pep-larger-orf90-50SimCLTL81.txt", 2)</f>
        <v>2</v>
      </c>
      <c r="CN158">
        <v>375</v>
      </c>
      <c r="CO158">
        <v>1</v>
      </c>
    </row>
    <row r="159" spans="1:93">
      <c r="A159" s="14" t="s">
        <v>3154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</row>
    <row r="160" spans="1:93">
      <c r="A160" s="2" t="str">
        <f>HYPERLINK("http://exon.niaid.nih.gov/transcriptome/Anopheles_sialome/links/cds/anoga_Sal_trypXII-cds.txt","anoga_Sal_trypXII")</f>
        <v>anoga_Sal_trypXII</v>
      </c>
      <c r="B160">
        <v>813</v>
      </c>
      <c r="C160" t="s">
        <v>4</v>
      </c>
      <c r="D160" t="s">
        <v>3178</v>
      </c>
      <c r="E160" t="s">
        <v>5</v>
      </c>
      <c r="F160" t="s">
        <v>1</v>
      </c>
      <c r="G160" t="str">
        <f>HYPERLINK("http://exon.niaid.nih.gov/transcriptome/Anopheles_sialome/links/pep/anoga_Sal_trypXII-pep.txt","anoga_Sal_trypXII")</f>
        <v>anoga_Sal_trypXII</v>
      </c>
      <c r="H160">
        <v>270</v>
      </c>
      <c r="I160">
        <v>0</v>
      </c>
      <c r="J160" s="3" t="str">
        <f>HYPERLINK("http://exon.niaid.nih.gov/transcriptome/Anopheles_sialome/links/Sigp/anoga_Sal_trypXII-SigP.txt","SIG")</f>
        <v>SIG</v>
      </c>
      <c r="K160" t="s">
        <v>715</v>
      </c>
      <c r="L160">
        <v>28.670999999999999</v>
      </c>
      <c r="M160">
        <v>5.82</v>
      </c>
      <c r="N160">
        <v>26.134</v>
      </c>
      <c r="O160">
        <v>6.05</v>
      </c>
      <c r="P160" t="s">
        <v>1694</v>
      </c>
      <c r="Q160" s="3">
        <v>0</v>
      </c>
      <c r="R160" t="s">
        <v>128</v>
      </c>
      <c r="S160" t="s">
        <v>128</v>
      </c>
      <c r="T160" t="s">
        <v>128</v>
      </c>
      <c r="U160" t="s">
        <v>128</v>
      </c>
      <c r="V160" t="s">
        <v>128</v>
      </c>
      <c r="W160" s="3" t="str">
        <f>HYPERLINK("http://exon.niaid.nih.gov/transcriptome/Anopheles_sialome/links/netoglyc/anoga_Sal_trypXII-netoglyc.txt","5")</f>
        <v>5</v>
      </c>
      <c r="X160">
        <v>14.8</v>
      </c>
      <c r="Y160">
        <v>11.5</v>
      </c>
      <c r="Z160">
        <v>7.8</v>
      </c>
      <c r="AA160">
        <v>1.1000000000000001</v>
      </c>
      <c r="AB160" t="s">
        <v>128</v>
      </c>
      <c r="AC160" s="2" t="str">
        <f>HYPERLINK("http://exon.niaid.nih.gov/transcriptome/Anopheles_sialome/links/DIPTERA/anoga_Sal_trypXII-DIPTERA.txt","hypothetical protein ZHAS_00009760")</f>
        <v>hypothetical protein ZHAS_00009760</v>
      </c>
      <c r="AD160" t="str">
        <f>HYPERLINK("http://www.ncbi.nlm.nih.gov/sutils/blink.cgi?pid=668453385","2E-088")</f>
        <v>2E-088</v>
      </c>
      <c r="AE160" t="str">
        <f t="shared" ref="AE160" si="102">HYPERLINK("http://www.ncbi.nlm.nih.gov/protein/668453385","gi|668453385")</f>
        <v>gi|668453385</v>
      </c>
      <c r="AF160">
        <v>62</v>
      </c>
      <c r="AG160">
        <v>73</v>
      </c>
      <c r="AH160">
        <v>93</v>
      </c>
      <c r="AI160" t="s">
        <v>2277</v>
      </c>
      <c r="AJ160" s="2" t="str">
        <f>HYPERLINK("http://exon.niaid.nih.gov/transcriptome/Anopheles_sialome/links/CULICOMORPHA/anoga_Sal_trypXII-CULICOMORPHA.txt","hypothetical protein ZHAS_00009760")</f>
        <v>hypothetical protein ZHAS_00009760</v>
      </c>
      <c r="AK160" t="str">
        <f>HYPERLINK("http://www.ncbi.nlm.nih.gov/sutils/blink.cgi?pid=668453385","4E-089")</f>
        <v>4E-089</v>
      </c>
      <c r="AL160" t="str">
        <f t="shared" ref="AL160" si="103">HYPERLINK("http://www.ncbi.nlm.nih.gov/protein/668453385","gi|668453385")</f>
        <v>gi|668453385</v>
      </c>
      <c r="AM160">
        <v>62</v>
      </c>
      <c r="AN160">
        <v>73</v>
      </c>
      <c r="AO160">
        <v>93</v>
      </c>
      <c r="AP160" t="s">
        <v>2277</v>
      </c>
      <c r="AQ160" s="2" t="str">
        <f>HYPERLINK("http://exon.niaid.nih.gov/transcriptome/Anopheles_sialome/links/NR-LIGHT/anoga_Sal_trypXII-NR-LIGHT.txt","hypothetical protein ZHAS_00009760")</f>
        <v>hypothetical protein ZHAS_00009760</v>
      </c>
      <c r="AR160" t="str">
        <f>HYPERLINK("http://www.ncbi.nlm.nih.gov/sutils/blink.cgi?pid=668453385","6E-088")</f>
        <v>6E-088</v>
      </c>
      <c r="AS160" t="str">
        <f t="shared" ref="AS160" si="104">HYPERLINK("http://www.ncbi.nlm.nih.gov/protein/668453385","gi|668453385")</f>
        <v>gi|668453385</v>
      </c>
      <c r="AT160">
        <v>62</v>
      </c>
      <c r="AU160">
        <v>73</v>
      </c>
      <c r="AV160">
        <v>93</v>
      </c>
      <c r="AW160" t="s">
        <v>2277</v>
      </c>
      <c r="AX160" s="2" t="str">
        <f>HYPERLINK("http://exon.niaid.nih.gov/transcriptome/Anopheles_sialome/links/CDD/anoga_Sal_trypXII-CDD.txt","Tryp_SPc")</f>
        <v>Tryp_SPc</v>
      </c>
      <c r="AY160" t="str">
        <f>HYPERLINK("http://www.ncbi.nlm.nih.gov/Structure/cdd/cddsrv.cgi?uid=smart00020&amp;version=v4.0","1E-039")</f>
        <v>1E-039</v>
      </c>
      <c r="AZ160" t="s">
        <v>2843</v>
      </c>
      <c r="BA160" s="2" t="str">
        <f>HYPERLINK("http://exon.niaid.nih.gov/transcriptome/Anopheles_sialome/links/KOG/anoga_Sal_trypXII-KOG.txt","Trypsin")</f>
        <v>Trypsin</v>
      </c>
      <c r="BB160" t="str">
        <f>HYPERLINK("http://www.ncbi.nlm.nih.gov/Structure/cdd/cddsrv.cgi?uid=KOG3627","1E-030")</f>
        <v>1E-030</v>
      </c>
      <c r="BC160" t="s">
        <v>2287</v>
      </c>
      <c r="BD160" t="str">
        <f>HYPERLINK("http://exon.niaid.nih.gov/transcriptome/Anopheles_sialome/links/KOG/anoga_Sal_trypXII-KOG.txt","KOG3627")</f>
        <v>KOG3627</v>
      </c>
      <c r="BE160" t="str">
        <f>HYPERLINK("http://exon.niaid.nih.gov/transcriptome/Anopheles_sialome/links/PFAM/anoga_Sal_trypXII-PFAM.txt","Trypsin")</f>
        <v>Trypsin</v>
      </c>
      <c r="BF160" t="str">
        <f>HYPERLINK("http://pfam.sanger.ac.uk/family?acc=PF00089","2E-033")</f>
        <v>2E-033</v>
      </c>
      <c r="BG160" s="2" t="str">
        <f>HYPERLINK("http://exon.niaid.nih.gov/transcriptome/Anopheles_sialome/links/SMART/anoga_Sal_trypXII-SMART.txt","Tryp_SPc")</f>
        <v>Tryp_SPc</v>
      </c>
      <c r="BH160" t="str">
        <f>HYPERLINK("http://smart.embl-heidelberg.de/smart/do_annotation.pl?DOMAIN=Tryp_SPc&amp;BLAST=DUMMY","1E-041")</f>
        <v>1E-041</v>
      </c>
      <c r="BI160" t="str">
        <f>HYPERLINK("http://exon.niaid.nih.gov/transcriptome/Anopheles_sialome/links/TICK-BLOCKS/anoga_Sal_trypXII-TICK-BLOCKS.txt","RGD_cys_disintegrin |")</f>
        <v>RGD_cys_disintegrin |</v>
      </c>
      <c r="BJ160" s="2" t="s">
        <v>2495</v>
      </c>
      <c r="BK160" t="s">
        <v>1693</v>
      </c>
      <c r="BL160">
        <f>HYPERLINK("http://exon.niaid.nih.gov/transcriptome/Anopheles_sialome/links/cluster-b/anopheline-sialome-cds-pep-larger-orf25-50SimCLU5.txt", 5)</f>
        <v>5</v>
      </c>
      <c r="BM160">
        <f>HYPERLINK("http://exon.niaid.nih.gov/transcriptome/Anopheles_sialome/links/cluster-b/anopheline-sialome-cds-pep-larger-orf25-50SimCLTL5.txt", 56)</f>
        <v>56</v>
      </c>
      <c r="BN160">
        <f>HYPERLINK("http://exon.niaid.nih.gov/transcriptome/Anopheles_sialome/links/cluster-b/anopheline-sialome-cds-pep-larger-orf30-50SimCLU18.txt", 18)</f>
        <v>18</v>
      </c>
      <c r="BO160">
        <f>HYPERLINK("http://exon.niaid.nih.gov/transcriptome/Anopheles_sialome/links/cluster-b/anopheline-sialome-cds-pep-larger-orf30-50SimCLTL18.txt", 16)</f>
        <v>16</v>
      </c>
      <c r="BP160">
        <f>HYPERLINK("http://exon.niaid.nih.gov/transcriptome/Anopheles_sialome/links/cluster-b/anopheline-sialome-cds-pep-larger-orf35-50SimCLU20.txt", 20)</f>
        <v>20</v>
      </c>
      <c r="BQ160">
        <f>HYPERLINK("http://exon.niaid.nih.gov/transcriptome/Anopheles_sialome/links/cluster-b/anopheline-sialome-cds-pep-larger-orf35-50SimCLTL20.txt", 16)</f>
        <v>16</v>
      </c>
      <c r="BR160">
        <f>HYPERLINK("http://exon.niaid.nih.gov/transcriptome/Anopheles_sialome/links/cluster-b/anopheline-sialome-cds-pep-larger-orf40-50SimCLU26.txt", 26)</f>
        <v>26</v>
      </c>
      <c r="BS160">
        <f>HYPERLINK("http://exon.niaid.nih.gov/transcriptome/Anopheles_sialome/links/cluster-b/anopheline-sialome-cds-pep-larger-orf40-50SimCLTL26.txt", 16)</f>
        <v>16</v>
      </c>
      <c r="BT160">
        <f>HYPERLINK("http://exon.niaid.nih.gov/transcriptome/Anopheles_sialome/links/cluster-b/anopheline-sialome-cds-pep-larger-orf45-50SimCLU30.txt", 30)</f>
        <v>30</v>
      </c>
      <c r="BU160">
        <f>HYPERLINK("http://exon.niaid.nih.gov/transcriptome/Anopheles_sialome/links/cluster-b/anopheline-sialome-cds-pep-larger-orf45-50SimCLTL30.txt", 16)</f>
        <v>16</v>
      </c>
      <c r="BV160">
        <f>HYPERLINK("http://exon.niaid.nih.gov/transcriptome/Anopheles_sialome/links/cluster-b/anopheline-sialome-cds-pep-larger-orf50-50SimCLU31.txt", 31)</f>
        <v>31</v>
      </c>
      <c r="BW160">
        <f>HYPERLINK("http://exon.niaid.nih.gov/transcriptome/Anopheles_sialome/links/cluster-b/anopheline-sialome-cds-pep-larger-orf50-50SimCLTL31.txt", 16)</f>
        <v>16</v>
      </c>
      <c r="BX160">
        <f>HYPERLINK("http://exon.niaid.nih.gov/transcriptome/Anopheles_sialome/links/cluster-b/anopheline-sialome-cds-pep-larger-orf55-50SimCLU30.txt", 30)</f>
        <v>30</v>
      </c>
      <c r="BY160">
        <f>HYPERLINK("http://exon.niaid.nih.gov/transcriptome/Anopheles_sialome/links/cluster-b/anopheline-sialome-cds-pep-larger-orf55-50SimCLTL30.txt", 16)</f>
        <v>16</v>
      </c>
      <c r="BZ160">
        <f>HYPERLINK("http://exon.niaid.nih.gov/transcriptome/Anopheles_sialome/links/cluster-b/anopheline-sialome-cds-pep-larger-orf60-50SimCLU26.txt", 26)</f>
        <v>26</v>
      </c>
      <c r="CA160">
        <f>HYPERLINK("http://exon.niaid.nih.gov/transcriptome/Anopheles_sialome/links/cluster-b/anopheline-sialome-cds-pep-larger-orf60-50SimCLTL26.txt", 16)</f>
        <v>16</v>
      </c>
      <c r="CB160">
        <f>HYPERLINK("http://exon.niaid.nih.gov/transcriptome/Anopheles_sialome/links/cluster-b/anopheline-sialome-cds-pep-larger-orf65-50SimCLU24.txt", 24)</f>
        <v>24</v>
      </c>
      <c r="CC160">
        <f>HYPERLINK("http://exon.niaid.nih.gov/transcriptome/Anopheles_sialome/links/cluster-b/anopheline-sialome-cds-pep-larger-orf65-50SimCLTL24.txt", 16)</f>
        <v>16</v>
      </c>
      <c r="CD160">
        <f>HYPERLINK("http://exon.niaid.nih.gov/transcriptome/Anopheles_sialome/links/cluster-b/anopheline-sialome-cds-pep-larger-orf70-50SimCLU32.txt", 32)</f>
        <v>32</v>
      </c>
      <c r="CE160">
        <f>HYPERLINK("http://exon.niaid.nih.gov/transcriptome/Anopheles_sialome/links/cluster-b/anopheline-sialome-cds-pep-larger-orf70-50SimCLTL32.txt", 14)</f>
        <v>14</v>
      </c>
      <c r="CF160">
        <f>HYPERLINK("http://exon.niaid.nih.gov/transcriptome/Anopheles_sialome/links/cluster-b/anopheline-sialome-cds-pep-larger-orf75-50SimCLU23.txt", 23)</f>
        <v>23</v>
      </c>
      <c r="CG160">
        <f>HYPERLINK("http://exon.niaid.nih.gov/transcriptome/Anopheles_sialome/links/cluster-b/anopheline-sialome-cds-pep-larger-orf75-50SimCLTL23.txt", 14)</f>
        <v>14</v>
      </c>
      <c r="CH160">
        <f>HYPERLINK("http://exon.niaid.nih.gov/transcriptome/Anopheles_sialome/links/cluster-b/anopheline-sialome-cds-pep-larger-orf80-50SimCLU18.txt", 18)</f>
        <v>18</v>
      </c>
      <c r="CI160">
        <f>HYPERLINK("http://exon.niaid.nih.gov/transcriptome/Anopheles_sialome/links/cluster-b/anopheline-sialome-cds-pep-larger-orf80-50SimCLTL18.txt", 13)</f>
        <v>13</v>
      </c>
      <c r="CJ160">
        <f>HYPERLINK("http://exon.niaid.nih.gov/transcriptome/Anopheles_sialome/links/cluster-b/anopheline-sialome-cds-pep-larger-orf85-50SimCLU40.txt", 40)</f>
        <v>40</v>
      </c>
      <c r="CK160">
        <f>HYPERLINK("http://exon.niaid.nih.gov/transcriptome/Anopheles_sialome/links/cluster-b/anopheline-sialome-cds-pep-larger-orf85-50SimCLTL40.txt", 6)</f>
        <v>6</v>
      </c>
      <c r="CL160">
        <f>HYPERLINK("http://exon.niaid.nih.gov/transcriptome/Anopheles_sialome/links/cluster-b/anopheline-sialome-cds-pep-larger-orf90-50SimCLU44.txt", 44)</f>
        <v>44</v>
      </c>
      <c r="CM160">
        <f>HYPERLINK("http://exon.niaid.nih.gov/transcriptome/Anopheles_sialome/links/cluster-b/anopheline-sialome-cds-pep-larger-orf90-50SimCLTL44.txt", 5)</f>
        <v>5</v>
      </c>
      <c r="CN160">
        <f>HYPERLINK("http://exon.niaid.nih.gov/transcriptome/Anopheles_sialome/links/cluster-b/anopheline-sialome-cds-pep-larger-orf95-50SimCLU41.txt", 41)</f>
        <v>41</v>
      </c>
      <c r="CO160">
        <f>HYPERLINK("http://exon.niaid.nih.gov/transcriptome/Anopheles_sialome/links/cluster-b/anopheline-sialome-cds-pep-larger-orf95-50SimCLTL41.txt", 5)</f>
        <v>5</v>
      </c>
    </row>
    <row r="161" spans="1:93">
      <c r="A161" s="2" t="str">
        <f>HYPERLINK("http://exon.niaid.nih.gov/transcriptome/Anopheles_sialome/links/cds/anocol_Sal_trypXII-cds.txt","anocol_Sal_trypXII")</f>
        <v>anocol_Sal_trypXII</v>
      </c>
      <c r="B161">
        <v>813</v>
      </c>
      <c r="C161" t="s">
        <v>404</v>
      </c>
      <c r="D161" t="s">
        <v>7</v>
      </c>
      <c r="E161" t="s">
        <v>5</v>
      </c>
      <c r="F161" t="s">
        <v>1</v>
      </c>
      <c r="G161" t="str">
        <f>HYPERLINK("http://exon.niaid.nih.gov/transcriptome/Anopheles_sialome/links/pep/anocol_Sal_trypXII-pep.txt","anocol_Sal_trypXII")</f>
        <v>anocol_Sal_trypXII</v>
      </c>
      <c r="H161">
        <v>270</v>
      </c>
      <c r="I161">
        <v>0</v>
      </c>
      <c r="J161" s="3" t="str">
        <f>HYPERLINK("http://exon.niaid.nih.gov/transcriptome/Anopheles_sialome/links/Sigp/anocol_Sal_trypXII-SigP.txt","SIG")</f>
        <v>SIG</v>
      </c>
      <c r="K161" t="s">
        <v>715</v>
      </c>
      <c r="L161">
        <v>28.657</v>
      </c>
      <c r="M161">
        <v>6.04</v>
      </c>
      <c r="N161">
        <v>26.12</v>
      </c>
      <c r="O161">
        <v>6.31</v>
      </c>
      <c r="P161" t="s">
        <v>1696</v>
      </c>
      <c r="Q161" s="3">
        <v>0</v>
      </c>
      <c r="R161" t="s">
        <v>128</v>
      </c>
      <c r="S161" t="s">
        <v>128</v>
      </c>
      <c r="T161" t="s">
        <v>128</v>
      </c>
      <c r="U161" t="s">
        <v>128</v>
      </c>
      <c r="V161" t="s">
        <v>128</v>
      </c>
      <c r="W161" s="3" t="str">
        <f>HYPERLINK("http://exon.niaid.nih.gov/transcriptome/Anopheles_sialome/links/netoglyc/anocol_Sal_trypXII-netoglyc.txt","2")</f>
        <v>2</v>
      </c>
      <c r="X161">
        <v>14.4</v>
      </c>
      <c r="Y161">
        <v>11.9</v>
      </c>
      <c r="Z161">
        <v>7.8</v>
      </c>
      <c r="AA161">
        <v>1.1000000000000001</v>
      </c>
      <c r="AB161" t="s">
        <v>128</v>
      </c>
      <c r="AC161" s="2" t="str">
        <f>HYPERLINK("http://exon.niaid.nih.gov/transcriptome/Anopheles_sialome/links/DIPTERA/anocol_Sal_trypXII-DIPTERA.txt","hypothetical protein ZHAS_00009760")</f>
        <v>hypothetical protein ZHAS_00009760</v>
      </c>
      <c r="AD161" t="str">
        <f>HYPERLINK("http://www.ncbi.nlm.nih.gov/sutils/blink.cgi?pid=668453385","3E-088")</f>
        <v>3E-088</v>
      </c>
      <c r="AE161" t="str">
        <f>HYPERLINK("http://www.ncbi.nlm.nih.gov/protein/668453385","gi|668453385")</f>
        <v>gi|668453385</v>
      </c>
      <c r="AF161">
        <v>62</v>
      </c>
      <c r="AG161">
        <v>73</v>
      </c>
      <c r="AH161">
        <v>93</v>
      </c>
      <c r="AI161" t="s">
        <v>2277</v>
      </c>
      <c r="AJ161" s="2" t="str">
        <f>HYPERLINK("http://exon.niaid.nih.gov/transcriptome/Anopheles_sialome/links/CULICOMORPHA/anocol_Sal_trypXII-CULICOMORPHA.txt","hypothetical protein ZHAS_00009760")</f>
        <v>hypothetical protein ZHAS_00009760</v>
      </c>
      <c r="AK161" t="str">
        <f>HYPERLINK("http://www.ncbi.nlm.nih.gov/sutils/blink.cgi?pid=668453385","5E-089")</f>
        <v>5E-089</v>
      </c>
      <c r="AL161" t="str">
        <f>HYPERLINK("http://www.ncbi.nlm.nih.gov/protein/668453385","gi|668453385")</f>
        <v>gi|668453385</v>
      </c>
      <c r="AM161">
        <v>62</v>
      </c>
      <c r="AN161">
        <v>73</v>
      </c>
      <c r="AO161">
        <v>93</v>
      </c>
      <c r="AP161" t="s">
        <v>2277</v>
      </c>
      <c r="AQ161" s="2" t="str">
        <f>HYPERLINK("http://exon.niaid.nih.gov/transcriptome/Anopheles_sialome/links/NR-LIGHT/anocol_Sal_trypXII-NR-LIGHT.txt","hypothetical protein ZHAS_00009760")</f>
        <v>hypothetical protein ZHAS_00009760</v>
      </c>
      <c r="AR161" t="str">
        <f>HYPERLINK("http://www.ncbi.nlm.nih.gov/sutils/blink.cgi?pid=668453385","8E-088")</f>
        <v>8E-088</v>
      </c>
      <c r="AS161" t="str">
        <f>HYPERLINK("http://www.ncbi.nlm.nih.gov/protein/668453385","gi|668453385")</f>
        <v>gi|668453385</v>
      </c>
      <c r="AT161">
        <v>62</v>
      </c>
      <c r="AU161">
        <v>73</v>
      </c>
      <c r="AV161">
        <v>93</v>
      </c>
      <c r="AW161" t="s">
        <v>2277</v>
      </c>
      <c r="AX161" s="2" t="str">
        <f>HYPERLINK("http://exon.niaid.nih.gov/transcriptome/Anopheles_sialome/links/CDD/anocol_Sal_trypXII-CDD.txt","Tryp_SPc")</f>
        <v>Tryp_SPc</v>
      </c>
      <c r="AY161" t="str">
        <f>HYPERLINK("http://www.ncbi.nlm.nih.gov/Structure/cdd/cddsrv.cgi?uid=smart00020&amp;version=v4.0","4E-040")</f>
        <v>4E-040</v>
      </c>
      <c r="AZ161" t="s">
        <v>2844</v>
      </c>
      <c r="BA161" s="2" t="str">
        <f>HYPERLINK("http://exon.niaid.nih.gov/transcriptome/Anopheles_sialome/links/KOG/anocol_Sal_trypXII-KOG.txt","Trypsin")</f>
        <v>Trypsin</v>
      </c>
      <c r="BB161" t="str">
        <f>HYPERLINK("http://www.ncbi.nlm.nih.gov/Structure/cdd/cddsrv.cgi?uid=KOG3627","6E-031")</f>
        <v>6E-031</v>
      </c>
      <c r="BC161" t="s">
        <v>2287</v>
      </c>
      <c r="BD161" t="str">
        <f>HYPERLINK("http://exon.niaid.nih.gov/transcriptome/Anopheles_sialome/links/KOG/anocol_Sal_trypXII-KOG.txt","KOG3627")</f>
        <v>KOG3627</v>
      </c>
      <c r="BE161" t="str">
        <f>HYPERLINK("http://exon.niaid.nih.gov/transcriptome/Anopheles_sialome/links/PFAM/anocol_Sal_trypXII-PFAM.txt","Trypsin")</f>
        <v>Trypsin</v>
      </c>
      <c r="BF161" t="str">
        <f>HYPERLINK("http://pfam.sanger.ac.uk/family?acc=PF00089","6E-033")</f>
        <v>6E-033</v>
      </c>
      <c r="BG161" s="2" t="str">
        <f>HYPERLINK("http://exon.niaid.nih.gov/transcriptome/Anopheles_sialome/links/SMART/anocol_Sal_trypXII-SMART.txt","Tryp_SPc")</f>
        <v>Tryp_SPc</v>
      </c>
      <c r="BH161" t="str">
        <f>HYPERLINK("http://smart.embl-heidelberg.de/smart/do_annotation.pl?DOMAIN=Tryp_SPc&amp;BLAST=DUMMY","4E-042")</f>
        <v>4E-042</v>
      </c>
      <c r="BI161" t="str">
        <f>HYPERLINK("http://exon.niaid.nih.gov/transcriptome/Anopheles_sialome/links/TICK-BLOCKS/anocol_Sal_trypXII-TICK-BLOCKS.txt","RGD_cys_disintegrin |")</f>
        <v>RGD_cys_disintegrin |</v>
      </c>
      <c r="BJ161" s="2" t="s">
        <v>2495</v>
      </c>
      <c r="BK161" t="s">
        <v>1695</v>
      </c>
      <c r="BL161">
        <f>HYPERLINK("http://exon.niaid.nih.gov/transcriptome/Anopheles_sialome/links/cluster-b/anopheline-sialome-cds-pep-larger-orf25-50SimCLU5.txt", 5)</f>
        <v>5</v>
      </c>
      <c r="BM161">
        <f>HYPERLINK("http://exon.niaid.nih.gov/transcriptome/Anopheles_sialome/links/cluster-b/anopheline-sialome-cds-pep-larger-orf25-50SimCLTL5.txt", 56)</f>
        <v>56</v>
      </c>
      <c r="BN161">
        <f>HYPERLINK("http://exon.niaid.nih.gov/transcriptome/Anopheles_sialome/links/cluster-b/anopheline-sialome-cds-pep-larger-orf30-50SimCLU18.txt", 18)</f>
        <v>18</v>
      </c>
      <c r="BO161">
        <f>HYPERLINK("http://exon.niaid.nih.gov/transcriptome/Anopheles_sialome/links/cluster-b/anopheline-sialome-cds-pep-larger-orf30-50SimCLTL18.txt", 16)</f>
        <v>16</v>
      </c>
      <c r="BP161">
        <f>HYPERLINK("http://exon.niaid.nih.gov/transcriptome/Anopheles_sialome/links/cluster-b/anopheline-sialome-cds-pep-larger-orf35-50SimCLU20.txt", 20)</f>
        <v>20</v>
      </c>
      <c r="BQ161">
        <f>HYPERLINK("http://exon.niaid.nih.gov/transcriptome/Anopheles_sialome/links/cluster-b/anopheline-sialome-cds-pep-larger-orf35-50SimCLTL20.txt", 16)</f>
        <v>16</v>
      </c>
      <c r="BR161">
        <f>HYPERLINK("http://exon.niaid.nih.gov/transcriptome/Anopheles_sialome/links/cluster-b/anopheline-sialome-cds-pep-larger-orf40-50SimCLU26.txt", 26)</f>
        <v>26</v>
      </c>
      <c r="BS161">
        <f>HYPERLINK("http://exon.niaid.nih.gov/transcriptome/Anopheles_sialome/links/cluster-b/anopheline-sialome-cds-pep-larger-orf40-50SimCLTL26.txt", 16)</f>
        <v>16</v>
      </c>
      <c r="BT161">
        <f>HYPERLINK("http://exon.niaid.nih.gov/transcriptome/Anopheles_sialome/links/cluster-b/anopheline-sialome-cds-pep-larger-orf45-50SimCLU30.txt", 30)</f>
        <v>30</v>
      </c>
      <c r="BU161">
        <f>HYPERLINK("http://exon.niaid.nih.gov/transcriptome/Anopheles_sialome/links/cluster-b/anopheline-sialome-cds-pep-larger-orf45-50SimCLTL30.txt", 16)</f>
        <v>16</v>
      </c>
      <c r="BV161">
        <f>HYPERLINK("http://exon.niaid.nih.gov/transcriptome/Anopheles_sialome/links/cluster-b/anopheline-sialome-cds-pep-larger-orf50-50SimCLU31.txt", 31)</f>
        <v>31</v>
      </c>
      <c r="BW161">
        <f>HYPERLINK("http://exon.niaid.nih.gov/transcriptome/Anopheles_sialome/links/cluster-b/anopheline-sialome-cds-pep-larger-orf50-50SimCLTL31.txt", 16)</f>
        <v>16</v>
      </c>
      <c r="BX161">
        <f>HYPERLINK("http://exon.niaid.nih.gov/transcriptome/Anopheles_sialome/links/cluster-b/anopheline-sialome-cds-pep-larger-orf55-50SimCLU30.txt", 30)</f>
        <v>30</v>
      </c>
      <c r="BY161">
        <f>HYPERLINK("http://exon.niaid.nih.gov/transcriptome/Anopheles_sialome/links/cluster-b/anopheline-sialome-cds-pep-larger-orf55-50SimCLTL30.txt", 16)</f>
        <v>16</v>
      </c>
      <c r="BZ161">
        <f>HYPERLINK("http://exon.niaid.nih.gov/transcriptome/Anopheles_sialome/links/cluster-b/anopheline-sialome-cds-pep-larger-orf60-50SimCLU26.txt", 26)</f>
        <v>26</v>
      </c>
      <c r="CA161">
        <f>HYPERLINK("http://exon.niaid.nih.gov/transcriptome/Anopheles_sialome/links/cluster-b/anopheline-sialome-cds-pep-larger-orf60-50SimCLTL26.txt", 16)</f>
        <v>16</v>
      </c>
      <c r="CB161">
        <f>HYPERLINK("http://exon.niaid.nih.gov/transcriptome/Anopheles_sialome/links/cluster-b/anopheline-sialome-cds-pep-larger-orf65-50SimCLU24.txt", 24)</f>
        <v>24</v>
      </c>
      <c r="CC161">
        <f>HYPERLINK("http://exon.niaid.nih.gov/transcriptome/Anopheles_sialome/links/cluster-b/anopheline-sialome-cds-pep-larger-orf65-50SimCLTL24.txt", 16)</f>
        <v>16</v>
      </c>
      <c r="CD161">
        <f>HYPERLINK("http://exon.niaid.nih.gov/transcriptome/Anopheles_sialome/links/cluster-b/anopheline-sialome-cds-pep-larger-orf70-50SimCLU32.txt", 32)</f>
        <v>32</v>
      </c>
      <c r="CE161">
        <f>HYPERLINK("http://exon.niaid.nih.gov/transcriptome/Anopheles_sialome/links/cluster-b/anopheline-sialome-cds-pep-larger-orf70-50SimCLTL32.txt", 14)</f>
        <v>14</v>
      </c>
      <c r="CF161">
        <f>HYPERLINK("http://exon.niaid.nih.gov/transcriptome/Anopheles_sialome/links/cluster-b/anopheline-sialome-cds-pep-larger-orf75-50SimCLU23.txt", 23)</f>
        <v>23</v>
      </c>
      <c r="CG161">
        <f>HYPERLINK("http://exon.niaid.nih.gov/transcriptome/Anopheles_sialome/links/cluster-b/anopheline-sialome-cds-pep-larger-orf75-50SimCLTL23.txt", 14)</f>
        <v>14</v>
      </c>
      <c r="CH161">
        <f>HYPERLINK("http://exon.niaid.nih.gov/transcriptome/Anopheles_sialome/links/cluster-b/anopheline-sialome-cds-pep-larger-orf80-50SimCLU18.txt", 18)</f>
        <v>18</v>
      </c>
      <c r="CI161">
        <f>HYPERLINK("http://exon.niaid.nih.gov/transcriptome/Anopheles_sialome/links/cluster-b/anopheline-sialome-cds-pep-larger-orf80-50SimCLTL18.txt", 13)</f>
        <v>13</v>
      </c>
      <c r="CJ161">
        <f>HYPERLINK("http://exon.niaid.nih.gov/transcriptome/Anopheles_sialome/links/cluster-b/anopheline-sialome-cds-pep-larger-orf85-50SimCLU40.txt", 40)</f>
        <v>40</v>
      </c>
      <c r="CK161">
        <f>HYPERLINK("http://exon.niaid.nih.gov/transcriptome/Anopheles_sialome/links/cluster-b/anopheline-sialome-cds-pep-larger-orf85-50SimCLTL40.txt", 6)</f>
        <v>6</v>
      </c>
      <c r="CL161">
        <f>HYPERLINK("http://exon.niaid.nih.gov/transcriptome/Anopheles_sialome/links/cluster-b/anopheline-sialome-cds-pep-larger-orf90-50SimCLU44.txt", 44)</f>
        <v>44</v>
      </c>
      <c r="CM161">
        <f>HYPERLINK("http://exon.niaid.nih.gov/transcriptome/Anopheles_sialome/links/cluster-b/anopheline-sialome-cds-pep-larger-orf90-50SimCLTL44.txt", 5)</f>
        <v>5</v>
      </c>
      <c r="CN161">
        <f>HYPERLINK("http://exon.niaid.nih.gov/transcriptome/Anopheles_sialome/links/cluster-b/anopheline-sialome-cds-pep-larger-orf95-50SimCLU41.txt", 41)</f>
        <v>41</v>
      </c>
      <c r="CO161">
        <f>HYPERLINK("http://exon.niaid.nih.gov/transcriptome/Anopheles_sialome/links/cluster-b/anopheline-sialome-cds-pep-larger-orf95-50SimCLTL41.txt", 5)</f>
        <v>5</v>
      </c>
    </row>
    <row r="162" spans="1:93">
      <c r="A162" s="2" t="str">
        <f>HYPERLINK("http://exon.niaid.nih.gov/transcriptome/Anopheles_sialome/links/cds/anoara_Sal_trypXII-cds.txt","anoara_Sal_trypXII")</f>
        <v>anoara_Sal_trypXII</v>
      </c>
      <c r="B162">
        <v>813</v>
      </c>
      <c r="C162" t="s">
        <v>405</v>
      </c>
      <c r="D162" t="s">
        <v>7</v>
      </c>
      <c r="E162" t="s">
        <v>5</v>
      </c>
      <c r="F162" t="s">
        <v>1</v>
      </c>
      <c r="G162" t="str">
        <f>HYPERLINK("http://exon.niaid.nih.gov/transcriptome/Anopheles_sialome/links/pep/anoara_Sal_trypXII-pep.txt","anoara_Sal_trypXII")</f>
        <v>anoara_Sal_trypXII</v>
      </c>
      <c r="H162">
        <v>270</v>
      </c>
      <c r="I162">
        <v>0</v>
      </c>
      <c r="J162" s="3" t="str">
        <f>HYPERLINK("http://exon.niaid.nih.gov/transcriptome/Anopheles_sialome/links/Sigp/anoara_Sal_trypXII-SigP.txt","SIG")</f>
        <v>SIG</v>
      </c>
      <c r="K162" t="s">
        <v>715</v>
      </c>
      <c r="L162">
        <v>28.599</v>
      </c>
      <c r="M162">
        <v>5.82</v>
      </c>
      <c r="N162">
        <v>26.076000000000001</v>
      </c>
      <c r="O162">
        <v>6.05</v>
      </c>
      <c r="P162" t="s">
        <v>1698</v>
      </c>
      <c r="Q162" s="3">
        <v>0</v>
      </c>
      <c r="R162" t="s">
        <v>128</v>
      </c>
      <c r="S162" t="s">
        <v>128</v>
      </c>
      <c r="T162" t="s">
        <v>128</v>
      </c>
      <c r="U162" t="s">
        <v>128</v>
      </c>
      <c r="V162" t="s">
        <v>128</v>
      </c>
      <c r="W162" s="3" t="str">
        <f>HYPERLINK("http://exon.niaid.nih.gov/transcriptome/Anopheles_sialome/links/netoglyc/anoara_Sal_trypXII-netoglyc.txt","5")</f>
        <v>5</v>
      </c>
      <c r="X162">
        <v>14.8</v>
      </c>
      <c r="Y162">
        <v>11.9</v>
      </c>
      <c r="Z162">
        <v>7.8</v>
      </c>
      <c r="AA162">
        <v>1.1000000000000001</v>
      </c>
      <c r="AB162" t="s">
        <v>128</v>
      </c>
      <c r="AC162" s="2" t="str">
        <f>HYPERLINK("http://exon.niaid.nih.gov/transcriptome/Anopheles_sialome/links/DIPTERA/anoara_Sal_trypXII-DIPTERA.txt","hypothetical protein ZHAS_00009760")</f>
        <v>hypothetical protein ZHAS_00009760</v>
      </c>
      <c r="AD162" t="str">
        <f>HYPERLINK("http://www.ncbi.nlm.nih.gov/sutils/blink.cgi?pid=668453385","7E-088")</f>
        <v>7E-088</v>
      </c>
      <c r="AE162" t="str">
        <f>HYPERLINK("http://www.ncbi.nlm.nih.gov/protein/668453385","gi|668453385")</f>
        <v>gi|668453385</v>
      </c>
      <c r="AF162">
        <v>62</v>
      </c>
      <c r="AG162">
        <v>73</v>
      </c>
      <c r="AH162">
        <v>93</v>
      </c>
      <c r="AI162" t="s">
        <v>2277</v>
      </c>
      <c r="AJ162" s="2" t="str">
        <f>HYPERLINK("http://exon.niaid.nih.gov/transcriptome/Anopheles_sialome/links/CULICOMORPHA/anoara_Sal_trypXII-CULICOMORPHA.txt","hypothetical protein ZHAS_00009760")</f>
        <v>hypothetical protein ZHAS_00009760</v>
      </c>
      <c r="AK162" t="str">
        <f>HYPERLINK("http://www.ncbi.nlm.nih.gov/sutils/blink.cgi?pid=668453385","1E-088")</f>
        <v>1E-088</v>
      </c>
      <c r="AL162" t="str">
        <f>HYPERLINK("http://www.ncbi.nlm.nih.gov/protein/668453385","gi|668453385")</f>
        <v>gi|668453385</v>
      </c>
      <c r="AM162">
        <v>62</v>
      </c>
      <c r="AN162">
        <v>73</v>
      </c>
      <c r="AO162">
        <v>93</v>
      </c>
      <c r="AP162" t="s">
        <v>2277</v>
      </c>
      <c r="AQ162" s="2" t="str">
        <f>HYPERLINK("http://exon.niaid.nih.gov/transcriptome/Anopheles_sialome/links/NR-LIGHT/anoara_Sal_trypXII-NR-LIGHT.txt","hypothetical protein ZHAS_00009760")</f>
        <v>hypothetical protein ZHAS_00009760</v>
      </c>
      <c r="AR162" t="str">
        <f>HYPERLINK("http://www.ncbi.nlm.nih.gov/sutils/blink.cgi?pid=668453385","2E-087")</f>
        <v>2E-087</v>
      </c>
      <c r="AS162" t="str">
        <f>HYPERLINK("http://www.ncbi.nlm.nih.gov/protein/668453385","gi|668453385")</f>
        <v>gi|668453385</v>
      </c>
      <c r="AT162">
        <v>62</v>
      </c>
      <c r="AU162">
        <v>73</v>
      </c>
      <c r="AV162">
        <v>93</v>
      </c>
      <c r="AW162" t="s">
        <v>2277</v>
      </c>
      <c r="AX162" s="2" t="str">
        <f>HYPERLINK("http://exon.niaid.nih.gov/transcriptome/Anopheles_sialome/links/CDD/anoara_Sal_trypXII-CDD.txt","Tryp_SPc")</f>
        <v>Tryp_SPc</v>
      </c>
      <c r="AY162" t="str">
        <f>HYPERLINK("http://www.ncbi.nlm.nih.gov/Structure/cdd/cddsrv.cgi?uid=smart00020&amp;version=v4.0","2E-040")</f>
        <v>2E-040</v>
      </c>
      <c r="AZ162" t="s">
        <v>2845</v>
      </c>
      <c r="BA162" s="2" t="str">
        <f>HYPERLINK("http://exon.niaid.nih.gov/transcriptome/Anopheles_sialome/links/KOG/anoara_Sal_trypXII-KOG.txt","Trypsin")</f>
        <v>Trypsin</v>
      </c>
      <c r="BB162" t="str">
        <f>HYPERLINK("http://www.ncbi.nlm.nih.gov/Structure/cdd/cddsrv.cgi?uid=KOG3627","4E-031")</f>
        <v>4E-031</v>
      </c>
      <c r="BC162" t="s">
        <v>2287</v>
      </c>
      <c r="BD162" t="str">
        <f>HYPERLINK("http://exon.niaid.nih.gov/transcriptome/Anopheles_sialome/links/KOG/anoara_Sal_trypXII-KOG.txt","KOG3627")</f>
        <v>KOG3627</v>
      </c>
      <c r="BE162" t="str">
        <f>HYPERLINK("http://exon.niaid.nih.gov/transcriptome/Anopheles_sialome/links/PFAM/anoara_Sal_trypXII-PFAM.txt","Trypsin")</f>
        <v>Trypsin</v>
      </c>
      <c r="BF162" t="str">
        <f>HYPERLINK("http://pfam.sanger.ac.uk/family?acc=PF00089","3E-034")</f>
        <v>3E-034</v>
      </c>
      <c r="BG162" s="2" t="str">
        <f>HYPERLINK("http://exon.niaid.nih.gov/transcriptome/Anopheles_sialome/links/SMART/anoara_Sal_trypXII-SMART.txt","Tryp_SPc")</f>
        <v>Tryp_SPc</v>
      </c>
      <c r="BH162" t="str">
        <f>HYPERLINK("http://smart.embl-heidelberg.de/smart/do_annotation.pl?DOMAIN=Tryp_SPc&amp;BLAST=DUMMY","2E-042")</f>
        <v>2E-042</v>
      </c>
      <c r="BI162" t="str">
        <f>HYPERLINK("http://exon.niaid.nih.gov/transcriptome/Anopheles_sialome/links/TICK-BLOCKS/anoara_Sal_trypXII-TICK-BLOCKS.txt","RGD_cys_disintegrin |")</f>
        <v>RGD_cys_disintegrin |</v>
      </c>
      <c r="BJ162" s="2" t="s">
        <v>2495</v>
      </c>
      <c r="BK162" t="s">
        <v>1697</v>
      </c>
      <c r="BL162">
        <f>HYPERLINK("http://exon.niaid.nih.gov/transcriptome/Anopheles_sialome/links/cluster-b/anopheline-sialome-cds-pep-larger-orf25-50SimCLU5.txt", 5)</f>
        <v>5</v>
      </c>
      <c r="BM162">
        <f>HYPERLINK("http://exon.niaid.nih.gov/transcriptome/Anopheles_sialome/links/cluster-b/anopheline-sialome-cds-pep-larger-orf25-50SimCLTL5.txt", 56)</f>
        <v>56</v>
      </c>
      <c r="BN162">
        <f>HYPERLINK("http://exon.niaid.nih.gov/transcriptome/Anopheles_sialome/links/cluster-b/anopheline-sialome-cds-pep-larger-orf30-50SimCLU18.txt", 18)</f>
        <v>18</v>
      </c>
      <c r="BO162">
        <f>HYPERLINK("http://exon.niaid.nih.gov/transcriptome/Anopheles_sialome/links/cluster-b/anopheline-sialome-cds-pep-larger-orf30-50SimCLTL18.txt", 16)</f>
        <v>16</v>
      </c>
      <c r="BP162">
        <f>HYPERLINK("http://exon.niaid.nih.gov/transcriptome/Anopheles_sialome/links/cluster-b/anopheline-sialome-cds-pep-larger-orf35-50SimCLU20.txt", 20)</f>
        <v>20</v>
      </c>
      <c r="BQ162">
        <f>HYPERLINK("http://exon.niaid.nih.gov/transcriptome/Anopheles_sialome/links/cluster-b/anopheline-sialome-cds-pep-larger-orf35-50SimCLTL20.txt", 16)</f>
        <v>16</v>
      </c>
      <c r="BR162">
        <f>HYPERLINK("http://exon.niaid.nih.gov/transcriptome/Anopheles_sialome/links/cluster-b/anopheline-sialome-cds-pep-larger-orf40-50SimCLU26.txt", 26)</f>
        <v>26</v>
      </c>
      <c r="BS162">
        <f>HYPERLINK("http://exon.niaid.nih.gov/transcriptome/Anopheles_sialome/links/cluster-b/anopheline-sialome-cds-pep-larger-orf40-50SimCLTL26.txt", 16)</f>
        <v>16</v>
      </c>
      <c r="BT162">
        <f>HYPERLINK("http://exon.niaid.nih.gov/transcriptome/Anopheles_sialome/links/cluster-b/anopheline-sialome-cds-pep-larger-orf45-50SimCLU30.txt", 30)</f>
        <v>30</v>
      </c>
      <c r="BU162">
        <f>HYPERLINK("http://exon.niaid.nih.gov/transcriptome/Anopheles_sialome/links/cluster-b/anopheline-sialome-cds-pep-larger-orf45-50SimCLTL30.txt", 16)</f>
        <v>16</v>
      </c>
      <c r="BV162">
        <f>HYPERLINK("http://exon.niaid.nih.gov/transcriptome/Anopheles_sialome/links/cluster-b/anopheline-sialome-cds-pep-larger-orf50-50SimCLU31.txt", 31)</f>
        <v>31</v>
      </c>
      <c r="BW162">
        <f>HYPERLINK("http://exon.niaid.nih.gov/transcriptome/Anopheles_sialome/links/cluster-b/anopheline-sialome-cds-pep-larger-orf50-50SimCLTL31.txt", 16)</f>
        <v>16</v>
      </c>
      <c r="BX162">
        <f>HYPERLINK("http://exon.niaid.nih.gov/transcriptome/Anopheles_sialome/links/cluster-b/anopheline-sialome-cds-pep-larger-orf55-50SimCLU30.txt", 30)</f>
        <v>30</v>
      </c>
      <c r="BY162">
        <f>HYPERLINK("http://exon.niaid.nih.gov/transcriptome/Anopheles_sialome/links/cluster-b/anopheline-sialome-cds-pep-larger-orf55-50SimCLTL30.txt", 16)</f>
        <v>16</v>
      </c>
      <c r="BZ162">
        <f>HYPERLINK("http://exon.niaid.nih.gov/transcriptome/Anopheles_sialome/links/cluster-b/anopheline-sialome-cds-pep-larger-orf60-50SimCLU26.txt", 26)</f>
        <v>26</v>
      </c>
      <c r="CA162">
        <f>HYPERLINK("http://exon.niaid.nih.gov/transcriptome/Anopheles_sialome/links/cluster-b/anopheline-sialome-cds-pep-larger-orf60-50SimCLTL26.txt", 16)</f>
        <v>16</v>
      </c>
      <c r="CB162">
        <f>HYPERLINK("http://exon.niaid.nih.gov/transcriptome/Anopheles_sialome/links/cluster-b/anopheline-sialome-cds-pep-larger-orf65-50SimCLU24.txt", 24)</f>
        <v>24</v>
      </c>
      <c r="CC162">
        <f>HYPERLINK("http://exon.niaid.nih.gov/transcriptome/Anopheles_sialome/links/cluster-b/anopheline-sialome-cds-pep-larger-orf65-50SimCLTL24.txt", 16)</f>
        <v>16</v>
      </c>
      <c r="CD162">
        <f>HYPERLINK("http://exon.niaid.nih.gov/transcriptome/Anopheles_sialome/links/cluster-b/anopheline-sialome-cds-pep-larger-orf70-50SimCLU32.txt", 32)</f>
        <v>32</v>
      </c>
      <c r="CE162">
        <f>HYPERLINK("http://exon.niaid.nih.gov/transcriptome/Anopheles_sialome/links/cluster-b/anopheline-sialome-cds-pep-larger-orf70-50SimCLTL32.txt", 14)</f>
        <v>14</v>
      </c>
      <c r="CF162">
        <f>HYPERLINK("http://exon.niaid.nih.gov/transcriptome/Anopheles_sialome/links/cluster-b/anopheline-sialome-cds-pep-larger-orf75-50SimCLU23.txt", 23)</f>
        <v>23</v>
      </c>
      <c r="CG162">
        <f>HYPERLINK("http://exon.niaid.nih.gov/transcriptome/Anopheles_sialome/links/cluster-b/anopheline-sialome-cds-pep-larger-orf75-50SimCLTL23.txt", 14)</f>
        <v>14</v>
      </c>
      <c r="CH162">
        <f>HYPERLINK("http://exon.niaid.nih.gov/transcriptome/Anopheles_sialome/links/cluster-b/anopheline-sialome-cds-pep-larger-orf80-50SimCLU18.txt", 18)</f>
        <v>18</v>
      </c>
      <c r="CI162">
        <f>HYPERLINK("http://exon.niaid.nih.gov/transcriptome/Anopheles_sialome/links/cluster-b/anopheline-sialome-cds-pep-larger-orf80-50SimCLTL18.txt", 13)</f>
        <v>13</v>
      </c>
      <c r="CJ162">
        <f>HYPERLINK("http://exon.niaid.nih.gov/transcriptome/Anopheles_sialome/links/cluster-b/anopheline-sialome-cds-pep-larger-orf85-50SimCLU40.txt", 40)</f>
        <v>40</v>
      </c>
      <c r="CK162">
        <f>HYPERLINK("http://exon.niaid.nih.gov/transcriptome/Anopheles_sialome/links/cluster-b/anopheline-sialome-cds-pep-larger-orf85-50SimCLTL40.txt", 6)</f>
        <v>6</v>
      </c>
      <c r="CL162">
        <f>HYPERLINK("http://exon.niaid.nih.gov/transcriptome/Anopheles_sialome/links/cluster-b/anopheline-sialome-cds-pep-larger-orf90-50SimCLU44.txt", 44)</f>
        <v>44</v>
      </c>
      <c r="CM162">
        <f>HYPERLINK("http://exon.niaid.nih.gov/transcriptome/Anopheles_sialome/links/cluster-b/anopheline-sialome-cds-pep-larger-orf90-50SimCLTL44.txt", 5)</f>
        <v>5</v>
      </c>
      <c r="CN162">
        <f>HYPERLINK("http://exon.niaid.nih.gov/transcriptome/Anopheles_sialome/links/cluster-b/anopheline-sialome-cds-pep-larger-orf95-50SimCLU41.txt", 41)</f>
        <v>41</v>
      </c>
      <c r="CO162">
        <f>HYPERLINK("http://exon.niaid.nih.gov/transcriptome/Anopheles_sialome/links/cluster-b/anopheline-sialome-cds-pep-larger-orf95-50SimCLTL41.txt", 5)</f>
        <v>5</v>
      </c>
    </row>
    <row r="163" spans="1:93">
      <c r="A163" s="2" t="str">
        <f>HYPERLINK("http://exon.niaid.nih.gov/transcriptome/Anopheles_sialome/links/cds/anoqua_Sal_trypXII-cds.txt","anoqua_Sal_trypXII")</f>
        <v>anoqua_Sal_trypXII</v>
      </c>
      <c r="B163">
        <v>813</v>
      </c>
      <c r="C163" t="s">
        <v>406</v>
      </c>
      <c r="D163" t="s">
        <v>4</v>
      </c>
      <c r="E163" t="s">
        <v>5</v>
      </c>
      <c r="F163" t="s">
        <v>1</v>
      </c>
      <c r="G163" t="str">
        <f>HYPERLINK("http://exon.niaid.nih.gov/transcriptome/Anopheles_sialome/links/pep/anoqua_Sal_trypXII-pep.txt","anoqua_Sal_trypXII")</f>
        <v>anoqua_Sal_trypXII</v>
      </c>
      <c r="H163">
        <v>270</v>
      </c>
      <c r="I163">
        <v>1</v>
      </c>
      <c r="J163" s="3" t="str">
        <f>HYPERLINK("http://exon.niaid.nih.gov/transcriptome/Anopheles_sialome/links/Sigp/anoqua_Sal_trypXII-SigP.txt","SIG")</f>
        <v>SIG</v>
      </c>
      <c r="K163" t="s">
        <v>715</v>
      </c>
      <c r="L163">
        <v>28.736000000000001</v>
      </c>
      <c r="M163">
        <v>6.58</v>
      </c>
      <c r="N163">
        <v>26.2</v>
      </c>
      <c r="O163">
        <v>7.13</v>
      </c>
      <c r="P163" t="s">
        <v>1700</v>
      </c>
      <c r="Q163" s="3">
        <v>0</v>
      </c>
      <c r="R163" t="s">
        <v>128</v>
      </c>
      <c r="S163" t="s">
        <v>128</v>
      </c>
      <c r="T163" t="s">
        <v>128</v>
      </c>
      <c r="U163" t="s">
        <v>128</v>
      </c>
      <c r="V163" t="s">
        <v>128</v>
      </c>
      <c r="W163" s="3" t="str">
        <f>HYPERLINK("http://exon.niaid.nih.gov/transcriptome/Anopheles_sialome/links/netoglyc/anoqua_Sal_trypXII-netoglyc.txt","2")</f>
        <v>2</v>
      </c>
      <c r="X163">
        <v>13.7</v>
      </c>
      <c r="Y163">
        <v>11.5</v>
      </c>
      <c r="Z163">
        <v>8.1</v>
      </c>
      <c r="AA163">
        <v>1.1000000000000001</v>
      </c>
      <c r="AB163" t="s">
        <v>128</v>
      </c>
      <c r="AC163" s="2" t="str">
        <f>HYPERLINK("http://exon.niaid.nih.gov/transcriptome/Anopheles_sialome/links/DIPTERA/anoqua_Sal_trypXII-DIPTERA.txt","hypothetical protein ZHAS_00009760")</f>
        <v>hypothetical protein ZHAS_00009760</v>
      </c>
      <c r="AD163" t="str">
        <f>HYPERLINK("http://www.ncbi.nlm.nih.gov/sutils/blink.cgi?pid=668453385","7E-088")</f>
        <v>7E-088</v>
      </c>
      <c r="AE163" t="str">
        <f t="shared" ref="AE163:AE164" si="105">HYPERLINK("http://www.ncbi.nlm.nih.gov/protein/668453385","gi|668453385")</f>
        <v>gi|668453385</v>
      </c>
      <c r="AF163">
        <v>62</v>
      </c>
      <c r="AG163">
        <v>73</v>
      </c>
      <c r="AH163">
        <v>93</v>
      </c>
      <c r="AI163" t="s">
        <v>2277</v>
      </c>
      <c r="AJ163" s="2" t="str">
        <f>HYPERLINK("http://exon.niaid.nih.gov/transcriptome/Anopheles_sialome/links/CULICOMORPHA/anoqua_Sal_trypXII-CULICOMORPHA.txt","hypothetical protein ZHAS_00009760")</f>
        <v>hypothetical protein ZHAS_00009760</v>
      </c>
      <c r="AK163" t="str">
        <f>HYPERLINK("http://www.ncbi.nlm.nih.gov/sutils/blink.cgi?pid=668453385","1E-088")</f>
        <v>1E-088</v>
      </c>
      <c r="AL163" t="str">
        <f t="shared" ref="AL163:AL164" si="106">HYPERLINK("http://www.ncbi.nlm.nih.gov/protein/668453385","gi|668453385")</f>
        <v>gi|668453385</v>
      </c>
      <c r="AM163">
        <v>62</v>
      </c>
      <c r="AN163">
        <v>73</v>
      </c>
      <c r="AO163">
        <v>93</v>
      </c>
      <c r="AP163" t="s">
        <v>2277</v>
      </c>
      <c r="AQ163" s="2" t="str">
        <f>HYPERLINK("http://exon.niaid.nih.gov/transcriptome/Anopheles_sialome/links/NR-LIGHT/anoqua_Sal_trypXII-NR-LIGHT.txt","hypothetical protein ZHAS_00009760")</f>
        <v>hypothetical protein ZHAS_00009760</v>
      </c>
      <c r="AR163" t="str">
        <f>HYPERLINK("http://www.ncbi.nlm.nih.gov/sutils/blink.cgi?pid=668453385","2E-087")</f>
        <v>2E-087</v>
      </c>
      <c r="AS163" t="str">
        <f t="shared" ref="AS163:AS164" si="107">HYPERLINK("http://www.ncbi.nlm.nih.gov/protein/668453385","gi|668453385")</f>
        <v>gi|668453385</v>
      </c>
      <c r="AT163">
        <v>62</v>
      </c>
      <c r="AU163">
        <v>73</v>
      </c>
      <c r="AV163">
        <v>93</v>
      </c>
      <c r="AW163" t="s">
        <v>2277</v>
      </c>
      <c r="AX163" s="2" t="str">
        <f>HYPERLINK("http://exon.niaid.nih.gov/transcriptome/Anopheles_sialome/links/CDD/anoqua_Sal_trypXII-CDD.txt","Tryp_SPc")</f>
        <v>Tryp_SPc</v>
      </c>
      <c r="AY163" t="str">
        <f>HYPERLINK("http://www.ncbi.nlm.nih.gov/Structure/cdd/cddsrv.cgi?uid=smart00020&amp;version=v4.0","1E-039")</f>
        <v>1E-039</v>
      </c>
      <c r="AZ163" t="s">
        <v>2846</v>
      </c>
      <c r="BA163" s="2" t="str">
        <f>HYPERLINK("http://exon.niaid.nih.gov/transcriptome/Anopheles_sialome/links/KOG/anoqua_Sal_trypXII-KOG.txt","Trypsin")</f>
        <v>Trypsin</v>
      </c>
      <c r="BB163" t="str">
        <f>HYPERLINK("http://www.ncbi.nlm.nih.gov/Structure/cdd/cddsrv.cgi?uid=KOG3627","5E-031")</f>
        <v>5E-031</v>
      </c>
      <c r="BC163" t="s">
        <v>2287</v>
      </c>
      <c r="BD163" t="str">
        <f>HYPERLINK("http://exon.niaid.nih.gov/transcriptome/Anopheles_sialome/links/KOG/anoqua_Sal_trypXII-KOG.txt","KOG3627")</f>
        <v>KOG3627</v>
      </c>
      <c r="BE163" t="str">
        <f>HYPERLINK("http://exon.niaid.nih.gov/transcriptome/Anopheles_sialome/links/PFAM/anoqua_Sal_trypXII-PFAM.txt","Trypsin")</f>
        <v>Trypsin</v>
      </c>
      <c r="BF163" t="str">
        <f>HYPERLINK("http://pfam.sanger.ac.uk/family?acc=PF00089","6E-033")</f>
        <v>6E-033</v>
      </c>
      <c r="BG163" s="2" t="str">
        <f>HYPERLINK("http://exon.niaid.nih.gov/transcriptome/Anopheles_sialome/links/SMART/anoqua_Sal_trypXII-SMART.txt","Tryp_SPc")</f>
        <v>Tryp_SPc</v>
      </c>
      <c r="BH163" t="str">
        <f>HYPERLINK("http://smart.embl-heidelberg.de/smart/do_annotation.pl?DOMAIN=Tryp_SPc&amp;BLAST=DUMMY","1E-041")</f>
        <v>1E-041</v>
      </c>
      <c r="BI163" t="str">
        <f>HYPERLINK("http://exon.niaid.nih.gov/transcriptome/Anopheles_sialome/links/TICK-BLOCKS/anoqua_Sal_trypXII-TICK-BLOCKS.txt","RGD_cys_disintegrin |")</f>
        <v>RGD_cys_disintegrin |</v>
      </c>
      <c r="BJ163" s="2" t="s">
        <v>2495</v>
      </c>
      <c r="BK163" t="s">
        <v>1699</v>
      </c>
      <c r="BL163">
        <f>HYPERLINK("http://exon.niaid.nih.gov/transcriptome/Anopheles_sialome/links/cluster-b/anopheline-sialome-cds-pep-larger-orf25-50SimCLU5.txt", 5)</f>
        <v>5</v>
      </c>
      <c r="BM163">
        <f>HYPERLINK("http://exon.niaid.nih.gov/transcriptome/Anopheles_sialome/links/cluster-b/anopheline-sialome-cds-pep-larger-orf25-50SimCLTL5.txt", 56)</f>
        <v>56</v>
      </c>
      <c r="BN163">
        <f>HYPERLINK("http://exon.niaid.nih.gov/transcriptome/Anopheles_sialome/links/cluster-b/anopheline-sialome-cds-pep-larger-orf30-50SimCLU18.txt", 18)</f>
        <v>18</v>
      </c>
      <c r="BO163">
        <f>HYPERLINK("http://exon.niaid.nih.gov/transcriptome/Anopheles_sialome/links/cluster-b/anopheline-sialome-cds-pep-larger-orf30-50SimCLTL18.txt", 16)</f>
        <v>16</v>
      </c>
      <c r="BP163">
        <f>HYPERLINK("http://exon.niaid.nih.gov/transcriptome/Anopheles_sialome/links/cluster-b/anopheline-sialome-cds-pep-larger-orf35-50SimCLU20.txt", 20)</f>
        <v>20</v>
      </c>
      <c r="BQ163">
        <f>HYPERLINK("http://exon.niaid.nih.gov/transcriptome/Anopheles_sialome/links/cluster-b/anopheline-sialome-cds-pep-larger-orf35-50SimCLTL20.txt", 16)</f>
        <v>16</v>
      </c>
      <c r="BR163">
        <f>HYPERLINK("http://exon.niaid.nih.gov/transcriptome/Anopheles_sialome/links/cluster-b/anopheline-sialome-cds-pep-larger-orf40-50SimCLU26.txt", 26)</f>
        <v>26</v>
      </c>
      <c r="BS163">
        <f>HYPERLINK("http://exon.niaid.nih.gov/transcriptome/Anopheles_sialome/links/cluster-b/anopheline-sialome-cds-pep-larger-orf40-50SimCLTL26.txt", 16)</f>
        <v>16</v>
      </c>
      <c r="BT163">
        <f>HYPERLINK("http://exon.niaid.nih.gov/transcriptome/Anopheles_sialome/links/cluster-b/anopheline-sialome-cds-pep-larger-orf45-50SimCLU30.txt", 30)</f>
        <v>30</v>
      </c>
      <c r="BU163">
        <f>HYPERLINK("http://exon.niaid.nih.gov/transcriptome/Anopheles_sialome/links/cluster-b/anopheline-sialome-cds-pep-larger-orf45-50SimCLTL30.txt", 16)</f>
        <v>16</v>
      </c>
      <c r="BV163">
        <f>HYPERLINK("http://exon.niaid.nih.gov/transcriptome/Anopheles_sialome/links/cluster-b/anopheline-sialome-cds-pep-larger-orf50-50SimCLU31.txt", 31)</f>
        <v>31</v>
      </c>
      <c r="BW163">
        <f>HYPERLINK("http://exon.niaid.nih.gov/transcriptome/Anopheles_sialome/links/cluster-b/anopheline-sialome-cds-pep-larger-orf50-50SimCLTL31.txt", 16)</f>
        <v>16</v>
      </c>
      <c r="BX163">
        <f>HYPERLINK("http://exon.niaid.nih.gov/transcriptome/Anopheles_sialome/links/cluster-b/anopheline-sialome-cds-pep-larger-orf55-50SimCLU30.txt", 30)</f>
        <v>30</v>
      </c>
      <c r="BY163">
        <f>HYPERLINK("http://exon.niaid.nih.gov/transcriptome/Anopheles_sialome/links/cluster-b/anopheline-sialome-cds-pep-larger-orf55-50SimCLTL30.txt", 16)</f>
        <v>16</v>
      </c>
      <c r="BZ163">
        <f>HYPERLINK("http://exon.niaid.nih.gov/transcriptome/Anopheles_sialome/links/cluster-b/anopheline-sialome-cds-pep-larger-orf60-50SimCLU26.txt", 26)</f>
        <v>26</v>
      </c>
      <c r="CA163">
        <f>HYPERLINK("http://exon.niaid.nih.gov/transcriptome/Anopheles_sialome/links/cluster-b/anopheline-sialome-cds-pep-larger-orf60-50SimCLTL26.txt", 16)</f>
        <v>16</v>
      </c>
      <c r="CB163">
        <f>HYPERLINK("http://exon.niaid.nih.gov/transcriptome/Anopheles_sialome/links/cluster-b/anopheline-sialome-cds-pep-larger-orf65-50SimCLU24.txt", 24)</f>
        <v>24</v>
      </c>
      <c r="CC163">
        <f>HYPERLINK("http://exon.niaid.nih.gov/transcriptome/Anopheles_sialome/links/cluster-b/anopheline-sialome-cds-pep-larger-orf65-50SimCLTL24.txt", 16)</f>
        <v>16</v>
      </c>
      <c r="CD163">
        <f>HYPERLINK("http://exon.niaid.nih.gov/transcriptome/Anopheles_sialome/links/cluster-b/anopheline-sialome-cds-pep-larger-orf70-50SimCLU32.txt", 32)</f>
        <v>32</v>
      </c>
      <c r="CE163">
        <f>HYPERLINK("http://exon.niaid.nih.gov/transcriptome/Anopheles_sialome/links/cluster-b/anopheline-sialome-cds-pep-larger-orf70-50SimCLTL32.txt", 14)</f>
        <v>14</v>
      </c>
      <c r="CF163">
        <f>HYPERLINK("http://exon.niaid.nih.gov/transcriptome/Anopheles_sialome/links/cluster-b/anopheline-sialome-cds-pep-larger-orf75-50SimCLU23.txt", 23)</f>
        <v>23</v>
      </c>
      <c r="CG163">
        <f>HYPERLINK("http://exon.niaid.nih.gov/transcriptome/Anopheles_sialome/links/cluster-b/anopheline-sialome-cds-pep-larger-orf75-50SimCLTL23.txt", 14)</f>
        <v>14</v>
      </c>
      <c r="CH163">
        <f>HYPERLINK("http://exon.niaid.nih.gov/transcriptome/Anopheles_sialome/links/cluster-b/anopheline-sialome-cds-pep-larger-orf80-50SimCLU18.txt", 18)</f>
        <v>18</v>
      </c>
      <c r="CI163">
        <f>HYPERLINK("http://exon.niaid.nih.gov/transcriptome/Anopheles_sialome/links/cluster-b/anopheline-sialome-cds-pep-larger-orf80-50SimCLTL18.txt", 13)</f>
        <v>13</v>
      </c>
      <c r="CJ163">
        <f>HYPERLINK("http://exon.niaid.nih.gov/transcriptome/Anopheles_sialome/links/cluster-b/anopheline-sialome-cds-pep-larger-orf85-50SimCLU40.txt", 40)</f>
        <v>40</v>
      </c>
      <c r="CK163">
        <f>HYPERLINK("http://exon.niaid.nih.gov/transcriptome/Anopheles_sialome/links/cluster-b/anopheline-sialome-cds-pep-larger-orf85-50SimCLTL40.txt", 6)</f>
        <v>6</v>
      </c>
      <c r="CL163">
        <f>HYPERLINK("http://exon.niaid.nih.gov/transcriptome/Anopheles_sialome/links/cluster-b/anopheline-sialome-cds-pep-larger-orf90-50SimCLU44.txt", 44)</f>
        <v>44</v>
      </c>
      <c r="CM163">
        <f>HYPERLINK("http://exon.niaid.nih.gov/transcriptome/Anopheles_sialome/links/cluster-b/anopheline-sialome-cds-pep-larger-orf90-50SimCLTL44.txt", 5)</f>
        <v>5</v>
      </c>
      <c r="CN163">
        <f>HYPERLINK("http://exon.niaid.nih.gov/transcriptome/Anopheles_sialome/links/cluster-b/anopheline-sialome-cds-pep-larger-orf95-50SimCLU41.txt", 41)</f>
        <v>41</v>
      </c>
      <c r="CO163">
        <f>HYPERLINK("http://exon.niaid.nih.gov/transcriptome/Anopheles_sialome/links/cluster-b/anopheline-sialome-cds-pep-larger-orf95-50SimCLTL41.txt", 5)</f>
        <v>5</v>
      </c>
    </row>
    <row r="164" spans="1:93">
      <c r="A164" s="2" t="str">
        <f>HYPERLINK("http://exon.niaid.nih.gov/transcriptome/Anopheles_sialome/links/cds/anomer_Sal_trypXII-cds.txt","anomer_Sal_trypXII")</f>
        <v>anomer_Sal_trypXII</v>
      </c>
      <c r="B164">
        <v>813</v>
      </c>
      <c r="C164" t="s">
        <v>407</v>
      </c>
      <c r="D164" t="s">
        <v>7</v>
      </c>
      <c r="E164" t="s">
        <v>5</v>
      </c>
      <c r="F164" t="s">
        <v>1</v>
      </c>
      <c r="G164" t="str">
        <f>HYPERLINK("http://exon.niaid.nih.gov/transcriptome/Anopheles_sialome/links/pep/anomer_Sal_trypXII-pep.txt","anomer_Sal_trypXII")</f>
        <v>anomer_Sal_trypXII</v>
      </c>
      <c r="H164">
        <v>270</v>
      </c>
      <c r="I164">
        <v>1</v>
      </c>
      <c r="J164" s="3" t="str">
        <f>HYPERLINK("http://exon.niaid.nih.gov/transcriptome/Anopheles_sialome/links/Sigp/anomer_Sal_trypXII-SigP.txt","SIG")</f>
        <v>SIG</v>
      </c>
      <c r="K164" t="s">
        <v>715</v>
      </c>
      <c r="L164">
        <v>28.713000000000001</v>
      </c>
      <c r="M164">
        <v>6.04</v>
      </c>
      <c r="N164">
        <v>26.190999999999999</v>
      </c>
      <c r="O164">
        <v>6.31</v>
      </c>
      <c r="P164" t="s">
        <v>1702</v>
      </c>
      <c r="Q164" s="3">
        <v>0</v>
      </c>
      <c r="R164" t="s">
        <v>128</v>
      </c>
      <c r="S164" t="s">
        <v>128</v>
      </c>
      <c r="T164" t="s">
        <v>128</v>
      </c>
      <c r="U164" t="s">
        <v>128</v>
      </c>
      <c r="V164" t="s">
        <v>128</v>
      </c>
      <c r="W164" s="3" t="str">
        <f>HYPERLINK("http://exon.niaid.nih.gov/transcriptome/Anopheles_sialome/links/netoglyc/anomer_Sal_trypXII-netoglyc.txt","1")</f>
        <v>1</v>
      </c>
      <c r="X164">
        <v>14.1</v>
      </c>
      <c r="Y164">
        <v>11.5</v>
      </c>
      <c r="Z164">
        <v>7.8</v>
      </c>
      <c r="AA164">
        <v>1.1000000000000001</v>
      </c>
      <c r="AB164" t="s">
        <v>128</v>
      </c>
      <c r="AC164" s="2" t="str">
        <f>HYPERLINK("http://exon.niaid.nih.gov/transcriptome/Anopheles_sialome/links/DIPTERA/anomer_Sal_trypXII-DIPTERA.txt","hypothetical protein ZHAS_00009760")</f>
        <v>hypothetical protein ZHAS_00009760</v>
      </c>
      <c r="AD164" t="str">
        <f>HYPERLINK("http://www.ncbi.nlm.nih.gov/sutils/blink.cgi?pid=668453385","1E-089")</f>
        <v>1E-089</v>
      </c>
      <c r="AE164" t="str">
        <f t="shared" si="105"/>
        <v>gi|668453385</v>
      </c>
      <c r="AF164">
        <v>64</v>
      </c>
      <c r="AG164">
        <v>74</v>
      </c>
      <c r="AH164">
        <v>93</v>
      </c>
      <c r="AI164" t="s">
        <v>2277</v>
      </c>
      <c r="AJ164" s="2" t="str">
        <f>HYPERLINK("http://exon.niaid.nih.gov/transcriptome/Anopheles_sialome/links/CULICOMORPHA/anomer_Sal_trypXII-CULICOMORPHA.txt","hypothetical protein ZHAS_00009760")</f>
        <v>hypothetical protein ZHAS_00009760</v>
      </c>
      <c r="AK164" t="str">
        <f>HYPERLINK("http://www.ncbi.nlm.nih.gov/sutils/blink.cgi?pid=668453385","2E-090")</f>
        <v>2E-090</v>
      </c>
      <c r="AL164" t="str">
        <f t="shared" si="106"/>
        <v>gi|668453385</v>
      </c>
      <c r="AM164">
        <v>64</v>
      </c>
      <c r="AN164">
        <v>74</v>
      </c>
      <c r="AO164">
        <v>93</v>
      </c>
      <c r="AP164" t="s">
        <v>2277</v>
      </c>
      <c r="AQ164" s="2" t="str">
        <f>HYPERLINK("http://exon.niaid.nih.gov/transcriptome/Anopheles_sialome/links/NR-LIGHT/anomer_Sal_trypXII-NR-LIGHT.txt","hypothetical protein ZHAS_00009760")</f>
        <v>hypothetical protein ZHAS_00009760</v>
      </c>
      <c r="AR164" t="str">
        <f>HYPERLINK("http://www.ncbi.nlm.nih.gov/sutils/blink.cgi?pid=668453385","3E-089")</f>
        <v>3E-089</v>
      </c>
      <c r="AS164" t="str">
        <f t="shared" si="107"/>
        <v>gi|668453385</v>
      </c>
      <c r="AT164">
        <v>64</v>
      </c>
      <c r="AU164">
        <v>74</v>
      </c>
      <c r="AV164">
        <v>93</v>
      </c>
      <c r="AW164" t="s">
        <v>2277</v>
      </c>
      <c r="AX164" s="2" t="str">
        <f>HYPERLINK("http://exon.niaid.nih.gov/transcriptome/Anopheles_sialome/links/CDD/anomer_Sal_trypXII-CDD.txt","Tryp_SPc")</f>
        <v>Tryp_SPc</v>
      </c>
      <c r="AY164" t="str">
        <f>HYPERLINK("http://www.ncbi.nlm.nih.gov/Structure/cdd/cddsrv.cgi?uid=smart00020&amp;version=v4.0","9E-040")</f>
        <v>9E-040</v>
      </c>
      <c r="AZ164" t="s">
        <v>2847</v>
      </c>
      <c r="BA164" s="2" t="str">
        <f>HYPERLINK("http://exon.niaid.nih.gov/transcriptome/Anopheles_sialome/links/KOG/anomer_Sal_trypXII-KOG.txt","Trypsin")</f>
        <v>Trypsin</v>
      </c>
      <c r="BB164" t="str">
        <f>HYPERLINK("http://www.ncbi.nlm.nih.gov/Structure/cdd/cddsrv.cgi?uid=KOG3627","9E-031")</f>
        <v>9E-031</v>
      </c>
      <c r="BC164" t="s">
        <v>2287</v>
      </c>
      <c r="BD164" t="str">
        <f>HYPERLINK("http://exon.niaid.nih.gov/transcriptome/Anopheles_sialome/links/KOG/anomer_Sal_trypXII-KOG.txt","KOG3627")</f>
        <v>KOG3627</v>
      </c>
      <c r="BE164" t="str">
        <f>HYPERLINK("http://exon.niaid.nih.gov/transcriptome/Anopheles_sialome/links/PFAM/anomer_Sal_trypXII-PFAM.txt","Trypsin")</f>
        <v>Trypsin</v>
      </c>
      <c r="BF164" t="str">
        <f>HYPERLINK("http://pfam.sanger.ac.uk/family?acc=PF00089","6E-033")</f>
        <v>6E-033</v>
      </c>
      <c r="BG164" s="2" t="str">
        <f>HYPERLINK("http://exon.niaid.nih.gov/transcriptome/Anopheles_sialome/links/SMART/anomer_Sal_trypXII-SMART.txt","Tryp_SPc")</f>
        <v>Tryp_SPc</v>
      </c>
      <c r="BH164" t="str">
        <f>HYPERLINK("http://smart.embl-heidelberg.de/smart/do_annotation.pl?DOMAIN=Tryp_SPc&amp;BLAST=DUMMY","9E-042")</f>
        <v>9E-042</v>
      </c>
      <c r="BI164" t="str">
        <f>HYPERLINK("http://exon.niaid.nih.gov/transcriptome/Anopheles_sialome/links/TICK-BLOCKS/anomer_Sal_trypXII-TICK-BLOCKS.txt","RGD_cys_disintegrin |")</f>
        <v>RGD_cys_disintegrin |</v>
      </c>
      <c r="BJ164" s="2" t="s">
        <v>2495</v>
      </c>
      <c r="BK164" t="s">
        <v>1701</v>
      </c>
      <c r="BL164">
        <f>HYPERLINK("http://exon.niaid.nih.gov/transcriptome/Anopheles_sialome/links/cluster-b/anopheline-sialome-cds-pep-larger-orf25-50SimCLU5.txt", 5)</f>
        <v>5</v>
      </c>
      <c r="BM164">
        <f>HYPERLINK("http://exon.niaid.nih.gov/transcriptome/Anopheles_sialome/links/cluster-b/anopheline-sialome-cds-pep-larger-orf25-50SimCLTL5.txt", 56)</f>
        <v>56</v>
      </c>
      <c r="BN164">
        <f>HYPERLINK("http://exon.niaid.nih.gov/transcriptome/Anopheles_sialome/links/cluster-b/anopheline-sialome-cds-pep-larger-orf30-50SimCLU18.txt", 18)</f>
        <v>18</v>
      </c>
      <c r="BO164">
        <f>HYPERLINK("http://exon.niaid.nih.gov/transcriptome/Anopheles_sialome/links/cluster-b/anopheline-sialome-cds-pep-larger-orf30-50SimCLTL18.txt", 16)</f>
        <v>16</v>
      </c>
      <c r="BP164">
        <f>HYPERLINK("http://exon.niaid.nih.gov/transcriptome/Anopheles_sialome/links/cluster-b/anopheline-sialome-cds-pep-larger-orf35-50SimCLU20.txt", 20)</f>
        <v>20</v>
      </c>
      <c r="BQ164">
        <f>HYPERLINK("http://exon.niaid.nih.gov/transcriptome/Anopheles_sialome/links/cluster-b/anopheline-sialome-cds-pep-larger-orf35-50SimCLTL20.txt", 16)</f>
        <v>16</v>
      </c>
      <c r="BR164">
        <f>HYPERLINK("http://exon.niaid.nih.gov/transcriptome/Anopheles_sialome/links/cluster-b/anopheline-sialome-cds-pep-larger-orf40-50SimCLU26.txt", 26)</f>
        <v>26</v>
      </c>
      <c r="BS164">
        <f>HYPERLINK("http://exon.niaid.nih.gov/transcriptome/Anopheles_sialome/links/cluster-b/anopheline-sialome-cds-pep-larger-orf40-50SimCLTL26.txt", 16)</f>
        <v>16</v>
      </c>
      <c r="BT164">
        <f>HYPERLINK("http://exon.niaid.nih.gov/transcriptome/Anopheles_sialome/links/cluster-b/anopheline-sialome-cds-pep-larger-orf45-50SimCLU30.txt", 30)</f>
        <v>30</v>
      </c>
      <c r="BU164">
        <f>HYPERLINK("http://exon.niaid.nih.gov/transcriptome/Anopheles_sialome/links/cluster-b/anopheline-sialome-cds-pep-larger-orf45-50SimCLTL30.txt", 16)</f>
        <v>16</v>
      </c>
      <c r="BV164">
        <f>HYPERLINK("http://exon.niaid.nih.gov/transcriptome/Anopheles_sialome/links/cluster-b/anopheline-sialome-cds-pep-larger-orf50-50SimCLU31.txt", 31)</f>
        <v>31</v>
      </c>
      <c r="BW164">
        <f>HYPERLINK("http://exon.niaid.nih.gov/transcriptome/Anopheles_sialome/links/cluster-b/anopheline-sialome-cds-pep-larger-orf50-50SimCLTL31.txt", 16)</f>
        <v>16</v>
      </c>
      <c r="BX164">
        <f>HYPERLINK("http://exon.niaid.nih.gov/transcriptome/Anopheles_sialome/links/cluster-b/anopheline-sialome-cds-pep-larger-orf55-50SimCLU30.txt", 30)</f>
        <v>30</v>
      </c>
      <c r="BY164">
        <f>HYPERLINK("http://exon.niaid.nih.gov/transcriptome/Anopheles_sialome/links/cluster-b/anopheline-sialome-cds-pep-larger-orf55-50SimCLTL30.txt", 16)</f>
        <v>16</v>
      </c>
      <c r="BZ164">
        <f>HYPERLINK("http://exon.niaid.nih.gov/transcriptome/Anopheles_sialome/links/cluster-b/anopheline-sialome-cds-pep-larger-orf60-50SimCLU26.txt", 26)</f>
        <v>26</v>
      </c>
      <c r="CA164">
        <f>HYPERLINK("http://exon.niaid.nih.gov/transcriptome/Anopheles_sialome/links/cluster-b/anopheline-sialome-cds-pep-larger-orf60-50SimCLTL26.txt", 16)</f>
        <v>16</v>
      </c>
      <c r="CB164">
        <f>HYPERLINK("http://exon.niaid.nih.gov/transcriptome/Anopheles_sialome/links/cluster-b/anopheline-sialome-cds-pep-larger-orf65-50SimCLU24.txt", 24)</f>
        <v>24</v>
      </c>
      <c r="CC164">
        <f>HYPERLINK("http://exon.niaid.nih.gov/transcriptome/Anopheles_sialome/links/cluster-b/anopheline-sialome-cds-pep-larger-orf65-50SimCLTL24.txt", 16)</f>
        <v>16</v>
      </c>
      <c r="CD164">
        <f>HYPERLINK("http://exon.niaid.nih.gov/transcriptome/Anopheles_sialome/links/cluster-b/anopheline-sialome-cds-pep-larger-orf70-50SimCLU32.txt", 32)</f>
        <v>32</v>
      </c>
      <c r="CE164">
        <f>HYPERLINK("http://exon.niaid.nih.gov/transcriptome/Anopheles_sialome/links/cluster-b/anopheline-sialome-cds-pep-larger-orf70-50SimCLTL32.txt", 14)</f>
        <v>14</v>
      </c>
      <c r="CF164">
        <f>HYPERLINK("http://exon.niaid.nih.gov/transcriptome/Anopheles_sialome/links/cluster-b/anopheline-sialome-cds-pep-larger-orf75-50SimCLU23.txt", 23)</f>
        <v>23</v>
      </c>
      <c r="CG164">
        <f>HYPERLINK("http://exon.niaid.nih.gov/transcriptome/Anopheles_sialome/links/cluster-b/anopheline-sialome-cds-pep-larger-orf75-50SimCLTL23.txt", 14)</f>
        <v>14</v>
      </c>
      <c r="CH164">
        <f>HYPERLINK("http://exon.niaid.nih.gov/transcriptome/Anopheles_sialome/links/cluster-b/anopheline-sialome-cds-pep-larger-orf80-50SimCLU18.txt", 18)</f>
        <v>18</v>
      </c>
      <c r="CI164">
        <f>HYPERLINK("http://exon.niaid.nih.gov/transcriptome/Anopheles_sialome/links/cluster-b/anopheline-sialome-cds-pep-larger-orf80-50SimCLTL18.txt", 13)</f>
        <v>13</v>
      </c>
      <c r="CJ164">
        <f>HYPERLINK("http://exon.niaid.nih.gov/transcriptome/Anopheles_sialome/links/cluster-b/anopheline-sialome-cds-pep-larger-orf85-50SimCLU40.txt", 40)</f>
        <v>40</v>
      </c>
      <c r="CK164">
        <f>HYPERLINK("http://exon.niaid.nih.gov/transcriptome/Anopheles_sialome/links/cluster-b/anopheline-sialome-cds-pep-larger-orf85-50SimCLTL40.txt", 6)</f>
        <v>6</v>
      </c>
      <c r="CL164">
        <f>HYPERLINK("http://exon.niaid.nih.gov/transcriptome/Anopheles_sialome/links/cluster-b/anopheline-sialome-cds-pep-larger-orf90-50SimCLU44.txt", 44)</f>
        <v>44</v>
      </c>
      <c r="CM164">
        <f>HYPERLINK("http://exon.niaid.nih.gov/transcriptome/Anopheles_sialome/links/cluster-b/anopheline-sialome-cds-pep-larger-orf90-50SimCLTL44.txt", 5)</f>
        <v>5</v>
      </c>
      <c r="CN164">
        <f>HYPERLINK("http://exon.niaid.nih.gov/transcriptome/Anopheles_sialome/links/cluster-b/anopheline-sialome-cds-pep-larger-orf95-50SimCLU41.txt", 41)</f>
        <v>41</v>
      </c>
      <c r="CO164">
        <f>HYPERLINK("http://exon.niaid.nih.gov/transcriptome/Anopheles_sialome/links/cluster-b/anopheline-sialome-cds-pep-larger-orf95-50SimCLTL41.txt", 5)</f>
        <v>5</v>
      </c>
    </row>
    <row r="165" spans="1:93">
      <c r="A165" s="2" t="str">
        <f>HYPERLINK("http://exon.niaid.nih.gov/transcriptome/Anopheles_sialome/links/cds/anochris_Sal_trypXII-cds.txt","anochris_Sal_trypXII")</f>
        <v>anochris_Sal_trypXII</v>
      </c>
      <c r="B165">
        <v>822</v>
      </c>
      <c r="C165" t="s">
        <v>408</v>
      </c>
      <c r="D165" t="s">
        <v>4</v>
      </c>
      <c r="E165" t="s">
        <v>5</v>
      </c>
      <c r="F165" t="s">
        <v>1</v>
      </c>
      <c r="G165" t="str">
        <f>HYPERLINK("http://exon.niaid.nih.gov/transcriptome/Anopheles_sialome/links/pep/anochris_Sal_trypXII-pep.txt","anochris_Sal_trypXII")</f>
        <v>anochris_Sal_trypXII</v>
      </c>
      <c r="H165">
        <v>273</v>
      </c>
      <c r="I165">
        <v>0</v>
      </c>
      <c r="J165" s="3" t="str">
        <f>HYPERLINK("http://exon.niaid.nih.gov/transcriptome/Anopheles_sialome/links/Sigp/anochris_Sal_trypXII-SigP.txt","SIG")</f>
        <v>SIG</v>
      </c>
      <c r="K165" t="s">
        <v>787</v>
      </c>
      <c r="L165">
        <v>28.59</v>
      </c>
      <c r="M165">
        <v>6.63</v>
      </c>
      <c r="N165">
        <v>25.972000000000001</v>
      </c>
      <c r="O165">
        <v>7.12</v>
      </c>
      <c r="P165" t="s">
        <v>1704</v>
      </c>
      <c r="Q165" s="3" t="str">
        <f>HYPERLINK("http://exon.niaid.nih.gov/transcriptome/Anopheles_sialome/links/tmhmm/anochris_Sal_trypXII-tmhmm.txt","1")</f>
        <v>1</v>
      </c>
      <c r="R165">
        <v>8.1</v>
      </c>
      <c r="S165">
        <v>90.1</v>
      </c>
      <c r="T165">
        <v>1.8</v>
      </c>
      <c r="U165" t="s">
        <v>128</v>
      </c>
      <c r="V165">
        <v>246</v>
      </c>
      <c r="W165" s="3" t="str">
        <f>HYPERLINK("http://exon.niaid.nih.gov/transcriptome/Anopheles_sialome/links/netoglyc/anochris_Sal_trypXII-netoglyc.txt","3")</f>
        <v>3</v>
      </c>
      <c r="X165">
        <v>15.4</v>
      </c>
      <c r="Y165">
        <v>12.8</v>
      </c>
      <c r="Z165">
        <v>7</v>
      </c>
      <c r="AA165">
        <v>1.1000000000000001</v>
      </c>
      <c r="AB165" t="s">
        <v>128</v>
      </c>
      <c r="AC165" s="2" t="str">
        <f>HYPERLINK("http://exon.niaid.nih.gov/transcriptome/Anopheles_sialome/links/DIPTERA/anochris_Sal_trypXII-DIPTERA.txt","hypothetical protein ZHAS_00009760")</f>
        <v>hypothetical protein ZHAS_00009760</v>
      </c>
      <c r="AD165" t="str">
        <f>HYPERLINK("http://www.ncbi.nlm.nih.gov/sutils/blink.cgi?pid=668453385","2E-090")</f>
        <v>2E-090</v>
      </c>
      <c r="AE165" t="str">
        <f>HYPERLINK("http://www.ncbi.nlm.nih.gov/protein/668453385","gi|668453385")</f>
        <v>gi|668453385</v>
      </c>
      <c r="AF165">
        <v>65</v>
      </c>
      <c r="AG165">
        <v>74</v>
      </c>
      <c r="AH165">
        <v>95</v>
      </c>
      <c r="AI165" t="s">
        <v>2277</v>
      </c>
      <c r="AJ165" s="2" t="str">
        <f>HYPERLINK("http://exon.niaid.nih.gov/transcriptome/Anopheles_sialome/links/CULICOMORPHA/anochris_Sal_trypXII-CULICOMORPHA.txt","hypothetical protein ZHAS_00009760")</f>
        <v>hypothetical protein ZHAS_00009760</v>
      </c>
      <c r="AK165" t="str">
        <f>HYPERLINK("http://www.ncbi.nlm.nih.gov/sutils/blink.cgi?pid=668453385","3E-091")</f>
        <v>3E-091</v>
      </c>
      <c r="AL165" t="str">
        <f>HYPERLINK("http://www.ncbi.nlm.nih.gov/protein/668453385","gi|668453385")</f>
        <v>gi|668453385</v>
      </c>
      <c r="AM165">
        <v>65</v>
      </c>
      <c r="AN165">
        <v>74</v>
      </c>
      <c r="AO165">
        <v>95</v>
      </c>
      <c r="AP165" t="s">
        <v>2277</v>
      </c>
      <c r="AQ165" s="2" t="str">
        <f>HYPERLINK("http://exon.niaid.nih.gov/transcriptome/Anopheles_sialome/links/NR-LIGHT/anochris_Sal_trypXII-NR-LIGHT.txt","hypothetical protein ZHAS_00009760")</f>
        <v>hypothetical protein ZHAS_00009760</v>
      </c>
      <c r="AR165" t="str">
        <f>HYPERLINK("http://www.ncbi.nlm.nih.gov/sutils/blink.cgi?pid=668453385","5E-090")</f>
        <v>5E-090</v>
      </c>
      <c r="AS165" t="str">
        <f>HYPERLINK("http://www.ncbi.nlm.nih.gov/protein/668453385","gi|668453385")</f>
        <v>gi|668453385</v>
      </c>
      <c r="AT165">
        <v>65</v>
      </c>
      <c r="AU165">
        <v>74</v>
      </c>
      <c r="AV165">
        <v>95</v>
      </c>
      <c r="AW165" t="s">
        <v>2277</v>
      </c>
      <c r="AX165" s="2" t="str">
        <f>HYPERLINK("http://exon.niaid.nih.gov/transcriptome/Anopheles_sialome/links/CDD/anochris_Sal_trypXII-CDD.txt","Tryp_SPc")</f>
        <v>Tryp_SPc</v>
      </c>
      <c r="AY165" t="str">
        <f>HYPERLINK("http://www.ncbi.nlm.nih.gov/Structure/cdd/cddsrv.cgi?uid=cd00190&amp;version=v4.0","8E-040")</f>
        <v>8E-040</v>
      </c>
      <c r="AZ165" t="s">
        <v>2848</v>
      </c>
      <c r="BA165" s="2" t="str">
        <f>HYPERLINK("http://exon.niaid.nih.gov/transcriptome/Anopheles_sialome/links/KOG/anochris_Sal_trypXII-KOG.txt","Trypsin")</f>
        <v>Trypsin</v>
      </c>
      <c r="BB165" t="str">
        <f>HYPERLINK("http://www.ncbi.nlm.nih.gov/Structure/cdd/cddsrv.cgi?uid=KOG3627","2E-029")</f>
        <v>2E-029</v>
      </c>
      <c r="BC165" t="s">
        <v>2287</v>
      </c>
      <c r="BD165" t="str">
        <f>HYPERLINK("http://exon.niaid.nih.gov/transcriptome/Anopheles_sialome/links/KOG/anochris_Sal_trypXII-KOG.txt","KOG3627")</f>
        <v>KOG3627</v>
      </c>
      <c r="BE165" t="str">
        <f>HYPERLINK("http://exon.niaid.nih.gov/transcriptome/Anopheles_sialome/links/PFAM/anochris_Sal_trypXII-PFAM.txt","Trypsin")</f>
        <v>Trypsin</v>
      </c>
      <c r="BF165" t="str">
        <f>HYPERLINK("http://pfam.sanger.ac.uk/family?acc=PF00089","2E-031")</f>
        <v>2E-031</v>
      </c>
      <c r="BG165" s="2" t="str">
        <f>HYPERLINK("http://exon.niaid.nih.gov/transcriptome/Anopheles_sialome/links/SMART/anochris_Sal_trypXII-SMART.txt","Tryp_SPc")</f>
        <v>Tryp_SPc</v>
      </c>
      <c r="BH165" t="str">
        <f>HYPERLINK("http://smart.embl-heidelberg.de/smart/do_annotation.pl?DOMAIN=Tryp_SPc&amp;BLAST=DUMMY","1E-041")</f>
        <v>1E-041</v>
      </c>
      <c r="BI165" t="str">
        <f>HYPERLINK("http://exon.niaid.nih.gov/transcriptome/Anopheles_sialome/links/TICK-BLOCKS/anochris_Sal_trypXII-TICK-BLOCKS.txt","RGD_cys_disintegrin |")</f>
        <v>RGD_cys_disintegrin |</v>
      </c>
      <c r="BJ165" s="2" t="s">
        <v>2495</v>
      </c>
      <c r="BK165" t="s">
        <v>1703</v>
      </c>
      <c r="BL165">
        <f>HYPERLINK("http://exon.niaid.nih.gov/transcriptome/Anopheles_sialome/links/cluster-b/anopheline-sialome-cds-pep-larger-orf25-50SimCLU5.txt", 5)</f>
        <v>5</v>
      </c>
      <c r="BM165">
        <f>HYPERLINK("http://exon.niaid.nih.gov/transcriptome/Anopheles_sialome/links/cluster-b/anopheline-sialome-cds-pep-larger-orf25-50SimCLTL5.txt", 56)</f>
        <v>56</v>
      </c>
      <c r="BN165">
        <f>HYPERLINK("http://exon.niaid.nih.gov/transcriptome/Anopheles_sialome/links/cluster-b/anopheline-sialome-cds-pep-larger-orf30-50SimCLU18.txt", 18)</f>
        <v>18</v>
      </c>
      <c r="BO165">
        <f>HYPERLINK("http://exon.niaid.nih.gov/transcriptome/Anopheles_sialome/links/cluster-b/anopheline-sialome-cds-pep-larger-orf30-50SimCLTL18.txt", 16)</f>
        <v>16</v>
      </c>
      <c r="BP165">
        <f>HYPERLINK("http://exon.niaid.nih.gov/transcriptome/Anopheles_sialome/links/cluster-b/anopheline-sialome-cds-pep-larger-orf35-50SimCLU20.txt", 20)</f>
        <v>20</v>
      </c>
      <c r="BQ165">
        <f>HYPERLINK("http://exon.niaid.nih.gov/transcriptome/Anopheles_sialome/links/cluster-b/anopheline-sialome-cds-pep-larger-orf35-50SimCLTL20.txt", 16)</f>
        <v>16</v>
      </c>
      <c r="BR165">
        <f>HYPERLINK("http://exon.niaid.nih.gov/transcriptome/Anopheles_sialome/links/cluster-b/anopheline-sialome-cds-pep-larger-orf40-50SimCLU26.txt", 26)</f>
        <v>26</v>
      </c>
      <c r="BS165">
        <f>HYPERLINK("http://exon.niaid.nih.gov/transcriptome/Anopheles_sialome/links/cluster-b/anopheline-sialome-cds-pep-larger-orf40-50SimCLTL26.txt", 16)</f>
        <v>16</v>
      </c>
      <c r="BT165">
        <f>HYPERLINK("http://exon.niaid.nih.gov/transcriptome/Anopheles_sialome/links/cluster-b/anopheline-sialome-cds-pep-larger-orf45-50SimCLU30.txt", 30)</f>
        <v>30</v>
      </c>
      <c r="BU165">
        <f>HYPERLINK("http://exon.niaid.nih.gov/transcriptome/Anopheles_sialome/links/cluster-b/anopheline-sialome-cds-pep-larger-orf45-50SimCLTL30.txt", 16)</f>
        <v>16</v>
      </c>
      <c r="BV165">
        <f>HYPERLINK("http://exon.niaid.nih.gov/transcriptome/Anopheles_sialome/links/cluster-b/anopheline-sialome-cds-pep-larger-orf50-50SimCLU31.txt", 31)</f>
        <v>31</v>
      </c>
      <c r="BW165">
        <f>HYPERLINK("http://exon.niaid.nih.gov/transcriptome/Anopheles_sialome/links/cluster-b/anopheline-sialome-cds-pep-larger-orf50-50SimCLTL31.txt", 16)</f>
        <v>16</v>
      </c>
      <c r="BX165">
        <f>HYPERLINK("http://exon.niaid.nih.gov/transcriptome/Anopheles_sialome/links/cluster-b/anopheline-sialome-cds-pep-larger-orf55-50SimCLU30.txt", 30)</f>
        <v>30</v>
      </c>
      <c r="BY165">
        <f>HYPERLINK("http://exon.niaid.nih.gov/transcriptome/Anopheles_sialome/links/cluster-b/anopheline-sialome-cds-pep-larger-orf55-50SimCLTL30.txt", 16)</f>
        <v>16</v>
      </c>
      <c r="BZ165">
        <f>HYPERLINK("http://exon.niaid.nih.gov/transcriptome/Anopheles_sialome/links/cluster-b/anopheline-sialome-cds-pep-larger-orf60-50SimCLU26.txt", 26)</f>
        <v>26</v>
      </c>
      <c r="CA165">
        <f>HYPERLINK("http://exon.niaid.nih.gov/transcriptome/Anopheles_sialome/links/cluster-b/anopheline-sialome-cds-pep-larger-orf60-50SimCLTL26.txt", 16)</f>
        <v>16</v>
      </c>
      <c r="CB165">
        <f>HYPERLINK("http://exon.niaid.nih.gov/transcriptome/Anopheles_sialome/links/cluster-b/anopheline-sialome-cds-pep-larger-orf65-50SimCLU24.txt", 24)</f>
        <v>24</v>
      </c>
      <c r="CC165">
        <f>HYPERLINK("http://exon.niaid.nih.gov/transcriptome/Anopheles_sialome/links/cluster-b/anopheline-sialome-cds-pep-larger-orf65-50SimCLTL24.txt", 16)</f>
        <v>16</v>
      </c>
      <c r="CD165">
        <f>HYPERLINK("http://exon.niaid.nih.gov/transcriptome/Anopheles_sialome/links/cluster-b/anopheline-sialome-cds-pep-larger-orf70-50SimCLU32.txt", 32)</f>
        <v>32</v>
      </c>
      <c r="CE165">
        <f>HYPERLINK("http://exon.niaid.nih.gov/transcriptome/Anopheles_sialome/links/cluster-b/anopheline-sialome-cds-pep-larger-orf70-50SimCLTL32.txt", 14)</f>
        <v>14</v>
      </c>
      <c r="CF165">
        <f>HYPERLINK("http://exon.niaid.nih.gov/transcriptome/Anopheles_sialome/links/cluster-b/anopheline-sialome-cds-pep-larger-orf75-50SimCLU23.txt", 23)</f>
        <v>23</v>
      </c>
      <c r="CG165">
        <f>HYPERLINK("http://exon.niaid.nih.gov/transcriptome/Anopheles_sialome/links/cluster-b/anopheline-sialome-cds-pep-larger-orf75-50SimCLTL23.txt", 14)</f>
        <v>14</v>
      </c>
      <c r="CH165">
        <f>HYPERLINK("http://exon.niaid.nih.gov/transcriptome/Anopheles_sialome/links/cluster-b/anopheline-sialome-cds-pep-larger-orf80-50SimCLU18.txt", 18)</f>
        <v>18</v>
      </c>
      <c r="CI165">
        <f>HYPERLINK("http://exon.niaid.nih.gov/transcriptome/Anopheles_sialome/links/cluster-b/anopheline-sialome-cds-pep-larger-orf80-50SimCLTL18.txt", 13)</f>
        <v>13</v>
      </c>
      <c r="CJ165">
        <f>HYPERLINK("http://exon.niaid.nih.gov/transcriptome/Anopheles_sialome/links/cluster-b/anopheline-sialome-cds-pep-larger-orf85-50SimCLU40.txt", 40)</f>
        <v>40</v>
      </c>
      <c r="CK165">
        <f>HYPERLINK("http://exon.niaid.nih.gov/transcriptome/Anopheles_sialome/links/cluster-b/anopheline-sialome-cds-pep-larger-orf85-50SimCLTL40.txt", 6)</f>
        <v>6</v>
      </c>
      <c r="CL165">
        <v>309</v>
      </c>
      <c r="CM165">
        <v>1</v>
      </c>
      <c r="CN165">
        <v>376</v>
      </c>
      <c r="CO165">
        <v>1</v>
      </c>
    </row>
    <row r="166" spans="1:93">
      <c r="A166" s="2" t="str">
        <f>HYPERLINK("http://exon.niaid.nih.gov/transcriptome/Anopheles_sialome/links/cds/anoepi_Sal_trypXII-cds.txt","anoepi_Sal_trypXII")</f>
        <v>anoepi_Sal_trypXII</v>
      </c>
      <c r="B166">
        <v>828</v>
      </c>
      <c r="C166" t="s">
        <v>409</v>
      </c>
      <c r="D166" t="s">
        <v>4</v>
      </c>
      <c r="E166" t="s">
        <v>5</v>
      </c>
      <c r="F166" t="s">
        <v>1</v>
      </c>
      <c r="G166" t="str">
        <f>HYPERLINK("http://exon.niaid.nih.gov/transcriptome/Anopheles_sialome/links/pep/anoepi_Sal_trypXII-pep.txt","anoepi_Sal_trypXII")</f>
        <v>anoepi_Sal_trypXII</v>
      </c>
      <c r="H166">
        <v>275</v>
      </c>
      <c r="I166">
        <v>0</v>
      </c>
      <c r="J166" s="3" t="str">
        <f>HYPERLINK("http://exon.niaid.nih.gov/transcriptome/Anopheles_sialome/links/Sigp/anoepi_Sal_trypXII-SigP.txt","SIG")</f>
        <v>SIG</v>
      </c>
      <c r="K166" t="s">
        <v>787</v>
      </c>
      <c r="L166">
        <v>29.047000000000001</v>
      </c>
      <c r="M166">
        <v>5.94</v>
      </c>
      <c r="N166">
        <v>26.452999999999999</v>
      </c>
      <c r="O166">
        <v>6.39</v>
      </c>
      <c r="P166" t="s">
        <v>1706</v>
      </c>
      <c r="Q166" s="3">
        <v>0</v>
      </c>
      <c r="R166" t="s">
        <v>128</v>
      </c>
      <c r="S166" t="s">
        <v>128</v>
      </c>
      <c r="T166" t="s">
        <v>128</v>
      </c>
      <c r="U166" t="s">
        <v>128</v>
      </c>
      <c r="V166" t="s">
        <v>128</v>
      </c>
      <c r="W166" s="3" t="str">
        <f>HYPERLINK("http://exon.niaid.nih.gov/transcriptome/Anopheles_sialome/links/netoglyc/anoepi_Sal_trypXII-netoglyc.txt","0")</f>
        <v>0</v>
      </c>
      <c r="X166">
        <v>14.5</v>
      </c>
      <c r="Y166">
        <v>13.5</v>
      </c>
      <c r="Z166">
        <v>5.8</v>
      </c>
      <c r="AA166">
        <v>1.1000000000000001</v>
      </c>
      <c r="AB166" t="s">
        <v>128</v>
      </c>
      <c r="AC166" s="2" t="str">
        <f>HYPERLINK("http://exon.niaid.nih.gov/transcriptome/Anopheles_sialome/links/DIPTERA/anoepi_Sal_trypXII-DIPTERA.txt","hypothetical protein ZHAS_00009760")</f>
        <v>hypothetical protein ZHAS_00009760</v>
      </c>
      <c r="AD166" t="str">
        <f>HYPERLINK("http://www.ncbi.nlm.nih.gov/sutils/blink.cgi?pid=668453385","2E-090")</f>
        <v>2E-090</v>
      </c>
      <c r="AE166" t="str">
        <f t="shared" ref="AE166" si="108">HYPERLINK("http://www.ncbi.nlm.nih.gov/protein/668453385","gi|668453385")</f>
        <v>gi|668453385</v>
      </c>
      <c r="AF166">
        <v>62</v>
      </c>
      <c r="AG166">
        <v>74</v>
      </c>
      <c r="AH166">
        <v>94</v>
      </c>
      <c r="AI166" t="s">
        <v>2277</v>
      </c>
      <c r="AJ166" s="2" t="str">
        <f>HYPERLINK("http://exon.niaid.nih.gov/transcriptome/Anopheles_sialome/links/CULICOMORPHA/anoepi_Sal_trypXII-CULICOMORPHA.txt","hypothetical protein ZHAS_00009760")</f>
        <v>hypothetical protein ZHAS_00009760</v>
      </c>
      <c r="AK166" t="str">
        <f>HYPERLINK("http://www.ncbi.nlm.nih.gov/sutils/blink.cgi?pid=668453385","4E-091")</f>
        <v>4E-091</v>
      </c>
      <c r="AL166" t="str">
        <f t="shared" ref="AL166" si="109">HYPERLINK("http://www.ncbi.nlm.nih.gov/protein/668453385","gi|668453385")</f>
        <v>gi|668453385</v>
      </c>
      <c r="AM166">
        <v>62</v>
      </c>
      <c r="AN166">
        <v>74</v>
      </c>
      <c r="AO166">
        <v>94</v>
      </c>
      <c r="AP166" t="s">
        <v>2277</v>
      </c>
      <c r="AQ166" s="2" t="str">
        <f>HYPERLINK("http://exon.niaid.nih.gov/transcriptome/Anopheles_sialome/links/NR-LIGHT/anoepi_Sal_trypXII-NR-LIGHT.txt","hypothetical protein ZHAS_00009760")</f>
        <v>hypothetical protein ZHAS_00009760</v>
      </c>
      <c r="AR166" t="str">
        <f>HYPERLINK("http://www.ncbi.nlm.nih.gov/sutils/blink.cgi?pid=668453385","6E-090")</f>
        <v>6E-090</v>
      </c>
      <c r="AS166" t="str">
        <f t="shared" ref="AS166" si="110">HYPERLINK("http://www.ncbi.nlm.nih.gov/protein/668453385","gi|668453385")</f>
        <v>gi|668453385</v>
      </c>
      <c r="AT166">
        <v>62</v>
      </c>
      <c r="AU166">
        <v>74</v>
      </c>
      <c r="AV166">
        <v>94</v>
      </c>
      <c r="AW166" t="s">
        <v>2277</v>
      </c>
      <c r="AX166" s="2" t="str">
        <f>HYPERLINK("http://exon.niaid.nih.gov/transcriptome/Anopheles_sialome/links/CDD/anoepi_Sal_trypXII-CDD.txt","Tryp_SPc")</f>
        <v>Tryp_SPc</v>
      </c>
      <c r="AY166" t="str">
        <f>HYPERLINK("http://www.ncbi.nlm.nih.gov/Structure/cdd/cddsrv.cgi?uid=cd00190&amp;version=v4.0","9E-040")</f>
        <v>9E-040</v>
      </c>
      <c r="AZ166" t="s">
        <v>2849</v>
      </c>
      <c r="BA166" s="2" t="str">
        <f>HYPERLINK("http://exon.niaid.nih.gov/transcriptome/Anopheles_sialome/links/KOG/anoepi_Sal_trypXII-KOG.txt","Trypsin")</f>
        <v>Trypsin</v>
      </c>
      <c r="BB166" t="str">
        <f>HYPERLINK("http://www.ncbi.nlm.nih.gov/Structure/cdd/cddsrv.cgi?uid=KOG3627","5E-029")</f>
        <v>5E-029</v>
      </c>
      <c r="BC166" t="s">
        <v>2287</v>
      </c>
      <c r="BD166" t="str">
        <f>HYPERLINK("http://exon.niaid.nih.gov/transcriptome/Anopheles_sialome/links/KOG/anoepi_Sal_trypXII-KOG.txt","KOG3627")</f>
        <v>KOG3627</v>
      </c>
      <c r="BE166" t="str">
        <f>HYPERLINK("http://exon.niaid.nih.gov/transcriptome/Anopheles_sialome/links/PFAM/anoepi_Sal_trypXII-PFAM.txt","Trypsin")</f>
        <v>Trypsin</v>
      </c>
      <c r="BF166" t="str">
        <f>HYPERLINK("http://pfam.sanger.ac.uk/family?acc=PF00089","6E-032")</f>
        <v>6E-032</v>
      </c>
      <c r="BG166" s="2" t="str">
        <f>HYPERLINK("http://exon.niaid.nih.gov/transcriptome/Anopheles_sialome/links/SMART/anoepi_Sal_trypXII-SMART.txt","Tryp_SPc")</f>
        <v>Tryp_SPc</v>
      </c>
      <c r="BH166" t="str">
        <f>HYPERLINK("http://smart.embl-heidelberg.de/smart/do_annotation.pl?DOMAIN=Tryp_SPc&amp;BLAST=DUMMY","8E-041")</f>
        <v>8E-041</v>
      </c>
      <c r="BI166" t="str">
        <f>HYPERLINK("http://exon.niaid.nih.gov/transcriptome/Anopheles_sialome/links/TICK-BLOCKS/anoepi_Sal_trypXII-TICK-BLOCKS.txt","RGD_cys_disintegrin |")</f>
        <v>RGD_cys_disintegrin |</v>
      </c>
      <c r="BJ166" s="2" t="s">
        <v>2495</v>
      </c>
      <c r="BK166" t="s">
        <v>1705</v>
      </c>
      <c r="BL166">
        <f>HYPERLINK("http://exon.niaid.nih.gov/transcriptome/Anopheles_sialome/links/cluster-b/anopheline-sialome-cds-pep-larger-orf25-50SimCLU5.txt", 5)</f>
        <v>5</v>
      </c>
      <c r="BM166">
        <f>HYPERLINK("http://exon.niaid.nih.gov/transcriptome/Anopheles_sialome/links/cluster-b/anopheline-sialome-cds-pep-larger-orf25-50SimCLTL5.txt", 56)</f>
        <v>56</v>
      </c>
      <c r="BN166">
        <f>HYPERLINK("http://exon.niaid.nih.gov/transcriptome/Anopheles_sialome/links/cluster-b/anopheline-sialome-cds-pep-larger-orf30-50SimCLU18.txt", 18)</f>
        <v>18</v>
      </c>
      <c r="BO166">
        <f>HYPERLINK("http://exon.niaid.nih.gov/transcriptome/Anopheles_sialome/links/cluster-b/anopheline-sialome-cds-pep-larger-orf30-50SimCLTL18.txt", 16)</f>
        <v>16</v>
      </c>
      <c r="BP166">
        <f>HYPERLINK("http://exon.niaid.nih.gov/transcriptome/Anopheles_sialome/links/cluster-b/anopheline-sialome-cds-pep-larger-orf35-50SimCLU20.txt", 20)</f>
        <v>20</v>
      </c>
      <c r="BQ166">
        <f>HYPERLINK("http://exon.niaid.nih.gov/transcriptome/Anopheles_sialome/links/cluster-b/anopheline-sialome-cds-pep-larger-orf35-50SimCLTL20.txt", 16)</f>
        <v>16</v>
      </c>
      <c r="BR166">
        <f>HYPERLINK("http://exon.niaid.nih.gov/transcriptome/Anopheles_sialome/links/cluster-b/anopheline-sialome-cds-pep-larger-orf40-50SimCLU26.txt", 26)</f>
        <v>26</v>
      </c>
      <c r="BS166">
        <f>HYPERLINK("http://exon.niaid.nih.gov/transcriptome/Anopheles_sialome/links/cluster-b/anopheline-sialome-cds-pep-larger-orf40-50SimCLTL26.txt", 16)</f>
        <v>16</v>
      </c>
      <c r="BT166">
        <f>HYPERLINK("http://exon.niaid.nih.gov/transcriptome/Anopheles_sialome/links/cluster-b/anopheline-sialome-cds-pep-larger-orf45-50SimCLU30.txt", 30)</f>
        <v>30</v>
      </c>
      <c r="BU166">
        <f>HYPERLINK("http://exon.niaid.nih.gov/transcriptome/Anopheles_sialome/links/cluster-b/anopheline-sialome-cds-pep-larger-orf45-50SimCLTL30.txt", 16)</f>
        <v>16</v>
      </c>
      <c r="BV166">
        <f>HYPERLINK("http://exon.niaid.nih.gov/transcriptome/Anopheles_sialome/links/cluster-b/anopheline-sialome-cds-pep-larger-orf50-50SimCLU31.txt", 31)</f>
        <v>31</v>
      </c>
      <c r="BW166">
        <f>HYPERLINK("http://exon.niaid.nih.gov/transcriptome/Anopheles_sialome/links/cluster-b/anopheline-sialome-cds-pep-larger-orf50-50SimCLTL31.txt", 16)</f>
        <v>16</v>
      </c>
      <c r="BX166">
        <f>HYPERLINK("http://exon.niaid.nih.gov/transcriptome/Anopheles_sialome/links/cluster-b/anopheline-sialome-cds-pep-larger-orf55-50SimCLU30.txt", 30)</f>
        <v>30</v>
      </c>
      <c r="BY166">
        <f>HYPERLINK("http://exon.niaid.nih.gov/transcriptome/Anopheles_sialome/links/cluster-b/anopheline-sialome-cds-pep-larger-orf55-50SimCLTL30.txt", 16)</f>
        <v>16</v>
      </c>
      <c r="BZ166">
        <f>HYPERLINK("http://exon.niaid.nih.gov/transcriptome/Anopheles_sialome/links/cluster-b/anopheline-sialome-cds-pep-larger-orf60-50SimCLU26.txt", 26)</f>
        <v>26</v>
      </c>
      <c r="CA166">
        <f>HYPERLINK("http://exon.niaid.nih.gov/transcriptome/Anopheles_sialome/links/cluster-b/anopheline-sialome-cds-pep-larger-orf60-50SimCLTL26.txt", 16)</f>
        <v>16</v>
      </c>
      <c r="CB166">
        <f>HYPERLINK("http://exon.niaid.nih.gov/transcriptome/Anopheles_sialome/links/cluster-b/anopheline-sialome-cds-pep-larger-orf65-50SimCLU24.txt", 24)</f>
        <v>24</v>
      </c>
      <c r="CC166">
        <f>HYPERLINK("http://exon.niaid.nih.gov/transcriptome/Anopheles_sialome/links/cluster-b/anopheline-sialome-cds-pep-larger-orf65-50SimCLTL24.txt", 16)</f>
        <v>16</v>
      </c>
      <c r="CD166">
        <f>HYPERLINK("http://exon.niaid.nih.gov/transcriptome/Anopheles_sialome/links/cluster-b/anopheline-sialome-cds-pep-larger-orf70-50SimCLU32.txt", 32)</f>
        <v>32</v>
      </c>
      <c r="CE166">
        <f>HYPERLINK("http://exon.niaid.nih.gov/transcriptome/Anopheles_sialome/links/cluster-b/anopheline-sialome-cds-pep-larger-orf70-50SimCLTL32.txt", 14)</f>
        <v>14</v>
      </c>
      <c r="CF166">
        <f>HYPERLINK("http://exon.niaid.nih.gov/transcriptome/Anopheles_sialome/links/cluster-b/anopheline-sialome-cds-pep-larger-orf75-50SimCLU23.txt", 23)</f>
        <v>23</v>
      </c>
      <c r="CG166">
        <f>HYPERLINK("http://exon.niaid.nih.gov/transcriptome/Anopheles_sialome/links/cluster-b/anopheline-sialome-cds-pep-larger-orf75-50SimCLTL23.txt", 14)</f>
        <v>14</v>
      </c>
      <c r="CH166">
        <f>HYPERLINK("http://exon.niaid.nih.gov/transcriptome/Anopheles_sialome/links/cluster-b/anopheline-sialome-cds-pep-larger-orf80-50SimCLU18.txt", 18)</f>
        <v>18</v>
      </c>
      <c r="CI166">
        <f>HYPERLINK("http://exon.niaid.nih.gov/transcriptome/Anopheles_sialome/links/cluster-b/anopheline-sialome-cds-pep-larger-orf80-50SimCLTL18.txt", 13)</f>
        <v>13</v>
      </c>
      <c r="CJ166">
        <v>249</v>
      </c>
      <c r="CK166">
        <v>1</v>
      </c>
      <c r="CL166">
        <v>310</v>
      </c>
      <c r="CM166">
        <v>1</v>
      </c>
      <c r="CN166">
        <v>377</v>
      </c>
      <c r="CO166">
        <v>1</v>
      </c>
    </row>
    <row r="167" spans="1:93">
      <c r="A167" s="2" t="str">
        <f>HYPERLINK("http://exon.niaid.nih.gov/transcriptome/Anopheles_sialome/links/cds/anofun_Sal_trypXII-cds.txt","anofun_Sal_trypXII")</f>
        <v>anofun_Sal_trypXII</v>
      </c>
      <c r="B167">
        <v>816</v>
      </c>
      <c r="C167" t="s">
        <v>410</v>
      </c>
      <c r="D167" t="s">
        <v>4</v>
      </c>
      <c r="E167" t="s">
        <v>5</v>
      </c>
      <c r="F167" t="s">
        <v>1</v>
      </c>
      <c r="G167" t="str">
        <f>HYPERLINK("http://exon.niaid.nih.gov/transcriptome/Anopheles_sialome/links/pep/anofun_Sal_trypXII-pep.txt","anofun_Sal_trypXII")</f>
        <v>anofun_Sal_trypXII</v>
      </c>
      <c r="H167">
        <v>271</v>
      </c>
      <c r="I167">
        <v>1</v>
      </c>
      <c r="J167" s="3" t="str">
        <f>HYPERLINK("http://exon.niaid.nih.gov/transcriptome/Anopheles_sialome/links/Sigp/anofun_Sal_trypXII-SigP.txt","SIG")</f>
        <v>SIG</v>
      </c>
      <c r="K167" t="s">
        <v>708</v>
      </c>
      <c r="L167">
        <v>28.934000000000001</v>
      </c>
      <c r="M167">
        <v>5.94</v>
      </c>
      <c r="N167">
        <v>26.558</v>
      </c>
      <c r="O167">
        <v>5.95</v>
      </c>
      <c r="P167" t="s">
        <v>1708</v>
      </c>
      <c r="Q167" s="3" t="str">
        <f>HYPERLINK("http://exon.niaid.nih.gov/transcriptome/Anopheles_sialome/links/tmhmm/anofun_Sal_trypXII-tmhmm.txt","1")</f>
        <v>1</v>
      </c>
      <c r="R167">
        <v>8.1</v>
      </c>
      <c r="S167">
        <v>90</v>
      </c>
      <c r="T167">
        <v>1.8</v>
      </c>
      <c r="U167" t="s">
        <v>128</v>
      </c>
      <c r="V167">
        <v>244</v>
      </c>
      <c r="W167" s="3" t="str">
        <f>HYPERLINK("http://exon.niaid.nih.gov/transcriptome/Anopheles_sialome/links/netoglyc/anofun_Sal_trypXII-netoglyc.txt","0")</f>
        <v>0</v>
      </c>
      <c r="X167">
        <v>11.8</v>
      </c>
      <c r="Y167">
        <v>12.5</v>
      </c>
      <c r="Z167">
        <v>6.6</v>
      </c>
      <c r="AA167">
        <v>1.1000000000000001</v>
      </c>
      <c r="AB167" t="s">
        <v>128</v>
      </c>
      <c r="AC167" s="2" t="str">
        <f>HYPERLINK("http://exon.niaid.nih.gov/transcriptome/Anopheles_sialome/links/DIPTERA/anofun_Sal_trypXII-DIPTERA.txt","hypothetical protein ZHAS_00009760")</f>
        <v>hypothetical protein ZHAS_00009760</v>
      </c>
      <c r="AD167" t="str">
        <f>HYPERLINK("http://www.ncbi.nlm.nih.gov/sutils/blink.cgi?pid=668453385","1E-091")</f>
        <v>1E-091</v>
      </c>
      <c r="AE167" t="str">
        <f t="shared" ref="AE167:AE168" si="111">HYPERLINK("http://www.ncbi.nlm.nih.gov/protein/668453385","gi|668453385")</f>
        <v>gi|668453385</v>
      </c>
      <c r="AF167">
        <v>65</v>
      </c>
      <c r="AG167">
        <v>76</v>
      </c>
      <c r="AH167">
        <v>93</v>
      </c>
      <c r="AI167" t="s">
        <v>2277</v>
      </c>
      <c r="AJ167" s="2" t="str">
        <f>HYPERLINK("http://exon.niaid.nih.gov/transcriptome/Anopheles_sialome/links/CULICOMORPHA/anofun_Sal_trypXII-CULICOMORPHA.txt","hypothetical protein ZHAS_00009760")</f>
        <v>hypothetical protein ZHAS_00009760</v>
      </c>
      <c r="AK167" t="str">
        <f>HYPERLINK("http://www.ncbi.nlm.nih.gov/sutils/blink.cgi?pid=668453385","2E-092")</f>
        <v>2E-092</v>
      </c>
      <c r="AL167" t="str">
        <f t="shared" ref="AL167:AL168" si="112">HYPERLINK("http://www.ncbi.nlm.nih.gov/protein/668453385","gi|668453385")</f>
        <v>gi|668453385</v>
      </c>
      <c r="AM167">
        <v>65</v>
      </c>
      <c r="AN167">
        <v>76</v>
      </c>
      <c r="AO167">
        <v>93</v>
      </c>
      <c r="AP167" t="s">
        <v>2277</v>
      </c>
      <c r="AQ167" s="2" t="str">
        <f>HYPERLINK("http://exon.niaid.nih.gov/transcriptome/Anopheles_sialome/links/NR-LIGHT/anofun_Sal_trypXII-NR-LIGHT.txt","hypothetical protein ZHAS_00009760")</f>
        <v>hypothetical protein ZHAS_00009760</v>
      </c>
      <c r="AR167" t="str">
        <f>HYPERLINK("http://www.ncbi.nlm.nih.gov/sutils/blink.cgi?pid=668453385","3E-091")</f>
        <v>3E-091</v>
      </c>
      <c r="AS167" t="str">
        <f t="shared" ref="AS167:AS168" si="113">HYPERLINK("http://www.ncbi.nlm.nih.gov/protein/668453385","gi|668453385")</f>
        <v>gi|668453385</v>
      </c>
      <c r="AT167">
        <v>65</v>
      </c>
      <c r="AU167">
        <v>76</v>
      </c>
      <c r="AV167">
        <v>93</v>
      </c>
      <c r="AW167" t="s">
        <v>2277</v>
      </c>
      <c r="AX167" s="2" t="str">
        <f>HYPERLINK("http://exon.niaid.nih.gov/transcriptome/Anopheles_sialome/links/CDD/anofun_Sal_trypXII-CDD.txt","Tryp_SPc")</f>
        <v>Tryp_SPc</v>
      </c>
      <c r="AY167" t="str">
        <f>HYPERLINK("http://www.ncbi.nlm.nih.gov/Structure/cdd/cddsrv.cgi?uid=cd00190&amp;version=v4.0","4E-041")</f>
        <v>4E-041</v>
      </c>
      <c r="AZ167" t="s">
        <v>2850</v>
      </c>
      <c r="BA167" s="2" t="str">
        <f>HYPERLINK("http://exon.niaid.nih.gov/transcriptome/Anopheles_sialome/links/KOG/anofun_Sal_trypXII-KOG.txt","Trypsin")</f>
        <v>Trypsin</v>
      </c>
      <c r="BB167" t="str">
        <f>HYPERLINK("http://www.ncbi.nlm.nih.gov/Structure/cdd/cddsrv.cgi?uid=KOG3627","6E-032")</f>
        <v>6E-032</v>
      </c>
      <c r="BC167" t="s">
        <v>2287</v>
      </c>
      <c r="BD167" t="str">
        <f>HYPERLINK("http://exon.niaid.nih.gov/transcriptome/Anopheles_sialome/links/KOG/anofun_Sal_trypXII-KOG.txt","KOG3627")</f>
        <v>KOG3627</v>
      </c>
      <c r="BE167" t="str">
        <f>HYPERLINK("http://exon.niaid.nih.gov/transcriptome/Anopheles_sialome/links/PFAM/anofun_Sal_trypXII-PFAM.txt","Trypsin")</f>
        <v>Trypsin</v>
      </c>
      <c r="BF167" t="str">
        <f>HYPERLINK("http://pfam.sanger.ac.uk/family?acc=PF00089","1E-033")</f>
        <v>1E-033</v>
      </c>
      <c r="BG167" s="2" t="str">
        <f>HYPERLINK("http://exon.niaid.nih.gov/transcriptome/Anopheles_sialome/links/SMART/anofun_Sal_trypXII-SMART.txt","Tryp_SPc")</f>
        <v>Tryp_SPc</v>
      </c>
      <c r="BH167" t="str">
        <f>HYPERLINK("http://smart.embl-heidelberg.de/smart/do_annotation.pl?DOMAIN=Tryp_SPc&amp;BLAST=DUMMY","2E-042")</f>
        <v>2E-042</v>
      </c>
      <c r="BI167" t="str">
        <f>HYPERLINK("http://exon.niaid.nih.gov/transcriptome/Anopheles_sialome/links/TICK-BLOCKS/anofun_Sal_trypXII-TICK-BLOCKS.txt","RGD_cys_disintegrin |")</f>
        <v>RGD_cys_disintegrin |</v>
      </c>
      <c r="BJ167" s="2" t="s">
        <v>2495</v>
      </c>
      <c r="BK167" t="s">
        <v>1707</v>
      </c>
      <c r="BL167">
        <f>HYPERLINK("http://exon.niaid.nih.gov/transcriptome/Anopheles_sialome/links/cluster-b/anopheline-sialome-cds-pep-larger-orf25-50SimCLU5.txt", 5)</f>
        <v>5</v>
      </c>
      <c r="BM167">
        <f>HYPERLINK("http://exon.niaid.nih.gov/transcriptome/Anopheles_sialome/links/cluster-b/anopheline-sialome-cds-pep-larger-orf25-50SimCLTL5.txt", 56)</f>
        <v>56</v>
      </c>
      <c r="BN167">
        <f>HYPERLINK("http://exon.niaid.nih.gov/transcriptome/Anopheles_sialome/links/cluster-b/anopheline-sialome-cds-pep-larger-orf30-50SimCLU18.txt", 18)</f>
        <v>18</v>
      </c>
      <c r="BO167">
        <f>HYPERLINK("http://exon.niaid.nih.gov/transcriptome/Anopheles_sialome/links/cluster-b/anopheline-sialome-cds-pep-larger-orf30-50SimCLTL18.txt", 16)</f>
        <v>16</v>
      </c>
      <c r="BP167">
        <f>HYPERLINK("http://exon.niaid.nih.gov/transcriptome/Anopheles_sialome/links/cluster-b/anopheline-sialome-cds-pep-larger-orf35-50SimCLU20.txt", 20)</f>
        <v>20</v>
      </c>
      <c r="BQ167">
        <f>HYPERLINK("http://exon.niaid.nih.gov/transcriptome/Anopheles_sialome/links/cluster-b/anopheline-sialome-cds-pep-larger-orf35-50SimCLTL20.txt", 16)</f>
        <v>16</v>
      </c>
      <c r="BR167">
        <f>HYPERLINK("http://exon.niaid.nih.gov/transcriptome/Anopheles_sialome/links/cluster-b/anopheline-sialome-cds-pep-larger-orf40-50SimCLU26.txt", 26)</f>
        <v>26</v>
      </c>
      <c r="BS167">
        <f>HYPERLINK("http://exon.niaid.nih.gov/transcriptome/Anopheles_sialome/links/cluster-b/anopheline-sialome-cds-pep-larger-orf40-50SimCLTL26.txt", 16)</f>
        <v>16</v>
      </c>
      <c r="BT167">
        <f>HYPERLINK("http://exon.niaid.nih.gov/transcriptome/Anopheles_sialome/links/cluster-b/anopheline-sialome-cds-pep-larger-orf45-50SimCLU30.txt", 30)</f>
        <v>30</v>
      </c>
      <c r="BU167">
        <f>HYPERLINK("http://exon.niaid.nih.gov/transcriptome/Anopheles_sialome/links/cluster-b/anopheline-sialome-cds-pep-larger-orf45-50SimCLTL30.txt", 16)</f>
        <v>16</v>
      </c>
      <c r="BV167">
        <f>HYPERLINK("http://exon.niaid.nih.gov/transcriptome/Anopheles_sialome/links/cluster-b/anopheline-sialome-cds-pep-larger-orf50-50SimCLU31.txt", 31)</f>
        <v>31</v>
      </c>
      <c r="BW167">
        <f>HYPERLINK("http://exon.niaid.nih.gov/transcriptome/Anopheles_sialome/links/cluster-b/anopheline-sialome-cds-pep-larger-orf50-50SimCLTL31.txt", 16)</f>
        <v>16</v>
      </c>
      <c r="BX167">
        <f>HYPERLINK("http://exon.niaid.nih.gov/transcriptome/Anopheles_sialome/links/cluster-b/anopheline-sialome-cds-pep-larger-orf55-50SimCLU30.txt", 30)</f>
        <v>30</v>
      </c>
      <c r="BY167">
        <f>HYPERLINK("http://exon.niaid.nih.gov/transcriptome/Anopheles_sialome/links/cluster-b/anopheline-sialome-cds-pep-larger-orf55-50SimCLTL30.txt", 16)</f>
        <v>16</v>
      </c>
      <c r="BZ167">
        <f>HYPERLINK("http://exon.niaid.nih.gov/transcriptome/Anopheles_sialome/links/cluster-b/anopheline-sialome-cds-pep-larger-orf60-50SimCLU26.txt", 26)</f>
        <v>26</v>
      </c>
      <c r="CA167">
        <f>HYPERLINK("http://exon.niaid.nih.gov/transcriptome/Anopheles_sialome/links/cluster-b/anopheline-sialome-cds-pep-larger-orf60-50SimCLTL26.txt", 16)</f>
        <v>16</v>
      </c>
      <c r="CB167">
        <f>HYPERLINK("http://exon.niaid.nih.gov/transcriptome/Anopheles_sialome/links/cluster-b/anopheline-sialome-cds-pep-larger-orf65-50SimCLU24.txt", 24)</f>
        <v>24</v>
      </c>
      <c r="CC167">
        <f>HYPERLINK("http://exon.niaid.nih.gov/transcriptome/Anopheles_sialome/links/cluster-b/anopheline-sialome-cds-pep-larger-orf65-50SimCLTL24.txt", 16)</f>
        <v>16</v>
      </c>
      <c r="CD167">
        <f>HYPERLINK("http://exon.niaid.nih.gov/transcriptome/Anopheles_sialome/links/cluster-b/anopheline-sialome-cds-pep-larger-orf70-50SimCLU32.txt", 32)</f>
        <v>32</v>
      </c>
      <c r="CE167">
        <f>HYPERLINK("http://exon.niaid.nih.gov/transcriptome/Anopheles_sialome/links/cluster-b/anopheline-sialome-cds-pep-larger-orf70-50SimCLTL32.txt", 14)</f>
        <v>14</v>
      </c>
      <c r="CF167">
        <f>HYPERLINK("http://exon.niaid.nih.gov/transcriptome/Anopheles_sialome/links/cluster-b/anopheline-sialome-cds-pep-larger-orf75-50SimCLU23.txt", 23)</f>
        <v>23</v>
      </c>
      <c r="CG167">
        <f>HYPERLINK("http://exon.niaid.nih.gov/transcriptome/Anopheles_sialome/links/cluster-b/anopheline-sialome-cds-pep-larger-orf75-50SimCLTL23.txt", 14)</f>
        <v>14</v>
      </c>
      <c r="CH167">
        <f>HYPERLINK("http://exon.niaid.nih.gov/transcriptome/Anopheles_sialome/links/cluster-b/anopheline-sialome-cds-pep-larger-orf80-50SimCLU18.txt", 18)</f>
        <v>18</v>
      </c>
      <c r="CI167">
        <f>HYPERLINK("http://exon.niaid.nih.gov/transcriptome/Anopheles_sialome/links/cluster-b/anopheline-sialome-cds-pep-larger-orf80-50SimCLTL18.txt", 13)</f>
        <v>13</v>
      </c>
      <c r="CJ167">
        <f>HYPERLINK("http://exon.niaid.nih.gov/transcriptome/Anopheles_sialome/links/cluster-b/anopheline-sialome-cds-pep-larger-orf85-50SimCLU54.txt", 54)</f>
        <v>54</v>
      </c>
      <c r="CK167">
        <f>HYPERLINK("http://exon.niaid.nih.gov/transcriptome/Anopheles_sialome/links/cluster-b/anopheline-sialome-cds-pep-larger-orf85-50SimCLTL54.txt", 4)</f>
        <v>4</v>
      </c>
      <c r="CL167">
        <f>HYPERLINK("http://exon.niaid.nih.gov/transcriptome/Anopheles_sialome/links/cluster-b/anopheline-sialome-cds-pep-larger-orf90-50SimCLU52.txt", 52)</f>
        <v>52</v>
      </c>
      <c r="CM167">
        <f>HYPERLINK("http://exon.niaid.nih.gov/transcriptome/Anopheles_sialome/links/cluster-b/anopheline-sialome-cds-pep-larger-orf90-50SimCLTL52.txt", 4)</f>
        <v>4</v>
      </c>
      <c r="CN167">
        <v>378</v>
      </c>
      <c r="CO167">
        <v>1</v>
      </c>
    </row>
    <row r="168" spans="1:93">
      <c r="A168" s="2" t="str">
        <f>HYPERLINK("http://exon.niaid.nih.gov/transcriptome/Anopheles_sialome/links/cds/anomin_Sal_trypXII-cds.txt","anomin_Sal_trypXII")</f>
        <v>anomin_Sal_trypXII</v>
      </c>
      <c r="B168">
        <v>822</v>
      </c>
      <c r="C168" t="s">
        <v>411</v>
      </c>
      <c r="D168" t="s">
        <v>7</v>
      </c>
      <c r="E168" t="s">
        <v>5</v>
      </c>
      <c r="F168" t="s">
        <v>1</v>
      </c>
      <c r="G168" t="str">
        <f>HYPERLINK("http://exon.niaid.nih.gov/transcriptome/Anopheles_sialome/links/pep/anomin_Sal_trypXII-pep.txt","anomin_Sal_trypXII")</f>
        <v>anomin_Sal_trypXII</v>
      </c>
      <c r="H168">
        <v>273</v>
      </c>
      <c r="I168">
        <v>1</v>
      </c>
      <c r="J168" s="3" t="str">
        <f>HYPERLINK("http://exon.niaid.nih.gov/transcriptome/Anopheles_sialome/links/Sigp/anomin_Sal_trypXII-SigP.txt","SIG")</f>
        <v>SIG</v>
      </c>
      <c r="K168" t="s">
        <v>787</v>
      </c>
      <c r="L168">
        <v>29.26</v>
      </c>
      <c r="M168">
        <v>6.28</v>
      </c>
      <c r="N168">
        <v>26.616</v>
      </c>
      <c r="O168">
        <v>6.06</v>
      </c>
      <c r="P168" t="s">
        <v>1710</v>
      </c>
      <c r="Q168" s="3">
        <v>0</v>
      </c>
      <c r="R168" t="s">
        <v>128</v>
      </c>
      <c r="S168" t="s">
        <v>128</v>
      </c>
      <c r="T168" t="s">
        <v>128</v>
      </c>
      <c r="U168" t="s">
        <v>128</v>
      </c>
      <c r="V168" t="s">
        <v>128</v>
      </c>
      <c r="W168" s="3" t="str">
        <f>HYPERLINK("http://exon.niaid.nih.gov/transcriptome/Anopheles_sialome/links/netoglyc/anomin_Sal_trypXII-netoglyc.txt","2")</f>
        <v>2</v>
      </c>
      <c r="X168">
        <v>13.2</v>
      </c>
      <c r="Y168">
        <v>12.1</v>
      </c>
      <c r="Z168">
        <v>6.6</v>
      </c>
      <c r="AA168">
        <v>1.1000000000000001</v>
      </c>
      <c r="AB168" t="s">
        <v>128</v>
      </c>
      <c r="AC168" s="2" t="str">
        <f>HYPERLINK("http://exon.niaid.nih.gov/transcriptome/Anopheles_sialome/links/DIPTERA/anomin_Sal_trypXII-DIPTERA.txt","hypothetical protein ZHAS_00009760")</f>
        <v>hypothetical protein ZHAS_00009760</v>
      </c>
      <c r="AD168" t="str">
        <f>HYPERLINK("http://www.ncbi.nlm.nih.gov/sutils/blink.cgi?pid=668453385","1E-091")</f>
        <v>1E-091</v>
      </c>
      <c r="AE168" t="str">
        <f t="shared" si="111"/>
        <v>gi|668453385</v>
      </c>
      <c r="AF168">
        <v>66</v>
      </c>
      <c r="AG168">
        <v>75</v>
      </c>
      <c r="AH168">
        <v>93</v>
      </c>
      <c r="AI168" t="s">
        <v>2277</v>
      </c>
      <c r="AJ168" s="2" t="str">
        <f>HYPERLINK("http://exon.niaid.nih.gov/transcriptome/Anopheles_sialome/links/CULICOMORPHA/anomin_Sal_trypXII-CULICOMORPHA.txt","hypothetical protein ZHAS_00009760")</f>
        <v>hypothetical protein ZHAS_00009760</v>
      </c>
      <c r="AK168" t="str">
        <f>HYPERLINK("http://www.ncbi.nlm.nih.gov/sutils/blink.cgi?pid=668453385","2E-092")</f>
        <v>2E-092</v>
      </c>
      <c r="AL168" t="str">
        <f t="shared" si="112"/>
        <v>gi|668453385</v>
      </c>
      <c r="AM168">
        <v>66</v>
      </c>
      <c r="AN168">
        <v>75</v>
      </c>
      <c r="AO168">
        <v>93</v>
      </c>
      <c r="AP168" t="s">
        <v>2277</v>
      </c>
      <c r="AQ168" s="2" t="str">
        <f>HYPERLINK("http://exon.niaid.nih.gov/transcriptome/Anopheles_sialome/links/NR-LIGHT/anomin_Sal_trypXII-NR-LIGHT.txt","hypothetical protein ZHAS_00009760")</f>
        <v>hypothetical protein ZHAS_00009760</v>
      </c>
      <c r="AR168" t="str">
        <f>HYPERLINK("http://www.ncbi.nlm.nih.gov/sutils/blink.cgi?pid=668453385","3E-091")</f>
        <v>3E-091</v>
      </c>
      <c r="AS168" t="str">
        <f t="shared" si="113"/>
        <v>gi|668453385</v>
      </c>
      <c r="AT168">
        <v>66</v>
      </c>
      <c r="AU168">
        <v>75</v>
      </c>
      <c r="AV168">
        <v>93</v>
      </c>
      <c r="AW168" t="s">
        <v>2277</v>
      </c>
      <c r="AX168" s="2" t="str">
        <f>HYPERLINK("http://exon.niaid.nih.gov/transcriptome/Anopheles_sialome/links/CDD/anomin_Sal_trypXII-CDD.txt","Tryp_SPc")</f>
        <v>Tryp_SPc</v>
      </c>
      <c r="AY168" t="str">
        <f>HYPERLINK("http://www.ncbi.nlm.nih.gov/Structure/cdd/cddsrv.cgi?uid=cd00190&amp;version=v4.0","2E-039")</f>
        <v>2E-039</v>
      </c>
      <c r="AZ168" t="s">
        <v>2851</v>
      </c>
      <c r="BA168" s="2" t="str">
        <f>HYPERLINK("http://exon.niaid.nih.gov/transcriptome/Anopheles_sialome/links/KOG/anomin_Sal_trypXII-KOG.txt","Trypsin")</f>
        <v>Trypsin</v>
      </c>
      <c r="BB168" t="str">
        <f>HYPERLINK("http://www.ncbi.nlm.nih.gov/Structure/cdd/cddsrv.cgi?uid=KOG3627","2E-030")</f>
        <v>2E-030</v>
      </c>
      <c r="BC168" t="s">
        <v>2287</v>
      </c>
      <c r="BD168" t="str">
        <f>HYPERLINK("http://exon.niaid.nih.gov/transcriptome/Anopheles_sialome/links/KOG/anomin_Sal_trypXII-KOG.txt","KOG3627")</f>
        <v>KOG3627</v>
      </c>
      <c r="BE168" t="str">
        <f>HYPERLINK("http://exon.niaid.nih.gov/transcriptome/Anopheles_sialome/links/PFAM/anomin_Sal_trypXII-PFAM.txt","Trypsin")</f>
        <v>Trypsin</v>
      </c>
      <c r="BF168" t="str">
        <f>HYPERLINK("http://pfam.sanger.ac.uk/family?acc=PF00089","2E-032")</f>
        <v>2E-032</v>
      </c>
      <c r="BG168" s="2" t="str">
        <f>HYPERLINK("http://exon.niaid.nih.gov/transcriptome/Anopheles_sialome/links/SMART/anomin_Sal_trypXII-SMART.txt","Tryp_SPc")</f>
        <v>Tryp_SPc</v>
      </c>
      <c r="BH168" t="str">
        <f>HYPERLINK("http://smart.embl-heidelberg.de/smart/do_annotation.pl?DOMAIN=Tryp_SPc&amp;BLAST=DUMMY","6E-041")</f>
        <v>6E-041</v>
      </c>
      <c r="BI168" t="str">
        <f>HYPERLINK("http://exon.niaid.nih.gov/transcriptome/Anopheles_sialome/links/TICK-BLOCKS/anomin_Sal_trypXII-TICK-BLOCKS.txt","RGD_cys_disintegrin |")</f>
        <v>RGD_cys_disintegrin |</v>
      </c>
      <c r="BJ168" s="2" t="s">
        <v>2495</v>
      </c>
      <c r="BK168" t="s">
        <v>1709</v>
      </c>
      <c r="BL168">
        <f>HYPERLINK("http://exon.niaid.nih.gov/transcriptome/Anopheles_sialome/links/cluster-b/anopheline-sialome-cds-pep-larger-orf25-50SimCLU5.txt", 5)</f>
        <v>5</v>
      </c>
      <c r="BM168">
        <f>HYPERLINK("http://exon.niaid.nih.gov/transcriptome/Anopheles_sialome/links/cluster-b/anopheline-sialome-cds-pep-larger-orf25-50SimCLTL5.txt", 56)</f>
        <v>56</v>
      </c>
      <c r="BN168">
        <f>HYPERLINK("http://exon.niaid.nih.gov/transcriptome/Anopheles_sialome/links/cluster-b/anopheline-sialome-cds-pep-larger-orf30-50SimCLU18.txt", 18)</f>
        <v>18</v>
      </c>
      <c r="BO168">
        <f>HYPERLINK("http://exon.niaid.nih.gov/transcriptome/Anopheles_sialome/links/cluster-b/anopheline-sialome-cds-pep-larger-orf30-50SimCLTL18.txt", 16)</f>
        <v>16</v>
      </c>
      <c r="BP168">
        <f>HYPERLINK("http://exon.niaid.nih.gov/transcriptome/Anopheles_sialome/links/cluster-b/anopheline-sialome-cds-pep-larger-orf35-50SimCLU20.txt", 20)</f>
        <v>20</v>
      </c>
      <c r="BQ168">
        <f>HYPERLINK("http://exon.niaid.nih.gov/transcriptome/Anopheles_sialome/links/cluster-b/anopheline-sialome-cds-pep-larger-orf35-50SimCLTL20.txt", 16)</f>
        <v>16</v>
      </c>
      <c r="BR168">
        <f>HYPERLINK("http://exon.niaid.nih.gov/transcriptome/Anopheles_sialome/links/cluster-b/anopheline-sialome-cds-pep-larger-orf40-50SimCLU26.txt", 26)</f>
        <v>26</v>
      </c>
      <c r="BS168">
        <f>HYPERLINK("http://exon.niaid.nih.gov/transcriptome/Anopheles_sialome/links/cluster-b/anopheline-sialome-cds-pep-larger-orf40-50SimCLTL26.txt", 16)</f>
        <v>16</v>
      </c>
      <c r="BT168">
        <f>HYPERLINK("http://exon.niaid.nih.gov/transcriptome/Anopheles_sialome/links/cluster-b/anopheline-sialome-cds-pep-larger-orf45-50SimCLU30.txt", 30)</f>
        <v>30</v>
      </c>
      <c r="BU168">
        <f>HYPERLINK("http://exon.niaid.nih.gov/transcriptome/Anopheles_sialome/links/cluster-b/anopheline-sialome-cds-pep-larger-orf45-50SimCLTL30.txt", 16)</f>
        <v>16</v>
      </c>
      <c r="BV168">
        <f>HYPERLINK("http://exon.niaid.nih.gov/transcriptome/Anopheles_sialome/links/cluster-b/anopheline-sialome-cds-pep-larger-orf50-50SimCLU31.txt", 31)</f>
        <v>31</v>
      </c>
      <c r="BW168">
        <f>HYPERLINK("http://exon.niaid.nih.gov/transcriptome/Anopheles_sialome/links/cluster-b/anopheline-sialome-cds-pep-larger-orf50-50SimCLTL31.txt", 16)</f>
        <v>16</v>
      </c>
      <c r="BX168">
        <f>HYPERLINK("http://exon.niaid.nih.gov/transcriptome/Anopheles_sialome/links/cluster-b/anopheline-sialome-cds-pep-larger-orf55-50SimCLU30.txt", 30)</f>
        <v>30</v>
      </c>
      <c r="BY168">
        <f>HYPERLINK("http://exon.niaid.nih.gov/transcriptome/Anopheles_sialome/links/cluster-b/anopheline-sialome-cds-pep-larger-orf55-50SimCLTL30.txt", 16)</f>
        <v>16</v>
      </c>
      <c r="BZ168">
        <f>HYPERLINK("http://exon.niaid.nih.gov/transcriptome/Anopheles_sialome/links/cluster-b/anopheline-sialome-cds-pep-larger-orf60-50SimCLU26.txt", 26)</f>
        <v>26</v>
      </c>
      <c r="CA168">
        <f>HYPERLINK("http://exon.niaid.nih.gov/transcriptome/Anopheles_sialome/links/cluster-b/anopheline-sialome-cds-pep-larger-orf60-50SimCLTL26.txt", 16)</f>
        <v>16</v>
      </c>
      <c r="CB168">
        <f>HYPERLINK("http://exon.niaid.nih.gov/transcriptome/Anopheles_sialome/links/cluster-b/anopheline-sialome-cds-pep-larger-orf65-50SimCLU24.txt", 24)</f>
        <v>24</v>
      </c>
      <c r="CC168">
        <f>HYPERLINK("http://exon.niaid.nih.gov/transcriptome/Anopheles_sialome/links/cluster-b/anopheline-sialome-cds-pep-larger-orf65-50SimCLTL24.txt", 16)</f>
        <v>16</v>
      </c>
      <c r="CD168">
        <f>HYPERLINK("http://exon.niaid.nih.gov/transcriptome/Anopheles_sialome/links/cluster-b/anopheline-sialome-cds-pep-larger-orf70-50SimCLU32.txt", 32)</f>
        <v>32</v>
      </c>
      <c r="CE168">
        <f>HYPERLINK("http://exon.niaid.nih.gov/transcriptome/Anopheles_sialome/links/cluster-b/anopheline-sialome-cds-pep-larger-orf70-50SimCLTL32.txt", 14)</f>
        <v>14</v>
      </c>
      <c r="CF168">
        <f>HYPERLINK("http://exon.niaid.nih.gov/transcriptome/Anopheles_sialome/links/cluster-b/anopheline-sialome-cds-pep-larger-orf75-50SimCLU23.txt", 23)</f>
        <v>23</v>
      </c>
      <c r="CG168">
        <f>HYPERLINK("http://exon.niaid.nih.gov/transcriptome/Anopheles_sialome/links/cluster-b/anopheline-sialome-cds-pep-larger-orf75-50SimCLTL23.txt", 14)</f>
        <v>14</v>
      </c>
      <c r="CH168">
        <f>HYPERLINK("http://exon.niaid.nih.gov/transcriptome/Anopheles_sialome/links/cluster-b/anopheline-sialome-cds-pep-larger-orf80-50SimCLU18.txt", 18)</f>
        <v>18</v>
      </c>
      <c r="CI168">
        <f>HYPERLINK("http://exon.niaid.nih.gov/transcriptome/Anopheles_sialome/links/cluster-b/anopheline-sialome-cds-pep-larger-orf80-50SimCLTL18.txt", 13)</f>
        <v>13</v>
      </c>
      <c r="CJ168">
        <f>HYPERLINK("http://exon.niaid.nih.gov/transcriptome/Anopheles_sialome/links/cluster-b/anopheline-sialome-cds-pep-larger-orf85-50SimCLU54.txt", 54)</f>
        <v>54</v>
      </c>
      <c r="CK168">
        <f>HYPERLINK("http://exon.niaid.nih.gov/transcriptome/Anopheles_sialome/links/cluster-b/anopheline-sialome-cds-pep-larger-orf85-50SimCLTL54.txt", 4)</f>
        <v>4</v>
      </c>
      <c r="CL168">
        <f>HYPERLINK("http://exon.niaid.nih.gov/transcriptome/Anopheles_sialome/links/cluster-b/anopheline-sialome-cds-pep-larger-orf90-50SimCLU52.txt", 52)</f>
        <v>52</v>
      </c>
      <c r="CM168">
        <f>HYPERLINK("http://exon.niaid.nih.gov/transcriptome/Anopheles_sialome/links/cluster-b/anopheline-sialome-cds-pep-larger-orf90-50SimCLTL52.txt", 4)</f>
        <v>4</v>
      </c>
      <c r="CN168">
        <v>379</v>
      </c>
      <c r="CO168">
        <v>1</v>
      </c>
    </row>
    <row r="169" spans="1:93">
      <c r="A169" s="2" t="str">
        <f>HYPERLINK("http://exon.niaid.nih.gov/transcriptome/Anopheles_sialome/links/cds/anocul_Sal_trypXII-cds.txt","anocul_Sal_trypXII")</f>
        <v>anocul_Sal_trypXII</v>
      </c>
      <c r="B169">
        <v>822</v>
      </c>
      <c r="C169" t="s">
        <v>412</v>
      </c>
      <c r="D169" t="s">
        <v>7</v>
      </c>
      <c r="E169" t="s">
        <v>5</v>
      </c>
      <c r="F169" t="s">
        <v>1</v>
      </c>
      <c r="G169" t="str">
        <f>HYPERLINK("http://exon.niaid.nih.gov/transcriptome/Anopheles_sialome/links/pep/anocul_Sal_trypXII-pep.txt","anocul_Sal_trypXII")</f>
        <v>anocul_Sal_trypXII</v>
      </c>
      <c r="H169">
        <v>273</v>
      </c>
      <c r="I169">
        <v>1</v>
      </c>
      <c r="J169" s="3" t="str">
        <f>HYPERLINK("http://exon.niaid.nih.gov/transcriptome/Anopheles_sialome/links/Sigp/anocul_Sal_trypXII-SigP.txt","SIG")</f>
        <v>SIG</v>
      </c>
      <c r="K169" t="s">
        <v>787</v>
      </c>
      <c r="L169">
        <v>29.085999999999999</v>
      </c>
      <c r="M169">
        <v>6.14</v>
      </c>
      <c r="N169">
        <v>26.591000000000001</v>
      </c>
      <c r="O169">
        <v>5.94</v>
      </c>
      <c r="P169" t="s">
        <v>1712</v>
      </c>
      <c r="Q169" s="3">
        <v>0</v>
      </c>
      <c r="R169" t="s">
        <v>128</v>
      </c>
      <c r="S169" t="s">
        <v>128</v>
      </c>
      <c r="T169" t="s">
        <v>128</v>
      </c>
      <c r="U169" t="s">
        <v>128</v>
      </c>
      <c r="V169" t="s">
        <v>128</v>
      </c>
      <c r="W169" s="3" t="str">
        <f>HYPERLINK("http://exon.niaid.nih.gov/transcriptome/Anopheles_sialome/links/netoglyc/anocul_Sal_trypXII-netoglyc.txt","0")</f>
        <v>0</v>
      </c>
      <c r="X169">
        <v>13.2</v>
      </c>
      <c r="Y169">
        <v>12.8</v>
      </c>
      <c r="Z169">
        <v>5.9</v>
      </c>
      <c r="AA169">
        <v>1.1000000000000001</v>
      </c>
      <c r="AB169" t="s">
        <v>128</v>
      </c>
      <c r="AC169" s="2" t="str">
        <f>HYPERLINK("http://exon.niaid.nih.gov/transcriptome/Anopheles_sialome/links/DIPTERA/anocul_Sal_trypXII-DIPTERA.txt","hypothetical protein ZHAS_00009760")</f>
        <v>hypothetical protein ZHAS_00009760</v>
      </c>
      <c r="AD169" t="str">
        <f>HYPERLINK("http://www.ncbi.nlm.nih.gov/sutils/blink.cgi?pid=668453385","3E-092")</f>
        <v>3E-092</v>
      </c>
      <c r="AE169" t="str">
        <f>HYPERLINK("http://www.ncbi.nlm.nih.gov/protein/668453385","gi|668453385")</f>
        <v>gi|668453385</v>
      </c>
      <c r="AF169">
        <v>66</v>
      </c>
      <c r="AG169">
        <v>74</v>
      </c>
      <c r="AH169">
        <v>94</v>
      </c>
      <c r="AI169" t="s">
        <v>2277</v>
      </c>
      <c r="AJ169" s="2" t="str">
        <f>HYPERLINK("http://exon.niaid.nih.gov/transcriptome/Anopheles_sialome/links/CULICOMORPHA/anocul_Sal_trypXII-CULICOMORPHA.txt","hypothetical protein ZHAS_00009760")</f>
        <v>hypothetical protein ZHAS_00009760</v>
      </c>
      <c r="AK169" t="str">
        <f>HYPERLINK("http://www.ncbi.nlm.nih.gov/sutils/blink.cgi?pid=668453385","5E-093")</f>
        <v>5E-093</v>
      </c>
      <c r="AL169" t="str">
        <f>HYPERLINK("http://www.ncbi.nlm.nih.gov/protein/668453385","gi|668453385")</f>
        <v>gi|668453385</v>
      </c>
      <c r="AM169">
        <v>66</v>
      </c>
      <c r="AN169">
        <v>74</v>
      </c>
      <c r="AO169">
        <v>94</v>
      </c>
      <c r="AP169" t="s">
        <v>2277</v>
      </c>
      <c r="AQ169" s="2" t="str">
        <f>HYPERLINK("http://exon.niaid.nih.gov/transcriptome/Anopheles_sialome/links/NR-LIGHT/anocul_Sal_trypXII-NR-LIGHT.txt","hypothetical protein ZHAS_00009760")</f>
        <v>hypothetical protein ZHAS_00009760</v>
      </c>
      <c r="AR169" t="str">
        <f>HYPERLINK("http://www.ncbi.nlm.nih.gov/sutils/blink.cgi?pid=668453385","7E-092")</f>
        <v>7E-092</v>
      </c>
      <c r="AS169" t="str">
        <f>HYPERLINK("http://www.ncbi.nlm.nih.gov/protein/668453385","gi|668453385")</f>
        <v>gi|668453385</v>
      </c>
      <c r="AT169">
        <v>66</v>
      </c>
      <c r="AU169">
        <v>74</v>
      </c>
      <c r="AV169">
        <v>94</v>
      </c>
      <c r="AW169" t="s">
        <v>2277</v>
      </c>
      <c r="AX169" s="2" t="str">
        <f>HYPERLINK("http://exon.niaid.nih.gov/transcriptome/Anopheles_sialome/links/CDD/anocul_Sal_trypXII-CDD.txt","Tryp_SPc")</f>
        <v>Tryp_SPc</v>
      </c>
      <c r="AY169" t="str">
        <f>HYPERLINK("http://www.ncbi.nlm.nih.gov/Structure/cdd/cddsrv.cgi?uid=cd00190&amp;version=v4.0","4E-041")</f>
        <v>4E-041</v>
      </c>
      <c r="AZ169" t="s">
        <v>2852</v>
      </c>
      <c r="BA169" s="2" t="str">
        <f>HYPERLINK("http://exon.niaid.nih.gov/transcriptome/Anopheles_sialome/links/KOG/anocul_Sal_trypXII-KOG.txt","Trypsin")</f>
        <v>Trypsin</v>
      </c>
      <c r="BB169" t="str">
        <f>HYPERLINK("http://www.ncbi.nlm.nih.gov/Structure/cdd/cddsrv.cgi?uid=KOG3627","5E-030")</f>
        <v>5E-030</v>
      </c>
      <c r="BC169" t="s">
        <v>2287</v>
      </c>
      <c r="BD169" t="str">
        <f>HYPERLINK("http://exon.niaid.nih.gov/transcriptome/Anopheles_sialome/links/KOG/anocul_Sal_trypXII-KOG.txt","KOG3627")</f>
        <v>KOG3627</v>
      </c>
      <c r="BE169" t="str">
        <f>HYPERLINK("http://exon.niaid.nih.gov/transcriptome/Anopheles_sialome/links/PFAM/anocul_Sal_trypXII-PFAM.txt","Trypsin")</f>
        <v>Trypsin</v>
      </c>
      <c r="BF169" t="str">
        <f>HYPERLINK("http://pfam.sanger.ac.uk/family?acc=PF00089","8E-032")</f>
        <v>8E-032</v>
      </c>
      <c r="BG169" s="2" t="str">
        <f>HYPERLINK("http://exon.niaid.nih.gov/transcriptome/Anopheles_sialome/links/SMART/anocul_Sal_trypXII-SMART.txt","Tryp_SPc")</f>
        <v>Tryp_SPc</v>
      </c>
      <c r="BH169" t="str">
        <f>HYPERLINK("http://smart.embl-heidelberg.de/smart/do_annotation.pl?DOMAIN=Tryp_SPc&amp;BLAST=DUMMY","3E-042")</f>
        <v>3E-042</v>
      </c>
      <c r="BI169" t="str">
        <f>HYPERLINK("http://exon.niaid.nih.gov/transcriptome/Anopheles_sialome/links/TICK-BLOCKS/anocul_Sal_trypXII-TICK-BLOCKS.txt","RGD_cys_disintegrin |")</f>
        <v>RGD_cys_disintegrin |</v>
      </c>
      <c r="BJ169" s="2" t="s">
        <v>2495</v>
      </c>
      <c r="BK169" t="s">
        <v>1711</v>
      </c>
      <c r="BL169">
        <f>HYPERLINK("http://exon.niaid.nih.gov/transcriptome/Anopheles_sialome/links/cluster-b/anopheline-sialome-cds-pep-larger-orf25-50SimCLU5.txt", 5)</f>
        <v>5</v>
      </c>
      <c r="BM169">
        <f>HYPERLINK("http://exon.niaid.nih.gov/transcriptome/Anopheles_sialome/links/cluster-b/anopheline-sialome-cds-pep-larger-orf25-50SimCLTL5.txt", 56)</f>
        <v>56</v>
      </c>
      <c r="BN169">
        <f>HYPERLINK("http://exon.niaid.nih.gov/transcriptome/Anopheles_sialome/links/cluster-b/anopheline-sialome-cds-pep-larger-orf30-50SimCLU18.txt", 18)</f>
        <v>18</v>
      </c>
      <c r="BO169">
        <f>HYPERLINK("http://exon.niaid.nih.gov/transcriptome/Anopheles_sialome/links/cluster-b/anopheline-sialome-cds-pep-larger-orf30-50SimCLTL18.txt", 16)</f>
        <v>16</v>
      </c>
      <c r="BP169">
        <f>HYPERLINK("http://exon.niaid.nih.gov/transcriptome/Anopheles_sialome/links/cluster-b/anopheline-sialome-cds-pep-larger-orf35-50SimCLU20.txt", 20)</f>
        <v>20</v>
      </c>
      <c r="BQ169">
        <f>HYPERLINK("http://exon.niaid.nih.gov/transcriptome/Anopheles_sialome/links/cluster-b/anopheline-sialome-cds-pep-larger-orf35-50SimCLTL20.txt", 16)</f>
        <v>16</v>
      </c>
      <c r="BR169">
        <f>HYPERLINK("http://exon.niaid.nih.gov/transcriptome/Anopheles_sialome/links/cluster-b/anopheline-sialome-cds-pep-larger-orf40-50SimCLU26.txt", 26)</f>
        <v>26</v>
      </c>
      <c r="BS169">
        <f>HYPERLINK("http://exon.niaid.nih.gov/transcriptome/Anopheles_sialome/links/cluster-b/anopheline-sialome-cds-pep-larger-orf40-50SimCLTL26.txt", 16)</f>
        <v>16</v>
      </c>
      <c r="BT169">
        <f>HYPERLINK("http://exon.niaid.nih.gov/transcriptome/Anopheles_sialome/links/cluster-b/anopheline-sialome-cds-pep-larger-orf45-50SimCLU30.txt", 30)</f>
        <v>30</v>
      </c>
      <c r="BU169">
        <f>HYPERLINK("http://exon.niaid.nih.gov/transcriptome/Anopheles_sialome/links/cluster-b/anopheline-sialome-cds-pep-larger-orf45-50SimCLTL30.txt", 16)</f>
        <v>16</v>
      </c>
      <c r="BV169">
        <f>HYPERLINK("http://exon.niaid.nih.gov/transcriptome/Anopheles_sialome/links/cluster-b/anopheline-sialome-cds-pep-larger-orf50-50SimCLU31.txt", 31)</f>
        <v>31</v>
      </c>
      <c r="BW169">
        <f>HYPERLINK("http://exon.niaid.nih.gov/transcriptome/Anopheles_sialome/links/cluster-b/anopheline-sialome-cds-pep-larger-orf50-50SimCLTL31.txt", 16)</f>
        <v>16</v>
      </c>
      <c r="BX169">
        <f>HYPERLINK("http://exon.niaid.nih.gov/transcriptome/Anopheles_sialome/links/cluster-b/anopheline-sialome-cds-pep-larger-orf55-50SimCLU30.txt", 30)</f>
        <v>30</v>
      </c>
      <c r="BY169">
        <f>HYPERLINK("http://exon.niaid.nih.gov/transcriptome/Anopheles_sialome/links/cluster-b/anopheline-sialome-cds-pep-larger-orf55-50SimCLTL30.txt", 16)</f>
        <v>16</v>
      </c>
      <c r="BZ169">
        <f>HYPERLINK("http://exon.niaid.nih.gov/transcriptome/Anopheles_sialome/links/cluster-b/anopheline-sialome-cds-pep-larger-orf60-50SimCLU26.txt", 26)</f>
        <v>26</v>
      </c>
      <c r="CA169">
        <f>HYPERLINK("http://exon.niaid.nih.gov/transcriptome/Anopheles_sialome/links/cluster-b/anopheline-sialome-cds-pep-larger-orf60-50SimCLTL26.txt", 16)</f>
        <v>16</v>
      </c>
      <c r="CB169">
        <f>HYPERLINK("http://exon.niaid.nih.gov/transcriptome/Anopheles_sialome/links/cluster-b/anopheline-sialome-cds-pep-larger-orf65-50SimCLU24.txt", 24)</f>
        <v>24</v>
      </c>
      <c r="CC169">
        <f>HYPERLINK("http://exon.niaid.nih.gov/transcriptome/Anopheles_sialome/links/cluster-b/anopheline-sialome-cds-pep-larger-orf65-50SimCLTL24.txt", 16)</f>
        <v>16</v>
      </c>
      <c r="CD169">
        <f>HYPERLINK("http://exon.niaid.nih.gov/transcriptome/Anopheles_sialome/links/cluster-b/anopheline-sialome-cds-pep-larger-orf70-50SimCLU32.txt", 32)</f>
        <v>32</v>
      </c>
      <c r="CE169">
        <f>HYPERLINK("http://exon.niaid.nih.gov/transcriptome/Anopheles_sialome/links/cluster-b/anopheline-sialome-cds-pep-larger-orf70-50SimCLTL32.txt", 14)</f>
        <v>14</v>
      </c>
      <c r="CF169">
        <f>HYPERLINK("http://exon.niaid.nih.gov/transcriptome/Anopheles_sialome/links/cluster-b/anopheline-sialome-cds-pep-larger-orf75-50SimCLU23.txt", 23)</f>
        <v>23</v>
      </c>
      <c r="CG169">
        <f>HYPERLINK("http://exon.niaid.nih.gov/transcriptome/Anopheles_sialome/links/cluster-b/anopheline-sialome-cds-pep-larger-orf75-50SimCLTL23.txt", 14)</f>
        <v>14</v>
      </c>
      <c r="CH169">
        <f>HYPERLINK("http://exon.niaid.nih.gov/transcriptome/Anopheles_sialome/links/cluster-b/anopheline-sialome-cds-pep-larger-orf80-50SimCLU18.txt", 18)</f>
        <v>18</v>
      </c>
      <c r="CI169">
        <f>HYPERLINK("http://exon.niaid.nih.gov/transcriptome/Anopheles_sialome/links/cluster-b/anopheline-sialome-cds-pep-larger-orf80-50SimCLTL18.txt", 13)</f>
        <v>13</v>
      </c>
      <c r="CJ169">
        <f>HYPERLINK("http://exon.niaid.nih.gov/transcriptome/Anopheles_sialome/links/cluster-b/anopheline-sialome-cds-pep-larger-orf85-50SimCLU54.txt", 54)</f>
        <v>54</v>
      </c>
      <c r="CK169">
        <f>HYPERLINK("http://exon.niaid.nih.gov/transcriptome/Anopheles_sialome/links/cluster-b/anopheline-sialome-cds-pep-larger-orf85-50SimCLTL54.txt", 4)</f>
        <v>4</v>
      </c>
      <c r="CL169">
        <f>HYPERLINK("http://exon.niaid.nih.gov/transcriptome/Anopheles_sialome/links/cluster-b/anopheline-sialome-cds-pep-larger-orf90-50SimCLU52.txt", 52)</f>
        <v>52</v>
      </c>
      <c r="CM169">
        <f>HYPERLINK("http://exon.niaid.nih.gov/transcriptome/Anopheles_sialome/links/cluster-b/anopheline-sialome-cds-pep-larger-orf90-50SimCLTL52.txt", 4)</f>
        <v>4</v>
      </c>
      <c r="CN169">
        <v>380</v>
      </c>
      <c r="CO169">
        <v>1</v>
      </c>
    </row>
    <row r="170" spans="1:93">
      <c r="A170" s="2" t="str">
        <f>HYPERLINK("http://exon.niaid.nih.gov/transcriptome/Anopheles_sialome/links/cds/anoste_Sal_trypXII-cds.txt","anoste_Sal_trypXII")</f>
        <v>anoste_Sal_trypXII</v>
      </c>
      <c r="B170">
        <v>810</v>
      </c>
      <c r="C170" t="s">
        <v>413</v>
      </c>
      <c r="D170" t="s">
        <v>7</v>
      </c>
      <c r="E170" t="s">
        <v>5</v>
      </c>
      <c r="F170" t="s">
        <v>1</v>
      </c>
      <c r="G170" t="str">
        <f>HYPERLINK("http://exon.niaid.nih.gov/transcriptome/Anopheles_sialome/links/pep/anoste_Sal_trypXII-pep.txt","anoste_Sal_trypXII")</f>
        <v>anoste_Sal_trypXII</v>
      </c>
      <c r="H170">
        <v>269</v>
      </c>
      <c r="I170">
        <v>1</v>
      </c>
      <c r="J170" s="3" t="str">
        <f>HYPERLINK("http://exon.niaid.nih.gov/transcriptome/Anopheles_sialome/links/Sigp/anoste_Sal_trypXII-SigP.txt","SIG")</f>
        <v>SIG</v>
      </c>
      <c r="K170" t="s">
        <v>708</v>
      </c>
      <c r="L170">
        <v>28.545000000000002</v>
      </c>
      <c r="M170">
        <v>5.62</v>
      </c>
      <c r="N170">
        <v>26.28</v>
      </c>
      <c r="O170">
        <v>5.62</v>
      </c>
      <c r="P170" t="s">
        <v>1714</v>
      </c>
      <c r="Q170" s="3">
        <v>0</v>
      </c>
      <c r="R170" t="s">
        <v>128</v>
      </c>
      <c r="S170" t="s">
        <v>128</v>
      </c>
      <c r="T170" t="s">
        <v>128</v>
      </c>
      <c r="U170" t="s">
        <v>128</v>
      </c>
      <c r="V170" t="s">
        <v>128</v>
      </c>
      <c r="W170" s="3" t="str">
        <f>HYPERLINK("http://exon.niaid.nih.gov/transcriptome/Anopheles_sialome/links/netoglyc/anoste_Sal_trypXII-netoglyc.txt","0")</f>
        <v>0</v>
      </c>
      <c r="X170">
        <v>13</v>
      </c>
      <c r="Y170">
        <v>12.6</v>
      </c>
      <c r="Z170">
        <v>6.3</v>
      </c>
      <c r="AA170">
        <v>1.1000000000000001</v>
      </c>
      <c r="AB170" t="s">
        <v>128</v>
      </c>
      <c r="AC170" s="2" t="str">
        <f>HYPERLINK("http://exon.niaid.nih.gov/transcriptome/Anopheles_sialome/links/DIPTERA/anoste_Sal_trypXII-DIPTERA.txt","hypothetical protein ZHAS_00009760")</f>
        <v>hypothetical protein ZHAS_00009760</v>
      </c>
      <c r="AD170" t="str">
        <f>HYPERLINK("http://www.ncbi.nlm.nih.gov/sutils/blink.cgi?pid=668453385","1E-088")</f>
        <v>1E-088</v>
      </c>
      <c r="AE170" t="str">
        <f t="shared" ref="AE170:AE172" si="114">HYPERLINK("http://www.ncbi.nlm.nih.gov/protein/668453385","gi|668453385")</f>
        <v>gi|668453385</v>
      </c>
      <c r="AF170">
        <v>64</v>
      </c>
      <c r="AG170">
        <v>73</v>
      </c>
      <c r="AH170">
        <v>94</v>
      </c>
      <c r="AI170" t="s">
        <v>2277</v>
      </c>
      <c r="AJ170" s="2" t="str">
        <f>HYPERLINK("http://exon.niaid.nih.gov/transcriptome/Anopheles_sialome/links/CULICOMORPHA/anoste_Sal_trypXII-CULICOMORPHA.txt","hypothetical protein ZHAS_00009760")</f>
        <v>hypothetical protein ZHAS_00009760</v>
      </c>
      <c r="AK170" t="str">
        <f>HYPERLINK("http://www.ncbi.nlm.nih.gov/sutils/blink.cgi?pid=668453385","2E-089")</f>
        <v>2E-089</v>
      </c>
      <c r="AL170" t="str">
        <f t="shared" ref="AL170:AL172" si="115">HYPERLINK("http://www.ncbi.nlm.nih.gov/protein/668453385","gi|668453385")</f>
        <v>gi|668453385</v>
      </c>
      <c r="AM170">
        <v>64</v>
      </c>
      <c r="AN170">
        <v>73</v>
      </c>
      <c r="AO170">
        <v>94</v>
      </c>
      <c r="AP170" t="s">
        <v>2277</v>
      </c>
      <c r="AQ170" s="2" t="str">
        <f>HYPERLINK("http://exon.niaid.nih.gov/transcriptome/Anopheles_sialome/links/NR-LIGHT/anoste_Sal_trypXII-NR-LIGHT.txt","hypothetical protein ZHAS_00009760")</f>
        <v>hypothetical protein ZHAS_00009760</v>
      </c>
      <c r="AR170" t="str">
        <f>HYPERLINK("http://www.ncbi.nlm.nih.gov/sutils/blink.cgi?pid=668453385","3E-088")</f>
        <v>3E-088</v>
      </c>
      <c r="AS170" t="str">
        <f t="shared" ref="AS170:AS172" si="116">HYPERLINK("http://www.ncbi.nlm.nih.gov/protein/668453385","gi|668453385")</f>
        <v>gi|668453385</v>
      </c>
      <c r="AT170">
        <v>64</v>
      </c>
      <c r="AU170">
        <v>73</v>
      </c>
      <c r="AV170">
        <v>94</v>
      </c>
      <c r="AW170" t="s">
        <v>2277</v>
      </c>
      <c r="AX170" s="2" t="str">
        <f>HYPERLINK("http://exon.niaid.nih.gov/transcriptome/Anopheles_sialome/links/CDD/anoste_Sal_trypXII-CDD.txt","Tryp_SPc")</f>
        <v>Tryp_SPc</v>
      </c>
      <c r="AY170" t="str">
        <f>HYPERLINK("http://www.ncbi.nlm.nih.gov/Structure/cdd/cddsrv.cgi?uid=cd00190&amp;version=v4.0","2E-040")</f>
        <v>2E-040</v>
      </c>
      <c r="AZ170" t="s">
        <v>2853</v>
      </c>
      <c r="BA170" s="2" t="str">
        <f>HYPERLINK("http://exon.niaid.nih.gov/transcriptome/Anopheles_sialome/links/KOG/anoste_Sal_trypXII-KOG.txt","Trypsin")</f>
        <v>Trypsin</v>
      </c>
      <c r="BB170" t="str">
        <f>HYPERLINK("http://www.ncbi.nlm.nih.gov/Structure/cdd/cddsrv.cgi?uid=KOG3627","6E-033")</f>
        <v>6E-033</v>
      </c>
      <c r="BC170" t="s">
        <v>2287</v>
      </c>
      <c r="BD170" t="str">
        <f>HYPERLINK("http://exon.niaid.nih.gov/transcriptome/Anopheles_sialome/links/KOG/anoste_Sal_trypXII-KOG.txt","KOG3627")</f>
        <v>KOG3627</v>
      </c>
      <c r="BE170" t="str">
        <f>HYPERLINK("http://exon.niaid.nih.gov/transcriptome/Anopheles_sialome/links/PFAM/anoste_Sal_trypXII-PFAM.txt","Trypsin")</f>
        <v>Trypsin</v>
      </c>
      <c r="BF170" t="str">
        <f>HYPERLINK("http://pfam.sanger.ac.uk/family?acc=PF00089","2E-035")</f>
        <v>2E-035</v>
      </c>
      <c r="BG170" s="2" t="str">
        <f>HYPERLINK("http://exon.niaid.nih.gov/transcriptome/Anopheles_sialome/links/SMART/anoste_Sal_trypXII-SMART.txt","Tryp_SPc")</f>
        <v>Tryp_SPc</v>
      </c>
      <c r="BH170" t="str">
        <f>HYPERLINK("http://smart.embl-heidelberg.de/smart/do_annotation.pl?DOMAIN=Tryp_SPc&amp;BLAST=DUMMY","8E-042")</f>
        <v>8E-042</v>
      </c>
      <c r="BI170" t="str">
        <f>HYPERLINK("http://exon.niaid.nih.gov/transcriptome/Anopheles_sialome/links/TICK-BLOCKS/anoste_Sal_trypXII-TICK-BLOCKS.txt","RGD_cys_disintegrin |")</f>
        <v>RGD_cys_disintegrin |</v>
      </c>
      <c r="BJ170" s="2" t="s">
        <v>2495</v>
      </c>
      <c r="BK170" t="s">
        <v>1713</v>
      </c>
      <c r="BL170">
        <f>HYPERLINK("http://exon.niaid.nih.gov/transcriptome/Anopheles_sialome/links/cluster-b/anopheline-sialome-cds-pep-larger-orf25-50SimCLU5.txt", 5)</f>
        <v>5</v>
      </c>
      <c r="BM170">
        <f>HYPERLINK("http://exon.niaid.nih.gov/transcriptome/Anopheles_sialome/links/cluster-b/anopheline-sialome-cds-pep-larger-orf25-50SimCLTL5.txt", 56)</f>
        <v>56</v>
      </c>
      <c r="BN170">
        <f>HYPERLINK("http://exon.niaid.nih.gov/transcriptome/Anopheles_sialome/links/cluster-b/anopheline-sialome-cds-pep-larger-orf30-50SimCLU18.txt", 18)</f>
        <v>18</v>
      </c>
      <c r="BO170">
        <f>HYPERLINK("http://exon.niaid.nih.gov/transcriptome/Anopheles_sialome/links/cluster-b/anopheline-sialome-cds-pep-larger-orf30-50SimCLTL18.txt", 16)</f>
        <v>16</v>
      </c>
      <c r="BP170">
        <f>HYPERLINK("http://exon.niaid.nih.gov/transcriptome/Anopheles_sialome/links/cluster-b/anopheline-sialome-cds-pep-larger-orf35-50SimCLU20.txt", 20)</f>
        <v>20</v>
      </c>
      <c r="BQ170">
        <f>HYPERLINK("http://exon.niaid.nih.gov/transcriptome/Anopheles_sialome/links/cluster-b/anopheline-sialome-cds-pep-larger-orf35-50SimCLTL20.txt", 16)</f>
        <v>16</v>
      </c>
      <c r="BR170">
        <f>HYPERLINK("http://exon.niaid.nih.gov/transcriptome/Anopheles_sialome/links/cluster-b/anopheline-sialome-cds-pep-larger-orf40-50SimCLU26.txt", 26)</f>
        <v>26</v>
      </c>
      <c r="BS170">
        <f>HYPERLINK("http://exon.niaid.nih.gov/transcriptome/Anopheles_sialome/links/cluster-b/anopheline-sialome-cds-pep-larger-orf40-50SimCLTL26.txt", 16)</f>
        <v>16</v>
      </c>
      <c r="BT170">
        <f>HYPERLINK("http://exon.niaid.nih.gov/transcriptome/Anopheles_sialome/links/cluster-b/anopheline-sialome-cds-pep-larger-orf45-50SimCLU30.txt", 30)</f>
        <v>30</v>
      </c>
      <c r="BU170">
        <f>HYPERLINK("http://exon.niaid.nih.gov/transcriptome/Anopheles_sialome/links/cluster-b/anopheline-sialome-cds-pep-larger-orf45-50SimCLTL30.txt", 16)</f>
        <v>16</v>
      </c>
      <c r="BV170">
        <f>HYPERLINK("http://exon.niaid.nih.gov/transcriptome/Anopheles_sialome/links/cluster-b/anopheline-sialome-cds-pep-larger-orf50-50SimCLU31.txt", 31)</f>
        <v>31</v>
      </c>
      <c r="BW170">
        <f>HYPERLINK("http://exon.niaid.nih.gov/transcriptome/Anopheles_sialome/links/cluster-b/anopheline-sialome-cds-pep-larger-orf50-50SimCLTL31.txt", 16)</f>
        <v>16</v>
      </c>
      <c r="BX170">
        <f>HYPERLINK("http://exon.niaid.nih.gov/transcriptome/Anopheles_sialome/links/cluster-b/anopheline-sialome-cds-pep-larger-orf55-50SimCLU30.txt", 30)</f>
        <v>30</v>
      </c>
      <c r="BY170">
        <f>HYPERLINK("http://exon.niaid.nih.gov/transcriptome/Anopheles_sialome/links/cluster-b/anopheline-sialome-cds-pep-larger-orf55-50SimCLTL30.txt", 16)</f>
        <v>16</v>
      </c>
      <c r="BZ170">
        <f>HYPERLINK("http://exon.niaid.nih.gov/transcriptome/Anopheles_sialome/links/cluster-b/anopheline-sialome-cds-pep-larger-orf60-50SimCLU26.txt", 26)</f>
        <v>26</v>
      </c>
      <c r="CA170">
        <f>HYPERLINK("http://exon.niaid.nih.gov/transcriptome/Anopheles_sialome/links/cluster-b/anopheline-sialome-cds-pep-larger-orf60-50SimCLTL26.txt", 16)</f>
        <v>16</v>
      </c>
      <c r="CB170">
        <f>HYPERLINK("http://exon.niaid.nih.gov/transcriptome/Anopheles_sialome/links/cluster-b/anopheline-sialome-cds-pep-larger-orf65-50SimCLU24.txt", 24)</f>
        <v>24</v>
      </c>
      <c r="CC170">
        <f>HYPERLINK("http://exon.niaid.nih.gov/transcriptome/Anopheles_sialome/links/cluster-b/anopheline-sialome-cds-pep-larger-orf65-50SimCLTL24.txt", 16)</f>
        <v>16</v>
      </c>
      <c r="CD170">
        <f>HYPERLINK("http://exon.niaid.nih.gov/transcriptome/Anopheles_sialome/links/cluster-b/anopheline-sialome-cds-pep-larger-orf70-50SimCLU32.txt", 32)</f>
        <v>32</v>
      </c>
      <c r="CE170">
        <f>HYPERLINK("http://exon.niaid.nih.gov/transcriptome/Anopheles_sialome/links/cluster-b/anopheline-sialome-cds-pep-larger-orf70-50SimCLTL32.txt", 14)</f>
        <v>14</v>
      </c>
      <c r="CF170">
        <f>HYPERLINK("http://exon.niaid.nih.gov/transcriptome/Anopheles_sialome/links/cluster-b/anopheline-sialome-cds-pep-larger-orf75-50SimCLU23.txt", 23)</f>
        <v>23</v>
      </c>
      <c r="CG170">
        <f>HYPERLINK("http://exon.niaid.nih.gov/transcriptome/Anopheles_sialome/links/cluster-b/anopheline-sialome-cds-pep-larger-orf75-50SimCLTL23.txt", 14)</f>
        <v>14</v>
      </c>
      <c r="CH170">
        <f>HYPERLINK("http://exon.niaid.nih.gov/transcriptome/Anopheles_sialome/links/cluster-b/anopheline-sialome-cds-pep-larger-orf80-50SimCLU18.txt", 18)</f>
        <v>18</v>
      </c>
      <c r="CI170">
        <f>HYPERLINK("http://exon.niaid.nih.gov/transcriptome/Anopheles_sialome/links/cluster-b/anopheline-sialome-cds-pep-larger-orf80-50SimCLTL18.txt", 13)</f>
        <v>13</v>
      </c>
      <c r="CJ170">
        <f>HYPERLINK("http://exon.niaid.nih.gov/transcriptome/Anopheles_sialome/links/cluster-b/anopheline-sialome-cds-pep-larger-orf85-50SimCLU54.txt", 54)</f>
        <v>54</v>
      </c>
      <c r="CK170">
        <f>HYPERLINK("http://exon.niaid.nih.gov/transcriptome/Anopheles_sialome/links/cluster-b/anopheline-sialome-cds-pep-larger-orf85-50SimCLTL54.txt", 4)</f>
        <v>4</v>
      </c>
      <c r="CL170">
        <f>HYPERLINK("http://exon.niaid.nih.gov/transcriptome/Anopheles_sialome/links/cluster-b/anopheline-sialome-cds-pep-larger-orf90-50SimCLU52.txt", 52)</f>
        <v>52</v>
      </c>
      <c r="CM170">
        <f>HYPERLINK("http://exon.niaid.nih.gov/transcriptome/Anopheles_sialome/links/cluster-b/anopheline-sialome-cds-pep-larger-orf90-50SimCLTL52.txt", 4)</f>
        <v>4</v>
      </c>
      <c r="CN170">
        <v>381</v>
      </c>
      <c r="CO170">
        <v>1</v>
      </c>
    </row>
    <row r="171" spans="1:93">
      <c r="A171" s="2" t="str">
        <f>HYPERLINK("http://exon.niaid.nih.gov/transcriptome/Anopheles_sialome/links/cds/anofar_Sal_trypXII-cds.txt","anofar_Sal_trypXII")</f>
        <v>anofar_Sal_trypXII</v>
      </c>
      <c r="B171">
        <v>825</v>
      </c>
      <c r="C171" t="s">
        <v>414</v>
      </c>
      <c r="D171" t="s">
        <v>7</v>
      </c>
      <c r="E171" t="s">
        <v>5</v>
      </c>
      <c r="F171" t="s">
        <v>1</v>
      </c>
      <c r="G171" t="str">
        <f>HYPERLINK("http://exon.niaid.nih.gov/transcriptome/Anopheles_sialome/links/pep/anofar_Sal_trypXII-pep.txt","anofar_Sal_trypXII")</f>
        <v>anofar_Sal_trypXII</v>
      </c>
      <c r="H171">
        <v>274</v>
      </c>
      <c r="I171">
        <v>0</v>
      </c>
      <c r="J171" s="3" t="str">
        <f>HYPERLINK("http://exon.niaid.nih.gov/transcriptome/Anopheles_sialome/links/Sigp/anofar_Sal_trypXII-SigP.txt","SIG")</f>
        <v>SIG</v>
      </c>
      <c r="K171" t="s">
        <v>834</v>
      </c>
      <c r="L171">
        <v>29.248000000000001</v>
      </c>
      <c r="M171">
        <v>6.36</v>
      </c>
      <c r="N171">
        <v>26.454999999999998</v>
      </c>
      <c r="O171">
        <v>6.39</v>
      </c>
      <c r="P171" t="s">
        <v>1716</v>
      </c>
      <c r="Q171" s="3" t="str">
        <f>HYPERLINK("http://exon.niaid.nih.gov/transcriptome/Anopheles_sialome/links/tmhmm/anofar_Sal_trypXII-tmhmm.txt","1")</f>
        <v>1</v>
      </c>
      <c r="R171">
        <v>8</v>
      </c>
      <c r="S171">
        <v>89.4</v>
      </c>
      <c r="T171">
        <v>2.6</v>
      </c>
      <c r="U171" t="s">
        <v>128</v>
      </c>
      <c r="V171">
        <v>245</v>
      </c>
      <c r="W171" s="3" t="str">
        <f>HYPERLINK("http://exon.niaid.nih.gov/transcriptome/Anopheles_sialome/links/netoglyc/anofar_Sal_trypXII-netoglyc.txt","0")</f>
        <v>0</v>
      </c>
      <c r="X171">
        <v>12</v>
      </c>
      <c r="Y171">
        <v>13.9</v>
      </c>
      <c r="Z171">
        <v>6.6</v>
      </c>
      <c r="AA171">
        <v>1.1000000000000001</v>
      </c>
      <c r="AB171" t="s">
        <v>128</v>
      </c>
      <c r="AC171" s="2" t="str">
        <f>HYPERLINK("http://exon.niaid.nih.gov/transcriptome/Anopheles_sialome/links/DIPTERA/anofar_Sal_trypXII-DIPTERA.txt","hypothetical protein ZHAS_00009760")</f>
        <v>hypothetical protein ZHAS_00009760</v>
      </c>
      <c r="AD171" t="str">
        <f>HYPERLINK("http://www.ncbi.nlm.nih.gov/sutils/blink.cgi?pid=668453385","4E-089")</f>
        <v>4E-089</v>
      </c>
      <c r="AE171" t="str">
        <f t="shared" si="114"/>
        <v>gi|668453385</v>
      </c>
      <c r="AF171">
        <v>62</v>
      </c>
      <c r="AG171">
        <v>73</v>
      </c>
      <c r="AH171">
        <v>95</v>
      </c>
      <c r="AI171" t="s">
        <v>2277</v>
      </c>
      <c r="AJ171" s="2" t="str">
        <f>HYPERLINK("http://exon.niaid.nih.gov/transcriptome/Anopheles_sialome/links/CULICOMORPHA/anofar_Sal_trypXII-CULICOMORPHA.txt","hypothetical protein ZHAS_00009760")</f>
        <v>hypothetical protein ZHAS_00009760</v>
      </c>
      <c r="AK171" t="str">
        <f>HYPERLINK("http://www.ncbi.nlm.nih.gov/sutils/blink.cgi?pid=668453385","6E-090")</f>
        <v>6E-090</v>
      </c>
      <c r="AL171" t="str">
        <f t="shared" si="115"/>
        <v>gi|668453385</v>
      </c>
      <c r="AM171">
        <v>62</v>
      </c>
      <c r="AN171">
        <v>73</v>
      </c>
      <c r="AO171">
        <v>95</v>
      </c>
      <c r="AP171" t="s">
        <v>2277</v>
      </c>
      <c r="AQ171" s="2" t="str">
        <f>HYPERLINK("http://exon.niaid.nih.gov/transcriptome/Anopheles_sialome/links/NR-LIGHT/anofar_Sal_trypXII-NR-LIGHT.txt","hypothetical protein ZHAS_00009760")</f>
        <v>hypothetical protein ZHAS_00009760</v>
      </c>
      <c r="AR171" t="str">
        <f>HYPERLINK("http://www.ncbi.nlm.nih.gov/sutils/blink.cgi?pid=668453385","9E-089")</f>
        <v>9E-089</v>
      </c>
      <c r="AS171" t="str">
        <f t="shared" si="116"/>
        <v>gi|668453385</v>
      </c>
      <c r="AT171">
        <v>62</v>
      </c>
      <c r="AU171">
        <v>73</v>
      </c>
      <c r="AV171">
        <v>95</v>
      </c>
      <c r="AW171" t="s">
        <v>2277</v>
      </c>
      <c r="AX171" s="2" t="str">
        <f>HYPERLINK("http://exon.niaid.nih.gov/transcriptome/Anopheles_sialome/links/CDD/anofar_Sal_trypXII-CDD.txt","Tryp_SPc")</f>
        <v>Tryp_SPc</v>
      </c>
      <c r="AY171" t="str">
        <f>HYPERLINK("http://www.ncbi.nlm.nih.gov/Structure/cdd/cddsrv.cgi?uid=cd00190&amp;version=v4.0","4E-041")</f>
        <v>4E-041</v>
      </c>
      <c r="AZ171" t="s">
        <v>2854</v>
      </c>
      <c r="BA171" s="2" t="str">
        <f>HYPERLINK("http://exon.niaid.nih.gov/transcriptome/Anopheles_sialome/links/KOG/anofar_Sal_trypXII-KOG.txt","Trypsin")</f>
        <v>Trypsin</v>
      </c>
      <c r="BB171" t="str">
        <f>HYPERLINK("http://www.ncbi.nlm.nih.gov/Structure/cdd/cddsrv.cgi?uid=KOG3627","9E-032")</f>
        <v>9E-032</v>
      </c>
      <c r="BC171" t="s">
        <v>2287</v>
      </c>
      <c r="BD171" t="str">
        <f>HYPERLINK("http://exon.niaid.nih.gov/transcriptome/Anopheles_sialome/links/KOG/anofar_Sal_trypXII-KOG.txt","KOG3627")</f>
        <v>KOG3627</v>
      </c>
      <c r="BE171" t="str">
        <f>HYPERLINK("http://exon.niaid.nih.gov/transcriptome/Anopheles_sialome/links/PFAM/anofar_Sal_trypXII-PFAM.txt","Trypsin")</f>
        <v>Trypsin</v>
      </c>
      <c r="BF171" t="str">
        <f>HYPERLINK("http://pfam.sanger.ac.uk/family?acc=PF00089","1E-033")</f>
        <v>1E-033</v>
      </c>
      <c r="BG171" s="2" t="str">
        <f>HYPERLINK("http://exon.niaid.nih.gov/transcriptome/Anopheles_sialome/links/SMART/anofar_Sal_trypXII-SMART.txt","Tryp_SPc")</f>
        <v>Tryp_SPc</v>
      </c>
      <c r="BH171" t="str">
        <f>HYPERLINK("http://smart.embl-heidelberg.de/smart/do_annotation.pl?DOMAIN=Tryp_SPc&amp;BLAST=DUMMY","2E-041")</f>
        <v>2E-041</v>
      </c>
      <c r="BI171" t="str">
        <f>HYPERLINK("http://exon.niaid.nih.gov/transcriptome/Anopheles_sialome/links/TICK-BLOCKS/anofar_Sal_trypXII-TICK-BLOCKS.txt","RGD_cys_disintegrin |")</f>
        <v>RGD_cys_disintegrin |</v>
      </c>
      <c r="BJ171" s="2" t="s">
        <v>2495</v>
      </c>
      <c r="BK171" t="s">
        <v>1715</v>
      </c>
      <c r="BL171">
        <f>HYPERLINK("http://exon.niaid.nih.gov/transcriptome/Anopheles_sialome/links/cluster-b/anopheline-sialome-cds-pep-larger-orf25-50SimCLU5.txt", 5)</f>
        <v>5</v>
      </c>
      <c r="BM171">
        <f>HYPERLINK("http://exon.niaid.nih.gov/transcriptome/Anopheles_sialome/links/cluster-b/anopheline-sialome-cds-pep-larger-orf25-50SimCLTL5.txt", 56)</f>
        <v>56</v>
      </c>
      <c r="BN171">
        <f>HYPERLINK("http://exon.niaid.nih.gov/transcriptome/Anopheles_sialome/links/cluster-b/anopheline-sialome-cds-pep-larger-orf30-50SimCLU18.txt", 18)</f>
        <v>18</v>
      </c>
      <c r="BO171">
        <f>HYPERLINK("http://exon.niaid.nih.gov/transcriptome/Anopheles_sialome/links/cluster-b/anopheline-sialome-cds-pep-larger-orf30-50SimCLTL18.txt", 16)</f>
        <v>16</v>
      </c>
      <c r="BP171">
        <f>HYPERLINK("http://exon.niaid.nih.gov/transcriptome/Anopheles_sialome/links/cluster-b/anopheline-sialome-cds-pep-larger-orf35-50SimCLU20.txt", 20)</f>
        <v>20</v>
      </c>
      <c r="BQ171">
        <f>HYPERLINK("http://exon.niaid.nih.gov/transcriptome/Anopheles_sialome/links/cluster-b/anopheline-sialome-cds-pep-larger-orf35-50SimCLTL20.txt", 16)</f>
        <v>16</v>
      </c>
      <c r="BR171">
        <f>HYPERLINK("http://exon.niaid.nih.gov/transcriptome/Anopheles_sialome/links/cluster-b/anopheline-sialome-cds-pep-larger-orf40-50SimCLU26.txt", 26)</f>
        <v>26</v>
      </c>
      <c r="BS171">
        <f>HYPERLINK("http://exon.niaid.nih.gov/transcriptome/Anopheles_sialome/links/cluster-b/anopheline-sialome-cds-pep-larger-orf40-50SimCLTL26.txt", 16)</f>
        <v>16</v>
      </c>
      <c r="BT171">
        <f>HYPERLINK("http://exon.niaid.nih.gov/transcriptome/Anopheles_sialome/links/cluster-b/anopheline-sialome-cds-pep-larger-orf45-50SimCLU30.txt", 30)</f>
        <v>30</v>
      </c>
      <c r="BU171">
        <f>HYPERLINK("http://exon.niaid.nih.gov/transcriptome/Anopheles_sialome/links/cluster-b/anopheline-sialome-cds-pep-larger-orf45-50SimCLTL30.txt", 16)</f>
        <v>16</v>
      </c>
      <c r="BV171">
        <f>HYPERLINK("http://exon.niaid.nih.gov/transcriptome/Anopheles_sialome/links/cluster-b/anopheline-sialome-cds-pep-larger-orf50-50SimCLU31.txt", 31)</f>
        <v>31</v>
      </c>
      <c r="BW171">
        <f>HYPERLINK("http://exon.niaid.nih.gov/transcriptome/Anopheles_sialome/links/cluster-b/anopheline-sialome-cds-pep-larger-orf50-50SimCLTL31.txt", 16)</f>
        <v>16</v>
      </c>
      <c r="BX171">
        <f>HYPERLINK("http://exon.niaid.nih.gov/transcriptome/Anopheles_sialome/links/cluster-b/anopheline-sialome-cds-pep-larger-orf55-50SimCLU30.txt", 30)</f>
        <v>30</v>
      </c>
      <c r="BY171">
        <f>HYPERLINK("http://exon.niaid.nih.gov/transcriptome/Anopheles_sialome/links/cluster-b/anopheline-sialome-cds-pep-larger-orf55-50SimCLTL30.txt", 16)</f>
        <v>16</v>
      </c>
      <c r="BZ171">
        <f>HYPERLINK("http://exon.niaid.nih.gov/transcriptome/Anopheles_sialome/links/cluster-b/anopheline-sialome-cds-pep-larger-orf60-50SimCLU26.txt", 26)</f>
        <v>26</v>
      </c>
      <c r="CA171">
        <f>HYPERLINK("http://exon.niaid.nih.gov/transcriptome/Anopheles_sialome/links/cluster-b/anopheline-sialome-cds-pep-larger-orf60-50SimCLTL26.txt", 16)</f>
        <v>16</v>
      </c>
      <c r="CB171">
        <f>HYPERLINK("http://exon.niaid.nih.gov/transcriptome/Anopheles_sialome/links/cluster-b/anopheline-sialome-cds-pep-larger-orf65-50SimCLU24.txt", 24)</f>
        <v>24</v>
      </c>
      <c r="CC171">
        <f>HYPERLINK("http://exon.niaid.nih.gov/transcriptome/Anopheles_sialome/links/cluster-b/anopheline-sialome-cds-pep-larger-orf65-50SimCLTL24.txt", 16)</f>
        <v>16</v>
      </c>
      <c r="CD171">
        <f>HYPERLINK("http://exon.niaid.nih.gov/transcriptome/Anopheles_sialome/links/cluster-b/anopheline-sialome-cds-pep-larger-orf70-50SimCLU32.txt", 32)</f>
        <v>32</v>
      </c>
      <c r="CE171">
        <f>HYPERLINK("http://exon.niaid.nih.gov/transcriptome/Anopheles_sialome/links/cluster-b/anopheline-sialome-cds-pep-larger-orf70-50SimCLTL32.txt", 14)</f>
        <v>14</v>
      </c>
      <c r="CF171">
        <f>HYPERLINK("http://exon.niaid.nih.gov/transcriptome/Anopheles_sialome/links/cluster-b/anopheline-sialome-cds-pep-larger-orf75-50SimCLU23.txt", 23)</f>
        <v>23</v>
      </c>
      <c r="CG171">
        <f>HYPERLINK("http://exon.niaid.nih.gov/transcriptome/Anopheles_sialome/links/cluster-b/anopheline-sialome-cds-pep-larger-orf75-50SimCLTL23.txt", 14)</f>
        <v>14</v>
      </c>
      <c r="CH171">
        <f>HYPERLINK("http://exon.niaid.nih.gov/transcriptome/Anopheles_sialome/links/cluster-b/anopheline-sialome-cds-pep-larger-orf80-50SimCLU18.txt", 18)</f>
        <v>18</v>
      </c>
      <c r="CI171">
        <f>HYPERLINK("http://exon.niaid.nih.gov/transcriptome/Anopheles_sialome/links/cluster-b/anopheline-sialome-cds-pep-larger-orf80-50SimCLTL18.txt", 13)</f>
        <v>13</v>
      </c>
      <c r="CJ171">
        <f>HYPERLINK("http://exon.niaid.nih.gov/transcriptome/Anopheles_sialome/links/cluster-b/anopheline-sialome-cds-pep-larger-orf85-50SimCLU91.txt", 91)</f>
        <v>91</v>
      </c>
      <c r="CK171">
        <f>HYPERLINK("http://exon.niaid.nih.gov/transcriptome/Anopheles_sialome/links/cluster-b/anopheline-sialome-cds-pep-larger-orf85-50SimCLTL91.txt", 2)</f>
        <v>2</v>
      </c>
      <c r="CL171">
        <v>311</v>
      </c>
      <c r="CM171">
        <v>1</v>
      </c>
      <c r="CN171">
        <v>382</v>
      </c>
      <c r="CO171">
        <v>1</v>
      </c>
    </row>
    <row r="172" spans="1:93">
      <c r="A172" s="2" t="str">
        <f>HYPERLINK("http://exon.niaid.nih.gov/transcriptome/Anopheles_sialome/links/cds/anodir_Sal_trypXII-cds.txt","anodir_Sal_trypXII")</f>
        <v>anodir_Sal_trypXII</v>
      </c>
      <c r="B172">
        <v>804</v>
      </c>
      <c r="C172" t="s">
        <v>4</v>
      </c>
      <c r="D172" t="s">
        <v>3178</v>
      </c>
      <c r="E172" t="s">
        <v>5</v>
      </c>
      <c r="F172" t="s">
        <v>1</v>
      </c>
      <c r="G172" t="str">
        <f>HYPERLINK("http://exon.niaid.nih.gov/transcriptome/Anopheles_sialome/links/pep/anodir_Sal_trypXII-pep.txt","anodir_Sal_trypXII")</f>
        <v>anodir_Sal_trypXII</v>
      </c>
      <c r="H172">
        <v>267</v>
      </c>
      <c r="I172">
        <v>0</v>
      </c>
      <c r="J172" s="3" t="str">
        <f>HYPERLINK("http://exon.niaid.nih.gov/transcriptome/Anopheles_sialome/links/Sigp/anodir_Sal_trypXII-SigP.txt","SIG")</f>
        <v>SIG</v>
      </c>
      <c r="K172" t="s">
        <v>708</v>
      </c>
      <c r="L172">
        <v>28.85</v>
      </c>
      <c r="M172">
        <v>5.86</v>
      </c>
      <c r="N172">
        <v>26.402000000000001</v>
      </c>
      <c r="O172">
        <v>6.04</v>
      </c>
      <c r="P172" t="s">
        <v>1718</v>
      </c>
      <c r="Q172" s="3" t="str">
        <f>HYPERLINK("http://exon.niaid.nih.gov/transcriptome/Anopheles_sialome/links/tmhmm/anodir_Sal_trypXII-tmhmm.txt","1")</f>
        <v>1</v>
      </c>
      <c r="R172">
        <v>8.1999999999999993</v>
      </c>
      <c r="S172">
        <v>89.9</v>
      </c>
      <c r="T172">
        <v>1.9</v>
      </c>
      <c r="U172" t="s">
        <v>128</v>
      </c>
      <c r="V172">
        <v>240</v>
      </c>
      <c r="W172" s="3" t="str">
        <f>HYPERLINK("http://exon.niaid.nih.gov/transcriptome/Anopheles_sialome/links/netoglyc/anodir_Sal_trypXII-netoglyc.txt","0")</f>
        <v>0</v>
      </c>
      <c r="X172">
        <v>13.5</v>
      </c>
      <c r="Y172">
        <v>11.2</v>
      </c>
      <c r="Z172">
        <v>6.4</v>
      </c>
      <c r="AA172">
        <v>1.1000000000000001</v>
      </c>
      <c r="AB172" t="s">
        <v>128</v>
      </c>
      <c r="AC172" s="2" t="str">
        <f>HYPERLINK("http://exon.niaid.nih.gov/transcriptome/Anopheles_sialome/links/DIPTERA/anodir_Sal_trypXII-DIPTERA.txt","hypothetical protein ZHAS_00009760")</f>
        <v>hypothetical protein ZHAS_00009760</v>
      </c>
      <c r="AD172" t="str">
        <f>HYPERLINK("http://www.ncbi.nlm.nih.gov/sutils/blink.cgi?pid=668453385","2E-089")</f>
        <v>2E-089</v>
      </c>
      <c r="AE172" t="str">
        <f t="shared" si="114"/>
        <v>gi|668453385</v>
      </c>
      <c r="AF172">
        <v>64</v>
      </c>
      <c r="AG172">
        <v>74</v>
      </c>
      <c r="AH172">
        <v>93</v>
      </c>
      <c r="AI172" t="s">
        <v>2277</v>
      </c>
      <c r="AJ172" s="2" t="str">
        <f>HYPERLINK("http://exon.niaid.nih.gov/transcriptome/Anopheles_sialome/links/CULICOMORPHA/anodir_Sal_trypXII-CULICOMORPHA.txt","hypothetical protein ZHAS_00009760")</f>
        <v>hypothetical protein ZHAS_00009760</v>
      </c>
      <c r="AK172" t="str">
        <f>HYPERLINK("http://www.ncbi.nlm.nih.gov/sutils/blink.cgi?pid=668453385","4E-090")</f>
        <v>4E-090</v>
      </c>
      <c r="AL172" t="str">
        <f t="shared" si="115"/>
        <v>gi|668453385</v>
      </c>
      <c r="AM172">
        <v>64</v>
      </c>
      <c r="AN172">
        <v>74</v>
      </c>
      <c r="AO172">
        <v>93</v>
      </c>
      <c r="AP172" t="s">
        <v>2277</v>
      </c>
      <c r="AQ172" s="2" t="str">
        <f>HYPERLINK("http://exon.niaid.nih.gov/transcriptome/Anopheles_sialome/links/NR-LIGHT/anodir_Sal_trypXII-NR-LIGHT.txt","hypothetical protein ZHAS_00009760")</f>
        <v>hypothetical protein ZHAS_00009760</v>
      </c>
      <c r="AR172" t="str">
        <f>HYPERLINK("http://www.ncbi.nlm.nih.gov/sutils/blink.cgi?pid=668453385","5E-089")</f>
        <v>5E-089</v>
      </c>
      <c r="AS172" t="str">
        <f t="shared" si="116"/>
        <v>gi|668453385</v>
      </c>
      <c r="AT172">
        <v>64</v>
      </c>
      <c r="AU172">
        <v>74</v>
      </c>
      <c r="AV172">
        <v>93</v>
      </c>
      <c r="AW172" t="s">
        <v>2277</v>
      </c>
      <c r="AX172" s="2" t="str">
        <f>HYPERLINK("http://exon.niaid.nih.gov/transcriptome/Anopheles_sialome/links/CDD/anodir_Sal_trypXII-CDD.txt","Tryp_SPc")</f>
        <v>Tryp_SPc</v>
      </c>
      <c r="AY172" t="str">
        <f>HYPERLINK("http://www.ncbi.nlm.nih.gov/Structure/cdd/cddsrv.cgi?uid=cd00190&amp;version=v4.0","4E-042")</f>
        <v>4E-042</v>
      </c>
      <c r="AZ172" t="s">
        <v>2855</v>
      </c>
      <c r="BA172" s="2" t="str">
        <f>HYPERLINK("http://exon.niaid.nih.gov/transcriptome/Anopheles_sialome/links/KOG/anodir_Sal_trypXII-KOG.txt","Trypsin")</f>
        <v>Trypsin</v>
      </c>
      <c r="BB172" t="str">
        <f>HYPERLINK("http://www.ncbi.nlm.nih.gov/Structure/cdd/cddsrv.cgi?uid=KOG3627","1E-032")</f>
        <v>1E-032</v>
      </c>
      <c r="BC172" t="s">
        <v>2287</v>
      </c>
      <c r="BD172" t="str">
        <f>HYPERLINK("http://exon.niaid.nih.gov/transcriptome/Anopheles_sialome/links/KOG/anodir_Sal_trypXII-KOG.txt","KOG3627")</f>
        <v>KOG3627</v>
      </c>
      <c r="BE172" t="str">
        <f>HYPERLINK("http://exon.niaid.nih.gov/transcriptome/Anopheles_sialome/links/PFAM/anodir_Sal_trypXII-PFAM.txt","Trypsin")</f>
        <v>Trypsin</v>
      </c>
      <c r="BF172" t="str">
        <f>HYPERLINK("http://pfam.sanger.ac.uk/family?acc=PF00089","1E-032")</f>
        <v>1E-032</v>
      </c>
      <c r="BG172" s="2" t="str">
        <f>HYPERLINK("http://exon.niaid.nih.gov/transcriptome/Anopheles_sialome/links/SMART/anodir_Sal_trypXII-SMART.txt","Tryp_SPc")</f>
        <v>Tryp_SPc</v>
      </c>
      <c r="BH172" t="str">
        <f>HYPERLINK("http://smart.embl-heidelberg.de/smart/do_annotation.pl?DOMAIN=Tryp_SPc&amp;BLAST=DUMMY","1E-043")</f>
        <v>1E-043</v>
      </c>
      <c r="BI172" t="str">
        <f>HYPERLINK("http://exon.niaid.nih.gov/transcriptome/Anopheles_sialome/links/TICK-BLOCKS/anodir_Sal_trypXII-TICK-BLOCKS.txt","RGD_cys_disintegrin |")</f>
        <v>RGD_cys_disintegrin |</v>
      </c>
      <c r="BJ172" s="2" t="s">
        <v>2495</v>
      </c>
      <c r="BK172" t="s">
        <v>1717</v>
      </c>
      <c r="BL172">
        <f>HYPERLINK("http://exon.niaid.nih.gov/transcriptome/Anopheles_sialome/links/cluster-b/anopheline-sialome-cds-pep-larger-orf25-50SimCLU5.txt", 5)</f>
        <v>5</v>
      </c>
      <c r="BM172">
        <f>HYPERLINK("http://exon.niaid.nih.gov/transcriptome/Anopheles_sialome/links/cluster-b/anopheline-sialome-cds-pep-larger-orf25-50SimCLTL5.txt", 56)</f>
        <v>56</v>
      </c>
      <c r="BN172">
        <f>HYPERLINK("http://exon.niaid.nih.gov/transcriptome/Anopheles_sialome/links/cluster-b/anopheline-sialome-cds-pep-larger-orf30-50SimCLU18.txt", 18)</f>
        <v>18</v>
      </c>
      <c r="BO172">
        <f>HYPERLINK("http://exon.niaid.nih.gov/transcriptome/Anopheles_sialome/links/cluster-b/anopheline-sialome-cds-pep-larger-orf30-50SimCLTL18.txt", 16)</f>
        <v>16</v>
      </c>
      <c r="BP172">
        <f>HYPERLINK("http://exon.niaid.nih.gov/transcriptome/Anopheles_sialome/links/cluster-b/anopheline-sialome-cds-pep-larger-orf35-50SimCLU20.txt", 20)</f>
        <v>20</v>
      </c>
      <c r="BQ172">
        <f>HYPERLINK("http://exon.niaid.nih.gov/transcriptome/Anopheles_sialome/links/cluster-b/anopheline-sialome-cds-pep-larger-orf35-50SimCLTL20.txt", 16)</f>
        <v>16</v>
      </c>
      <c r="BR172">
        <f>HYPERLINK("http://exon.niaid.nih.gov/transcriptome/Anopheles_sialome/links/cluster-b/anopheline-sialome-cds-pep-larger-orf40-50SimCLU26.txt", 26)</f>
        <v>26</v>
      </c>
      <c r="BS172">
        <f>HYPERLINK("http://exon.niaid.nih.gov/transcriptome/Anopheles_sialome/links/cluster-b/anopheline-sialome-cds-pep-larger-orf40-50SimCLTL26.txt", 16)</f>
        <v>16</v>
      </c>
      <c r="BT172">
        <f>HYPERLINK("http://exon.niaid.nih.gov/transcriptome/Anopheles_sialome/links/cluster-b/anopheline-sialome-cds-pep-larger-orf45-50SimCLU30.txt", 30)</f>
        <v>30</v>
      </c>
      <c r="BU172">
        <f>HYPERLINK("http://exon.niaid.nih.gov/transcriptome/Anopheles_sialome/links/cluster-b/anopheline-sialome-cds-pep-larger-orf45-50SimCLTL30.txt", 16)</f>
        <v>16</v>
      </c>
      <c r="BV172">
        <f>HYPERLINK("http://exon.niaid.nih.gov/transcriptome/Anopheles_sialome/links/cluster-b/anopheline-sialome-cds-pep-larger-orf50-50SimCLU31.txt", 31)</f>
        <v>31</v>
      </c>
      <c r="BW172">
        <f>HYPERLINK("http://exon.niaid.nih.gov/transcriptome/Anopheles_sialome/links/cluster-b/anopheline-sialome-cds-pep-larger-orf50-50SimCLTL31.txt", 16)</f>
        <v>16</v>
      </c>
      <c r="BX172">
        <f>HYPERLINK("http://exon.niaid.nih.gov/transcriptome/Anopheles_sialome/links/cluster-b/anopheline-sialome-cds-pep-larger-orf55-50SimCLU30.txt", 30)</f>
        <v>30</v>
      </c>
      <c r="BY172">
        <f>HYPERLINK("http://exon.niaid.nih.gov/transcriptome/Anopheles_sialome/links/cluster-b/anopheline-sialome-cds-pep-larger-orf55-50SimCLTL30.txt", 16)</f>
        <v>16</v>
      </c>
      <c r="BZ172">
        <f>HYPERLINK("http://exon.niaid.nih.gov/transcriptome/Anopheles_sialome/links/cluster-b/anopheline-sialome-cds-pep-larger-orf60-50SimCLU26.txt", 26)</f>
        <v>26</v>
      </c>
      <c r="CA172">
        <f>HYPERLINK("http://exon.niaid.nih.gov/transcriptome/Anopheles_sialome/links/cluster-b/anopheline-sialome-cds-pep-larger-orf60-50SimCLTL26.txt", 16)</f>
        <v>16</v>
      </c>
      <c r="CB172">
        <f>HYPERLINK("http://exon.niaid.nih.gov/transcriptome/Anopheles_sialome/links/cluster-b/anopheline-sialome-cds-pep-larger-orf65-50SimCLU24.txt", 24)</f>
        <v>24</v>
      </c>
      <c r="CC172">
        <f>HYPERLINK("http://exon.niaid.nih.gov/transcriptome/Anopheles_sialome/links/cluster-b/anopheline-sialome-cds-pep-larger-orf65-50SimCLTL24.txt", 16)</f>
        <v>16</v>
      </c>
      <c r="CD172">
        <f>HYPERLINK("http://exon.niaid.nih.gov/transcriptome/Anopheles_sialome/links/cluster-b/anopheline-sialome-cds-pep-larger-orf70-50SimCLU32.txt", 32)</f>
        <v>32</v>
      </c>
      <c r="CE172">
        <f>HYPERLINK("http://exon.niaid.nih.gov/transcriptome/Anopheles_sialome/links/cluster-b/anopheline-sialome-cds-pep-larger-orf70-50SimCLTL32.txt", 14)</f>
        <v>14</v>
      </c>
      <c r="CF172">
        <f>HYPERLINK("http://exon.niaid.nih.gov/transcriptome/Anopheles_sialome/links/cluster-b/anopheline-sialome-cds-pep-larger-orf75-50SimCLU23.txt", 23)</f>
        <v>23</v>
      </c>
      <c r="CG172">
        <f>HYPERLINK("http://exon.niaid.nih.gov/transcriptome/Anopheles_sialome/links/cluster-b/anopheline-sialome-cds-pep-larger-orf75-50SimCLTL23.txt", 14)</f>
        <v>14</v>
      </c>
      <c r="CH172">
        <f>HYPERLINK("http://exon.niaid.nih.gov/transcriptome/Anopheles_sialome/links/cluster-b/anopheline-sialome-cds-pep-larger-orf80-50SimCLU18.txt", 18)</f>
        <v>18</v>
      </c>
      <c r="CI172">
        <f>HYPERLINK("http://exon.niaid.nih.gov/transcriptome/Anopheles_sialome/links/cluster-b/anopheline-sialome-cds-pep-larger-orf80-50SimCLTL18.txt", 13)</f>
        <v>13</v>
      </c>
      <c r="CJ172">
        <f>HYPERLINK("http://exon.niaid.nih.gov/transcriptome/Anopheles_sialome/links/cluster-b/anopheline-sialome-cds-pep-larger-orf85-50SimCLU91.txt", 91)</f>
        <v>91</v>
      </c>
      <c r="CK172">
        <f>HYPERLINK("http://exon.niaid.nih.gov/transcriptome/Anopheles_sialome/links/cluster-b/anopheline-sialome-cds-pep-larger-orf85-50SimCLTL91.txt", 2)</f>
        <v>2</v>
      </c>
      <c r="CL172">
        <v>312</v>
      </c>
      <c r="CM172">
        <v>1</v>
      </c>
      <c r="CN172">
        <v>383</v>
      </c>
      <c r="CO172">
        <v>1</v>
      </c>
    </row>
    <row r="173" spans="1:93">
      <c r="A173" s="2" t="str">
        <f>HYPERLINK("http://exon.niaid.nih.gov/transcriptome/Anopheles_sialome/links/cds/anoatro_Sal_trypXII-cds.txt","anoatro_Sal_trypXII")</f>
        <v>anoatro_Sal_trypXII</v>
      </c>
      <c r="B173">
        <v>831</v>
      </c>
      <c r="C173" t="s">
        <v>415</v>
      </c>
      <c r="D173" t="s">
        <v>7</v>
      </c>
      <c r="E173" t="s">
        <v>5</v>
      </c>
      <c r="F173" t="s">
        <v>1</v>
      </c>
      <c r="G173" t="str">
        <f>HYPERLINK("http://exon.niaid.nih.gov/transcriptome/Anopheles_sialome/links/pep/anoatro_Sal_trypXII-pep.txt","anoatro_Sal_trypXII")</f>
        <v>anoatro_Sal_trypXII</v>
      </c>
      <c r="H173">
        <v>276</v>
      </c>
      <c r="I173">
        <v>0</v>
      </c>
      <c r="J173" s="3" t="str">
        <f>HYPERLINK("http://exon.niaid.nih.gov/transcriptome/Anopheles_sialome/links/Sigp/anoatro_Sal_trypXII-SigP.txt","SIG")</f>
        <v>SIG</v>
      </c>
      <c r="K173" t="s">
        <v>1182</v>
      </c>
      <c r="L173">
        <v>29.579000000000001</v>
      </c>
      <c r="M173">
        <v>6.58</v>
      </c>
      <c r="N173">
        <v>26.789000000000001</v>
      </c>
      <c r="O173">
        <v>6.64</v>
      </c>
      <c r="P173" t="s">
        <v>1720</v>
      </c>
      <c r="Q173" s="3" t="str">
        <f>HYPERLINK("http://exon.niaid.nih.gov/transcriptome/Anopheles_sialome/links/tmhmm/anoatro_Sal_trypXII-tmhmm.txt","1")</f>
        <v>1</v>
      </c>
      <c r="R173">
        <v>8</v>
      </c>
      <c r="S173">
        <v>89.5</v>
      </c>
      <c r="T173">
        <v>2.5</v>
      </c>
      <c r="U173" t="s">
        <v>128</v>
      </c>
      <c r="V173">
        <v>247</v>
      </c>
      <c r="W173" s="3" t="str">
        <f>HYPERLINK("http://exon.niaid.nih.gov/transcriptome/Anopheles_sialome/links/netoglyc/anoatro_Sal_trypXII-netoglyc.txt","0")</f>
        <v>0</v>
      </c>
      <c r="X173">
        <v>11.2</v>
      </c>
      <c r="Y173">
        <v>11.2</v>
      </c>
      <c r="Z173">
        <v>6.2</v>
      </c>
      <c r="AA173">
        <v>1.1000000000000001</v>
      </c>
      <c r="AB173" t="s">
        <v>128</v>
      </c>
      <c r="AC173" s="2" t="str">
        <f>HYPERLINK("http://exon.niaid.nih.gov/transcriptome/Anopheles_sialome/links/DIPTERA/anoatro_Sal_trypXII-DIPTERA.txt","hypothetical protein ZHAS_00009760")</f>
        <v>hypothetical protein ZHAS_00009760</v>
      </c>
      <c r="AD173" t="str">
        <f>HYPERLINK("http://www.ncbi.nlm.nih.gov/sutils/blink.cgi?pid=668453385","1E-116")</f>
        <v>1E-116</v>
      </c>
      <c r="AE173" t="str">
        <f>HYPERLINK("http://www.ncbi.nlm.nih.gov/protein/668453385","gi|668453385")</f>
        <v>gi|668453385</v>
      </c>
      <c r="AF173">
        <v>78</v>
      </c>
      <c r="AG173">
        <v>84</v>
      </c>
      <c r="AH173">
        <v>93</v>
      </c>
      <c r="AI173" t="s">
        <v>2277</v>
      </c>
      <c r="AJ173" s="2" t="str">
        <f>HYPERLINK("http://exon.niaid.nih.gov/transcriptome/Anopheles_sialome/links/CULICOMORPHA/anoatro_Sal_trypXII-CULICOMORPHA.txt","hypothetical protein ZHAS_00009760")</f>
        <v>hypothetical protein ZHAS_00009760</v>
      </c>
      <c r="AK173" t="str">
        <f>HYPERLINK("http://www.ncbi.nlm.nih.gov/sutils/blink.cgi?pid=668453385","1E-117")</f>
        <v>1E-117</v>
      </c>
      <c r="AL173" t="str">
        <f>HYPERLINK("http://www.ncbi.nlm.nih.gov/protein/668453385","gi|668453385")</f>
        <v>gi|668453385</v>
      </c>
      <c r="AM173">
        <v>78</v>
      </c>
      <c r="AN173">
        <v>84</v>
      </c>
      <c r="AO173">
        <v>93</v>
      </c>
      <c r="AP173" t="s">
        <v>2277</v>
      </c>
      <c r="AQ173" s="2" t="str">
        <f>HYPERLINK("http://exon.niaid.nih.gov/transcriptome/Anopheles_sialome/links/NR-LIGHT/anoatro_Sal_trypXII-NR-LIGHT.txt","hypothetical protein ZHAS_00009760")</f>
        <v>hypothetical protein ZHAS_00009760</v>
      </c>
      <c r="AR173" t="str">
        <f>HYPERLINK("http://www.ncbi.nlm.nih.gov/sutils/blink.cgi?pid=668453385","1E-116")</f>
        <v>1E-116</v>
      </c>
      <c r="AS173" t="str">
        <f>HYPERLINK("http://www.ncbi.nlm.nih.gov/protein/668453385","gi|668453385")</f>
        <v>gi|668453385</v>
      </c>
      <c r="AT173">
        <v>78</v>
      </c>
      <c r="AU173">
        <v>84</v>
      </c>
      <c r="AV173">
        <v>93</v>
      </c>
      <c r="AW173" t="s">
        <v>2277</v>
      </c>
      <c r="AX173" s="2" t="str">
        <f>HYPERLINK("http://exon.niaid.nih.gov/transcriptome/Anopheles_sialome/links/CDD/anoatro_Sal_trypXII-CDD.txt","Tryp_SPc")</f>
        <v>Tryp_SPc</v>
      </c>
      <c r="AY173" t="str">
        <f>HYPERLINK("http://www.ncbi.nlm.nih.gov/Structure/cdd/cddsrv.cgi?uid=smart00020&amp;version=v4.0","8E-040")</f>
        <v>8E-040</v>
      </c>
      <c r="AZ173" t="s">
        <v>2856</v>
      </c>
      <c r="BA173" s="2" t="str">
        <f>HYPERLINK("http://exon.niaid.nih.gov/transcriptome/Anopheles_sialome/links/KOG/anoatro_Sal_trypXII-KOG.txt","Trypsin")</f>
        <v>Trypsin</v>
      </c>
      <c r="BB173" t="str">
        <f>HYPERLINK("http://www.ncbi.nlm.nih.gov/Structure/cdd/cddsrv.cgi?uid=KOG3627","1E-030")</f>
        <v>1E-030</v>
      </c>
      <c r="BC173" t="s">
        <v>2287</v>
      </c>
      <c r="BD173" t="str">
        <f>HYPERLINK("http://exon.niaid.nih.gov/transcriptome/Anopheles_sialome/links/KOG/anoatro_Sal_trypXII-KOG.txt","KOG3627")</f>
        <v>KOG3627</v>
      </c>
      <c r="BE173" t="str">
        <f>HYPERLINK("http://exon.niaid.nih.gov/transcriptome/Anopheles_sialome/links/PFAM/anoatro_Sal_trypXII-PFAM.txt","Trypsin")</f>
        <v>Trypsin</v>
      </c>
      <c r="BF173" t="str">
        <f>HYPERLINK("http://pfam.sanger.ac.uk/family?acc=PF00089","2E-032")</f>
        <v>2E-032</v>
      </c>
      <c r="BG173" s="2" t="str">
        <f>HYPERLINK("http://exon.niaid.nih.gov/transcriptome/Anopheles_sialome/links/SMART/anoatro_Sal_trypXII-SMART.txt","Tryp_SPc")</f>
        <v>Tryp_SPc</v>
      </c>
      <c r="BH173" t="str">
        <f>HYPERLINK("http://smart.embl-heidelberg.de/smart/do_annotation.pl?DOMAIN=Tryp_SPc&amp;BLAST=DUMMY","8E-042")</f>
        <v>8E-042</v>
      </c>
      <c r="BI173" t="str">
        <f>HYPERLINK("http://exon.niaid.nih.gov/transcriptome/Anopheles_sialome/links/TICK-BLOCKS/anoatro_Sal_trypXII-TICK-BLOCKS.txt","RGD_cys_disintegrin |")</f>
        <v>RGD_cys_disintegrin |</v>
      </c>
      <c r="BJ173" s="2" t="s">
        <v>2495</v>
      </c>
      <c r="BK173" t="s">
        <v>1719</v>
      </c>
      <c r="BL173">
        <f>HYPERLINK("http://exon.niaid.nih.gov/transcriptome/Anopheles_sialome/links/cluster-b/anopheline-sialome-cds-pep-larger-orf25-50SimCLU5.txt", 5)</f>
        <v>5</v>
      </c>
      <c r="BM173">
        <f>HYPERLINK("http://exon.niaid.nih.gov/transcriptome/Anopheles_sialome/links/cluster-b/anopheline-sialome-cds-pep-larger-orf25-50SimCLTL5.txt", 56)</f>
        <v>56</v>
      </c>
      <c r="BN173">
        <f>HYPERLINK("http://exon.niaid.nih.gov/transcriptome/Anopheles_sialome/links/cluster-b/anopheline-sialome-cds-pep-larger-orf30-50SimCLU18.txt", 18)</f>
        <v>18</v>
      </c>
      <c r="BO173">
        <f>HYPERLINK("http://exon.niaid.nih.gov/transcriptome/Anopheles_sialome/links/cluster-b/anopheline-sialome-cds-pep-larger-orf30-50SimCLTL18.txt", 16)</f>
        <v>16</v>
      </c>
      <c r="BP173">
        <f>HYPERLINK("http://exon.niaid.nih.gov/transcriptome/Anopheles_sialome/links/cluster-b/anopheline-sialome-cds-pep-larger-orf35-50SimCLU20.txt", 20)</f>
        <v>20</v>
      </c>
      <c r="BQ173">
        <f>HYPERLINK("http://exon.niaid.nih.gov/transcriptome/Anopheles_sialome/links/cluster-b/anopheline-sialome-cds-pep-larger-orf35-50SimCLTL20.txt", 16)</f>
        <v>16</v>
      </c>
      <c r="BR173">
        <f>HYPERLINK("http://exon.niaid.nih.gov/transcriptome/Anopheles_sialome/links/cluster-b/anopheline-sialome-cds-pep-larger-orf40-50SimCLU26.txt", 26)</f>
        <v>26</v>
      </c>
      <c r="BS173">
        <f>HYPERLINK("http://exon.niaid.nih.gov/transcriptome/Anopheles_sialome/links/cluster-b/anopheline-sialome-cds-pep-larger-orf40-50SimCLTL26.txt", 16)</f>
        <v>16</v>
      </c>
      <c r="BT173">
        <f>HYPERLINK("http://exon.niaid.nih.gov/transcriptome/Anopheles_sialome/links/cluster-b/anopheline-sialome-cds-pep-larger-orf45-50SimCLU30.txt", 30)</f>
        <v>30</v>
      </c>
      <c r="BU173">
        <f>HYPERLINK("http://exon.niaid.nih.gov/transcriptome/Anopheles_sialome/links/cluster-b/anopheline-sialome-cds-pep-larger-orf45-50SimCLTL30.txt", 16)</f>
        <v>16</v>
      </c>
      <c r="BV173">
        <f>HYPERLINK("http://exon.niaid.nih.gov/transcriptome/Anopheles_sialome/links/cluster-b/anopheline-sialome-cds-pep-larger-orf50-50SimCLU31.txt", 31)</f>
        <v>31</v>
      </c>
      <c r="BW173">
        <f>HYPERLINK("http://exon.niaid.nih.gov/transcriptome/Anopheles_sialome/links/cluster-b/anopheline-sialome-cds-pep-larger-orf50-50SimCLTL31.txt", 16)</f>
        <v>16</v>
      </c>
      <c r="BX173">
        <f>HYPERLINK("http://exon.niaid.nih.gov/transcriptome/Anopheles_sialome/links/cluster-b/anopheline-sialome-cds-pep-larger-orf55-50SimCLU30.txt", 30)</f>
        <v>30</v>
      </c>
      <c r="BY173">
        <f>HYPERLINK("http://exon.niaid.nih.gov/transcriptome/Anopheles_sialome/links/cluster-b/anopheline-sialome-cds-pep-larger-orf55-50SimCLTL30.txt", 16)</f>
        <v>16</v>
      </c>
      <c r="BZ173">
        <f>HYPERLINK("http://exon.niaid.nih.gov/transcriptome/Anopheles_sialome/links/cluster-b/anopheline-sialome-cds-pep-larger-orf60-50SimCLU26.txt", 26)</f>
        <v>26</v>
      </c>
      <c r="CA173">
        <f>HYPERLINK("http://exon.niaid.nih.gov/transcriptome/Anopheles_sialome/links/cluster-b/anopheline-sialome-cds-pep-larger-orf60-50SimCLTL26.txt", 16)</f>
        <v>16</v>
      </c>
      <c r="CB173">
        <f>HYPERLINK("http://exon.niaid.nih.gov/transcriptome/Anopheles_sialome/links/cluster-b/anopheline-sialome-cds-pep-larger-orf65-50SimCLU24.txt", 24)</f>
        <v>24</v>
      </c>
      <c r="CC173">
        <f>HYPERLINK("http://exon.niaid.nih.gov/transcriptome/Anopheles_sialome/links/cluster-b/anopheline-sialome-cds-pep-larger-orf65-50SimCLTL24.txt", 16)</f>
        <v>16</v>
      </c>
      <c r="CD173">
        <f>HYPERLINK("http://exon.niaid.nih.gov/transcriptome/Anopheles_sialome/links/cluster-b/anopheline-sialome-cds-pep-larger-orf70-50SimCLU32.txt", 32)</f>
        <v>32</v>
      </c>
      <c r="CE173">
        <f>HYPERLINK("http://exon.niaid.nih.gov/transcriptome/Anopheles_sialome/links/cluster-b/anopheline-sialome-cds-pep-larger-orf70-50SimCLTL32.txt", 14)</f>
        <v>14</v>
      </c>
      <c r="CF173">
        <f>HYPERLINK("http://exon.niaid.nih.gov/transcriptome/Anopheles_sialome/links/cluster-b/anopheline-sialome-cds-pep-larger-orf75-50SimCLU23.txt", 23)</f>
        <v>23</v>
      </c>
      <c r="CG173">
        <f>HYPERLINK("http://exon.niaid.nih.gov/transcriptome/Anopheles_sialome/links/cluster-b/anopheline-sialome-cds-pep-larger-orf75-50SimCLTL23.txt", 14)</f>
        <v>14</v>
      </c>
      <c r="CH173">
        <v>191</v>
      </c>
      <c r="CI173">
        <v>1</v>
      </c>
      <c r="CJ173">
        <v>250</v>
      </c>
      <c r="CK173">
        <v>1</v>
      </c>
      <c r="CL173">
        <v>313</v>
      </c>
      <c r="CM173">
        <v>1</v>
      </c>
      <c r="CN173">
        <v>384</v>
      </c>
      <c r="CO173">
        <v>1</v>
      </c>
    </row>
    <row r="174" spans="1:93">
      <c r="A174" s="2" t="str">
        <f>HYPERLINK("http://exon.niaid.nih.gov/transcriptome/Anopheles_sialome/links/cds/anoalb_Sal_trypXII-cds.txt","anoalb_Sal_trypXII")</f>
        <v>anoalb_Sal_trypXII</v>
      </c>
      <c r="B174">
        <v>900</v>
      </c>
      <c r="C174" t="s">
        <v>416</v>
      </c>
      <c r="D174" t="s">
        <v>4</v>
      </c>
      <c r="E174" t="s">
        <v>5</v>
      </c>
      <c r="F174" t="s">
        <v>1</v>
      </c>
      <c r="G174" t="str">
        <f>HYPERLINK("http://exon.niaid.nih.gov/transcriptome/Anopheles_sialome/links/pep/anoalb_Sal_trypXII-pep.txt","anoalb_Sal_trypXII")</f>
        <v>anoalb_Sal_trypXII</v>
      </c>
      <c r="H174">
        <v>299</v>
      </c>
      <c r="I174">
        <v>0</v>
      </c>
      <c r="J174" s="3" t="str">
        <f>HYPERLINK("http://exon.niaid.nih.gov/transcriptome/Anopheles_sialome/links/Sigp/anoalb_Sal_trypXII-SigP.txt","SIG")</f>
        <v>SIG</v>
      </c>
      <c r="K174" t="s">
        <v>1182</v>
      </c>
      <c r="L174">
        <v>32.110999999999997</v>
      </c>
      <c r="M174">
        <v>6.75</v>
      </c>
      <c r="N174">
        <v>29.244</v>
      </c>
      <c r="O174">
        <v>7.17</v>
      </c>
      <c r="P174" t="s">
        <v>1722</v>
      </c>
      <c r="Q174" s="3">
        <v>0</v>
      </c>
      <c r="R174" t="s">
        <v>128</v>
      </c>
      <c r="S174" t="s">
        <v>128</v>
      </c>
      <c r="T174" t="s">
        <v>128</v>
      </c>
      <c r="U174" t="s">
        <v>128</v>
      </c>
      <c r="V174" t="s">
        <v>128</v>
      </c>
      <c r="W174" s="3" t="str">
        <f>HYPERLINK("http://exon.niaid.nih.gov/transcriptome/Anopheles_sialome/links/netoglyc/anoalb_Sal_trypXII-netoglyc.txt","0")</f>
        <v>0</v>
      </c>
      <c r="X174">
        <v>9.4</v>
      </c>
      <c r="Y174">
        <v>11.7</v>
      </c>
      <c r="Z174">
        <v>7</v>
      </c>
      <c r="AA174">
        <v>1</v>
      </c>
      <c r="AB174" t="s">
        <v>128</v>
      </c>
      <c r="AC174" s="2" t="str">
        <f>HYPERLINK("http://exon.niaid.nih.gov/transcriptome/Anopheles_sialome/links/DIPTERA/anoalb_Sal_trypXII-DIPTERA.txt","hypothetical protein AND_004451")</f>
        <v>hypothetical protein AND_004451</v>
      </c>
      <c r="AD174" t="str">
        <f>HYPERLINK("http://www.ncbi.nlm.nih.gov/sutils/blink.cgi?pid=568254937","1E-132")</f>
        <v>1E-132</v>
      </c>
      <c r="AE174" t="str">
        <f>HYPERLINK("http://www.ncbi.nlm.nih.gov/protein/568254937","gi|568254937")</f>
        <v>gi|568254937</v>
      </c>
      <c r="AF174">
        <v>80</v>
      </c>
      <c r="AG174">
        <v>85</v>
      </c>
      <c r="AH174">
        <v>101</v>
      </c>
      <c r="AI174" t="s">
        <v>2283</v>
      </c>
      <c r="AJ174" s="2" t="str">
        <f>HYPERLINK("http://exon.niaid.nih.gov/transcriptome/Anopheles_sialome/links/CULICOMORPHA/anoalb_Sal_trypXII-CULICOMORPHA.txt","hypothetical protein AND_004451")</f>
        <v>hypothetical protein AND_004451</v>
      </c>
      <c r="AK174" t="str">
        <f>HYPERLINK("http://www.ncbi.nlm.nih.gov/sutils/blink.cgi?pid=568254937","1E-133")</f>
        <v>1E-133</v>
      </c>
      <c r="AL174" t="str">
        <f>HYPERLINK("http://www.ncbi.nlm.nih.gov/protein/568254937","gi|568254937")</f>
        <v>gi|568254937</v>
      </c>
      <c r="AM174">
        <v>80</v>
      </c>
      <c r="AN174">
        <v>85</v>
      </c>
      <c r="AO174">
        <v>101</v>
      </c>
      <c r="AP174" t="s">
        <v>2283</v>
      </c>
      <c r="AQ174" s="2" t="str">
        <f>HYPERLINK("http://exon.niaid.nih.gov/transcriptome/Anopheles_sialome/links/NR-LIGHT/anoalb_Sal_trypXII-NR-LIGHT.txt","hypothetical protein AND_004451")</f>
        <v>hypothetical protein AND_004451</v>
      </c>
      <c r="AR174" t="str">
        <f>HYPERLINK("http://www.ncbi.nlm.nih.gov/sutils/blink.cgi?pid=568254937","1E-132")</f>
        <v>1E-132</v>
      </c>
      <c r="AS174" t="str">
        <f>HYPERLINK("http://www.ncbi.nlm.nih.gov/protein/568254937","gi|568254937")</f>
        <v>gi|568254937</v>
      </c>
      <c r="AT174">
        <v>80</v>
      </c>
      <c r="AU174">
        <v>85</v>
      </c>
      <c r="AV174">
        <v>101</v>
      </c>
      <c r="AW174" t="s">
        <v>2283</v>
      </c>
      <c r="AX174" s="2" t="str">
        <f>HYPERLINK("http://exon.niaid.nih.gov/transcriptome/Anopheles_sialome/links/CDD/anoalb_Sal_trypXII-CDD.txt","Tryp_SPc")</f>
        <v>Tryp_SPc</v>
      </c>
      <c r="AY174" t="str">
        <f>HYPERLINK("http://www.ncbi.nlm.nih.gov/Structure/cdd/cddsrv.cgi?uid=cd00190&amp;version=v4.0","5E-044")</f>
        <v>5E-044</v>
      </c>
      <c r="AZ174" t="s">
        <v>2857</v>
      </c>
      <c r="BA174" s="2" t="str">
        <f>HYPERLINK("http://exon.niaid.nih.gov/transcriptome/Anopheles_sialome/links/KOG/anoalb_Sal_trypXII-KOG.txt","Trypsin")</f>
        <v>Trypsin</v>
      </c>
      <c r="BB174" t="str">
        <f>HYPERLINK("http://www.ncbi.nlm.nih.gov/Structure/cdd/cddsrv.cgi?uid=KOG3627","2E-034")</f>
        <v>2E-034</v>
      </c>
      <c r="BC174" t="s">
        <v>2287</v>
      </c>
      <c r="BD174" t="str">
        <f>HYPERLINK("http://exon.niaid.nih.gov/transcriptome/Anopheles_sialome/links/KOG/anoalb_Sal_trypXII-KOG.txt","KOG3627")</f>
        <v>KOG3627</v>
      </c>
      <c r="BE174" t="str">
        <f>HYPERLINK("http://exon.niaid.nih.gov/transcriptome/Anopheles_sialome/links/PFAM/anoalb_Sal_trypXII-PFAM.txt","Trypsin")</f>
        <v>Trypsin</v>
      </c>
      <c r="BF174" t="str">
        <f>HYPERLINK("http://pfam.sanger.ac.uk/family?acc=PF00089","4E-036")</f>
        <v>4E-036</v>
      </c>
      <c r="BG174" s="2" t="str">
        <f>HYPERLINK("http://exon.niaid.nih.gov/transcriptome/Anopheles_sialome/links/SMART/anoalb_Sal_trypXII-SMART.txt","Tryp_SPc")</f>
        <v>Tryp_SPc</v>
      </c>
      <c r="BH174" t="str">
        <f>HYPERLINK("http://smart.embl-heidelberg.de/smart/do_annotation.pl?DOMAIN=Tryp_SPc&amp;BLAST=DUMMY","2E-044")</f>
        <v>2E-044</v>
      </c>
      <c r="BI174" t="str">
        <f>HYPERLINK("http://exon.niaid.nih.gov/transcriptome/Anopheles_sialome/links/TICK-BLOCKS/anoalb_Sal_trypXII-TICK-BLOCKS.txt","RGD_cys_disintegrin |")</f>
        <v>RGD_cys_disintegrin |</v>
      </c>
      <c r="BJ174" s="2" t="s">
        <v>2495</v>
      </c>
      <c r="BK174" t="s">
        <v>1721</v>
      </c>
      <c r="BL174">
        <f>HYPERLINK("http://exon.niaid.nih.gov/transcriptome/Anopheles_sialome/links/cluster-b/anopheline-sialome-cds-pep-larger-orf25-50SimCLU5.txt", 5)</f>
        <v>5</v>
      </c>
      <c r="BM174">
        <f>HYPERLINK("http://exon.niaid.nih.gov/transcriptome/Anopheles_sialome/links/cluster-b/anopheline-sialome-cds-pep-larger-orf25-50SimCLTL5.txt", 56)</f>
        <v>56</v>
      </c>
      <c r="BN174">
        <f>HYPERLINK("http://exon.niaid.nih.gov/transcriptome/Anopheles_sialome/links/cluster-b/anopheline-sialome-cds-pep-larger-orf30-50SimCLU18.txt", 18)</f>
        <v>18</v>
      </c>
      <c r="BO174">
        <f>HYPERLINK("http://exon.niaid.nih.gov/transcriptome/Anopheles_sialome/links/cluster-b/anopheline-sialome-cds-pep-larger-orf30-50SimCLTL18.txt", 16)</f>
        <v>16</v>
      </c>
      <c r="BP174">
        <f>HYPERLINK("http://exon.niaid.nih.gov/transcriptome/Anopheles_sialome/links/cluster-b/anopheline-sialome-cds-pep-larger-orf35-50SimCLU20.txt", 20)</f>
        <v>20</v>
      </c>
      <c r="BQ174">
        <f>HYPERLINK("http://exon.niaid.nih.gov/transcriptome/Anopheles_sialome/links/cluster-b/anopheline-sialome-cds-pep-larger-orf35-50SimCLTL20.txt", 16)</f>
        <v>16</v>
      </c>
      <c r="BR174">
        <f>HYPERLINK("http://exon.niaid.nih.gov/transcriptome/Anopheles_sialome/links/cluster-b/anopheline-sialome-cds-pep-larger-orf40-50SimCLU26.txt", 26)</f>
        <v>26</v>
      </c>
      <c r="BS174">
        <f>HYPERLINK("http://exon.niaid.nih.gov/transcriptome/Anopheles_sialome/links/cluster-b/anopheline-sialome-cds-pep-larger-orf40-50SimCLTL26.txt", 16)</f>
        <v>16</v>
      </c>
      <c r="BT174">
        <f>HYPERLINK("http://exon.niaid.nih.gov/transcriptome/Anopheles_sialome/links/cluster-b/anopheline-sialome-cds-pep-larger-orf45-50SimCLU30.txt", 30)</f>
        <v>30</v>
      </c>
      <c r="BU174">
        <f>HYPERLINK("http://exon.niaid.nih.gov/transcriptome/Anopheles_sialome/links/cluster-b/anopheline-sialome-cds-pep-larger-orf45-50SimCLTL30.txt", 16)</f>
        <v>16</v>
      </c>
      <c r="BV174">
        <f>HYPERLINK("http://exon.niaid.nih.gov/transcriptome/Anopheles_sialome/links/cluster-b/anopheline-sialome-cds-pep-larger-orf50-50SimCLU31.txt", 31)</f>
        <v>31</v>
      </c>
      <c r="BW174">
        <f>HYPERLINK("http://exon.niaid.nih.gov/transcriptome/Anopheles_sialome/links/cluster-b/anopheline-sialome-cds-pep-larger-orf50-50SimCLTL31.txt", 16)</f>
        <v>16</v>
      </c>
      <c r="BX174">
        <f>HYPERLINK("http://exon.niaid.nih.gov/transcriptome/Anopheles_sialome/links/cluster-b/anopheline-sialome-cds-pep-larger-orf55-50SimCLU30.txt", 30)</f>
        <v>30</v>
      </c>
      <c r="BY174">
        <f>HYPERLINK("http://exon.niaid.nih.gov/transcriptome/Anopheles_sialome/links/cluster-b/anopheline-sialome-cds-pep-larger-orf55-50SimCLTL30.txt", 16)</f>
        <v>16</v>
      </c>
      <c r="BZ174">
        <f>HYPERLINK("http://exon.niaid.nih.gov/transcriptome/Anopheles_sialome/links/cluster-b/anopheline-sialome-cds-pep-larger-orf60-50SimCLU26.txt", 26)</f>
        <v>26</v>
      </c>
      <c r="CA174">
        <f>HYPERLINK("http://exon.niaid.nih.gov/transcriptome/Anopheles_sialome/links/cluster-b/anopheline-sialome-cds-pep-larger-orf60-50SimCLTL26.txt", 16)</f>
        <v>16</v>
      </c>
      <c r="CB174">
        <f>HYPERLINK("http://exon.niaid.nih.gov/transcriptome/Anopheles_sialome/links/cluster-b/anopheline-sialome-cds-pep-larger-orf65-50SimCLU24.txt", 24)</f>
        <v>24</v>
      </c>
      <c r="CC174">
        <f>HYPERLINK("http://exon.niaid.nih.gov/transcriptome/Anopheles_sialome/links/cluster-b/anopheline-sialome-cds-pep-larger-orf65-50SimCLTL24.txt", 16)</f>
        <v>16</v>
      </c>
      <c r="CD174">
        <f>HYPERLINK("http://exon.niaid.nih.gov/transcriptome/Anopheles_sialome/links/cluster-b/anopheline-sialome-cds-pep-larger-orf70-50SimCLU60.txt", 60)</f>
        <v>60</v>
      </c>
      <c r="CE174">
        <f>HYPERLINK("http://exon.niaid.nih.gov/transcriptome/Anopheles_sialome/links/cluster-b/anopheline-sialome-cds-pep-larger-orf70-50SimCLTL60.txt", 2)</f>
        <v>2</v>
      </c>
      <c r="CF174">
        <f>HYPERLINK("http://exon.niaid.nih.gov/transcriptome/Anopheles_sialome/links/cluster-b/anopheline-sialome-cds-pep-larger-orf75-50SimCLU78.txt", 78)</f>
        <v>78</v>
      </c>
      <c r="CG174">
        <f>HYPERLINK("http://exon.niaid.nih.gov/transcriptome/Anopheles_sialome/links/cluster-b/anopheline-sialome-cds-pep-larger-orf75-50SimCLTL78.txt", 2)</f>
        <v>2</v>
      </c>
      <c r="CH174">
        <f>HYPERLINK("http://exon.niaid.nih.gov/transcriptome/Anopheles_sialome/links/cluster-b/anopheline-sialome-cds-pep-larger-orf80-50SimCLU90.txt", 90)</f>
        <v>90</v>
      </c>
      <c r="CI174">
        <f>HYPERLINK("http://exon.niaid.nih.gov/transcriptome/Anopheles_sialome/links/cluster-b/anopheline-sialome-cds-pep-larger-orf80-50SimCLTL90.txt", 2)</f>
        <v>2</v>
      </c>
      <c r="CJ174">
        <f>HYPERLINK("http://exon.niaid.nih.gov/transcriptome/Anopheles_sialome/links/cluster-b/anopheline-sialome-cds-pep-larger-orf85-50SimCLU92.txt", 92)</f>
        <v>92</v>
      </c>
      <c r="CK174">
        <f>HYPERLINK("http://exon.niaid.nih.gov/transcriptome/Anopheles_sialome/links/cluster-b/anopheline-sialome-cds-pep-larger-orf85-50SimCLTL92.txt", 2)</f>
        <v>2</v>
      </c>
      <c r="CL174">
        <v>314</v>
      </c>
      <c r="CM174">
        <v>1</v>
      </c>
      <c r="CN174">
        <v>385</v>
      </c>
      <c r="CO174">
        <v>1</v>
      </c>
    </row>
    <row r="175" spans="1:93">
      <c r="A175" s="2" t="str">
        <f>HYPERLINK("http://exon.niaid.nih.gov/transcriptome/Anopheles_sialome/links/cds/anodar_Sal_trypXII-cds.txt","anodar_Sal_trypXII")</f>
        <v>anodar_Sal_trypXII</v>
      </c>
      <c r="B175">
        <v>915</v>
      </c>
      <c r="C175" t="s">
        <v>417</v>
      </c>
      <c r="D175" t="s">
        <v>4</v>
      </c>
      <c r="E175" t="s">
        <v>5</v>
      </c>
      <c r="F175" t="s">
        <v>1</v>
      </c>
      <c r="G175" t="str">
        <f>HYPERLINK("http://exon.niaid.nih.gov/transcriptome/Anopheles_sialome/links/pep/anodar_Sal_trypXII-pep.txt","anodar_Sal_trypXII")</f>
        <v>anodar_Sal_trypXII</v>
      </c>
      <c r="H175">
        <v>304</v>
      </c>
      <c r="I175">
        <v>0</v>
      </c>
      <c r="J175" s="3" t="str">
        <f>HYPERLINK("http://exon.niaid.nih.gov/transcriptome/Anopheles_sialome/links/Sigp/anodar_Sal_trypXII-SigP.txt","SIG")</f>
        <v>SIG</v>
      </c>
      <c r="K175" t="s">
        <v>787</v>
      </c>
      <c r="L175">
        <v>32.808999999999997</v>
      </c>
      <c r="M175">
        <v>6.65</v>
      </c>
      <c r="N175">
        <v>30.013000000000002</v>
      </c>
      <c r="O175">
        <v>6.33</v>
      </c>
      <c r="P175" t="s">
        <v>1724</v>
      </c>
      <c r="Q175" s="3">
        <v>0</v>
      </c>
      <c r="R175" t="s">
        <v>128</v>
      </c>
      <c r="S175" t="s">
        <v>128</v>
      </c>
      <c r="T175" t="s">
        <v>128</v>
      </c>
      <c r="U175" t="s">
        <v>128</v>
      </c>
      <c r="V175" t="s">
        <v>128</v>
      </c>
      <c r="W175" s="3" t="str">
        <f>HYPERLINK("http://exon.niaid.nih.gov/transcriptome/Anopheles_sialome/links/netoglyc/anodar_Sal_trypXII-netoglyc.txt","0")</f>
        <v>0</v>
      </c>
      <c r="X175">
        <v>9.5</v>
      </c>
      <c r="Y175">
        <v>12.2</v>
      </c>
      <c r="Z175">
        <v>6.9</v>
      </c>
      <c r="AA175">
        <v>1</v>
      </c>
      <c r="AB175" t="s">
        <v>1725</v>
      </c>
      <c r="AC175" s="2" t="str">
        <f>HYPERLINK("http://exon.niaid.nih.gov/transcriptome/Anopheles_sialome/links/DIPTERA/anodar_Sal_trypXII-DIPTERA.txt","hypothetical protein AND_004451")</f>
        <v>hypothetical protein AND_004451</v>
      </c>
      <c r="AD175" t="str">
        <f>HYPERLINK("http://www.ncbi.nlm.nih.gov/sutils/blink.cgi?pid=568254937","1E-178")</f>
        <v>1E-178</v>
      </c>
      <c r="AE175" t="str">
        <f>HYPERLINK("http://www.ncbi.nlm.nih.gov/protein/568254937","gi|568254937")</f>
        <v>gi|568254937</v>
      </c>
      <c r="AF175">
        <v>100</v>
      </c>
      <c r="AG175">
        <v>100</v>
      </c>
      <c r="AH175">
        <v>100</v>
      </c>
      <c r="AI175" t="s">
        <v>2283</v>
      </c>
      <c r="AJ175" s="2" t="str">
        <f>HYPERLINK("http://exon.niaid.nih.gov/transcriptome/Anopheles_sialome/links/CULICOMORPHA/anodar_Sal_trypXII-CULICOMORPHA.txt","hypothetical protein AND_004451")</f>
        <v>hypothetical protein AND_004451</v>
      </c>
      <c r="AK175" t="str">
        <f>HYPERLINK("http://www.ncbi.nlm.nih.gov/sutils/blink.cgi?pid=568254937","1E-178")</f>
        <v>1E-178</v>
      </c>
      <c r="AL175" t="str">
        <f>HYPERLINK("http://www.ncbi.nlm.nih.gov/protein/568254937","gi|568254937")</f>
        <v>gi|568254937</v>
      </c>
      <c r="AM175">
        <v>100</v>
      </c>
      <c r="AN175">
        <v>100</v>
      </c>
      <c r="AO175">
        <v>100</v>
      </c>
      <c r="AP175" t="s">
        <v>2283</v>
      </c>
      <c r="AQ175" s="2" t="str">
        <f>HYPERLINK("http://exon.niaid.nih.gov/transcriptome/Anopheles_sialome/links/NR-LIGHT/anodar_Sal_trypXII-NR-LIGHT.txt","hypothetical protein AND_004451")</f>
        <v>hypothetical protein AND_004451</v>
      </c>
      <c r="AR175" t="str">
        <f>HYPERLINK("http://www.ncbi.nlm.nih.gov/sutils/blink.cgi?pid=568254937","1E-177")</f>
        <v>1E-177</v>
      </c>
      <c r="AS175" t="str">
        <f>HYPERLINK("http://www.ncbi.nlm.nih.gov/protein/568254937","gi|568254937")</f>
        <v>gi|568254937</v>
      </c>
      <c r="AT175">
        <v>100</v>
      </c>
      <c r="AU175">
        <v>100</v>
      </c>
      <c r="AV175">
        <v>100</v>
      </c>
      <c r="AW175" t="s">
        <v>2283</v>
      </c>
      <c r="AX175" s="2" t="str">
        <f>HYPERLINK("http://exon.niaid.nih.gov/transcriptome/Anopheles_sialome/links/CDD/anodar_Sal_trypXII-CDD.txt","Tryp_SPc")</f>
        <v>Tryp_SPc</v>
      </c>
      <c r="AY175" t="str">
        <f>HYPERLINK("http://www.ncbi.nlm.nih.gov/Structure/cdd/cddsrv.cgi?uid=cd00190&amp;version=v4.0","9E-041")</f>
        <v>9E-041</v>
      </c>
      <c r="AZ175" t="s">
        <v>2858</v>
      </c>
      <c r="BA175" s="2" t="str">
        <f>HYPERLINK("http://exon.niaid.nih.gov/transcriptome/Anopheles_sialome/links/KOG/anodar_Sal_trypXII-KOG.txt","Trypsin")</f>
        <v>Trypsin</v>
      </c>
      <c r="BB175" t="str">
        <f>HYPERLINK("http://www.ncbi.nlm.nih.gov/Structure/cdd/cddsrv.cgi?uid=KOG3627","4E-031")</f>
        <v>4E-031</v>
      </c>
      <c r="BC175" t="s">
        <v>2287</v>
      </c>
      <c r="BD175" t="str">
        <f>HYPERLINK("http://exon.niaid.nih.gov/transcriptome/Anopheles_sialome/links/KOG/anodar_Sal_trypXII-KOG.txt","KOG3627")</f>
        <v>KOG3627</v>
      </c>
      <c r="BE175" t="str">
        <f>HYPERLINK("http://exon.niaid.nih.gov/transcriptome/Anopheles_sialome/links/PFAM/anodar_Sal_trypXII-PFAM.txt","Trypsin")</f>
        <v>Trypsin</v>
      </c>
      <c r="BF175" t="str">
        <f>HYPERLINK("http://pfam.sanger.ac.uk/family?acc=PF00089","7E-034")</f>
        <v>7E-034</v>
      </c>
      <c r="BG175" s="2" t="str">
        <f>HYPERLINK("http://exon.niaid.nih.gov/transcriptome/Anopheles_sialome/links/SMART/anodar_Sal_trypXII-SMART.txt","Tryp_SPc")</f>
        <v>Tryp_SPc</v>
      </c>
      <c r="BH175" t="str">
        <f>HYPERLINK("http://smart.embl-heidelberg.de/smart/do_annotation.pl?DOMAIN=Tryp_SPc&amp;BLAST=DUMMY","2E-040")</f>
        <v>2E-040</v>
      </c>
      <c r="BI175" t="str">
        <f>HYPERLINK("http://exon.niaid.nih.gov/transcriptome/Anopheles_sialome/links/TICK-BLOCKS/anodar_Sal_trypXII-TICK-BLOCKS.txt","RGD_cys_disintegrin |")</f>
        <v>RGD_cys_disintegrin |</v>
      </c>
      <c r="BJ175" s="2" t="s">
        <v>2495</v>
      </c>
      <c r="BK175" t="s">
        <v>1723</v>
      </c>
      <c r="BL175">
        <f>HYPERLINK("http://exon.niaid.nih.gov/transcriptome/Anopheles_sialome/links/cluster-b/anopheline-sialome-cds-pep-larger-orf25-50SimCLU5.txt", 5)</f>
        <v>5</v>
      </c>
      <c r="BM175">
        <f>HYPERLINK("http://exon.niaid.nih.gov/transcriptome/Anopheles_sialome/links/cluster-b/anopheline-sialome-cds-pep-larger-orf25-50SimCLTL5.txt", 56)</f>
        <v>56</v>
      </c>
      <c r="BN175">
        <f>HYPERLINK("http://exon.niaid.nih.gov/transcriptome/Anopheles_sialome/links/cluster-b/anopheline-sialome-cds-pep-larger-orf30-50SimCLU18.txt", 18)</f>
        <v>18</v>
      </c>
      <c r="BO175">
        <f>HYPERLINK("http://exon.niaid.nih.gov/transcriptome/Anopheles_sialome/links/cluster-b/anopheline-sialome-cds-pep-larger-orf30-50SimCLTL18.txt", 16)</f>
        <v>16</v>
      </c>
      <c r="BP175">
        <f>HYPERLINK("http://exon.niaid.nih.gov/transcriptome/Anopheles_sialome/links/cluster-b/anopheline-sialome-cds-pep-larger-orf35-50SimCLU20.txt", 20)</f>
        <v>20</v>
      </c>
      <c r="BQ175">
        <f>HYPERLINK("http://exon.niaid.nih.gov/transcriptome/Anopheles_sialome/links/cluster-b/anopheline-sialome-cds-pep-larger-orf35-50SimCLTL20.txt", 16)</f>
        <v>16</v>
      </c>
      <c r="BR175">
        <f>HYPERLINK("http://exon.niaid.nih.gov/transcriptome/Anopheles_sialome/links/cluster-b/anopheline-sialome-cds-pep-larger-orf40-50SimCLU26.txt", 26)</f>
        <v>26</v>
      </c>
      <c r="BS175">
        <f>HYPERLINK("http://exon.niaid.nih.gov/transcriptome/Anopheles_sialome/links/cluster-b/anopheline-sialome-cds-pep-larger-orf40-50SimCLTL26.txt", 16)</f>
        <v>16</v>
      </c>
      <c r="BT175">
        <f>HYPERLINK("http://exon.niaid.nih.gov/transcriptome/Anopheles_sialome/links/cluster-b/anopheline-sialome-cds-pep-larger-orf45-50SimCLU30.txt", 30)</f>
        <v>30</v>
      </c>
      <c r="BU175">
        <f>HYPERLINK("http://exon.niaid.nih.gov/transcriptome/Anopheles_sialome/links/cluster-b/anopheline-sialome-cds-pep-larger-orf45-50SimCLTL30.txt", 16)</f>
        <v>16</v>
      </c>
      <c r="BV175">
        <f>HYPERLINK("http://exon.niaid.nih.gov/transcriptome/Anopheles_sialome/links/cluster-b/anopheline-sialome-cds-pep-larger-orf50-50SimCLU31.txt", 31)</f>
        <v>31</v>
      </c>
      <c r="BW175">
        <f>HYPERLINK("http://exon.niaid.nih.gov/transcriptome/Anopheles_sialome/links/cluster-b/anopheline-sialome-cds-pep-larger-orf50-50SimCLTL31.txt", 16)</f>
        <v>16</v>
      </c>
      <c r="BX175">
        <f>HYPERLINK("http://exon.niaid.nih.gov/transcriptome/Anopheles_sialome/links/cluster-b/anopheline-sialome-cds-pep-larger-orf55-50SimCLU30.txt", 30)</f>
        <v>30</v>
      </c>
      <c r="BY175">
        <f>HYPERLINK("http://exon.niaid.nih.gov/transcriptome/Anopheles_sialome/links/cluster-b/anopheline-sialome-cds-pep-larger-orf55-50SimCLTL30.txt", 16)</f>
        <v>16</v>
      </c>
      <c r="BZ175">
        <f>HYPERLINK("http://exon.niaid.nih.gov/transcriptome/Anopheles_sialome/links/cluster-b/anopheline-sialome-cds-pep-larger-orf60-50SimCLU26.txt", 26)</f>
        <v>26</v>
      </c>
      <c r="CA175">
        <f>HYPERLINK("http://exon.niaid.nih.gov/transcriptome/Anopheles_sialome/links/cluster-b/anopheline-sialome-cds-pep-larger-orf60-50SimCLTL26.txt", 16)</f>
        <v>16</v>
      </c>
      <c r="CB175">
        <f>HYPERLINK("http://exon.niaid.nih.gov/transcriptome/Anopheles_sialome/links/cluster-b/anopheline-sialome-cds-pep-larger-orf65-50SimCLU24.txt", 24)</f>
        <v>24</v>
      </c>
      <c r="CC175">
        <f>HYPERLINK("http://exon.niaid.nih.gov/transcriptome/Anopheles_sialome/links/cluster-b/anopheline-sialome-cds-pep-larger-orf65-50SimCLTL24.txt", 16)</f>
        <v>16</v>
      </c>
      <c r="CD175">
        <f>HYPERLINK("http://exon.niaid.nih.gov/transcriptome/Anopheles_sialome/links/cluster-b/anopheline-sialome-cds-pep-larger-orf70-50SimCLU60.txt", 60)</f>
        <v>60</v>
      </c>
      <c r="CE175">
        <f>HYPERLINK("http://exon.niaid.nih.gov/transcriptome/Anopheles_sialome/links/cluster-b/anopheline-sialome-cds-pep-larger-orf70-50SimCLTL60.txt", 2)</f>
        <v>2</v>
      </c>
      <c r="CF175">
        <f>HYPERLINK("http://exon.niaid.nih.gov/transcriptome/Anopheles_sialome/links/cluster-b/anopheline-sialome-cds-pep-larger-orf75-50SimCLU78.txt", 78)</f>
        <v>78</v>
      </c>
      <c r="CG175">
        <f>HYPERLINK("http://exon.niaid.nih.gov/transcriptome/Anopheles_sialome/links/cluster-b/anopheline-sialome-cds-pep-larger-orf75-50SimCLTL78.txt", 2)</f>
        <v>2</v>
      </c>
      <c r="CH175">
        <f>HYPERLINK("http://exon.niaid.nih.gov/transcriptome/Anopheles_sialome/links/cluster-b/anopheline-sialome-cds-pep-larger-orf80-50SimCLU90.txt", 90)</f>
        <v>90</v>
      </c>
      <c r="CI175">
        <f>HYPERLINK("http://exon.niaid.nih.gov/transcriptome/Anopheles_sialome/links/cluster-b/anopheline-sialome-cds-pep-larger-orf80-50SimCLTL90.txt", 2)</f>
        <v>2</v>
      </c>
      <c r="CJ175">
        <f>HYPERLINK("http://exon.niaid.nih.gov/transcriptome/Anopheles_sialome/links/cluster-b/anopheline-sialome-cds-pep-larger-orf85-50SimCLU92.txt", 92)</f>
        <v>92</v>
      </c>
      <c r="CK175">
        <f>HYPERLINK("http://exon.niaid.nih.gov/transcriptome/Anopheles_sialome/links/cluster-b/anopheline-sialome-cds-pep-larger-orf85-50SimCLTL92.txt", 2)</f>
        <v>2</v>
      </c>
      <c r="CL175">
        <v>315</v>
      </c>
      <c r="CM175">
        <v>1</v>
      </c>
      <c r="CN175">
        <v>386</v>
      </c>
      <c r="CO175">
        <v>1</v>
      </c>
    </row>
    <row r="176" spans="1:93">
      <c r="A176" s="11" t="s">
        <v>3181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</row>
    <row r="177" spans="1:93">
      <c r="A177" s="15" t="s">
        <v>3135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</row>
    <row r="178" spans="1:93">
      <c r="A178" s="5" t="s">
        <v>3191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</row>
    <row r="179" spans="1:93">
      <c r="A179" s="2" t="str">
        <f>HYPERLINK("http://exon.niaid.nih.gov/transcriptome/Anopheles_sialome/links/cds/anoga_gVAG-cds.txt","anoga_gVAG")</f>
        <v>anoga_gVAG</v>
      </c>
      <c r="B179">
        <v>783</v>
      </c>
      <c r="C179" t="s">
        <v>40</v>
      </c>
      <c r="D179" t="s">
        <v>4</v>
      </c>
      <c r="E179" t="s">
        <v>5</v>
      </c>
      <c r="F179" t="s">
        <v>1</v>
      </c>
      <c r="G179" t="str">
        <f>HYPERLINK("http://exon.niaid.nih.gov/transcriptome/Anopheles_sialome/links/pep/anoga_gVAG-pep.txt","anoga_gVAG")</f>
        <v>anoga_gVAG</v>
      </c>
      <c r="H179">
        <v>260</v>
      </c>
      <c r="I179">
        <v>2</v>
      </c>
      <c r="J179" s="3" t="str">
        <f>HYPERLINK("http://exon.niaid.nih.gov/transcriptome/Anopheles_sialome/links/Sigp/anoga_gVAG-SigP.txt","SIG")</f>
        <v>SIG</v>
      </c>
      <c r="K179" t="s">
        <v>695</v>
      </c>
      <c r="L179">
        <v>29.010999999999999</v>
      </c>
      <c r="M179">
        <v>9.08</v>
      </c>
      <c r="N179">
        <v>26.814</v>
      </c>
      <c r="O179">
        <v>9.1199999999999992</v>
      </c>
      <c r="P179" t="s">
        <v>729</v>
      </c>
      <c r="Q179" s="3" t="str">
        <f>HYPERLINK("http://exon.niaid.nih.gov/transcriptome/Anopheles_sialome/links/tmhmm/anoga_gVAG-tmhmm.txt","1")</f>
        <v>1</v>
      </c>
      <c r="R179">
        <v>8.5</v>
      </c>
      <c r="S179">
        <v>90.8</v>
      </c>
      <c r="T179">
        <v>0.8</v>
      </c>
      <c r="U179" t="s">
        <v>128</v>
      </c>
      <c r="V179">
        <v>236</v>
      </c>
      <c r="W179" s="3" t="str">
        <f>HYPERLINK("http://exon.niaid.nih.gov/transcriptome/Anopheles_sialome/links/netoglyc/anoga_gVAG-netoglyc.txt","1")</f>
        <v>1</v>
      </c>
      <c r="X179">
        <v>15.8</v>
      </c>
      <c r="Y179">
        <v>7.3</v>
      </c>
      <c r="Z179">
        <v>6.9</v>
      </c>
      <c r="AA179" t="s">
        <v>654</v>
      </c>
      <c r="AB179" t="s">
        <v>128</v>
      </c>
      <c r="AC179" s="2" t="str">
        <f>HYPERLINK("http://exon.niaid.nih.gov/transcriptome/Anopheles_sialome/links/DIPTERA/anoga_gVAG-DIPTERA.txt","AGAP006421-PA")</f>
        <v>AGAP006421-PA</v>
      </c>
      <c r="AD179" t="str">
        <f>HYPERLINK("http://www.ncbi.nlm.nih.gov/sutils/blink.cgi?pid=116127083","1E-156")</f>
        <v>1E-156</v>
      </c>
      <c r="AE179" t="str">
        <f>HYPERLINK("http://www.ncbi.nlm.nih.gov/protein/116127083","gi|116127083")</f>
        <v>gi|116127083</v>
      </c>
      <c r="AF179">
        <v>100</v>
      </c>
      <c r="AG179">
        <v>100</v>
      </c>
      <c r="AH179">
        <v>100</v>
      </c>
      <c r="AI179" t="s">
        <v>2285</v>
      </c>
      <c r="AJ179" s="2" t="str">
        <f>HYPERLINK("http://exon.niaid.nih.gov/transcriptome/Anopheles_sialome/links/CULICOMORPHA/anoga_gVAG-CULICOMORPHA.txt","AGAP006421-PA")</f>
        <v>AGAP006421-PA</v>
      </c>
      <c r="AK179" t="str">
        <f>HYPERLINK("http://www.ncbi.nlm.nih.gov/sutils/blink.cgi?pid=116127083","1E-157")</f>
        <v>1E-157</v>
      </c>
      <c r="AL179" t="str">
        <f>HYPERLINK("http://www.ncbi.nlm.nih.gov/protein/116127083","gi|116127083")</f>
        <v>gi|116127083</v>
      </c>
      <c r="AM179">
        <v>100</v>
      </c>
      <c r="AN179">
        <v>100</v>
      </c>
      <c r="AO179">
        <v>100</v>
      </c>
      <c r="AP179" t="s">
        <v>2285</v>
      </c>
      <c r="AQ179" s="2" t="str">
        <f>HYPERLINK("http://exon.niaid.nih.gov/transcriptome/Anopheles_sialome/links/NR-LIGHT/anoga_gVAG-NR-LIGHT.txt","AGAP006421-PA")</f>
        <v>AGAP006421-PA</v>
      </c>
      <c r="AR179" t="str">
        <f>HYPERLINK("http://www.ncbi.nlm.nih.gov/sutils/blink.cgi?pid=118788032","1E-156")</f>
        <v>1E-156</v>
      </c>
      <c r="AS179" t="str">
        <f>HYPERLINK("http://www.ncbi.nlm.nih.gov/protein/118788032","gi|118788032")</f>
        <v>gi|118788032</v>
      </c>
      <c r="AT179">
        <v>100</v>
      </c>
      <c r="AU179">
        <v>100</v>
      </c>
      <c r="AV179">
        <v>100</v>
      </c>
      <c r="AW179" t="s">
        <v>2285</v>
      </c>
      <c r="AX179" s="2" t="str">
        <f>HYPERLINK("http://exon.niaid.nih.gov/transcriptome/Anopheles_sialome/links/CDD/anoga_gVAG-CDD.txt","SCP_euk")</f>
        <v>SCP_euk</v>
      </c>
      <c r="AY179" t="str">
        <f>HYPERLINK("http://www.ncbi.nlm.nih.gov/Structure/cdd/cddsrv.cgi?uid=cd05380&amp;version=v4.0","1E-038")</f>
        <v>1E-038</v>
      </c>
      <c r="AZ179" t="s">
        <v>2316</v>
      </c>
      <c r="BA179" s="2" t="str">
        <f>HYPERLINK("http://exon.niaid.nih.gov/transcriptome/Anopheles_sialome/links/KOG/anoga_gVAG-KOG.txt","Defense-related protein containing SCP domain")</f>
        <v>Defense-related protein containing SCP domain</v>
      </c>
      <c r="BB179" t="str">
        <f>HYPERLINK("http://www.ncbi.nlm.nih.gov/Structure/cdd/cddsrv.cgi?uid=KOG3017","6E-027")</f>
        <v>6E-027</v>
      </c>
      <c r="BC179" t="s">
        <v>2304</v>
      </c>
      <c r="BD179" t="str">
        <f>HYPERLINK("http://exon.niaid.nih.gov/transcriptome/Anopheles_sialome/links/KOG/anoga_gVAG-KOG.txt","KOG3017")</f>
        <v>KOG3017</v>
      </c>
      <c r="BE179" t="str">
        <f>HYPERLINK("http://exon.niaid.nih.gov/transcriptome/Anopheles_sialome/links/PFAM/anoga_gVAG-PFAM.txt","CAP")</f>
        <v>CAP</v>
      </c>
      <c r="BF179" t="str">
        <f>HYPERLINK("http://pfam.sanger.ac.uk/family?acc=PF00188","5E-013")</f>
        <v>5E-013</v>
      </c>
      <c r="BG179" s="2" t="str">
        <f>HYPERLINK("http://exon.niaid.nih.gov/transcriptome/Anopheles_sialome/links/SMART/anoga_gVAG-SMART.txt","SCP")</f>
        <v>SCP</v>
      </c>
      <c r="BH179" t="str">
        <f>HYPERLINK("http://smart.embl-heidelberg.de/smart/do_annotation.pl?DOMAIN=SCP&amp;BLAST=DUMMY","5E-025")</f>
        <v>5E-025</v>
      </c>
      <c r="BI179" t="s">
        <v>128</v>
      </c>
      <c r="BJ179" s="2" t="s">
        <v>128</v>
      </c>
      <c r="BK179" t="s">
        <v>728</v>
      </c>
      <c r="BL179">
        <f>HYPERLINK("http://exon.niaid.nih.gov/transcriptome/Anopheles_sialome/links/cluster-b/anopheline-sialome-cds-pep-larger-orf25-50SimCLU4.txt", 4)</f>
        <v>4</v>
      </c>
      <c r="BM179">
        <f>HYPERLINK("http://exon.niaid.nih.gov/transcriptome/Anopheles_sialome/links/cluster-b/anopheline-sialome-cds-pep-larger-orf25-50SimCLTL4.txt", 82)</f>
        <v>82</v>
      </c>
      <c r="BN179">
        <f>HYPERLINK("http://exon.niaid.nih.gov/transcriptome/Anopheles_sialome/links/cluster-b/anopheline-sialome-cds-pep-larger-orf30-50SimCLU4.txt", 4)</f>
        <v>4</v>
      </c>
      <c r="BO179">
        <f>HYPERLINK("http://exon.niaid.nih.gov/transcriptome/Anopheles_sialome/links/cluster-b/anopheline-sialome-cds-pep-larger-orf30-50SimCLTL4.txt", 82)</f>
        <v>82</v>
      </c>
      <c r="BP179">
        <f>HYPERLINK("http://exon.niaid.nih.gov/transcriptome/Anopheles_sialome/links/cluster-b/anopheline-sialome-cds-pep-larger-orf35-50SimCLU3.txt", 3)</f>
        <v>3</v>
      </c>
      <c r="BQ179">
        <f>HYPERLINK("http://exon.niaid.nih.gov/transcriptome/Anopheles_sialome/links/cluster-b/anopheline-sialome-cds-pep-larger-orf35-50SimCLTL3.txt", 82)</f>
        <v>82</v>
      </c>
      <c r="BR179">
        <f>HYPERLINK("http://exon.niaid.nih.gov/transcriptome/Anopheles_sialome/links/cluster-b/anopheline-sialome-cds-pep-larger-orf40-50SimCLU3.txt", 3)</f>
        <v>3</v>
      </c>
      <c r="BS179">
        <f>HYPERLINK("http://exon.niaid.nih.gov/transcriptome/Anopheles_sialome/links/cluster-b/anopheline-sialome-cds-pep-larger-orf40-50SimCLTL3.txt", 82)</f>
        <v>82</v>
      </c>
      <c r="BT179">
        <f>HYPERLINK("http://exon.niaid.nih.gov/transcriptome/Anopheles_sialome/links/cluster-b/anopheline-sialome-cds-pep-larger-orf45-50SimCLU2.txt", 2)</f>
        <v>2</v>
      </c>
      <c r="BU179">
        <f>HYPERLINK("http://exon.niaid.nih.gov/transcriptome/Anopheles_sialome/links/cluster-b/anopheline-sialome-cds-pep-larger-orf45-50SimCLTL2.txt", 82)</f>
        <v>82</v>
      </c>
      <c r="BV179">
        <f>HYPERLINK("http://exon.niaid.nih.gov/transcriptome/Anopheles_sialome/links/cluster-b/anopheline-sialome-cds-pep-larger-orf50-50SimCLU2.txt", 2)</f>
        <v>2</v>
      </c>
      <c r="BW179">
        <f>HYPERLINK("http://exon.niaid.nih.gov/transcriptome/Anopheles_sialome/links/cluster-b/anopheline-sialome-cds-pep-larger-orf50-50SimCLTL2.txt", 82)</f>
        <v>82</v>
      </c>
      <c r="BX179">
        <f>HYPERLINK("http://exon.niaid.nih.gov/transcriptome/Anopheles_sialome/links/cluster-b/anopheline-sialome-cds-pep-larger-orf55-50SimCLU2.txt", 2)</f>
        <v>2</v>
      </c>
      <c r="BY179">
        <f>HYPERLINK("http://exon.niaid.nih.gov/transcriptome/Anopheles_sialome/links/cluster-b/anopheline-sialome-cds-pep-larger-orf55-50SimCLTL2.txt", 55)</f>
        <v>55</v>
      </c>
      <c r="BZ179">
        <f>HYPERLINK("http://exon.niaid.nih.gov/transcriptome/Anopheles_sialome/links/cluster-b/anopheline-sialome-cds-pep-larger-orf60-50SimCLU2.txt", 2)</f>
        <v>2</v>
      </c>
      <c r="CA179">
        <f>HYPERLINK("http://exon.niaid.nih.gov/transcriptome/Anopheles_sialome/links/cluster-b/anopheline-sialome-cds-pep-larger-orf60-50SimCLTL2.txt", 54)</f>
        <v>54</v>
      </c>
      <c r="CB179">
        <f>HYPERLINK("http://exon.niaid.nih.gov/transcriptome/Anopheles_sialome/links/cluster-b/anopheline-sialome-cds-pep-larger-orf65-50SimCLU14.txt", 14)</f>
        <v>14</v>
      </c>
      <c r="CC179">
        <f>HYPERLINK("http://exon.niaid.nih.gov/transcriptome/Anopheles_sialome/links/cluster-b/anopheline-sialome-cds-pep-larger-orf65-50SimCLTL14.txt", 18)</f>
        <v>18</v>
      </c>
      <c r="CD179">
        <f>HYPERLINK("http://exon.niaid.nih.gov/transcriptome/Anopheles_sialome/links/cluster-b/anopheline-sialome-cds-pep-larger-orf70-50SimCLU14.txt", 14)</f>
        <v>14</v>
      </c>
      <c r="CE179">
        <f>HYPERLINK("http://exon.niaid.nih.gov/transcriptome/Anopheles_sialome/links/cluster-b/anopheline-sialome-cds-pep-larger-orf70-50SimCLTL14.txt", 18)</f>
        <v>18</v>
      </c>
      <c r="CF179">
        <f>HYPERLINK("http://exon.niaid.nih.gov/transcriptome/Anopheles_sialome/links/cluster-b/anopheline-sialome-cds-pep-larger-orf75-50SimCLU8.txt", 8)</f>
        <v>8</v>
      </c>
      <c r="CG179">
        <f>HYPERLINK("http://exon.niaid.nih.gov/transcriptome/Anopheles_sialome/links/cluster-b/anopheline-sialome-cds-pep-larger-orf75-50SimCLTL8.txt", 18)</f>
        <v>18</v>
      </c>
      <c r="CH179">
        <f>HYPERLINK("http://exon.niaid.nih.gov/transcriptome/Anopheles_sialome/links/cluster-b/anopheline-sialome-cds-pep-larger-orf80-50SimCLU6.txt", 6)</f>
        <v>6</v>
      </c>
      <c r="CI179">
        <f>HYPERLINK("http://exon.niaid.nih.gov/transcriptome/Anopheles_sialome/links/cluster-b/anopheline-sialome-cds-pep-larger-orf80-50SimCLTL6.txt", 18)</f>
        <v>18</v>
      </c>
      <c r="CJ179">
        <f>HYPERLINK("http://exon.niaid.nih.gov/transcriptome/Anopheles_sialome/links/cluster-b/anopheline-sialome-cds-pep-larger-orf85-50SimCLU6.txt", 6)</f>
        <v>6</v>
      </c>
      <c r="CK179">
        <f>HYPERLINK("http://exon.niaid.nih.gov/transcriptome/Anopheles_sialome/links/cluster-b/anopheline-sialome-cds-pep-larger-orf85-50SimCLTL6.txt", 16)</f>
        <v>16</v>
      </c>
      <c r="CL179">
        <f>HYPERLINK("http://exon.niaid.nih.gov/transcriptome/Anopheles_sialome/links/cluster-b/anopheline-sialome-cds-pep-larger-orf90-50SimCLU6.txt", 6)</f>
        <v>6</v>
      </c>
      <c r="CM179">
        <f>HYPERLINK("http://exon.niaid.nih.gov/transcriptome/Anopheles_sialome/links/cluster-b/anopheline-sialome-cds-pep-larger-orf90-50SimCLTL6.txt", 13)</f>
        <v>13</v>
      </c>
      <c r="CN179">
        <f>HYPERLINK("http://exon.niaid.nih.gov/transcriptome/Anopheles_sialome/links/cluster-b/anopheline-sialome-cds-pep-larger-orf95-50SimCLU3.txt", 3)</f>
        <v>3</v>
      </c>
      <c r="CO179">
        <f>HYPERLINK("http://exon.niaid.nih.gov/transcriptome/Anopheles_sialome/links/cluster-b/anopheline-sialome-cds-pep-larger-orf95-50SimCLTL3.txt", 6)</f>
        <v>6</v>
      </c>
    </row>
    <row r="180" spans="1:93">
      <c r="A180" s="2" t="str">
        <f>HYPERLINK("http://exon.niaid.nih.gov/transcriptome/Anopheles_sialome/links/cds/anocol_gVAG-cds.txt","anocol_gVAG")</f>
        <v>anocol_gVAG</v>
      </c>
      <c r="B180">
        <v>783</v>
      </c>
      <c r="C180" t="s">
        <v>41</v>
      </c>
      <c r="D180" t="s">
        <v>4</v>
      </c>
      <c r="E180" t="s">
        <v>5</v>
      </c>
      <c r="F180" t="s">
        <v>1</v>
      </c>
      <c r="G180" t="str">
        <f>HYPERLINK("http://exon.niaid.nih.gov/transcriptome/Anopheles_sialome/links/pep/anocol_gVAG-pep.txt","anocol_gVAG")</f>
        <v>anocol_gVAG</v>
      </c>
      <c r="H180">
        <v>260</v>
      </c>
      <c r="I180">
        <v>2</v>
      </c>
      <c r="J180" s="3" t="str">
        <f>HYPERLINK("http://exon.niaid.nih.gov/transcriptome/Anopheles_sialome/links/Sigp/anocol_gVAG-SigP.txt","SIG")</f>
        <v>SIG</v>
      </c>
      <c r="K180" t="s">
        <v>692</v>
      </c>
      <c r="L180">
        <v>28.968</v>
      </c>
      <c r="M180">
        <v>9.16</v>
      </c>
      <c r="N180">
        <v>26.956</v>
      </c>
      <c r="O180">
        <v>9.1999999999999993</v>
      </c>
      <c r="P180" t="s">
        <v>731</v>
      </c>
      <c r="Q180" s="3">
        <v>0</v>
      </c>
      <c r="R180" t="s">
        <v>128</v>
      </c>
      <c r="S180" t="s">
        <v>128</v>
      </c>
      <c r="T180" t="s">
        <v>128</v>
      </c>
      <c r="U180" t="s">
        <v>128</v>
      </c>
      <c r="V180" t="s">
        <v>128</v>
      </c>
      <c r="W180" s="3" t="str">
        <f>HYPERLINK("http://exon.niaid.nih.gov/transcriptome/Anopheles_sialome/links/netoglyc/anocol_gVAG-netoglyc.txt","1")</f>
        <v>1</v>
      </c>
      <c r="X180">
        <v>15.4</v>
      </c>
      <c r="Y180">
        <v>7.7</v>
      </c>
      <c r="Z180">
        <v>6.9</v>
      </c>
      <c r="AA180" t="s">
        <v>654</v>
      </c>
      <c r="AB180" t="s">
        <v>128</v>
      </c>
      <c r="AC180" s="2" t="str">
        <f>HYPERLINK("http://exon.niaid.nih.gov/transcriptome/Anopheles_sialome/links/DIPTERA/anocol_gVAG-DIPTERA.txt","putative gVAG protein precursor")</f>
        <v>putative gVAG protein precursor</v>
      </c>
      <c r="AD180" t="str">
        <f>HYPERLINK("http://www.ncbi.nlm.nih.gov/sutils/blink.cgi?pid=34556108","1E-156")</f>
        <v>1E-156</v>
      </c>
      <c r="AE180" t="str">
        <f>HYPERLINK("http://www.ncbi.nlm.nih.gov/protein/34556108","gi|34556108")</f>
        <v>gi|34556108</v>
      </c>
      <c r="AF180">
        <v>99</v>
      </c>
      <c r="AG180">
        <v>100</v>
      </c>
      <c r="AH180">
        <v>100</v>
      </c>
      <c r="AI180" t="s">
        <v>2254</v>
      </c>
      <c r="AJ180" s="2" t="str">
        <f>HYPERLINK("http://exon.niaid.nih.gov/transcriptome/Anopheles_sialome/links/CULICOMORPHA/anocol_gVAG-CULICOMORPHA.txt","putative gVAG protein precursor")</f>
        <v>putative gVAG protein precursor</v>
      </c>
      <c r="AK180" t="str">
        <f>HYPERLINK("http://www.ncbi.nlm.nih.gov/sutils/blink.cgi?pid=34556108","1E-157")</f>
        <v>1E-157</v>
      </c>
      <c r="AL180" t="str">
        <f>HYPERLINK("http://www.ncbi.nlm.nih.gov/protein/34556108","gi|34556108")</f>
        <v>gi|34556108</v>
      </c>
      <c r="AM180">
        <v>99</v>
      </c>
      <c r="AN180">
        <v>100</v>
      </c>
      <c r="AO180">
        <v>100</v>
      </c>
      <c r="AP180" t="s">
        <v>2254</v>
      </c>
      <c r="AQ180" s="2" t="str">
        <f>HYPERLINK("http://exon.niaid.nih.gov/transcriptome/Anopheles_sialome/links/NR-LIGHT/anocol_gVAG-NR-LIGHT.txt","putative gVAG protein precursor")</f>
        <v>putative gVAG protein precursor</v>
      </c>
      <c r="AR180" t="str">
        <f>HYPERLINK("http://www.ncbi.nlm.nih.gov/sutils/blink.cgi?pid=34556108","1E-156")</f>
        <v>1E-156</v>
      </c>
      <c r="AS180" t="str">
        <f>HYPERLINK("http://www.ncbi.nlm.nih.gov/protein/34556108","gi|34556108")</f>
        <v>gi|34556108</v>
      </c>
      <c r="AT180">
        <v>99</v>
      </c>
      <c r="AU180">
        <v>100</v>
      </c>
      <c r="AV180">
        <v>100</v>
      </c>
      <c r="AW180" t="s">
        <v>2254</v>
      </c>
      <c r="AX180" s="2" t="str">
        <f>HYPERLINK("http://exon.niaid.nih.gov/transcriptome/Anopheles_sialome/links/CDD/anocol_gVAG-CDD.txt","SCP_euk")</f>
        <v>SCP_euk</v>
      </c>
      <c r="AY180" t="str">
        <f>HYPERLINK("http://www.ncbi.nlm.nih.gov/Structure/cdd/cddsrv.cgi?uid=cd05380&amp;version=v4.0","9E-039")</f>
        <v>9E-039</v>
      </c>
      <c r="AZ180" t="s">
        <v>2317</v>
      </c>
      <c r="BA180" s="2" t="str">
        <f>HYPERLINK("http://exon.niaid.nih.gov/transcriptome/Anopheles_sialome/links/KOG/anocol_gVAG-KOG.txt","Defense-related protein containing SCP domain")</f>
        <v>Defense-related protein containing SCP domain</v>
      </c>
      <c r="BB180" t="str">
        <f>HYPERLINK("http://www.ncbi.nlm.nih.gov/Structure/cdd/cddsrv.cgi?uid=KOG3017","6E-027")</f>
        <v>6E-027</v>
      </c>
      <c r="BC180" t="s">
        <v>2304</v>
      </c>
      <c r="BD180" t="str">
        <f>HYPERLINK("http://exon.niaid.nih.gov/transcriptome/Anopheles_sialome/links/KOG/anocol_gVAG-KOG.txt","KOG3017")</f>
        <v>KOG3017</v>
      </c>
      <c r="BE180" t="str">
        <f>HYPERLINK("http://exon.niaid.nih.gov/transcriptome/Anopheles_sialome/links/PFAM/anocol_gVAG-PFAM.txt","CAP")</f>
        <v>CAP</v>
      </c>
      <c r="BF180" t="str">
        <f>HYPERLINK("http://pfam.sanger.ac.uk/family?acc=PF00188","5E-013")</f>
        <v>5E-013</v>
      </c>
      <c r="BG180" s="2" t="str">
        <f>HYPERLINK("http://exon.niaid.nih.gov/transcriptome/Anopheles_sialome/links/SMART/anocol_gVAG-SMART.txt","SCP")</f>
        <v>SCP</v>
      </c>
      <c r="BH180" t="str">
        <f>HYPERLINK("http://smart.embl-heidelberg.de/smart/do_annotation.pl?DOMAIN=SCP&amp;BLAST=DUMMY","4E-025")</f>
        <v>4E-025</v>
      </c>
      <c r="BI180" t="s">
        <v>128</v>
      </c>
      <c r="BJ180" s="2" t="s">
        <v>128</v>
      </c>
      <c r="BK180" t="s">
        <v>730</v>
      </c>
      <c r="BL180">
        <f>HYPERLINK("http://exon.niaid.nih.gov/transcriptome/Anopheles_sialome/links/cluster-b/anopheline-sialome-cds-pep-larger-orf25-50SimCLU4.txt", 4)</f>
        <v>4</v>
      </c>
      <c r="BM180">
        <f>HYPERLINK("http://exon.niaid.nih.gov/transcriptome/Anopheles_sialome/links/cluster-b/anopheline-sialome-cds-pep-larger-orf25-50SimCLTL4.txt", 82)</f>
        <v>82</v>
      </c>
      <c r="BN180">
        <f>HYPERLINK("http://exon.niaid.nih.gov/transcriptome/Anopheles_sialome/links/cluster-b/anopheline-sialome-cds-pep-larger-orf30-50SimCLU4.txt", 4)</f>
        <v>4</v>
      </c>
      <c r="BO180">
        <f>HYPERLINK("http://exon.niaid.nih.gov/transcriptome/Anopheles_sialome/links/cluster-b/anopheline-sialome-cds-pep-larger-orf30-50SimCLTL4.txt", 82)</f>
        <v>82</v>
      </c>
      <c r="BP180">
        <f>HYPERLINK("http://exon.niaid.nih.gov/transcriptome/Anopheles_sialome/links/cluster-b/anopheline-sialome-cds-pep-larger-orf35-50SimCLU3.txt", 3)</f>
        <v>3</v>
      </c>
      <c r="BQ180">
        <f>HYPERLINK("http://exon.niaid.nih.gov/transcriptome/Anopheles_sialome/links/cluster-b/anopheline-sialome-cds-pep-larger-orf35-50SimCLTL3.txt", 82)</f>
        <v>82</v>
      </c>
      <c r="BR180">
        <f>HYPERLINK("http://exon.niaid.nih.gov/transcriptome/Anopheles_sialome/links/cluster-b/anopheline-sialome-cds-pep-larger-orf40-50SimCLU3.txt", 3)</f>
        <v>3</v>
      </c>
      <c r="BS180">
        <f>HYPERLINK("http://exon.niaid.nih.gov/transcriptome/Anopheles_sialome/links/cluster-b/anopheline-sialome-cds-pep-larger-orf40-50SimCLTL3.txt", 82)</f>
        <v>82</v>
      </c>
      <c r="BT180">
        <f>HYPERLINK("http://exon.niaid.nih.gov/transcriptome/Anopheles_sialome/links/cluster-b/anopheline-sialome-cds-pep-larger-orf45-50SimCLU2.txt", 2)</f>
        <v>2</v>
      </c>
      <c r="BU180">
        <f>HYPERLINK("http://exon.niaid.nih.gov/transcriptome/Anopheles_sialome/links/cluster-b/anopheline-sialome-cds-pep-larger-orf45-50SimCLTL2.txt", 82)</f>
        <v>82</v>
      </c>
      <c r="BV180">
        <f>HYPERLINK("http://exon.niaid.nih.gov/transcriptome/Anopheles_sialome/links/cluster-b/anopheline-sialome-cds-pep-larger-orf50-50SimCLU2.txt", 2)</f>
        <v>2</v>
      </c>
      <c r="BW180">
        <f>HYPERLINK("http://exon.niaid.nih.gov/transcriptome/Anopheles_sialome/links/cluster-b/anopheline-sialome-cds-pep-larger-orf50-50SimCLTL2.txt", 82)</f>
        <v>82</v>
      </c>
      <c r="BX180">
        <f>HYPERLINK("http://exon.niaid.nih.gov/transcriptome/Anopheles_sialome/links/cluster-b/anopheline-sialome-cds-pep-larger-orf55-50SimCLU2.txt", 2)</f>
        <v>2</v>
      </c>
      <c r="BY180">
        <f>HYPERLINK("http://exon.niaid.nih.gov/transcriptome/Anopheles_sialome/links/cluster-b/anopheline-sialome-cds-pep-larger-orf55-50SimCLTL2.txt", 55)</f>
        <v>55</v>
      </c>
      <c r="BZ180">
        <f>HYPERLINK("http://exon.niaid.nih.gov/transcriptome/Anopheles_sialome/links/cluster-b/anopheline-sialome-cds-pep-larger-orf60-50SimCLU2.txt", 2)</f>
        <v>2</v>
      </c>
      <c r="CA180">
        <f>HYPERLINK("http://exon.niaid.nih.gov/transcriptome/Anopheles_sialome/links/cluster-b/anopheline-sialome-cds-pep-larger-orf60-50SimCLTL2.txt", 54)</f>
        <v>54</v>
      </c>
      <c r="CB180">
        <f>HYPERLINK("http://exon.niaid.nih.gov/transcriptome/Anopheles_sialome/links/cluster-b/anopheline-sialome-cds-pep-larger-orf65-50SimCLU14.txt", 14)</f>
        <v>14</v>
      </c>
      <c r="CC180">
        <f>HYPERLINK("http://exon.niaid.nih.gov/transcriptome/Anopheles_sialome/links/cluster-b/anopheline-sialome-cds-pep-larger-orf65-50SimCLTL14.txt", 18)</f>
        <v>18</v>
      </c>
      <c r="CD180">
        <f>HYPERLINK("http://exon.niaid.nih.gov/transcriptome/Anopheles_sialome/links/cluster-b/anopheline-sialome-cds-pep-larger-orf70-50SimCLU14.txt", 14)</f>
        <v>14</v>
      </c>
      <c r="CE180">
        <f>HYPERLINK("http://exon.niaid.nih.gov/transcriptome/Anopheles_sialome/links/cluster-b/anopheline-sialome-cds-pep-larger-orf70-50SimCLTL14.txt", 18)</f>
        <v>18</v>
      </c>
      <c r="CF180">
        <f>HYPERLINK("http://exon.niaid.nih.gov/transcriptome/Anopheles_sialome/links/cluster-b/anopheline-sialome-cds-pep-larger-orf75-50SimCLU8.txt", 8)</f>
        <v>8</v>
      </c>
      <c r="CG180">
        <f>HYPERLINK("http://exon.niaid.nih.gov/transcriptome/Anopheles_sialome/links/cluster-b/anopheline-sialome-cds-pep-larger-orf75-50SimCLTL8.txt", 18)</f>
        <v>18</v>
      </c>
      <c r="CH180">
        <f>HYPERLINK("http://exon.niaid.nih.gov/transcriptome/Anopheles_sialome/links/cluster-b/anopheline-sialome-cds-pep-larger-orf80-50SimCLU6.txt", 6)</f>
        <v>6</v>
      </c>
      <c r="CI180">
        <f>HYPERLINK("http://exon.niaid.nih.gov/transcriptome/Anopheles_sialome/links/cluster-b/anopheline-sialome-cds-pep-larger-orf80-50SimCLTL6.txt", 18)</f>
        <v>18</v>
      </c>
      <c r="CJ180">
        <f>HYPERLINK("http://exon.niaid.nih.gov/transcriptome/Anopheles_sialome/links/cluster-b/anopheline-sialome-cds-pep-larger-orf85-50SimCLU6.txt", 6)</f>
        <v>6</v>
      </c>
      <c r="CK180">
        <f>HYPERLINK("http://exon.niaid.nih.gov/transcriptome/Anopheles_sialome/links/cluster-b/anopheline-sialome-cds-pep-larger-orf85-50SimCLTL6.txt", 16)</f>
        <v>16</v>
      </c>
      <c r="CL180">
        <f>HYPERLINK("http://exon.niaid.nih.gov/transcriptome/Anopheles_sialome/links/cluster-b/anopheline-sialome-cds-pep-larger-orf90-50SimCLU6.txt", 6)</f>
        <v>6</v>
      </c>
      <c r="CM180">
        <f>HYPERLINK("http://exon.niaid.nih.gov/transcriptome/Anopheles_sialome/links/cluster-b/anopheline-sialome-cds-pep-larger-orf90-50SimCLTL6.txt", 13)</f>
        <v>13</v>
      </c>
      <c r="CN180">
        <f>HYPERLINK("http://exon.niaid.nih.gov/transcriptome/Anopheles_sialome/links/cluster-b/anopheline-sialome-cds-pep-larger-orf95-50SimCLU3.txt", 3)</f>
        <v>3</v>
      </c>
      <c r="CO180">
        <f>HYPERLINK("http://exon.niaid.nih.gov/transcriptome/Anopheles_sialome/links/cluster-b/anopheline-sialome-cds-pep-larger-orf95-50SimCLTL3.txt", 6)</f>
        <v>6</v>
      </c>
    </row>
    <row r="181" spans="1:93">
      <c r="A181" s="2" t="str">
        <f>HYPERLINK("http://exon.niaid.nih.gov/transcriptome/Anopheles_sialome/links/cds/anoara_gVAG-cds.txt","anoara_gVAG")</f>
        <v>anoara_gVAG</v>
      </c>
      <c r="B181">
        <v>783</v>
      </c>
      <c r="C181" t="s">
        <v>42</v>
      </c>
      <c r="D181" t="s">
        <v>7</v>
      </c>
      <c r="E181" t="s">
        <v>5</v>
      </c>
      <c r="F181" t="s">
        <v>1</v>
      </c>
      <c r="G181" t="str">
        <f>HYPERLINK("http://exon.niaid.nih.gov/transcriptome/Anopheles_sialome/links/pep/anoara_gVAG-pep.txt","anoara_gVAG")</f>
        <v>anoara_gVAG</v>
      </c>
      <c r="H181">
        <v>260</v>
      </c>
      <c r="I181">
        <v>2</v>
      </c>
      <c r="J181" s="3" t="str">
        <f>HYPERLINK("http://exon.niaid.nih.gov/transcriptome/Anopheles_sialome/links/Sigp/anoara_gVAG-SigP.txt","SIG")</f>
        <v>SIG</v>
      </c>
      <c r="K181" t="s">
        <v>692</v>
      </c>
      <c r="L181">
        <v>28.965</v>
      </c>
      <c r="M181">
        <v>9.08</v>
      </c>
      <c r="N181">
        <v>26.952999999999999</v>
      </c>
      <c r="O181">
        <v>9.1199999999999992</v>
      </c>
      <c r="P181" t="s">
        <v>733</v>
      </c>
      <c r="Q181" s="3" t="str">
        <f>HYPERLINK("http://exon.niaid.nih.gov/transcriptome/Anopheles_sialome/links/tmhmm/anoara_gVAG-tmhmm.txt","1")</f>
        <v>1</v>
      </c>
      <c r="R181">
        <v>8.5</v>
      </c>
      <c r="S181">
        <v>90.8</v>
      </c>
      <c r="T181">
        <v>0.8</v>
      </c>
      <c r="U181" t="s">
        <v>128</v>
      </c>
      <c r="V181">
        <v>236</v>
      </c>
      <c r="W181" s="3" t="str">
        <f>HYPERLINK("http://exon.niaid.nih.gov/transcriptome/Anopheles_sialome/links/netoglyc/anoara_gVAG-netoglyc.txt","1")</f>
        <v>1</v>
      </c>
      <c r="X181">
        <v>15.8</v>
      </c>
      <c r="Y181">
        <v>7.7</v>
      </c>
      <c r="Z181">
        <v>6.9</v>
      </c>
      <c r="AA181" t="s">
        <v>654</v>
      </c>
      <c r="AB181" t="s">
        <v>128</v>
      </c>
      <c r="AC181" s="2" t="str">
        <f>HYPERLINK("http://exon.niaid.nih.gov/transcriptome/Anopheles_sialome/links/DIPTERA/anoara_gVAG-DIPTERA.txt","putative gVAG protein precursor")</f>
        <v>putative gVAG protein precursor</v>
      </c>
      <c r="AD181" t="str">
        <f>HYPERLINK("http://www.ncbi.nlm.nih.gov/sutils/blink.cgi?pid=34556108","1E-155")</f>
        <v>1E-155</v>
      </c>
      <c r="AE181" t="str">
        <f>HYPERLINK("http://www.ncbi.nlm.nih.gov/protein/34556108","gi|34556108")</f>
        <v>gi|34556108</v>
      </c>
      <c r="AF181">
        <v>98</v>
      </c>
      <c r="AG181">
        <v>98</v>
      </c>
      <c r="AH181">
        <v>100</v>
      </c>
      <c r="AI181" t="s">
        <v>2254</v>
      </c>
      <c r="AJ181" s="2" t="str">
        <f>HYPERLINK("http://exon.niaid.nih.gov/transcriptome/Anopheles_sialome/links/CULICOMORPHA/anoara_gVAG-CULICOMORPHA.txt","putative gVAG protein precursor")</f>
        <v>putative gVAG protein precursor</v>
      </c>
      <c r="AK181" t="str">
        <f>HYPERLINK("http://www.ncbi.nlm.nih.gov/sutils/blink.cgi?pid=34556108","1E-156")</f>
        <v>1E-156</v>
      </c>
      <c r="AL181" t="str">
        <f>HYPERLINK("http://www.ncbi.nlm.nih.gov/protein/34556108","gi|34556108")</f>
        <v>gi|34556108</v>
      </c>
      <c r="AM181">
        <v>98</v>
      </c>
      <c r="AN181">
        <v>98</v>
      </c>
      <c r="AO181">
        <v>100</v>
      </c>
      <c r="AP181" t="s">
        <v>2254</v>
      </c>
      <c r="AQ181" s="2" t="str">
        <f>HYPERLINK("http://exon.niaid.nih.gov/transcriptome/Anopheles_sialome/links/NR-LIGHT/anoara_gVAG-NR-LIGHT.txt","putative gVAG protein precursor")</f>
        <v>putative gVAG protein precursor</v>
      </c>
      <c r="AR181" t="str">
        <f>HYPERLINK("http://www.ncbi.nlm.nih.gov/sutils/blink.cgi?pid=34556108","1E-155")</f>
        <v>1E-155</v>
      </c>
      <c r="AS181" t="str">
        <f>HYPERLINK("http://www.ncbi.nlm.nih.gov/protein/34556108","gi|34556108")</f>
        <v>gi|34556108</v>
      </c>
      <c r="AT181">
        <v>98</v>
      </c>
      <c r="AU181">
        <v>98</v>
      </c>
      <c r="AV181">
        <v>100</v>
      </c>
      <c r="AW181" t="s">
        <v>2254</v>
      </c>
      <c r="AX181" s="2" t="str">
        <f>HYPERLINK("http://exon.niaid.nih.gov/transcriptome/Anopheles_sialome/links/CDD/anoara_gVAG-CDD.txt","SCP_euk")</f>
        <v>SCP_euk</v>
      </c>
      <c r="AY181" t="str">
        <f>HYPERLINK("http://www.ncbi.nlm.nih.gov/Structure/cdd/cddsrv.cgi?uid=cd05380&amp;version=v4.0","1E-038")</f>
        <v>1E-038</v>
      </c>
      <c r="AZ181" t="s">
        <v>2318</v>
      </c>
      <c r="BA181" s="2" t="str">
        <f>HYPERLINK("http://exon.niaid.nih.gov/transcriptome/Anopheles_sialome/links/KOG/anoara_gVAG-KOG.txt","Defense-related protein containing SCP domain")</f>
        <v>Defense-related protein containing SCP domain</v>
      </c>
      <c r="BB181" t="str">
        <f>HYPERLINK("http://www.ncbi.nlm.nih.gov/Structure/cdd/cddsrv.cgi?uid=KOG3017","7E-027")</f>
        <v>7E-027</v>
      </c>
      <c r="BC181" t="s">
        <v>2304</v>
      </c>
      <c r="BD181" t="str">
        <f>HYPERLINK("http://exon.niaid.nih.gov/transcriptome/Anopheles_sialome/links/KOG/anoara_gVAG-KOG.txt","KOG3017")</f>
        <v>KOG3017</v>
      </c>
      <c r="BE181" t="str">
        <f>HYPERLINK("http://exon.niaid.nih.gov/transcriptome/Anopheles_sialome/links/PFAM/anoara_gVAG-PFAM.txt","CAP")</f>
        <v>CAP</v>
      </c>
      <c r="BF181" t="str">
        <f>HYPERLINK("http://pfam.sanger.ac.uk/family?acc=PF00188","7E-013")</f>
        <v>7E-013</v>
      </c>
      <c r="BG181" s="2" t="str">
        <f>HYPERLINK("http://exon.niaid.nih.gov/transcriptome/Anopheles_sialome/links/SMART/anoara_gVAG-SMART.txt","SCP")</f>
        <v>SCP</v>
      </c>
      <c r="BH181" t="str">
        <f>HYPERLINK("http://smart.embl-heidelberg.de/smart/do_annotation.pl?DOMAIN=SCP&amp;BLAST=DUMMY","6E-025")</f>
        <v>6E-025</v>
      </c>
      <c r="BI181" t="s">
        <v>128</v>
      </c>
      <c r="BJ181" s="2" t="s">
        <v>128</v>
      </c>
      <c r="BK181" t="s">
        <v>732</v>
      </c>
      <c r="BL181">
        <f>HYPERLINK("http://exon.niaid.nih.gov/transcriptome/Anopheles_sialome/links/cluster-b/anopheline-sialome-cds-pep-larger-orf25-50SimCLU4.txt", 4)</f>
        <v>4</v>
      </c>
      <c r="BM181">
        <f>HYPERLINK("http://exon.niaid.nih.gov/transcriptome/Anopheles_sialome/links/cluster-b/anopheline-sialome-cds-pep-larger-orf25-50SimCLTL4.txt", 82)</f>
        <v>82</v>
      </c>
      <c r="BN181">
        <f>HYPERLINK("http://exon.niaid.nih.gov/transcriptome/Anopheles_sialome/links/cluster-b/anopheline-sialome-cds-pep-larger-orf30-50SimCLU4.txt", 4)</f>
        <v>4</v>
      </c>
      <c r="BO181">
        <f>HYPERLINK("http://exon.niaid.nih.gov/transcriptome/Anopheles_sialome/links/cluster-b/anopheline-sialome-cds-pep-larger-orf30-50SimCLTL4.txt", 82)</f>
        <v>82</v>
      </c>
      <c r="BP181">
        <f>HYPERLINK("http://exon.niaid.nih.gov/transcriptome/Anopheles_sialome/links/cluster-b/anopheline-sialome-cds-pep-larger-orf35-50SimCLU3.txt", 3)</f>
        <v>3</v>
      </c>
      <c r="BQ181">
        <f>HYPERLINK("http://exon.niaid.nih.gov/transcriptome/Anopheles_sialome/links/cluster-b/anopheline-sialome-cds-pep-larger-orf35-50SimCLTL3.txt", 82)</f>
        <v>82</v>
      </c>
      <c r="BR181">
        <f>HYPERLINK("http://exon.niaid.nih.gov/transcriptome/Anopheles_sialome/links/cluster-b/anopheline-sialome-cds-pep-larger-orf40-50SimCLU3.txt", 3)</f>
        <v>3</v>
      </c>
      <c r="BS181">
        <f>HYPERLINK("http://exon.niaid.nih.gov/transcriptome/Anopheles_sialome/links/cluster-b/anopheline-sialome-cds-pep-larger-orf40-50SimCLTL3.txt", 82)</f>
        <v>82</v>
      </c>
      <c r="BT181">
        <f>HYPERLINK("http://exon.niaid.nih.gov/transcriptome/Anopheles_sialome/links/cluster-b/anopheline-sialome-cds-pep-larger-orf45-50SimCLU2.txt", 2)</f>
        <v>2</v>
      </c>
      <c r="BU181">
        <f>HYPERLINK("http://exon.niaid.nih.gov/transcriptome/Anopheles_sialome/links/cluster-b/anopheline-sialome-cds-pep-larger-orf45-50SimCLTL2.txt", 82)</f>
        <v>82</v>
      </c>
      <c r="BV181">
        <f>HYPERLINK("http://exon.niaid.nih.gov/transcriptome/Anopheles_sialome/links/cluster-b/anopheline-sialome-cds-pep-larger-orf50-50SimCLU2.txt", 2)</f>
        <v>2</v>
      </c>
      <c r="BW181">
        <f>HYPERLINK("http://exon.niaid.nih.gov/transcriptome/Anopheles_sialome/links/cluster-b/anopheline-sialome-cds-pep-larger-orf50-50SimCLTL2.txt", 82)</f>
        <v>82</v>
      </c>
      <c r="BX181">
        <f>HYPERLINK("http://exon.niaid.nih.gov/transcriptome/Anopheles_sialome/links/cluster-b/anopheline-sialome-cds-pep-larger-orf55-50SimCLU2.txt", 2)</f>
        <v>2</v>
      </c>
      <c r="BY181">
        <f>HYPERLINK("http://exon.niaid.nih.gov/transcriptome/Anopheles_sialome/links/cluster-b/anopheline-sialome-cds-pep-larger-orf55-50SimCLTL2.txt", 55)</f>
        <v>55</v>
      </c>
      <c r="BZ181">
        <f>HYPERLINK("http://exon.niaid.nih.gov/transcriptome/Anopheles_sialome/links/cluster-b/anopheline-sialome-cds-pep-larger-orf60-50SimCLU2.txt", 2)</f>
        <v>2</v>
      </c>
      <c r="CA181">
        <f>HYPERLINK("http://exon.niaid.nih.gov/transcriptome/Anopheles_sialome/links/cluster-b/anopheline-sialome-cds-pep-larger-orf60-50SimCLTL2.txt", 54)</f>
        <v>54</v>
      </c>
      <c r="CB181">
        <f>HYPERLINK("http://exon.niaid.nih.gov/transcriptome/Anopheles_sialome/links/cluster-b/anopheline-sialome-cds-pep-larger-orf65-50SimCLU14.txt", 14)</f>
        <v>14</v>
      </c>
      <c r="CC181">
        <f>HYPERLINK("http://exon.niaid.nih.gov/transcriptome/Anopheles_sialome/links/cluster-b/anopheline-sialome-cds-pep-larger-orf65-50SimCLTL14.txt", 18)</f>
        <v>18</v>
      </c>
      <c r="CD181">
        <f>HYPERLINK("http://exon.niaid.nih.gov/transcriptome/Anopheles_sialome/links/cluster-b/anopheline-sialome-cds-pep-larger-orf70-50SimCLU14.txt", 14)</f>
        <v>14</v>
      </c>
      <c r="CE181">
        <f>HYPERLINK("http://exon.niaid.nih.gov/transcriptome/Anopheles_sialome/links/cluster-b/anopheline-sialome-cds-pep-larger-orf70-50SimCLTL14.txt", 18)</f>
        <v>18</v>
      </c>
      <c r="CF181">
        <f>HYPERLINK("http://exon.niaid.nih.gov/transcriptome/Anopheles_sialome/links/cluster-b/anopheline-sialome-cds-pep-larger-orf75-50SimCLU8.txt", 8)</f>
        <v>8</v>
      </c>
      <c r="CG181">
        <f>HYPERLINK("http://exon.niaid.nih.gov/transcriptome/Anopheles_sialome/links/cluster-b/anopheline-sialome-cds-pep-larger-orf75-50SimCLTL8.txt", 18)</f>
        <v>18</v>
      </c>
      <c r="CH181">
        <f>HYPERLINK("http://exon.niaid.nih.gov/transcriptome/Anopheles_sialome/links/cluster-b/anopheline-sialome-cds-pep-larger-orf80-50SimCLU6.txt", 6)</f>
        <v>6</v>
      </c>
      <c r="CI181">
        <f>HYPERLINK("http://exon.niaid.nih.gov/transcriptome/Anopheles_sialome/links/cluster-b/anopheline-sialome-cds-pep-larger-orf80-50SimCLTL6.txt", 18)</f>
        <v>18</v>
      </c>
      <c r="CJ181">
        <f>HYPERLINK("http://exon.niaid.nih.gov/transcriptome/Anopheles_sialome/links/cluster-b/anopheline-sialome-cds-pep-larger-orf85-50SimCLU6.txt", 6)</f>
        <v>6</v>
      </c>
      <c r="CK181">
        <f>HYPERLINK("http://exon.niaid.nih.gov/transcriptome/Anopheles_sialome/links/cluster-b/anopheline-sialome-cds-pep-larger-orf85-50SimCLTL6.txt", 16)</f>
        <v>16</v>
      </c>
      <c r="CL181">
        <f>HYPERLINK("http://exon.niaid.nih.gov/transcriptome/Anopheles_sialome/links/cluster-b/anopheline-sialome-cds-pep-larger-orf90-50SimCLU6.txt", 6)</f>
        <v>6</v>
      </c>
      <c r="CM181">
        <f>HYPERLINK("http://exon.niaid.nih.gov/transcriptome/Anopheles_sialome/links/cluster-b/anopheline-sialome-cds-pep-larger-orf90-50SimCLTL6.txt", 13)</f>
        <v>13</v>
      </c>
      <c r="CN181">
        <f>HYPERLINK("http://exon.niaid.nih.gov/transcriptome/Anopheles_sialome/links/cluster-b/anopheline-sialome-cds-pep-larger-orf95-50SimCLU3.txt", 3)</f>
        <v>3</v>
      </c>
      <c r="CO181">
        <f>HYPERLINK("http://exon.niaid.nih.gov/transcriptome/Anopheles_sialome/links/cluster-b/anopheline-sialome-cds-pep-larger-orf95-50SimCLTL3.txt", 6)</f>
        <v>6</v>
      </c>
    </row>
    <row r="182" spans="1:93">
      <c r="A182" s="2" t="str">
        <f>HYPERLINK("http://exon.niaid.nih.gov/transcriptome/Anopheles_sialome/links/cds/anoqua_gVAG-cds.txt","anoqua_gVAG")</f>
        <v>anoqua_gVAG</v>
      </c>
      <c r="B182">
        <v>783</v>
      </c>
      <c r="C182" t="s">
        <v>43</v>
      </c>
      <c r="D182" t="s">
        <v>7</v>
      </c>
      <c r="E182" t="s">
        <v>5</v>
      </c>
      <c r="F182" t="s">
        <v>1</v>
      </c>
      <c r="G182" t="str">
        <f>HYPERLINK("http://exon.niaid.nih.gov/transcriptome/Anopheles_sialome/links/pep/anoqua_gVAG-pep.txt","anoqua_gVAG")</f>
        <v>anoqua_gVAG</v>
      </c>
      <c r="H182">
        <v>260</v>
      </c>
      <c r="I182">
        <v>2</v>
      </c>
      <c r="J182" s="3" t="str">
        <f>HYPERLINK("http://exon.niaid.nih.gov/transcriptome/Anopheles_sialome/links/Sigp/anoqua_gVAG-SigP.txt","SIG")</f>
        <v>SIG</v>
      </c>
      <c r="K182" t="s">
        <v>695</v>
      </c>
      <c r="L182">
        <v>28.998000000000001</v>
      </c>
      <c r="M182">
        <v>9.08</v>
      </c>
      <c r="N182">
        <v>26.814</v>
      </c>
      <c r="O182">
        <v>9.1199999999999992</v>
      </c>
      <c r="P182" t="s">
        <v>735</v>
      </c>
      <c r="Q182" s="3" t="str">
        <f>HYPERLINK("http://exon.niaid.nih.gov/transcriptome/Anopheles_sialome/links/tmhmm/anoqua_gVAG-tmhmm.txt","1")</f>
        <v>1</v>
      </c>
      <c r="R182">
        <v>8.5</v>
      </c>
      <c r="S182">
        <v>90.8</v>
      </c>
      <c r="T182">
        <v>0.8</v>
      </c>
      <c r="U182" t="s">
        <v>128</v>
      </c>
      <c r="V182">
        <v>236</v>
      </c>
      <c r="W182" s="3" t="str">
        <f>HYPERLINK("http://exon.niaid.nih.gov/transcriptome/Anopheles_sialome/links/netoglyc/anoqua_gVAG-netoglyc.txt","1")</f>
        <v>1</v>
      </c>
      <c r="X182">
        <v>15.8</v>
      </c>
      <c r="Y182">
        <v>7.3</v>
      </c>
      <c r="Z182">
        <v>6.9</v>
      </c>
      <c r="AA182" t="s">
        <v>654</v>
      </c>
      <c r="AB182" t="s">
        <v>128</v>
      </c>
      <c r="AC182" s="2" t="str">
        <f>HYPERLINK("http://exon.niaid.nih.gov/transcriptome/Anopheles_sialome/links/DIPTERA/anoqua_gVAG-DIPTERA.txt","AGAP006421-PA")</f>
        <v>AGAP006421-PA</v>
      </c>
      <c r="AD182" t="str">
        <f>HYPERLINK("http://www.ncbi.nlm.nih.gov/sutils/blink.cgi?pid=116127083","1E-156")</f>
        <v>1E-156</v>
      </c>
      <c r="AE182" t="str">
        <f>HYPERLINK("http://www.ncbi.nlm.nih.gov/protein/116127083","gi|116127083")</f>
        <v>gi|116127083</v>
      </c>
      <c r="AF182">
        <v>99</v>
      </c>
      <c r="AG182">
        <v>100</v>
      </c>
      <c r="AH182">
        <v>100</v>
      </c>
      <c r="AI182" t="s">
        <v>2285</v>
      </c>
      <c r="AJ182" s="2" t="str">
        <f>HYPERLINK("http://exon.niaid.nih.gov/transcriptome/Anopheles_sialome/links/CULICOMORPHA/anoqua_gVAG-CULICOMORPHA.txt","AGAP006421-PA")</f>
        <v>AGAP006421-PA</v>
      </c>
      <c r="AK182" t="str">
        <f>HYPERLINK("http://www.ncbi.nlm.nih.gov/sutils/blink.cgi?pid=116127083","1E-157")</f>
        <v>1E-157</v>
      </c>
      <c r="AL182" t="str">
        <f>HYPERLINK("http://www.ncbi.nlm.nih.gov/protein/116127083","gi|116127083")</f>
        <v>gi|116127083</v>
      </c>
      <c r="AM182">
        <v>99</v>
      </c>
      <c r="AN182">
        <v>100</v>
      </c>
      <c r="AO182">
        <v>100</v>
      </c>
      <c r="AP182" t="s">
        <v>2285</v>
      </c>
      <c r="AQ182" s="2" t="str">
        <f>HYPERLINK("http://exon.niaid.nih.gov/transcriptome/Anopheles_sialome/links/NR-LIGHT/anoqua_gVAG-NR-LIGHT.txt","AGAP006421-PA")</f>
        <v>AGAP006421-PA</v>
      </c>
      <c r="AR182" t="str">
        <f>HYPERLINK("http://www.ncbi.nlm.nih.gov/sutils/blink.cgi?pid=118788032","1E-156")</f>
        <v>1E-156</v>
      </c>
      <c r="AS182" t="str">
        <f>HYPERLINK("http://www.ncbi.nlm.nih.gov/protein/118788032","gi|118788032")</f>
        <v>gi|118788032</v>
      </c>
      <c r="AT182">
        <v>99</v>
      </c>
      <c r="AU182">
        <v>100</v>
      </c>
      <c r="AV182">
        <v>100</v>
      </c>
      <c r="AW182" t="s">
        <v>2285</v>
      </c>
      <c r="AX182" s="2" t="str">
        <f>HYPERLINK("http://exon.niaid.nih.gov/transcriptome/Anopheles_sialome/links/CDD/anoqua_gVAG-CDD.txt","SCP_euk")</f>
        <v>SCP_euk</v>
      </c>
      <c r="AY182" t="str">
        <f>HYPERLINK("http://www.ncbi.nlm.nih.gov/Structure/cdd/cddsrv.cgi?uid=cd05380&amp;version=v4.0","9E-039")</f>
        <v>9E-039</v>
      </c>
      <c r="AZ182" t="s">
        <v>2319</v>
      </c>
      <c r="BA182" s="2" t="str">
        <f>HYPERLINK("http://exon.niaid.nih.gov/transcriptome/Anopheles_sialome/links/KOG/anoqua_gVAG-KOG.txt","Defense-related protein containing SCP domain")</f>
        <v>Defense-related protein containing SCP domain</v>
      </c>
      <c r="BB182" t="str">
        <f>HYPERLINK("http://www.ncbi.nlm.nih.gov/Structure/cdd/cddsrv.cgi?uid=KOG3017","6E-027")</f>
        <v>6E-027</v>
      </c>
      <c r="BC182" t="s">
        <v>2304</v>
      </c>
      <c r="BD182" t="str">
        <f>HYPERLINK("http://exon.niaid.nih.gov/transcriptome/Anopheles_sialome/links/KOG/anoqua_gVAG-KOG.txt","KOG3017")</f>
        <v>KOG3017</v>
      </c>
      <c r="BE182" t="str">
        <f>HYPERLINK("http://exon.niaid.nih.gov/transcriptome/Anopheles_sialome/links/PFAM/anoqua_gVAG-PFAM.txt","CAP")</f>
        <v>CAP</v>
      </c>
      <c r="BF182" t="str">
        <f>HYPERLINK("http://pfam.sanger.ac.uk/family?acc=PF00188","5E-013")</f>
        <v>5E-013</v>
      </c>
      <c r="BG182" s="2" t="str">
        <f>HYPERLINK("http://exon.niaid.nih.gov/transcriptome/Anopheles_sialome/links/SMART/anoqua_gVAG-SMART.txt","SCP")</f>
        <v>SCP</v>
      </c>
      <c r="BH182" t="str">
        <f>HYPERLINK("http://smart.embl-heidelberg.de/smart/do_annotation.pl?DOMAIN=SCP&amp;BLAST=DUMMY","4E-025")</f>
        <v>4E-025</v>
      </c>
      <c r="BI182" t="s">
        <v>128</v>
      </c>
      <c r="BJ182" s="2" t="s">
        <v>128</v>
      </c>
      <c r="BK182" t="s">
        <v>734</v>
      </c>
      <c r="BL182">
        <f>HYPERLINK("http://exon.niaid.nih.gov/transcriptome/Anopheles_sialome/links/cluster-b/anopheline-sialome-cds-pep-larger-orf25-50SimCLU4.txt", 4)</f>
        <v>4</v>
      </c>
      <c r="BM182">
        <f>HYPERLINK("http://exon.niaid.nih.gov/transcriptome/Anopheles_sialome/links/cluster-b/anopheline-sialome-cds-pep-larger-orf25-50SimCLTL4.txt", 82)</f>
        <v>82</v>
      </c>
      <c r="BN182">
        <f>HYPERLINK("http://exon.niaid.nih.gov/transcriptome/Anopheles_sialome/links/cluster-b/anopheline-sialome-cds-pep-larger-orf30-50SimCLU4.txt", 4)</f>
        <v>4</v>
      </c>
      <c r="BO182">
        <f>HYPERLINK("http://exon.niaid.nih.gov/transcriptome/Anopheles_sialome/links/cluster-b/anopheline-sialome-cds-pep-larger-orf30-50SimCLTL4.txt", 82)</f>
        <v>82</v>
      </c>
      <c r="BP182">
        <f>HYPERLINK("http://exon.niaid.nih.gov/transcriptome/Anopheles_sialome/links/cluster-b/anopheline-sialome-cds-pep-larger-orf35-50SimCLU3.txt", 3)</f>
        <v>3</v>
      </c>
      <c r="BQ182">
        <f>HYPERLINK("http://exon.niaid.nih.gov/transcriptome/Anopheles_sialome/links/cluster-b/anopheline-sialome-cds-pep-larger-orf35-50SimCLTL3.txt", 82)</f>
        <v>82</v>
      </c>
      <c r="BR182">
        <f>HYPERLINK("http://exon.niaid.nih.gov/transcriptome/Anopheles_sialome/links/cluster-b/anopheline-sialome-cds-pep-larger-orf40-50SimCLU3.txt", 3)</f>
        <v>3</v>
      </c>
      <c r="BS182">
        <f>HYPERLINK("http://exon.niaid.nih.gov/transcriptome/Anopheles_sialome/links/cluster-b/anopheline-sialome-cds-pep-larger-orf40-50SimCLTL3.txt", 82)</f>
        <v>82</v>
      </c>
      <c r="BT182">
        <f>HYPERLINK("http://exon.niaid.nih.gov/transcriptome/Anopheles_sialome/links/cluster-b/anopheline-sialome-cds-pep-larger-orf45-50SimCLU2.txt", 2)</f>
        <v>2</v>
      </c>
      <c r="BU182">
        <f>HYPERLINK("http://exon.niaid.nih.gov/transcriptome/Anopheles_sialome/links/cluster-b/anopheline-sialome-cds-pep-larger-orf45-50SimCLTL2.txt", 82)</f>
        <v>82</v>
      </c>
      <c r="BV182">
        <f>HYPERLINK("http://exon.niaid.nih.gov/transcriptome/Anopheles_sialome/links/cluster-b/anopheline-sialome-cds-pep-larger-orf50-50SimCLU2.txt", 2)</f>
        <v>2</v>
      </c>
      <c r="BW182">
        <f>HYPERLINK("http://exon.niaid.nih.gov/transcriptome/Anopheles_sialome/links/cluster-b/anopheline-sialome-cds-pep-larger-orf50-50SimCLTL2.txt", 82)</f>
        <v>82</v>
      </c>
      <c r="BX182">
        <f>HYPERLINK("http://exon.niaid.nih.gov/transcriptome/Anopheles_sialome/links/cluster-b/anopheline-sialome-cds-pep-larger-orf55-50SimCLU2.txt", 2)</f>
        <v>2</v>
      </c>
      <c r="BY182">
        <f>HYPERLINK("http://exon.niaid.nih.gov/transcriptome/Anopheles_sialome/links/cluster-b/anopheline-sialome-cds-pep-larger-orf55-50SimCLTL2.txt", 55)</f>
        <v>55</v>
      </c>
      <c r="BZ182">
        <f>HYPERLINK("http://exon.niaid.nih.gov/transcriptome/Anopheles_sialome/links/cluster-b/anopheline-sialome-cds-pep-larger-orf60-50SimCLU2.txt", 2)</f>
        <v>2</v>
      </c>
      <c r="CA182">
        <f>HYPERLINK("http://exon.niaid.nih.gov/transcriptome/Anopheles_sialome/links/cluster-b/anopheline-sialome-cds-pep-larger-orf60-50SimCLTL2.txt", 54)</f>
        <v>54</v>
      </c>
      <c r="CB182">
        <f>HYPERLINK("http://exon.niaid.nih.gov/transcriptome/Anopheles_sialome/links/cluster-b/anopheline-sialome-cds-pep-larger-orf65-50SimCLU14.txt", 14)</f>
        <v>14</v>
      </c>
      <c r="CC182">
        <f>HYPERLINK("http://exon.niaid.nih.gov/transcriptome/Anopheles_sialome/links/cluster-b/anopheline-sialome-cds-pep-larger-orf65-50SimCLTL14.txt", 18)</f>
        <v>18</v>
      </c>
      <c r="CD182">
        <f>HYPERLINK("http://exon.niaid.nih.gov/transcriptome/Anopheles_sialome/links/cluster-b/anopheline-sialome-cds-pep-larger-orf70-50SimCLU14.txt", 14)</f>
        <v>14</v>
      </c>
      <c r="CE182">
        <f>HYPERLINK("http://exon.niaid.nih.gov/transcriptome/Anopheles_sialome/links/cluster-b/anopheline-sialome-cds-pep-larger-orf70-50SimCLTL14.txt", 18)</f>
        <v>18</v>
      </c>
      <c r="CF182">
        <f>HYPERLINK("http://exon.niaid.nih.gov/transcriptome/Anopheles_sialome/links/cluster-b/anopheline-sialome-cds-pep-larger-orf75-50SimCLU8.txt", 8)</f>
        <v>8</v>
      </c>
      <c r="CG182">
        <f>HYPERLINK("http://exon.niaid.nih.gov/transcriptome/Anopheles_sialome/links/cluster-b/anopheline-sialome-cds-pep-larger-orf75-50SimCLTL8.txt", 18)</f>
        <v>18</v>
      </c>
      <c r="CH182">
        <f>HYPERLINK("http://exon.niaid.nih.gov/transcriptome/Anopheles_sialome/links/cluster-b/anopheline-sialome-cds-pep-larger-orf80-50SimCLU6.txt", 6)</f>
        <v>6</v>
      </c>
      <c r="CI182">
        <f>HYPERLINK("http://exon.niaid.nih.gov/transcriptome/Anopheles_sialome/links/cluster-b/anopheline-sialome-cds-pep-larger-orf80-50SimCLTL6.txt", 18)</f>
        <v>18</v>
      </c>
      <c r="CJ182">
        <f>HYPERLINK("http://exon.niaid.nih.gov/transcriptome/Anopheles_sialome/links/cluster-b/anopheline-sialome-cds-pep-larger-orf85-50SimCLU6.txt", 6)</f>
        <v>6</v>
      </c>
      <c r="CK182">
        <f>HYPERLINK("http://exon.niaid.nih.gov/transcriptome/Anopheles_sialome/links/cluster-b/anopheline-sialome-cds-pep-larger-orf85-50SimCLTL6.txt", 16)</f>
        <v>16</v>
      </c>
      <c r="CL182">
        <f>HYPERLINK("http://exon.niaid.nih.gov/transcriptome/Anopheles_sialome/links/cluster-b/anopheline-sialome-cds-pep-larger-orf90-50SimCLU6.txt", 6)</f>
        <v>6</v>
      </c>
      <c r="CM182">
        <f>HYPERLINK("http://exon.niaid.nih.gov/transcriptome/Anopheles_sialome/links/cluster-b/anopheline-sialome-cds-pep-larger-orf90-50SimCLTL6.txt", 13)</f>
        <v>13</v>
      </c>
      <c r="CN182">
        <f>HYPERLINK("http://exon.niaid.nih.gov/transcriptome/Anopheles_sialome/links/cluster-b/anopheline-sialome-cds-pep-larger-orf95-50SimCLU3.txt", 3)</f>
        <v>3</v>
      </c>
      <c r="CO182">
        <f>HYPERLINK("http://exon.niaid.nih.gov/transcriptome/Anopheles_sialome/links/cluster-b/anopheline-sialome-cds-pep-larger-orf95-50SimCLTL3.txt", 6)</f>
        <v>6</v>
      </c>
    </row>
    <row r="183" spans="1:93">
      <c r="A183" s="2" t="str">
        <f>HYPERLINK("http://exon.niaid.nih.gov/transcriptome/Anopheles_sialome/links/cds/anomer_gVAG-cds.txt","anomer_gVAG")</f>
        <v>anomer_gVAG</v>
      </c>
      <c r="B183">
        <v>783</v>
      </c>
      <c r="C183" t="s">
        <v>44</v>
      </c>
      <c r="D183" t="s">
        <v>4</v>
      </c>
      <c r="E183" t="s">
        <v>5</v>
      </c>
      <c r="F183" t="s">
        <v>1</v>
      </c>
      <c r="G183" t="str">
        <f>HYPERLINK("http://exon.niaid.nih.gov/transcriptome/Anopheles_sialome/links/pep/anomer_gVAG-pep.txt","anomer_gVAG")</f>
        <v>anomer_gVAG</v>
      </c>
      <c r="H183">
        <v>260</v>
      </c>
      <c r="I183">
        <v>2</v>
      </c>
      <c r="J183" s="3" t="str">
        <f>HYPERLINK("http://exon.niaid.nih.gov/transcriptome/Anopheles_sialome/links/Sigp/anomer_gVAG-SigP.txt","SIG")</f>
        <v>SIG</v>
      </c>
      <c r="K183" t="s">
        <v>692</v>
      </c>
      <c r="L183">
        <v>28.954000000000001</v>
      </c>
      <c r="M183">
        <v>9.15</v>
      </c>
      <c r="N183">
        <v>26.942</v>
      </c>
      <c r="O183">
        <v>9.19</v>
      </c>
      <c r="P183" t="s">
        <v>731</v>
      </c>
      <c r="Q183" s="3">
        <v>0</v>
      </c>
      <c r="R183" t="s">
        <v>128</v>
      </c>
      <c r="S183" t="s">
        <v>128</v>
      </c>
      <c r="T183" t="s">
        <v>128</v>
      </c>
      <c r="U183" t="s">
        <v>128</v>
      </c>
      <c r="V183" t="s">
        <v>128</v>
      </c>
      <c r="W183" s="3" t="str">
        <f>HYPERLINK("http://exon.niaid.nih.gov/transcriptome/Anopheles_sialome/links/netoglyc/anomer_gVAG-netoglyc.txt","1")</f>
        <v>1</v>
      </c>
      <c r="X183">
        <v>15.4</v>
      </c>
      <c r="Y183">
        <v>7.7</v>
      </c>
      <c r="Z183">
        <v>6.9</v>
      </c>
      <c r="AA183" t="s">
        <v>654</v>
      </c>
      <c r="AB183" t="s">
        <v>128</v>
      </c>
      <c r="AC183" s="2" t="str">
        <f>HYPERLINK("http://exon.niaid.nih.gov/transcriptome/Anopheles_sialome/links/DIPTERA/anomer_gVAG-DIPTERA.txt","putative gVAG protein precursor")</f>
        <v>putative gVAG protein precursor</v>
      </c>
      <c r="AD183" t="str">
        <f>HYPERLINK("http://www.ncbi.nlm.nih.gov/sutils/blink.cgi?pid=34556108","1E-156")</f>
        <v>1E-156</v>
      </c>
      <c r="AE183" t="str">
        <f>HYPERLINK("http://www.ncbi.nlm.nih.gov/protein/34556108","gi|34556108")</f>
        <v>gi|34556108</v>
      </c>
      <c r="AF183">
        <v>99</v>
      </c>
      <c r="AG183">
        <v>100</v>
      </c>
      <c r="AH183">
        <v>100</v>
      </c>
      <c r="AI183" t="s">
        <v>2254</v>
      </c>
      <c r="AJ183" s="2" t="str">
        <f>HYPERLINK("http://exon.niaid.nih.gov/transcriptome/Anopheles_sialome/links/CULICOMORPHA/anomer_gVAG-CULICOMORPHA.txt","putative gVAG protein precursor")</f>
        <v>putative gVAG protein precursor</v>
      </c>
      <c r="AK183" t="str">
        <f>HYPERLINK("http://www.ncbi.nlm.nih.gov/sutils/blink.cgi?pid=34556108","1E-157")</f>
        <v>1E-157</v>
      </c>
      <c r="AL183" t="str">
        <f>HYPERLINK("http://www.ncbi.nlm.nih.gov/protein/34556108","gi|34556108")</f>
        <v>gi|34556108</v>
      </c>
      <c r="AM183">
        <v>99</v>
      </c>
      <c r="AN183">
        <v>100</v>
      </c>
      <c r="AO183">
        <v>100</v>
      </c>
      <c r="AP183" t="s">
        <v>2254</v>
      </c>
      <c r="AQ183" s="2" t="str">
        <f>HYPERLINK("http://exon.niaid.nih.gov/transcriptome/Anopheles_sialome/links/NR-LIGHT/anomer_gVAG-NR-LIGHT.txt","putative gVAG protein precursor")</f>
        <v>putative gVAG protein precursor</v>
      </c>
      <c r="AR183" t="str">
        <f>HYPERLINK("http://www.ncbi.nlm.nih.gov/sutils/blink.cgi?pid=34556108","1E-156")</f>
        <v>1E-156</v>
      </c>
      <c r="AS183" t="str">
        <f>HYPERLINK("http://www.ncbi.nlm.nih.gov/protein/34556108","gi|34556108")</f>
        <v>gi|34556108</v>
      </c>
      <c r="AT183">
        <v>99</v>
      </c>
      <c r="AU183">
        <v>100</v>
      </c>
      <c r="AV183">
        <v>100</v>
      </c>
      <c r="AW183" t="s">
        <v>2254</v>
      </c>
      <c r="AX183" s="2" t="str">
        <f>HYPERLINK("http://exon.niaid.nih.gov/transcriptome/Anopheles_sialome/links/CDD/anomer_gVAG-CDD.txt","SCP_euk")</f>
        <v>SCP_euk</v>
      </c>
      <c r="AY183" t="str">
        <f>HYPERLINK("http://www.ncbi.nlm.nih.gov/Structure/cdd/cddsrv.cgi?uid=cd05380&amp;version=v4.0","2E-038")</f>
        <v>2E-038</v>
      </c>
      <c r="AZ183" t="s">
        <v>2320</v>
      </c>
      <c r="BA183" s="2" t="str">
        <f>HYPERLINK("http://exon.niaid.nih.gov/transcriptome/Anopheles_sialome/links/KOG/anomer_gVAG-KOG.txt","Defense-related protein containing SCP domain")</f>
        <v>Defense-related protein containing SCP domain</v>
      </c>
      <c r="BB183" t="str">
        <f>HYPERLINK("http://www.ncbi.nlm.nih.gov/Structure/cdd/cddsrv.cgi?uid=KOG3017","8E-027")</f>
        <v>8E-027</v>
      </c>
      <c r="BC183" t="s">
        <v>2304</v>
      </c>
      <c r="BD183" t="str">
        <f>HYPERLINK("http://exon.niaid.nih.gov/transcriptome/Anopheles_sialome/links/KOG/anomer_gVAG-KOG.txt","KOG3017")</f>
        <v>KOG3017</v>
      </c>
      <c r="BE183" t="str">
        <f>HYPERLINK("http://exon.niaid.nih.gov/transcriptome/Anopheles_sialome/links/PFAM/anomer_gVAG-PFAM.txt","CAP")</f>
        <v>CAP</v>
      </c>
      <c r="BF183" t="str">
        <f>HYPERLINK("http://pfam.sanger.ac.uk/family?acc=PF00188","1E-012")</f>
        <v>1E-012</v>
      </c>
      <c r="BG183" s="2" t="str">
        <f>HYPERLINK("http://exon.niaid.nih.gov/transcriptome/Anopheles_sialome/links/SMART/anomer_gVAG-SMART.txt","SCP")</f>
        <v>SCP</v>
      </c>
      <c r="BH183" t="str">
        <f>HYPERLINK("http://smart.embl-heidelberg.de/smart/do_annotation.pl?DOMAIN=SCP&amp;BLAST=DUMMY","6E-025")</f>
        <v>6E-025</v>
      </c>
      <c r="BI183" t="s">
        <v>128</v>
      </c>
      <c r="BJ183" s="2" t="s">
        <v>128</v>
      </c>
      <c r="BK183" t="s">
        <v>736</v>
      </c>
      <c r="BL183">
        <f>HYPERLINK("http://exon.niaid.nih.gov/transcriptome/Anopheles_sialome/links/cluster-b/anopheline-sialome-cds-pep-larger-orf25-50SimCLU4.txt", 4)</f>
        <v>4</v>
      </c>
      <c r="BM183">
        <f>HYPERLINK("http://exon.niaid.nih.gov/transcriptome/Anopheles_sialome/links/cluster-b/anopheline-sialome-cds-pep-larger-orf25-50SimCLTL4.txt", 82)</f>
        <v>82</v>
      </c>
      <c r="BN183">
        <f>HYPERLINK("http://exon.niaid.nih.gov/transcriptome/Anopheles_sialome/links/cluster-b/anopheline-sialome-cds-pep-larger-orf30-50SimCLU4.txt", 4)</f>
        <v>4</v>
      </c>
      <c r="BO183">
        <f>HYPERLINK("http://exon.niaid.nih.gov/transcriptome/Anopheles_sialome/links/cluster-b/anopheline-sialome-cds-pep-larger-orf30-50SimCLTL4.txt", 82)</f>
        <v>82</v>
      </c>
      <c r="BP183">
        <f>HYPERLINK("http://exon.niaid.nih.gov/transcriptome/Anopheles_sialome/links/cluster-b/anopheline-sialome-cds-pep-larger-orf35-50SimCLU3.txt", 3)</f>
        <v>3</v>
      </c>
      <c r="BQ183">
        <f>HYPERLINK("http://exon.niaid.nih.gov/transcriptome/Anopheles_sialome/links/cluster-b/anopheline-sialome-cds-pep-larger-orf35-50SimCLTL3.txt", 82)</f>
        <v>82</v>
      </c>
      <c r="BR183">
        <f>HYPERLINK("http://exon.niaid.nih.gov/transcriptome/Anopheles_sialome/links/cluster-b/anopheline-sialome-cds-pep-larger-orf40-50SimCLU3.txt", 3)</f>
        <v>3</v>
      </c>
      <c r="BS183">
        <f>HYPERLINK("http://exon.niaid.nih.gov/transcriptome/Anopheles_sialome/links/cluster-b/anopheline-sialome-cds-pep-larger-orf40-50SimCLTL3.txt", 82)</f>
        <v>82</v>
      </c>
      <c r="BT183">
        <f>HYPERLINK("http://exon.niaid.nih.gov/transcriptome/Anopheles_sialome/links/cluster-b/anopheline-sialome-cds-pep-larger-orf45-50SimCLU2.txt", 2)</f>
        <v>2</v>
      </c>
      <c r="BU183">
        <f>HYPERLINK("http://exon.niaid.nih.gov/transcriptome/Anopheles_sialome/links/cluster-b/anopheline-sialome-cds-pep-larger-orf45-50SimCLTL2.txt", 82)</f>
        <v>82</v>
      </c>
      <c r="BV183">
        <f>HYPERLINK("http://exon.niaid.nih.gov/transcriptome/Anopheles_sialome/links/cluster-b/anopheline-sialome-cds-pep-larger-orf50-50SimCLU2.txt", 2)</f>
        <v>2</v>
      </c>
      <c r="BW183">
        <f>HYPERLINK("http://exon.niaid.nih.gov/transcriptome/Anopheles_sialome/links/cluster-b/anopheline-sialome-cds-pep-larger-orf50-50SimCLTL2.txt", 82)</f>
        <v>82</v>
      </c>
      <c r="BX183">
        <f>HYPERLINK("http://exon.niaid.nih.gov/transcriptome/Anopheles_sialome/links/cluster-b/anopheline-sialome-cds-pep-larger-orf55-50SimCLU2.txt", 2)</f>
        <v>2</v>
      </c>
      <c r="BY183">
        <f>HYPERLINK("http://exon.niaid.nih.gov/transcriptome/Anopheles_sialome/links/cluster-b/anopheline-sialome-cds-pep-larger-orf55-50SimCLTL2.txt", 55)</f>
        <v>55</v>
      </c>
      <c r="BZ183">
        <f>HYPERLINK("http://exon.niaid.nih.gov/transcriptome/Anopheles_sialome/links/cluster-b/anopheline-sialome-cds-pep-larger-orf60-50SimCLU2.txt", 2)</f>
        <v>2</v>
      </c>
      <c r="CA183">
        <f>HYPERLINK("http://exon.niaid.nih.gov/transcriptome/Anopheles_sialome/links/cluster-b/anopheline-sialome-cds-pep-larger-orf60-50SimCLTL2.txt", 54)</f>
        <v>54</v>
      </c>
      <c r="CB183">
        <f>HYPERLINK("http://exon.niaid.nih.gov/transcriptome/Anopheles_sialome/links/cluster-b/anopheline-sialome-cds-pep-larger-orf65-50SimCLU14.txt", 14)</f>
        <v>14</v>
      </c>
      <c r="CC183">
        <f>HYPERLINK("http://exon.niaid.nih.gov/transcriptome/Anopheles_sialome/links/cluster-b/anopheline-sialome-cds-pep-larger-orf65-50SimCLTL14.txt", 18)</f>
        <v>18</v>
      </c>
      <c r="CD183">
        <f>HYPERLINK("http://exon.niaid.nih.gov/transcriptome/Anopheles_sialome/links/cluster-b/anopheline-sialome-cds-pep-larger-orf70-50SimCLU14.txt", 14)</f>
        <v>14</v>
      </c>
      <c r="CE183">
        <f>HYPERLINK("http://exon.niaid.nih.gov/transcriptome/Anopheles_sialome/links/cluster-b/anopheline-sialome-cds-pep-larger-orf70-50SimCLTL14.txt", 18)</f>
        <v>18</v>
      </c>
      <c r="CF183">
        <f>HYPERLINK("http://exon.niaid.nih.gov/transcriptome/Anopheles_sialome/links/cluster-b/anopheline-sialome-cds-pep-larger-orf75-50SimCLU8.txt", 8)</f>
        <v>8</v>
      </c>
      <c r="CG183">
        <f>HYPERLINK("http://exon.niaid.nih.gov/transcriptome/Anopheles_sialome/links/cluster-b/anopheline-sialome-cds-pep-larger-orf75-50SimCLTL8.txt", 18)</f>
        <v>18</v>
      </c>
      <c r="CH183">
        <f>HYPERLINK("http://exon.niaid.nih.gov/transcriptome/Anopheles_sialome/links/cluster-b/anopheline-sialome-cds-pep-larger-orf80-50SimCLU6.txt", 6)</f>
        <v>6</v>
      </c>
      <c r="CI183">
        <f>HYPERLINK("http://exon.niaid.nih.gov/transcriptome/Anopheles_sialome/links/cluster-b/anopheline-sialome-cds-pep-larger-orf80-50SimCLTL6.txt", 18)</f>
        <v>18</v>
      </c>
      <c r="CJ183">
        <f>HYPERLINK("http://exon.niaid.nih.gov/transcriptome/Anopheles_sialome/links/cluster-b/anopheline-sialome-cds-pep-larger-orf85-50SimCLU6.txt", 6)</f>
        <v>6</v>
      </c>
      <c r="CK183">
        <f>HYPERLINK("http://exon.niaid.nih.gov/transcriptome/Anopheles_sialome/links/cluster-b/anopheline-sialome-cds-pep-larger-orf85-50SimCLTL6.txt", 16)</f>
        <v>16</v>
      </c>
      <c r="CL183">
        <f>HYPERLINK("http://exon.niaid.nih.gov/transcriptome/Anopheles_sialome/links/cluster-b/anopheline-sialome-cds-pep-larger-orf90-50SimCLU6.txt", 6)</f>
        <v>6</v>
      </c>
      <c r="CM183">
        <f>HYPERLINK("http://exon.niaid.nih.gov/transcriptome/Anopheles_sialome/links/cluster-b/anopheline-sialome-cds-pep-larger-orf90-50SimCLTL6.txt", 13)</f>
        <v>13</v>
      </c>
      <c r="CN183">
        <f>HYPERLINK("http://exon.niaid.nih.gov/transcriptome/Anopheles_sialome/links/cluster-b/anopheline-sialome-cds-pep-larger-orf95-50SimCLU3.txt", 3)</f>
        <v>3</v>
      </c>
      <c r="CO183">
        <f>HYPERLINK("http://exon.niaid.nih.gov/transcriptome/Anopheles_sialome/links/cluster-b/anopheline-sialome-cds-pep-larger-orf95-50SimCLTL3.txt", 6)</f>
        <v>6</v>
      </c>
    </row>
    <row r="184" spans="1:93">
      <c r="A184" s="2" t="str">
        <f>HYPERLINK("http://exon.niaid.nih.gov/transcriptome/Anopheles_sialome/links/cds/anomel_gVAG-cds.txt","anomel_gVAG")</f>
        <v>anomel_gVAG</v>
      </c>
      <c r="B184">
        <v>783</v>
      </c>
      <c r="C184" t="s">
        <v>45</v>
      </c>
      <c r="D184" t="s">
        <v>7</v>
      </c>
      <c r="E184" t="s">
        <v>5</v>
      </c>
      <c r="F184" t="s">
        <v>1</v>
      </c>
      <c r="G184" t="str">
        <f>HYPERLINK("http://exon.niaid.nih.gov/transcriptome/Anopheles_sialome/links/pep/anomel_gVAG-pep.txt","anomel_gVAG")</f>
        <v>anomel_gVAG</v>
      </c>
      <c r="H184">
        <v>260</v>
      </c>
      <c r="I184">
        <v>2</v>
      </c>
      <c r="J184" s="3" t="str">
        <f>HYPERLINK("http://exon.niaid.nih.gov/transcriptome/Anopheles_sialome/links/Sigp/anomel_gVAG-SigP.txt","SIG")</f>
        <v>SIG</v>
      </c>
      <c r="K184" t="s">
        <v>692</v>
      </c>
      <c r="L184">
        <v>28.94</v>
      </c>
      <c r="M184">
        <v>9.07</v>
      </c>
      <c r="N184">
        <v>26.928000000000001</v>
      </c>
      <c r="O184">
        <v>9.1199999999999992</v>
      </c>
      <c r="P184" t="s">
        <v>738</v>
      </c>
      <c r="Q184" s="3" t="str">
        <f>HYPERLINK("http://exon.niaid.nih.gov/transcriptome/Anopheles_sialome/links/tmhmm/anomel_gVAG-tmhmm.txt","1")</f>
        <v>1</v>
      </c>
      <c r="R184">
        <v>8.5</v>
      </c>
      <c r="S184">
        <v>90.8</v>
      </c>
      <c r="T184">
        <v>0.8</v>
      </c>
      <c r="U184" t="s">
        <v>128</v>
      </c>
      <c r="V184">
        <v>236</v>
      </c>
      <c r="W184" s="3" t="str">
        <f>HYPERLINK("http://exon.niaid.nih.gov/transcriptome/Anopheles_sialome/links/netoglyc/anomel_gVAG-netoglyc.txt","1")</f>
        <v>1</v>
      </c>
      <c r="X184">
        <v>15</v>
      </c>
      <c r="Y184">
        <v>7.7</v>
      </c>
      <c r="Z184">
        <v>6.9</v>
      </c>
      <c r="AA184" t="s">
        <v>654</v>
      </c>
      <c r="AB184" t="s">
        <v>128</v>
      </c>
      <c r="AC184" s="2" t="str">
        <f>HYPERLINK("http://exon.niaid.nih.gov/transcriptome/Anopheles_sialome/links/DIPTERA/anomel_gVAG-DIPTERA.txt","putative gVAG protein precursor")</f>
        <v>putative gVAG protein precursor</v>
      </c>
      <c r="AD184" t="str">
        <f>HYPERLINK("http://www.ncbi.nlm.nih.gov/sutils/blink.cgi?pid=34556108","1E-155")</f>
        <v>1E-155</v>
      </c>
      <c r="AE184" t="str">
        <f>HYPERLINK("http://www.ncbi.nlm.nih.gov/protein/34556108","gi|34556108")</f>
        <v>gi|34556108</v>
      </c>
      <c r="AF184">
        <v>98</v>
      </c>
      <c r="AG184">
        <v>100</v>
      </c>
      <c r="AH184">
        <v>100</v>
      </c>
      <c r="AI184" t="s">
        <v>2254</v>
      </c>
      <c r="AJ184" s="2" t="str">
        <f>HYPERLINK("http://exon.niaid.nih.gov/transcriptome/Anopheles_sialome/links/CULICOMORPHA/anomel_gVAG-CULICOMORPHA.txt","putative gVAG protein precursor")</f>
        <v>putative gVAG protein precursor</v>
      </c>
      <c r="AK184" t="str">
        <f>HYPERLINK("http://www.ncbi.nlm.nih.gov/sutils/blink.cgi?pid=34556108","1E-156")</f>
        <v>1E-156</v>
      </c>
      <c r="AL184" t="str">
        <f>HYPERLINK("http://www.ncbi.nlm.nih.gov/protein/34556108","gi|34556108")</f>
        <v>gi|34556108</v>
      </c>
      <c r="AM184">
        <v>98</v>
      </c>
      <c r="AN184">
        <v>100</v>
      </c>
      <c r="AO184">
        <v>100</v>
      </c>
      <c r="AP184" t="s">
        <v>2254</v>
      </c>
      <c r="AQ184" s="2" t="str">
        <f>HYPERLINK("http://exon.niaid.nih.gov/transcriptome/Anopheles_sialome/links/NR-LIGHT/anomel_gVAG-NR-LIGHT.txt","putative gVAG protein precursor")</f>
        <v>putative gVAG protein precursor</v>
      </c>
      <c r="AR184" t="str">
        <f>HYPERLINK("http://www.ncbi.nlm.nih.gov/sutils/blink.cgi?pid=34556108","1E-155")</f>
        <v>1E-155</v>
      </c>
      <c r="AS184" t="str">
        <f>HYPERLINK("http://www.ncbi.nlm.nih.gov/protein/34556108","gi|34556108")</f>
        <v>gi|34556108</v>
      </c>
      <c r="AT184">
        <v>98</v>
      </c>
      <c r="AU184">
        <v>100</v>
      </c>
      <c r="AV184">
        <v>100</v>
      </c>
      <c r="AW184" t="s">
        <v>2254</v>
      </c>
      <c r="AX184" s="2" t="str">
        <f>HYPERLINK("http://exon.niaid.nih.gov/transcriptome/Anopheles_sialome/links/CDD/anomel_gVAG-CDD.txt","SCP_euk")</f>
        <v>SCP_euk</v>
      </c>
      <c r="AY184" t="str">
        <f>HYPERLINK("http://www.ncbi.nlm.nih.gov/Structure/cdd/cddsrv.cgi?uid=cd05380&amp;version=v4.0","9E-039")</f>
        <v>9E-039</v>
      </c>
      <c r="AZ184" t="s">
        <v>2321</v>
      </c>
      <c r="BA184" s="2" t="str">
        <f>HYPERLINK("http://exon.niaid.nih.gov/transcriptome/Anopheles_sialome/links/KOG/anomel_gVAG-KOG.txt","Defense-related protein containing SCP domain")</f>
        <v>Defense-related protein containing SCP domain</v>
      </c>
      <c r="BB184" t="str">
        <f>HYPERLINK("http://www.ncbi.nlm.nih.gov/Structure/cdd/cddsrv.cgi?uid=KOG3017","4E-027")</f>
        <v>4E-027</v>
      </c>
      <c r="BC184" t="s">
        <v>2304</v>
      </c>
      <c r="BD184" t="str">
        <f>HYPERLINK("http://exon.niaid.nih.gov/transcriptome/Anopheles_sialome/links/KOG/anomel_gVAG-KOG.txt","KOG3017")</f>
        <v>KOG3017</v>
      </c>
      <c r="BE184" t="str">
        <f>HYPERLINK("http://exon.niaid.nih.gov/transcriptome/Anopheles_sialome/links/PFAM/anomel_gVAG-PFAM.txt","CAP")</f>
        <v>CAP</v>
      </c>
      <c r="BF184" t="str">
        <f>HYPERLINK("http://pfam.sanger.ac.uk/family?acc=PF00188","5E-013")</f>
        <v>5E-013</v>
      </c>
      <c r="BG184" s="2" t="str">
        <f>HYPERLINK("http://exon.niaid.nih.gov/transcriptome/Anopheles_sialome/links/SMART/anomel_gVAG-SMART.txt","SCP")</f>
        <v>SCP</v>
      </c>
      <c r="BH184" t="str">
        <f>HYPERLINK("http://smart.embl-heidelberg.de/smart/do_annotation.pl?DOMAIN=SCP&amp;BLAST=DUMMY","6E-025")</f>
        <v>6E-025</v>
      </c>
      <c r="BI184" t="s">
        <v>128</v>
      </c>
      <c r="BJ184" s="2" t="s">
        <v>128</v>
      </c>
      <c r="BK184" t="s">
        <v>737</v>
      </c>
      <c r="BL184">
        <f>HYPERLINK("http://exon.niaid.nih.gov/transcriptome/Anopheles_sialome/links/cluster-b/anopheline-sialome-cds-pep-larger-orf25-50SimCLU4.txt", 4)</f>
        <v>4</v>
      </c>
      <c r="BM184">
        <f>HYPERLINK("http://exon.niaid.nih.gov/transcriptome/Anopheles_sialome/links/cluster-b/anopheline-sialome-cds-pep-larger-orf25-50SimCLTL4.txt", 82)</f>
        <v>82</v>
      </c>
      <c r="BN184">
        <f>HYPERLINK("http://exon.niaid.nih.gov/transcriptome/Anopheles_sialome/links/cluster-b/anopheline-sialome-cds-pep-larger-orf30-50SimCLU4.txt", 4)</f>
        <v>4</v>
      </c>
      <c r="BO184">
        <f>HYPERLINK("http://exon.niaid.nih.gov/transcriptome/Anopheles_sialome/links/cluster-b/anopheline-sialome-cds-pep-larger-orf30-50SimCLTL4.txt", 82)</f>
        <v>82</v>
      </c>
      <c r="BP184">
        <f>HYPERLINK("http://exon.niaid.nih.gov/transcriptome/Anopheles_sialome/links/cluster-b/anopheline-sialome-cds-pep-larger-orf35-50SimCLU3.txt", 3)</f>
        <v>3</v>
      </c>
      <c r="BQ184">
        <f>HYPERLINK("http://exon.niaid.nih.gov/transcriptome/Anopheles_sialome/links/cluster-b/anopheline-sialome-cds-pep-larger-orf35-50SimCLTL3.txt", 82)</f>
        <v>82</v>
      </c>
      <c r="BR184">
        <f>HYPERLINK("http://exon.niaid.nih.gov/transcriptome/Anopheles_sialome/links/cluster-b/anopheline-sialome-cds-pep-larger-orf40-50SimCLU3.txt", 3)</f>
        <v>3</v>
      </c>
      <c r="BS184">
        <f>HYPERLINK("http://exon.niaid.nih.gov/transcriptome/Anopheles_sialome/links/cluster-b/anopheline-sialome-cds-pep-larger-orf40-50SimCLTL3.txt", 82)</f>
        <v>82</v>
      </c>
      <c r="BT184">
        <f>HYPERLINK("http://exon.niaid.nih.gov/transcriptome/Anopheles_sialome/links/cluster-b/anopheline-sialome-cds-pep-larger-orf45-50SimCLU2.txt", 2)</f>
        <v>2</v>
      </c>
      <c r="BU184">
        <f>HYPERLINK("http://exon.niaid.nih.gov/transcriptome/Anopheles_sialome/links/cluster-b/anopheline-sialome-cds-pep-larger-orf45-50SimCLTL2.txt", 82)</f>
        <v>82</v>
      </c>
      <c r="BV184">
        <f>HYPERLINK("http://exon.niaid.nih.gov/transcriptome/Anopheles_sialome/links/cluster-b/anopheline-sialome-cds-pep-larger-orf50-50SimCLU2.txt", 2)</f>
        <v>2</v>
      </c>
      <c r="BW184">
        <f>HYPERLINK("http://exon.niaid.nih.gov/transcriptome/Anopheles_sialome/links/cluster-b/anopheline-sialome-cds-pep-larger-orf50-50SimCLTL2.txt", 82)</f>
        <v>82</v>
      </c>
      <c r="BX184">
        <f>HYPERLINK("http://exon.niaid.nih.gov/transcriptome/Anopheles_sialome/links/cluster-b/anopheline-sialome-cds-pep-larger-orf55-50SimCLU2.txt", 2)</f>
        <v>2</v>
      </c>
      <c r="BY184">
        <f>HYPERLINK("http://exon.niaid.nih.gov/transcriptome/Anopheles_sialome/links/cluster-b/anopheline-sialome-cds-pep-larger-orf55-50SimCLTL2.txt", 55)</f>
        <v>55</v>
      </c>
      <c r="BZ184">
        <f>HYPERLINK("http://exon.niaid.nih.gov/transcriptome/Anopheles_sialome/links/cluster-b/anopheline-sialome-cds-pep-larger-orf60-50SimCLU2.txt", 2)</f>
        <v>2</v>
      </c>
      <c r="CA184">
        <f>HYPERLINK("http://exon.niaid.nih.gov/transcriptome/Anopheles_sialome/links/cluster-b/anopheline-sialome-cds-pep-larger-orf60-50SimCLTL2.txt", 54)</f>
        <v>54</v>
      </c>
      <c r="CB184">
        <f>HYPERLINK("http://exon.niaid.nih.gov/transcriptome/Anopheles_sialome/links/cluster-b/anopheline-sialome-cds-pep-larger-orf65-50SimCLU14.txt", 14)</f>
        <v>14</v>
      </c>
      <c r="CC184">
        <f>HYPERLINK("http://exon.niaid.nih.gov/transcriptome/Anopheles_sialome/links/cluster-b/anopheline-sialome-cds-pep-larger-orf65-50SimCLTL14.txt", 18)</f>
        <v>18</v>
      </c>
      <c r="CD184">
        <f>HYPERLINK("http://exon.niaid.nih.gov/transcriptome/Anopheles_sialome/links/cluster-b/anopheline-sialome-cds-pep-larger-orf70-50SimCLU14.txt", 14)</f>
        <v>14</v>
      </c>
      <c r="CE184">
        <f>HYPERLINK("http://exon.niaid.nih.gov/transcriptome/Anopheles_sialome/links/cluster-b/anopheline-sialome-cds-pep-larger-orf70-50SimCLTL14.txt", 18)</f>
        <v>18</v>
      </c>
      <c r="CF184">
        <f>HYPERLINK("http://exon.niaid.nih.gov/transcriptome/Anopheles_sialome/links/cluster-b/anopheline-sialome-cds-pep-larger-orf75-50SimCLU8.txt", 8)</f>
        <v>8</v>
      </c>
      <c r="CG184">
        <f>HYPERLINK("http://exon.niaid.nih.gov/transcriptome/Anopheles_sialome/links/cluster-b/anopheline-sialome-cds-pep-larger-orf75-50SimCLTL8.txt", 18)</f>
        <v>18</v>
      </c>
      <c r="CH184">
        <f>HYPERLINK("http://exon.niaid.nih.gov/transcriptome/Anopheles_sialome/links/cluster-b/anopheline-sialome-cds-pep-larger-orf80-50SimCLU6.txt", 6)</f>
        <v>6</v>
      </c>
      <c r="CI184">
        <f>HYPERLINK("http://exon.niaid.nih.gov/transcriptome/Anopheles_sialome/links/cluster-b/anopheline-sialome-cds-pep-larger-orf80-50SimCLTL6.txt", 18)</f>
        <v>18</v>
      </c>
      <c r="CJ184">
        <f>HYPERLINK("http://exon.niaid.nih.gov/transcriptome/Anopheles_sialome/links/cluster-b/anopheline-sialome-cds-pep-larger-orf85-50SimCLU6.txt", 6)</f>
        <v>6</v>
      </c>
      <c r="CK184">
        <f>HYPERLINK("http://exon.niaid.nih.gov/transcriptome/Anopheles_sialome/links/cluster-b/anopheline-sialome-cds-pep-larger-orf85-50SimCLTL6.txt", 16)</f>
        <v>16</v>
      </c>
      <c r="CL184">
        <f>HYPERLINK("http://exon.niaid.nih.gov/transcriptome/Anopheles_sialome/links/cluster-b/anopheline-sialome-cds-pep-larger-orf90-50SimCLU6.txt", 6)</f>
        <v>6</v>
      </c>
      <c r="CM184">
        <f>HYPERLINK("http://exon.niaid.nih.gov/transcriptome/Anopheles_sialome/links/cluster-b/anopheline-sialome-cds-pep-larger-orf90-50SimCLTL6.txt", 13)</f>
        <v>13</v>
      </c>
      <c r="CN184">
        <f>HYPERLINK("http://exon.niaid.nih.gov/transcriptome/Anopheles_sialome/links/cluster-b/anopheline-sialome-cds-pep-larger-orf95-50SimCLU3.txt", 3)</f>
        <v>3</v>
      </c>
      <c r="CO184">
        <f>HYPERLINK("http://exon.niaid.nih.gov/transcriptome/Anopheles_sialome/links/cluster-b/anopheline-sialome-cds-pep-larger-orf95-50SimCLTL3.txt", 6)</f>
        <v>6</v>
      </c>
    </row>
    <row r="185" spans="1:93">
      <c r="A185" s="2" t="str">
        <f>HYPERLINK("http://exon.niaid.nih.gov/transcriptome/Anopheles_sialome/links/cds/anochris_gVAG-cds.txt","anochris_gVAG")</f>
        <v>anochris_gVAG</v>
      </c>
      <c r="B185">
        <v>783</v>
      </c>
      <c r="C185" t="s">
        <v>46</v>
      </c>
      <c r="D185" t="s">
        <v>7</v>
      </c>
      <c r="E185" t="s">
        <v>5</v>
      </c>
      <c r="F185" t="s">
        <v>1</v>
      </c>
      <c r="G185" t="str">
        <f>HYPERLINK("http://exon.niaid.nih.gov/transcriptome/Anopheles_sialome/links/pep/anochris_gVAG-pep.txt","anochris_gVAG")</f>
        <v>anochris_gVAG</v>
      </c>
      <c r="H185">
        <v>260</v>
      </c>
      <c r="I185">
        <v>1</v>
      </c>
      <c r="J185" s="3" t="str">
        <f>HYPERLINK("http://exon.niaid.nih.gov/transcriptome/Anopheles_sialome/links/Sigp/anochris_gVAG-SigP.txt","SIG")</f>
        <v>SIG</v>
      </c>
      <c r="K185" t="s">
        <v>692</v>
      </c>
      <c r="L185">
        <v>29.116</v>
      </c>
      <c r="M185">
        <v>8.99</v>
      </c>
      <c r="N185">
        <v>26.981999999999999</v>
      </c>
      <c r="O185">
        <v>9.1199999999999992</v>
      </c>
      <c r="P185" t="s">
        <v>740</v>
      </c>
      <c r="Q185" s="3">
        <v>0</v>
      </c>
      <c r="R185" t="s">
        <v>128</v>
      </c>
      <c r="S185" t="s">
        <v>128</v>
      </c>
      <c r="T185" t="s">
        <v>128</v>
      </c>
      <c r="U185" t="s">
        <v>128</v>
      </c>
      <c r="V185" t="s">
        <v>128</v>
      </c>
      <c r="W185" s="3" t="str">
        <f>HYPERLINK("http://exon.niaid.nih.gov/transcriptome/Anopheles_sialome/links/netoglyc/anochris_gVAG-netoglyc.txt","2")</f>
        <v>2</v>
      </c>
      <c r="X185">
        <v>14.2</v>
      </c>
      <c r="Y185">
        <v>8.1</v>
      </c>
      <c r="Z185">
        <v>6.5</v>
      </c>
      <c r="AA185" t="s">
        <v>654</v>
      </c>
      <c r="AB185" t="s">
        <v>128</v>
      </c>
      <c r="AC185" s="2" t="str">
        <f>HYPERLINK("http://exon.niaid.nih.gov/transcriptome/Anopheles_sialome/links/DIPTERA/anochris_gVAG-DIPTERA.txt","putative gVAG protein precursor")</f>
        <v>putative gVAG protein precursor</v>
      </c>
      <c r="AD185" t="str">
        <f>HYPERLINK("http://www.ncbi.nlm.nih.gov/sutils/blink.cgi?pid=34556108","1E-144")</f>
        <v>1E-144</v>
      </c>
      <c r="AE185" t="str">
        <f>HYPERLINK("http://www.ncbi.nlm.nih.gov/protein/34556108","gi|34556108")</f>
        <v>gi|34556108</v>
      </c>
      <c r="AF185">
        <v>91</v>
      </c>
      <c r="AG185">
        <v>94</v>
      </c>
      <c r="AH185">
        <v>100</v>
      </c>
      <c r="AI185" t="s">
        <v>2254</v>
      </c>
      <c r="AJ185" s="2" t="str">
        <f>HYPERLINK("http://exon.niaid.nih.gov/transcriptome/Anopheles_sialome/links/CULICOMORPHA/anochris_gVAG-CULICOMORPHA.txt","putative gVAG protein precursor")</f>
        <v>putative gVAG protein precursor</v>
      </c>
      <c r="AK185" t="str">
        <f>HYPERLINK("http://www.ncbi.nlm.nih.gov/sutils/blink.cgi?pid=34556108","1E-145")</f>
        <v>1E-145</v>
      </c>
      <c r="AL185" t="str">
        <f>HYPERLINK("http://www.ncbi.nlm.nih.gov/protein/34556108","gi|34556108")</f>
        <v>gi|34556108</v>
      </c>
      <c r="AM185">
        <v>91</v>
      </c>
      <c r="AN185">
        <v>94</v>
      </c>
      <c r="AO185">
        <v>100</v>
      </c>
      <c r="AP185" t="s">
        <v>2254</v>
      </c>
      <c r="AQ185" s="2" t="str">
        <f>HYPERLINK("http://exon.niaid.nih.gov/transcriptome/Anopheles_sialome/links/NR-LIGHT/anochris_gVAG-NR-LIGHT.txt","putative gVAG protein precursor")</f>
        <v>putative gVAG protein precursor</v>
      </c>
      <c r="AR185" t="str">
        <f>HYPERLINK("http://www.ncbi.nlm.nih.gov/sutils/blink.cgi?pid=34556108","1E-143")</f>
        <v>1E-143</v>
      </c>
      <c r="AS185" t="str">
        <f>HYPERLINK("http://www.ncbi.nlm.nih.gov/protein/34556108","gi|34556108")</f>
        <v>gi|34556108</v>
      </c>
      <c r="AT185">
        <v>91</v>
      </c>
      <c r="AU185">
        <v>94</v>
      </c>
      <c r="AV185">
        <v>100</v>
      </c>
      <c r="AW185" t="s">
        <v>2254</v>
      </c>
      <c r="AX185" s="2" t="str">
        <f>HYPERLINK("http://exon.niaid.nih.gov/transcriptome/Anopheles_sialome/links/CDD/anochris_gVAG-CDD.txt","SCP_euk")</f>
        <v>SCP_euk</v>
      </c>
      <c r="AY185" t="str">
        <f>HYPERLINK("http://www.ncbi.nlm.nih.gov/Structure/cdd/cddsrv.cgi?uid=cd05380&amp;version=v4.0","3E-038")</f>
        <v>3E-038</v>
      </c>
      <c r="AZ185" t="s">
        <v>2322</v>
      </c>
      <c r="BA185" s="2" t="str">
        <f>HYPERLINK("http://exon.niaid.nih.gov/transcriptome/Anopheles_sialome/links/KOG/anochris_gVAG-KOG.txt","Defense-related protein containing SCP domain")</f>
        <v>Defense-related protein containing SCP domain</v>
      </c>
      <c r="BB185" t="str">
        <f>HYPERLINK("http://www.ncbi.nlm.nih.gov/Structure/cdd/cddsrv.cgi?uid=KOG3017","2E-025")</f>
        <v>2E-025</v>
      </c>
      <c r="BC185" t="s">
        <v>2304</v>
      </c>
      <c r="BD185" t="str">
        <f>HYPERLINK("http://exon.niaid.nih.gov/transcriptome/Anopheles_sialome/links/KOG/anochris_gVAG-KOG.txt","KOG3017")</f>
        <v>KOG3017</v>
      </c>
      <c r="BE185" t="str">
        <f>HYPERLINK("http://exon.niaid.nih.gov/transcriptome/Anopheles_sialome/links/PFAM/anochris_gVAG-PFAM.txt","CAP")</f>
        <v>CAP</v>
      </c>
      <c r="BF185" t="str">
        <f>HYPERLINK("http://pfam.sanger.ac.uk/family?acc=PF00188","6E-013")</f>
        <v>6E-013</v>
      </c>
      <c r="BG185" s="2" t="str">
        <f>HYPERLINK("http://exon.niaid.nih.gov/transcriptome/Anopheles_sialome/links/SMART/anochris_gVAG-SMART.txt","SCP")</f>
        <v>SCP</v>
      </c>
      <c r="BH185" t="str">
        <f>HYPERLINK("http://smart.embl-heidelberg.de/smart/do_annotation.pl?DOMAIN=SCP&amp;BLAST=DUMMY","4E-025")</f>
        <v>4E-025</v>
      </c>
      <c r="BI185" t="s">
        <v>128</v>
      </c>
      <c r="BJ185" s="2" t="s">
        <v>128</v>
      </c>
      <c r="BK185" t="s">
        <v>739</v>
      </c>
      <c r="BL185">
        <f>HYPERLINK("http://exon.niaid.nih.gov/transcriptome/Anopheles_sialome/links/cluster-b/anopheline-sialome-cds-pep-larger-orf25-50SimCLU4.txt", 4)</f>
        <v>4</v>
      </c>
      <c r="BM185">
        <f>HYPERLINK("http://exon.niaid.nih.gov/transcriptome/Anopheles_sialome/links/cluster-b/anopheline-sialome-cds-pep-larger-orf25-50SimCLTL4.txt", 82)</f>
        <v>82</v>
      </c>
      <c r="BN185">
        <f>HYPERLINK("http://exon.niaid.nih.gov/transcriptome/Anopheles_sialome/links/cluster-b/anopheline-sialome-cds-pep-larger-orf30-50SimCLU4.txt", 4)</f>
        <v>4</v>
      </c>
      <c r="BO185">
        <f>HYPERLINK("http://exon.niaid.nih.gov/transcriptome/Anopheles_sialome/links/cluster-b/anopheline-sialome-cds-pep-larger-orf30-50SimCLTL4.txt", 82)</f>
        <v>82</v>
      </c>
      <c r="BP185">
        <f>HYPERLINK("http://exon.niaid.nih.gov/transcriptome/Anopheles_sialome/links/cluster-b/anopheline-sialome-cds-pep-larger-orf35-50SimCLU3.txt", 3)</f>
        <v>3</v>
      </c>
      <c r="BQ185">
        <f>HYPERLINK("http://exon.niaid.nih.gov/transcriptome/Anopheles_sialome/links/cluster-b/anopheline-sialome-cds-pep-larger-orf35-50SimCLTL3.txt", 82)</f>
        <v>82</v>
      </c>
      <c r="BR185">
        <f>HYPERLINK("http://exon.niaid.nih.gov/transcriptome/Anopheles_sialome/links/cluster-b/anopheline-sialome-cds-pep-larger-orf40-50SimCLU3.txt", 3)</f>
        <v>3</v>
      </c>
      <c r="BS185">
        <f>HYPERLINK("http://exon.niaid.nih.gov/transcriptome/Anopheles_sialome/links/cluster-b/anopheline-sialome-cds-pep-larger-orf40-50SimCLTL3.txt", 82)</f>
        <v>82</v>
      </c>
      <c r="BT185">
        <f>HYPERLINK("http://exon.niaid.nih.gov/transcriptome/Anopheles_sialome/links/cluster-b/anopheline-sialome-cds-pep-larger-orf45-50SimCLU2.txt", 2)</f>
        <v>2</v>
      </c>
      <c r="BU185">
        <f>HYPERLINK("http://exon.niaid.nih.gov/transcriptome/Anopheles_sialome/links/cluster-b/anopheline-sialome-cds-pep-larger-orf45-50SimCLTL2.txt", 82)</f>
        <v>82</v>
      </c>
      <c r="BV185">
        <f>HYPERLINK("http://exon.niaid.nih.gov/transcriptome/Anopheles_sialome/links/cluster-b/anopheline-sialome-cds-pep-larger-orf50-50SimCLU2.txt", 2)</f>
        <v>2</v>
      </c>
      <c r="BW185">
        <f>HYPERLINK("http://exon.niaid.nih.gov/transcriptome/Anopheles_sialome/links/cluster-b/anopheline-sialome-cds-pep-larger-orf50-50SimCLTL2.txt", 82)</f>
        <v>82</v>
      </c>
      <c r="BX185">
        <f>HYPERLINK("http://exon.niaid.nih.gov/transcriptome/Anopheles_sialome/links/cluster-b/anopheline-sialome-cds-pep-larger-orf55-50SimCLU2.txt", 2)</f>
        <v>2</v>
      </c>
      <c r="BY185">
        <f>HYPERLINK("http://exon.niaid.nih.gov/transcriptome/Anopheles_sialome/links/cluster-b/anopheline-sialome-cds-pep-larger-orf55-50SimCLTL2.txt", 55)</f>
        <v>55</v>
      </c>
      <c r="BZ185">
        <f>HYPERLINK("http://exon.niaid.nih.gov/transcriptome/Anopheles_sialome/links/cluster-b/anopheline-sialome-cds-pep-larger-orf60-50SimCLU2.txt", 2)</f>
        <v>2</v>
      </c>
      <c r="CA185">
        <f>HYPERLINK("http://exon.niaid.nih.gov/transcriptome/Anopheles_sialome/links/cluster-b/anopheline-sialome-cds-pep-larger-orf60-50SimCLTL2.txt", 54)</f>
        <v>54</v>
      </c>
      <c r="CB185">
        <f>HYPERLINK("http://exon.niaid.nih.gov/transcriptome/Anopheles_sialome/links/cluster-b/anopheline-sialome-cds-pep-larger-orf65-50SimCLU14.txt", 14)</f>
        <v>14</v>
      </c>
      <c r="CC185">
        <f>HYPERLINK("http://exon.niaid.nih.gov/transcriptome/Anopheles_sialome/links/cluster-b/anopheline-sialome-cds-pep-larger-orf65-50SimCLTL14.txt", 18)</f>
        <v>18</v>
      </c>
      <c r="CD185">
        <f>HYPERLINK("http://exon.niaid.nih.gov/transcriptome/Anopheles_sialome/links/cluster-b/anopheline-sialome-cds-pep-larger-orf70-50SimCLU14.txt", 14)</f>
        <v>14</v>
      </c>
      <c r="CE185">
        <f>HYPERLINK("http://exon.niaid.nih.gov/transcriptome/Anopheles_sialome/links/cluster-b/anopheline-sialome-cds-pep-larger-orf70-50SimCLTL14.txt", 18)</f>
        <v>18</v>
      </c>
      <c r="CF185">
        <f>HYPERLINK("http://exon.niaid.nih.gov/transcriptome/Anopheles_sialome/links/cluster-b/anopheline-sialome-cds-pep-larger-orf75-50SimCLU8.txt", 8)</f>
        <v>8</v>
      </c>
      <c r="CG185">
        <f>HYPERLINK("http://exon.niaid.nih.gov/transcriptome/Anopheles_sialome/links/cluster-b/anopheline-sialome-cds-pep-larger-orf75-50SimCLTL8.txt", 18)</f>
        <v>18</v>
      </c>
      <c r="CH185">
        <f>HYPERLINK("http://exon.niaid.nih.gov/transcriptome/Anopheles_sialome/links/cluster-b/anopheline-sialome-cds-pep-larger-orf80-50SimCLU6.txt", 6)</f>
        <v>6</v>
      </c>
      <c r="CI185">
        <f>HYPERLINK("http://exon.niaid.nih.gov/transcriptome/Anopheles_sialome/links/cluster-b/anopheline-sialome-cds-pep-larger-orf80-50SimCLTL6.txt", 18)</f>
        <v>18</v>
      </c>
      <c r="CJ185">
        <f>HYPERLINK("http://exon.niaid.nih.gov/transcriptome/Anopheles_sialome/links/cluster-b/anopheline-sialome-cds-pep-larger-orf85-50SimCLU6.txt", 6)</f>
        <v>6</v>
      </c>
      <c r="CK185">
        <f>HYPERLINK("http://exon.niaid.nih.gov/transcriptome/Anopheles_sialome/links/cluster-b/anopheline-sialome-cds-pep-larger-orf85-50SimCLTL6.txt", 16)</f>
        <v>16</v>
      </c>
      <c r="CL185">
        <f>HYPERLINK("http://exon.niaid.nih.gov/transcriptome/Anopheles_sialome/links/cluster-b/anopheline-sialome-cds-pep-larger-orf90-50SimCLU6.txt", 6)</f>
        <v>6</v>
      </c>
      <c r="CM185">
        <f>HYPERLINK("http://exon.niaid.nih.gov/transcriptome/Anopheles_sialome/links/cluster-b/anopheline-sialome-cds-pep-larger-orf90-50SimCLTL6.txt", 13)</f>
        <v>13</v>
      </c>
      <c r="CN185">
        <v>92</v>
      </c>
      <c r="CO185">
        <v>1</v>
      </c>
    </row>
    <row r="186" spans="1:93">
      <c r="A186" s="2" t="str">
        <f>HYPERLINK("http://exon.niaid.nih.gov/transcriptome/Anopheles_sialome/links/cds/anoepi_gVAG-cds.txt","anoepi_gVAG")</f>
        <v>anoepi_gVAG</v>
      </c>
      <c r="B186">
        <v>786</v>
      </c>
      <c r="C186" t="s">
        <v>47</v>
      </c>
      <c r="D186" t="s">
        <v>7</v>
      </c>
      <c r="E186" t="s">
        <v>5</v>
      </c>
      <c r="F186" t="s">
        <v>1</v>
      </c>
      <c r="G186" t="str">
        <f>HYPERLINK("http://exon.niaid.nih.gov/transcriptome/Anopheles_sialome/links/pep/anoepi_gVAG-pep.txt","anoepi_gVAG")</f>
        <v>anoepi_gVAG</v>
      </c>
      <c r="H186">
        <v>261</v>
      </c>
      <c r="I186">
        <v>1</v>
      </c>
      <c r="J186" s="3" t="str">
        <f>HYPERLINK("http://exon.niaid.nih.gov/transcriptome/Anopheles_sialome/links/Sigp/anoepi_gVAG-SigP.txt","SIG")</f>
        <v>SIG</v>
      </c>
      <c r="K186" t="s">
        <v>689</v>
      </c>
      <c r="L186">
        <v>29.024000000000001</v>
      </c>
      <c r="M186">
        <v>9.23</v>
      </c>
      <c r="N186">
        <v>26.87</v>
      </c>
      <c r="O186">
        <v>9.1999999999999993</v>
      </c>
      <c r="P186" t="s">
        <v>742</v>
      </c>
      <c r="Q186" s="3">
        <v>0</v>
      </c>
      <c r="R186" t="s">
        <v>128</v>
      </c>
      <c r="S186" t="s">
        <v>128</v>
      </c>
      <c r="T186" t="s">
        <v>128</v>
      </c>
      <c r="U186" t="s">
        <v>128</v>
      </c>
      <c r="V186" t="s">
        <v>128</v>
      </c>
      <c r="W186" s="3" t="str">
        <f>HYPERLINK("http://exon.niaid.nih.gov/transcriptome/Anopheles_sialome/links/netoglyc/anoepi_gVAG-netoglyc.txt","1")</f>
        <v>1</v>
      </c>
      <c r="X186">
        <v>15.7</v>
      </c>
      <c r="Y186">
        <v>6.9</v>
      </c>
      <c r="Z186">
        <v>6.5</v>
      </c>
      <c r="AA186" t="s">
        <v>654</v>
      </c>
      <c r="AB186" t="s">
        <v>128</v>
      </c>
      <c r="AC186" s="2" t="str">
        <f>HYPERLINK("http://exon.niaid.nih.gov/transcriptome/Anopheles_sialome/links/DIPTERA/anoepi_gVAG-DIPTERA.txt","putative gVAG protein precursor")</f>
        <v>putative gVAG protein precursor</v>
      </c>
      <c r="AD186" t="str">
        <f>HYPERLINK("http://www.ncbi.nlm.nih.gov/sutils/blink.cgi?pid=34556108","1E-141")</f>
        <v>1E-141</v>
      </c>
      <c r="AE186" t="str">
        <f>HYPERLINK("http://www.ncbi.nlm.nih.gov/protein/34556108","gi|34556108")</f>
        <v>gi|34556108</v>
      </c>
      <c r="AF186">
        <v>90</v>
      </c>
      <c r="AG186">
        <v>93</v>
      </c>
      <c r="AH186">
        <v>100</v>
      </c>
      <c r="AI186" t="s">
        <v>2254</v>
      </c>
      <c r="AJ186" s="2" t="str">
        <f>HYPERLINK("http://exon.niaid.nih.gov/transcriptome/Anopheles_sialome/links/CULICOMORPHA/anoepi_gVAG-CULICOMORPHA.txt","putative gVAG protein precursor")</f>
        <v>putative gVAG protein precursor</v>
      </c>
      <c r="AK186" t="str">
        <f>HYPERLINK("http://www.ncbi.nlm.nih.gov/sutils/blink.cgi?pid=34556108","1E-142")</f>
        <v>1E-142</v>
      </c>
      <c r="AL186" t="str">
        <f>HYPERLINK("http://www.ncbi.nlm.nih.gov/protein/34556108","gi|34556108")</f>
        <v>gi|34556108</v>
      </c>
      <c r="AM186">
        <v>90</v>
      </c>
      <c r="AN186">
        <v>93</v>
      </c>
      <c r="AO186">
        <v>100</v>
      </c>
      <c r="AP186" t="s">
        <v>2254</v>
      </c>
      <c r="AQ186" s="2" t="str">
        <f>HYPERLINK("http://exon.niaid.nih.gov/transcriptome/Anopheles_sialome/links/NR-LIGHT/anoepi_gVAG-NR-LIGHT.txt","putative gVAG protein precursor")</f>
        <v>putative gVAG protein precursor</v>
      </c>
      <c r="AR186" t="str">
        <f>HYPERLINK("http://www.ncbi.nlm.nih.gov/sutils/blink.cgi?pid=34556108","1E-140")</f>
        <v>1E-140</v>
      </c>
      <c r="AS186" t="str">
        <f>HYPERLINK("http://www.ncbi.nlm.nih.gov/protein/34556108","gi|34556108")</f>
        <v>gi|34556108</v>
      </c>
      <c r="AT186">
        <v>90</v>
      </c>
      <c r="AU186">
        <v>93</v>
      </c>
      <c r="AV186">
        <v>100</v>
      </c>
      <c r="AW186" t="s">
        <v>2254</v>
      </c>
      <c r="AX186" s="2" t="str">
        <f>HYPERLINK("http://exon.niaid.nih.gov/transcriptome/Anopheles_sialome/links/CDD/anoepi_gVAG-CDD.txt","SCP_euk")</f>
        <v>SCP_euk</v>
      </c>
      <c r="AY186" t="str">
        <f>HYPERLINK("http://www.ncbi.nlm.nih.gov/Structure/cdd/cddsrv.cgi?uid=cd05380&amp;version=v4.0","3E-039")</f>
        <v>3E-039</v>
      </c>
      <c r="AZ186" t="s">
        <v>2323</v>
      </c>
      <c r="BA186" s="2" t="str">
        <f>HYPERLINK("http://exon.niaid.nih.gov/transcriptome/Anopheles_sialome/links/KOG/anoepi_gVAG-KOG.txt","Defense-related protein containing SCP domain")</f>
        <v>Defense-related protein containing SCP domain</v>
      </c>
      <c r="BB186" t="str">
        <f>HYPERLINK("http://www.ncbi.nlm.nih.gov/Structure/cdd/cddsrv.cgi?uid=KOG3017","4E-027")</f>
        <v>4E-027</v>
      </c>
      <c r="BC186" t="s">
        <v>2304</v>
      </c>
      <c r="BD186" t="str">
        <f>HYPERLINK("http://exon.niaid.nih.gov/transcriptome/Anopheles_sialome/links/KOG/anoepi_gVAG-KOG.txt","KOG3017")</f>
        <v>KOG3017</v>
      </c>
      <c r="BE186" t="str">
        <f>HYPERLINK("http://exon.niaid.nih.gov/transcriptome/Anopheles_sialome/links/PFAM/anoepi_gVAG-PFAM.txt","CAP")</f>
        <v>CAP</v>
      </c>
      <c r="BF186" t="str">
        <f>HYPERLINK("http://pfam.sanger.ac.uk/family?acc=PF00188","4E-013")</f>
        <v>4E-013</v>
      </c>
      <c r="BG186" s="2" t="str">
        <f>HYPERLINK("http://exon.niaid.nih.gov/transcriptome/Anopheles_sialome/links/SMART/anoepi_gVAG-SMART.txt","SCP")</f>
        <v>SCP</v>
      </c>
      <c r="BH186" t="str">
        <f>HYPERLINK("http://smart.embl-heidelberg.de/smart/do_annotation.pl?DOMAIN=SCP&amp;BLAST=DUMMY","2E-025")</f>
        <v>2E-025</v>
      </c>
      <c r="BI186" t="s">
        <v>128</v>
      </c>
      <c r="BJ186" s="2" t="s">
        <v>128</v>
      </c>
      <c r="BK186" t="s">
        <v>741</v>
      </c>
      <c r="BL186">
        <f>HYPERLINK("http://exon.niaid.nih.gov/transcriptome/Anopheles_sialome/links/cluster-b/anopheline-sialome-cds-pep-larger-orf25-50SimCLU4.txt", 4)</f>
        <v>4</v>
      </c>
      <c r="BM186">
        <f>HYPERLINK("http://exon.niaid.nih.gov/transcriptome/Anopheles_sialome/links/cluster-b/anopheline-sialome-cds-pep-larger-orf25-50SimCLTL4.txt", 82)</f>
        <v>82</v>
      </c>
      <c r="BN186">
        <f>HYPERLINK("http://exon.niaid.nih.gov/transcriptome/Anopheles_sialome/links/cluster-b/anopheline-sialome-cds-pep-larger-orf30-50SimCLU4.txt", 4)</f>
        <v>4</v>
      </c>
      <c r="BO186">
        <f>HYPERLINK("http://exon.niaid.nih.gov/transcriptome/Anopheles_sialome/links/cluster-b/anopheline-sialome-cds-pep-larger-orf30-50SimCLTL4.txt", 82)</f>
        <v>82</v>
      </c>
      <c r="BP186">
        <f>HYPERLINK("http://exon.niaid.nih.gov/transcriptome/Anopheles_sialome/links/cluster-b/anopheline-sialome-cds-pep-larger-orf35-50SimCLU3.txt", 3)</f>
        <v>3</v>
      </c>
      <c r="BQ186">
        <f>HYPERLINK("http://exon.niaid.nih.gov/transcriptome/Anopheles_sialome/links/cluster-b/anopheline-sialome-cds-pep-larger-orf35-50SimCLTL3.txt", 82)</f>
        <v>82</v>
      </c>
      <c r="BR186">
        <f>HYPERLINK("http://exon.niaid.nih.gov/transcriptome/Anopheles_sialome/links/cluster-b/anopheline-sialome-cds-pep-larger-orf40-50SimCLU3.txt", 3)</f>
        <v>3</v>
      </c>
      <c r="BS186">
        <f>HYPERLINK("http://exon.niaid.nih.gov/transcriptome/Anopheles_sialome/links/cluster-b/anopheline-sialome-cds-pep-larger-orf40-50SimCLTL3.txt", 82)</f>
        <v>82</v>
      </c>
      <c r="BT186">
        <f>HYPERLINK("http://exon.niaid.nih.gov/transcriptome/Anopheles_sialome/links/cluster-b/anopheline-sialome-cds-pep-larger-orf45-50SimCLU2.txt", 2)</f>
        <v>2</v>
      </c>
      <c r="BU186">
        <f>HYPERLINK("http://exon.niaid.nih.gov/transcriptome/Anopheles_sialome/links/cluster-b/anopheline-sialome-cds-pep-larger-orf45-50SimCLTL2.txt", 82)</f>
        <v>82</v>
      </c>
      <c r="BV186">
        <f>HYPERLINK("http://exon.niaid.nih.gov/transcriptome/Anopheles_sialome/links/cluster-b/anopheline-sialome-cds-pep-larger-orf50-50SimCLU2.txt", 2)</f>
        <v>2</v>
      </c>
      <c r="BW186">
        <f>HYPERLINK("http://exon.niaid.nih.gov/transcriptome/Anopheles_sialome/links/cluster-b/anopheline-sialome-cds-pep-larger-orf50-50SimCLTL2.txt", 82)</f>
        <v>82</v>
      </c>
      <c r="BX186">
        <f>HYPERLINK("http://exon.niaid.nih.gov/transcriptome/Anopheles_sialome/links/cluster-b/anopheline-sialome-cds-pep-larger-orf55-50SimCLU2.txt", 2)</f>
        <v>2</v>
      </c>
      <c r="BY186">
        <f>HYPERLINK("http://exon.niaid.nih.gov/transcriptome/Anopheles_sialome/links/cluster-b/anopheline-sialome-cds-pep-larger-orf55-50SimCLTL2.txt", 55)</f>
        <v>55</v>
      </c>
      <c r="BZ186">
        <f>HYPERLINK("http://exon.niaid.nih.gov/transcriptome/Anopheles_sialome/links/cluster-b/anopheline-sialome-cds-pep-larger-orf60-50SimCLU2.txt", 2)</f>
        <v>2</v>
      </c>
      <c r="CA186">
        <f>HYPERLINK("http://exon.niaid.nih.gov/transcriptome/Anopheles_sialome/links/cluster-b/anopheline-sialome-cds-pep-larger-orf60-50SimCLTL2.txt", 54)</f>
        <v>54</v>
      </c>
      <c r="CB186">
        <f>HYPERLINK("http://exon.niaid.nih.gov/transcriptome/Anopheles_sialome/links/cluster-b/anopheline-sialome-cds-pep-larger-orf65-50SimCLU14.txt", 14)</f>
        <v>14</v>
      </c>
      <c r="CC186">
        <f>HYPERLINK("http://exon.niaid.nih.gov/transcriptome/Anopheles_sialome/links/cluster-b/anopheline-sialome-cds-pep-larger-orf65-50SimCLTL14.txt", 18)</f>
        <v>18</v>
      </c>
      <c r="CD186">
        <f>HYPERLINK("http://exon.niaid.nih.gov/transcriptome/Anopheles_sialome/links/cluster-b/anopheline-sialome-cds-pep-larger-orf70-50SimCLU14.txt", 14)</f>
        <v>14</v>
      </c>
      <c r="CE186">
        <f>HYPERLINK("http://exon.niaid.nih.gov/transcriptome/Anopheles_sialome/links/cluster-b/anopheline-sialome-cds-pep-larger-orf70-50SimCLTL14.txt", 18)</f>
        <v>18</v>
      </c>
      <c r="CF186">
        <f>HYPERLINK("http://exon.niaid.nih.gov/transcriptome/Anopheles_sialome/links/cluster-b/anopheline-sialome-cds-pep-larger-orf75-50SimCLU8.txt", 8)</f>
        <v>8</v>
      </c>
      <c r="CG186">
        <f>HYPERLINK("http://exon.niaid.nih.gov/transcriptome/Anopheles_sialome/links/cluster-b/anopheline-sialome-cds-pep-larger-orf75-50SimCLTL8.txt", 18)</f>
        <v>18</v>
      </c>
      <c r="CH186">
        <f>HYPERLINK("http://exon.niaid.nih.gov/transcriptome/Anopheles_sialome/links/cluster-b/anopheline-sialome-cds-pep-larger-orf80-50SimCLU6.txt", 6)</f>
        <v>6</v>
      </c>
      <c r="CI186">
        <f>HYPERLINK("http://exon.niaid.nih.gov/transcriptome/Anopheles_sialome/links/cluster-b/anopheline-sialome-cds-pep-larger-orf80-50SimCLTL6.txt", 18)</f>
        <v>18</v>
      </c>
      <c r="CJ186">
        <f>HYPERLINK("http://exon.niaid.nih.gov/transcriptome/Anopheles_sialome/links/cluster-b/anopheline-sialome-cds-pep-larger-orf85-50SimCLU6.txt", 6)</f>
        <v>6</v>
      </c>
      <c r="CK186">
        <f>HYPERLINK("http://exon.niaid.nih.gov/transcriptome/Anopheles_sialome/links/cluster-b/anopheline-sialome-cds-pep-larger-orf85-50SimCLTL6.txt", 16)</f>
        <v>16</v>
      </c>
      <c r="CL186">
        <f>HYPERLINK("http://exon.niaid.nih.gov/transcriptome/Anopheles_sialome/links/cluster-b/anopheline-sialome-cds-pep-larger-orf90-50SimCLU6.txt", 6)</f>
        <v>6</v>
      </c>
      <c r="CM186">
        <f>HYPERLINK("http://exon.niaid.nih.gov/transcriptome/Anopheles_sialome/links/cluster-b/anopheline-sialome-cds-pep-larger-orf90-50SimCLTL6.txt", 13)</f>
        <v>13</v>
      </c>
      <c r="CN186">
        <v>93</v>
      </c>
      <c r="CO186">
        <v>1</v>
      </c>
    </row>
    <row r="187" spans="1:93">
      <c r="A187" s="2" t="str">
        <f>HYPERLINK("http://exon.niaid.nih.gov/transcriptome/Anopheles_sialome/links/cds/anofun_gVAG-cds.txt","anofun_gVAG")</f>
        <v>anofun_gVAG</v>
      </c>
      <c r="B187">
        <v>783</v>
      </c>
      <c r="C187" t="s">
        <v>48</v>
      </c>
      <c r="D187" t="s">
        <v>7</v>
      </c>
      <c r="E187" t="s">
        <v>5</v>
      </c>
      <c r="F187" t="s">
        <v>1</v>
      </c>
      <c r="G187" t="str">
        <f>HYPERLINK("http://exon.niaid.nih.gov/transcriptome/Anopheles_sialome/links/pep/anofun_gVAG-pep.txt","anofun_gVAG")</f>
        <v>anofun_gVAG</v>
      </c>
      <c r="H187">
        <v>260</v>
      </c>
      <c r="I187">
        <v>1</v>
      </c>
      <c r="J187" s="3" t="str">
        <f>HYPERLINK("http://exon.niaid.nih.gov/transcriptome/Anopheles_sialome/links/Sigp/anofun_gVAG-SigP.txt","SIG")</f>
        <v>SIG</v>
      </c>
      <c r="K187" t="s">
        <v>692</v>
      </c>
      <c r="L187">
        <v>29.399000000000001</v>
      </c>
      <c r="M187">
        <v>9.06</v>
      </c>
      <c r="N187">
        <v>27.247</v>
      </c>
      <c r="O187">
        <v>9.18</v>
      </c>
      <c r="P187" t="s">
        <v>744</v>
      </c>
      <c r="Q187" s="3">
        <v>0</v>
      </c>
      <c r="R187" t="s">
        <v>128</v>
      </c>
      <c r="S187" t="s">
        <v>128</v>
      </c>
      <c r="T187" t="s">
        <v>128</v>
      </c>
      <c r="U187" t="s">
        <v>128</v>
      </c>
      <c r="V187" t="s">
        <v>128</v>
      </c>
      <c r="W187" s="3" t="str">
        <f>HYPERLINK("http://exon.niaid.nih.gov/transcriptome/Anopheles_sialome/links/netoglyc/anofun_gVAG-netoglyc.txt","1")</f>
        <v>1</v>
      </c>
      <c r="X187">
        <v>12.3</v>
      </c>
      <c r="Y187">
        <v>8.1</v>
      </c>
      <c r="Z187">
        <v>7.3</v>
      </c>
      <c r="AA187" t="s">
        <v>654</v>
      </c>
      <c r="AB187" t="s">
        <v>128</v>
      </c>
      <c r="AC187" s="2" t="str">
        <f>HYPERLINK("http://exon.niaid.nih.gov/transcriptome/Anopheles_sialome/links/DIPTERA/anofun_gVAG-DIPTERA.txt","gvag protein precursor")</f>
        <v>gvag protein precursor</v>
      </c>
      <c r="AD187" t="str">
        <f>HYPERLINK("http://www.ncbi.nlm.nih.gov/sutils/blink.cgi?pid=114864564","1E-158")</f>
        <v>1E-158</v>
      </c>
      <c r="AE187" t="str">
        <f>HYPERLINK("http://www.ncbi.nlm.nih.gov/protein/114864564","gi|114864564")</f>
        <v>gi|114864564</v>
      </c>
      <c r="AF187">
        <v>99</v>
      </c>
      <c r="AG187">
        <v>99</v>
      </c>
      <c r="AH187">
        <v>100</v>
      </c>
      <c r="AI187" t="s">
        <v>2266</v>
      </c>
      <c r="AJ187" s="2" t="str">
        <f>HYPERLINK("http://exon.niaid.nih.gov/transcriptome/Anopheles_sialome/links/CULICOMORPHA/anofun_gVAG-CULICOMORPHA.txt","gvag protein precursor")</f>
        <v>gvag protein precursor</v>
      </c>
      <c r="AK187" t="str">
        <f>HYPERLINK("http://www.ncbi.nlm.nih.gov/sutils/blink.cgi?pid=114864564","1E-159")</f>
        <v>1E-159</v>
      </c>
      <c r="AL187" t="str">
        <f>HYPERLINK("http://www.ncbi.nlm.nih.gov/protein/114864564","gi|114864564")</f>
        <v>gi|114864564</v>
      </c>
      <c r="AM187">
        <v>99</v>
      </c>
      <c r="AN187">
        <v>99</v>
      </c>
      <c r="AO187">
        <v>100</v>
      </c>
      <c r="AP187" t="s">
        <v>2266</v>
      </c>
      <c r="AQ187" s="2" t="str">
        <f>HYPERLINK("http://exon.niaid.nih.gov/transcriptome/Anopheles_sialome/links/NR-LIGHT/anofun_gVAG-NR-LIGHT.txt","gvag protein precursor")</f>
        <v>gvag protein precursor</v>
      </c>
      <c r="AR187" t="str">
        <f>HYPERLINK("http://www.ncbi.nlm.nih.gov/sutils/blink.cgi?pid=114864564","1E-158")</f>
        <v>1E-158</v>
      </c>
      <c r="AS187" t="str">
        <f>HYPERLINK("http://www.ncbi.nlm.nih.gov/protein/114864564","gi|114864564")</f>
        <v>gi|114864564</v>
      </c>
      <c r="AT187">
        <v>99</v>
      </c>
      <c r="AU187">
        <v>99</v>
      </c>
      <c r="AV187">
        <v>100</v>
      </c>
      <c r="AW187" t="s">
        <v>2266</v>
      </c>
      <c r="AX187" s="2" t="str">
        <f>HYPERLINK("http://exon.niaid.nih.gov/transcriptome/Anopheles_sialome/links/CDD/anofun_gVAG-CDD.txt","SCP_euk")</f>
        <v>SCP_euk</v>
      </c>
      <c r="AY187" t="str">
        <f>HYPERLINK("http://www.ncbi.nlm.nih.gov/Structure/cdd/cddsrv.cgi?uid=cd05380&amp;version=v4.0","9E-039")</f>
        <v>9E-039</v>
      </c>
      <c r="AZ187" t="s">
        <v>2324</v>
      </c>
      <c r="BA187" s="2" t="str">
        <f>HYPERLINK("http://exon.niaid.nih.gov/transcriptome/Anopheles_sialome/links/KOG/anofun_gVAG-KOG.txt","Defense-related protein containing SCP domain")</f>
        <v>Defense-related protein containing SCP domain</v>
      </c>
      <c r="BB187" t="str">
        <f>HYPERLINK("http://www.ncbi.nlm.nih.gov/Structure/cdd/cddsrv.cgi?uid=KOG3017","8E-026")</f>
        <v>8E-026</v>
      </c>
      <c r="BC187" t="s">
        <v>2304</v>
      </c>
      <c r="BD187" t="str">
        <f>HYPERLINK("http://exon.niaid.nih.gov/transcriptome/Anopheles_sialome/links/KOG/anofun_gVAG-KOG.txt","KOG3017")</f>
        <v>KOG3017</v>
      </c>
      <c r="BE187" t="str">
        <f>HYPERLINK("http://exon.niaid.nih.gov/transcriptome/Anopheles_sialome/links/PFAM/anofun_gVAG-PFAM.txt","CAP")</f>
        <v>CAP</v>
      </c>
      <c r="BF187" t="str">
        <f>HYPERLINK("http://pfam.sanger.ac.uk/family?acc=PF00188","1E-012")</f>
        <v>1E-012</v>
      </c>
      <c r="BG187" s="2" t="str">
        <f>HYPERLINK("http://exon.niaid.nih.gov/transcriptome/Anopheles_sialome/links/SMART/anofun_gVAG-SMART.txt","SCP")</f>
        <v>SCP</v>
      </c>
      <c r="BH187" t="str">
        <f>HYPERLINK("http://smart.embl-heidelberg.de/smart/do_annotation.pl?DOMAIN=SCP&amp;BLAST=DUMMY","2E-024")</f>
        <v>2E-024</v>
      </c>
      <c r="BI187" t="s">
        <v>128</v>
      </c>
      <c r="BJ187" s="2" t="s">
        <v>128</v>
      </c>
      <c r="BK187" t="s">
        <v>743</v>
      </c>
      <c r="BL187">
        <f>HYPERLINK("http://exon.niaid.nih.gov/transcriptome/Anopheles_sialome/links/cluster-b/anopheline-sialome-cds-pep-larger-orf25-50SimCLU4.txt", 4)</f>
        <v>4</v>
      </c>
      <c r="BM187">
        <f>HYPERLINK("http://exon.niaid.nih.gov/transcriptome/Anopheles_sialome/links/cluster-b/anopheline-sialome-cds-pep-larger-orf25-50SimCLTL4.txt", 82)</f>
        <v>82</v>
      </c>
      <c r="BN187">
        <f>HYPERLINK("http://exon.niaid.nih.gov/transcriptome/Anopheles_sialome/links/cluster-b/anopheline-sialome-cds-pep-larger-orf30-50SimCLU4.txt", 4)</f>
        <v>4</v>
      </c>
      <c r="BO187">
        <f>HYPERLINK("http://exon.niaid.nih.gov/transcriptome/Anopheles_sialome/links/cluster-b/anopheline-sialome-cds-pep-larger-orf30-50SimCLTL4.txt", 82)</f>
        <v>82</v>
      </c>
      <c r="BP187">
        <f>HYPERLINK("http://exon.niaid.nih.gov/transcriptome/Anopheles_sialome/links/cluster-b/anopheline-sialome-cds-pep-larger-orf35-50SimCLU3.txt", 3)</f>
        <v>3</v>
      </c>
      <c r="BQ187">
        <f>HYPERLINK("http://exon.niaid.nih.gov/transcriptome/Anopheles_sialome/links/cluster-b/anopheline-sialome-cds-pep-larger-orf35-50SimCLTL3.txt", 82)</f>
        <v>82</v>
      </c>
      <c r="BR187">
        <f>HYPERLINK("http://exon.niaid.nih.gov/transcriptome/Anopheles_sialome/links/cluster-b/anopheline-sialome-cds-pep-larger-orf40-50SimCLU3.txt", 3)</f>
        <v>3</v>
      </c>
      <c r="BS187">
        <f>HYPERLINK("http://exon.niaid.nih.gov/transcriptome/Anopheles_sialome/links/cluster-b/anopheline-sialome-cds-pep-larger-orf40-50SimCLTL3.txt", 82)</f>
        <v>82</v>
      </c>
      <c r="BT187">
        <f>HYPERLINK("http://exon.niaid.nih.gov/transcriptome/Anopheles_sialome/links/cluster-b/anopheline-sialome-cds-pep-larger-orf45-50SimCLU2.txt", 2)</f>
        <v>2</v>
      </c>
      <c r="BU187">
        <f>HYPERLINK("http://exon.niaid.nih.gov/transcriptome/Anopheles_sialome/links/cluster-b/anopheline-sialome-cds-pep-larger-orf45-50SimCLTL2.txt", 82)</f>
        <v>82</v>
      </c>
      <c r="BV187">
        <f>HYPERLINK("http://exon.niaid.nih.gov/transcriptome/Anopheles_sialome/links/cluster-b/anopheline-sialome-cds-pep-larger-orf50-50SimCLU2.txt", 2)</f>
        <v>2</v>
      </c>
      <c r="BW187">
        <f>HYPERLINK("http://exon.niaid.nih.gov/transcriptome/Anopheles_sialome/links/cluster-b/anopheline-sialome-cds-pep-larger-orf50-50SimCLTL2.txt", 82)</f>
        <v>82</v>
      </c>
      <c r="BX187">
        <f>HYPERLINK("http://exon.niaid.nih.gov/transcriptome/Anopheles_sialome/links/cluster-b/anopheline-sialome-cds-pep-larger-orf55-50SimCLU2.txt", 2)</f>
        <v>2</v>
      </c>
      <c r="BY187">
        <f>HYPERLINK("http://exon.niaid.nih.gov/transcriptome/Anopheles_sialome/links/cluster-b/anopheline-sialome-cds-pep-larger-orf55-50SimCLTL2.txt", 55)</f>
        <v>55</v>
      </c>
      <c r="BZ187">
        <f>HYPERLINK("http://exon.niaid.nih.gov/transcriptome/Anopheles_sialome/links/cluster-b/anopheline-sialome-cds-pep-larger-orf60-50SimCLU2.txt", 2)</f>
        <v>2</v>
      </c>
      <c r="CA187">
        <f>HYPERLINK("http://exon.niaid.nih.gov/transcriptome/Anopheles_sialome/links/cluster-b/anopheline-sialome-cds-pep-larger-orf60-50SimCLTL2.txt", 54)</f>
        <v>54</v>
      </c>
      <c r="CB187">
        <f>HYPERLINK("http://exon.niaid.nih.gov/transcriptome/Anopheles_sialome/links/cluster-b/anopheline-sialome-cds-pep-larger-orf65-50SimCLU14.txt", 14)</f>
        <v>14</v>
      </c>
      <c r="CC187">
        <f>HYPERLINK("http://exon.niaid.nih.gov/transcriptome/Anopheles_sialome/links/cluster-b/anopheline-sialome-cds-pep-larger-orf65-50SimCLTL14.txt", 18)</f>
        <v>18</v>
      </c>
      <c r="CD187">
        <f>HYPERLINK("http://exon.niaid.nih.gov/transcriptome/Anopheles_sialome/links/cluster-b/anopheline-sialome-cds-pep-larger-orf70-50SimCLU14.txt", 14)</f>
        <v>14</v>
      </c>
      <c r="CE187">
        <f>HYPERLINK("http://exon.niaid.nih.gov/transcriptome/Anopheles_sialome/links/cluster-b/anopheline-sialome-cds-pep-larger-orf70-50SimCLTL14.txt", 18)</f>
        <v>18</v>
      </c>
      <c r="CF187">
        <f>HYPERLINK("http://exon.niaid.nih.gov/transcriptome/Anopheles_sialome/links/cluster-b/anopheline-sialome-cds-pep-larger-orf75-50SimCLU8.txt", 8)</f>
        <v>8</v>
      </c>
      <c r="CG187">
        <f>HYPERLINK("http://exon.niaid.nih.gov/transcriptome/Anopheles_sialome/links/cluster-b/anopheline-sialome-cds-pep-larger-orf75-50SimCLTL8.txt", 18)</f>
        <v>18</v>
      </c>
      <c r="CH187">
        <f>HYPERLINK("http://exon.niaid.nih.gov/transcriptome/Anopheles_sialome/links/cluster-b/anopheline-sialome-cds-pep-larger-orf80-50SimCLU6.txt", 6)</f>
        <v>6</v>
      </c>
      <c r="CI187">
        <f>HYPERLINK("http://exon.niaid.nih.gov/transcriptome/Anopheles_sialome/links/cluster-b/anopheline-sialome-cds-pep-larger-orf80-50SimCLTL6.txt", 18)</f>
        <v>18</v>
      </c>
      <c r="CJ187">
        <f>HYPERLINK("http://exon.niaid.nih.gov/transcriptome/Anopheles_sialome/links/cluster-b/anopheline-sialome-cds-pep-larger-orf85-50SimCLU6.txt", 6)</f>
        <v>6</v>
      </c>
      <c r="CK187">
        <f>HYPERLINK("http://exon.niaid.nih.gov/transcriptome/Anopheles_sialome/links/cluster-b/anopheline-sialome-cds-pep-larger-orf85-50SimCLTL6.txt", 16)</f>
        <v>16</v>
      </c>
      <c r="CL187">
        <f>HYPERLINK("http://exon.niaid.nih.gov/transcriptome/Anopheles_sialome/links/cluster-b/anopheline-sialome-cds-pep-larger-orf90-50SimCLU6.txt", 6)</f>
        <v>6</v>
      </c>
      <c r="CM187">
        <f>HYPERLINK("http://exon.niaid.nih.gov/transcriptome/Anopheles_sialome/links/cluster-b/anopheline-sialome-cds-pep-larger-orf90-50SimCLTL6.txt", 13)</f>
        <v>13</v>
      </c>
      <c r="CN187">
        <v>94</v>
      </c>
      <c r="CO187">
        <v>1</v>
      </c>
    </row>
    <row r="188" spans="1:93">
      <c r="A188" s="2" t="str">
        <f>HYPERLINK("http://exon.niaid.nih.gov/transcriptome/Anopheles_sialome/links/cds/anomin_gVAG-cds.txt","anomin_gVAG")</f>
        <v>anomin_gVAG</v>
      </c>
      <c r="B188">
        <v>783</v>
      </c>
      <c r="C188" t="s">
        <v>49</v>
      </c>
      <c r="D188" t="s">
        <v>7</v>
      </c>
      <c r="E188" t="s">
        <v>5</v>
      </c>
      <c r="F188" t="s">
        <v>1</v>
      </c>
      <c r="G188" t="str">
        <f>HYPERLINK("http://exon.niaid.nih.gov/transcriptome/Anopheles_sialome/links/pep/anomin_gVAG-pep.txt","anomin_gVAG")</f>
        <v>anomin_gVAG</v>
      </c>
      <c r="H188">
        <v>260</v>
      </c>
      <c r="I188">
        <v>1</v>
      </c>
      <c r="J188" s="3" t="str">
        <f>HYPERLINK("http://exon.niaid.nih.gov/transcriptome/Anopheles_sialome/links/Sigp/anomin_gVAG-SigP.txt","SIG")</f>
        <v>SIG</v>
      </c>
      <c r="K188" t="s">
        <v>692</v>
      </c>
      <c r="L188">
        <v>29.193000000000001</v>
      </c>
      <c r="M188">
        <v>9.06</v>
      </c>
      <c r="N188">
        <v>27.065000000000001</v>
      </c>
      <c r="O188">
        <v>9.18</v>
      </c>
      <c r="P188" t="s">
        <v>746</v>
      </c>
      <c r="Q188" s="3">
        <v>0</v>
      </c>
      <c r="R188" t="s">
        <v>128</v>
      </c>
      <c r="S188" t="s">
        <v>128</v>
      </c>
      <c r="T188" t="s">
        <v>128</v>
      </c>
      <c r="U188" t="s">
        <v>128</v>
      </c>
      <c r="V188" t="s">
        <v>128</v>
      </c>
      <c r="W188" s="3" t="str">
        <f>HYPERLINK("http://exon.niaid.nih.gov/transcriptome/Anopheles_sialome/links/netoglyc/anomin_gVAG-netoglyc.txt","1")</f>
        <v>1</v>
      </c>
      <c r="X188">
        <v>13.8</v>
      </c>
      <c r="Y188">
        <v>7.7</v>
      </c>
      <c r="Z188">
        <v>7.7</v>
      </c>
      <c r="AA188" t="s">
        <v>654</v>
      </c>
      <c r="AB188" t="s">
        <v>128</v>
      </c>
      <c r="AC188" s="2" t="str">
        <f>HYPERLINK("http://exon.niaid.nih.gov/transcriptome/Anopheles_sialome/links/DIPTERA/anomin_gVAG-DIPTERA.txt","salivary antigen-5 related protein")</f>
        <v>salivary antigen-5 related protein</v>
      </c>
      <c r="AD188" t="str">
        <f>HYPERLINK("http://www.ncbi.nlm.nih.gov/sutils/blink.cgi?pid=27372895","1E-138")</f>
        <v>1E-138</v>
      </c>
      <c r="AE188" t="str">
        <f>HYPERLINK("http://www.ncbi.nlm.nih.gov/protein/27372895","gi|27372895")</f>
        <v>gi|27372895</v>
      </c>
      <c r="AF188">
        <v>86</v>
      </c>
      <c r="AG188">
        <v>91</v>
      </c>
      <c r="AH188">
        <v>100</v>
      </c>
      <c r="AI188" t="s">
        <v>2271</v>
      </c>
      <c r="AJ188" s="2" t="str">
        <f>HYPERLINK("http://exon.niaid.nih.gov/transcriptome/Anopheles_sialome/links/CULICOMORPHA/anomin_gVAG-CULICOMORPHA.txt","salivary antigen-5 related protein")</f>
        <v>salivary antigen-5 related protein</v>
      </c>
      <c r="AK188" t="str">
        <f>HYPERLINK("http://www.ncbi.nlm.nih.gov/sutils/blink.cgi?pid=27372895","1E-139")</f>
        <v>1E-139</v>
      </c>
      <c r="AL188" t="str">
        <f>HYPERLINK("http://www.ncbi.nlm.nih.gov/protein/27372895","gi|27372895")</f>
        <v>gi|27372895</v>
      </c>
      <c r="AM188">
        <v>86</v>
      </c>
      <c r="AN188">
        <v>91</v>
      </c>
      <c r="AO188">
        <v>100</v>
      </c>
      <c r="AP188" t="s">
        <v>2271</v>
      </c>
      <c r="AQ188" s="2" t="str">
        <f>HYPERLINK("http://exon.niaid.nih.gov/transcriptome/Anopheles_sialome/links/NR-LIGHT/anomin_gVAG-NR-LIGHT.txt","salivary antigen-5 related protein")</f>
        <v>salivary antigen-5 related protein</v>
      </c>
      <c r="AR188" t="str">
        <f>HYPERLINK("http://www.ncbi.nlm.nih.gov/sutils/blink.cgi?pid=27372895","1E-137")</f>
        <v>1E-137</v>
      </c>
      <c r="AS188" t="str">
        <f>HYPERLINK("http://www.ncbi.nlm.nih.gov/protein/27372895","gi|27372895")</f>
        <v>gi|27372895</v>
      </c>
      <c r="AT188">
        <v>86</v>
      </c>
      <c r="AU188">
        <v>91</v>
      </c>
      <c r="AV188">
        <v>100</v>
      </c>
      <c r="AW188" t="s">
        <v>2271</v>
      </c>
      <c r="AX188" s="2" t="str">
        <f>HYPERLINK("http://exon.niaid.nih.gov/transcriptome/Anopheles_sialome/links/CDD/anomin_gVAG-CDD.txt","SCP_euk")</f>
        <v>SCP_euk</v>
      </c>
      <c r="AY188" t="str">
        <f>HYPERLINK("http://www.ncbi.nlm.nih.gov/Structure/cdd/cddsrv.cgi?uid=cd05380&amp;version=v4.0","3E-039")</f>
        <v>3E-039</v>
      </c>
      <c r="AZ188" t="s">
        <v>2325</v>
      </c>
      <c r="BA188" s="2" t="str">
        <f>HYPERLINK("http://exon.niaid.nih.gov/transcriptome/Anopheles_sialome/links/KOG/anomin_gVAG-KOG.txt","Defense-related protein containing SCP domain")</f>
        <v>Defense-related protein containing SCP domain</v>
      </c>
      <c r="BB188" t="str">
        <f>HYPERLINK("http://www.ncbi.nlm.nih.gov/Structure/cdd/cddsrv.cgi?uid=KOG3017","2E-026")</f>
        <v>2E-026</v>
      </c>
      <c r="BC188" t="s">
        <v>2304</v>
      </c>
      <c r="BD188" t="str">
        <f>HYPERLINK("http://exon.niaid.nih.gov/transcriptome/Anopheles_sialome/links/KOG/anomin_gVAG-KOG.txt","KOG3017")</f>
        <v>KOG3017</v>
      </c>
      <c r="BE188" t="str">
        <f>HYPERLINK("http://exon.niaid.nih.gov/transcriptome/Anopheles_sialome/links/PFAM/anomin_gVAG-PFAM.txt","CAP")</f>
        <v>CAP</v>
      </c>
      <c r="BF188" t="str">
        <f>HYPERLINK("http://pfam.sanger.ac.uk/family?acc=PF00188","2E-012")</f>
        <v>2E-012</v>
      </c>
      <c r="BG188" s="2" t="str">
        <f>HYPERLINK("http://exon.niaid.nih.gov/transcriptome/Anopheles_sialome/links/SMART/anomin_gVAG-SMART.txt","SCP")</f>
        <v>SCP</v>
      </c>
      <c r="BH188" t="str">
        <f>HYPERLINK("http://smart.embl-heidelberg.de/smart/do_annotation.pl?DOMAIN=SCP&amp;BLAST=DUMMY","1E-024")</f>
        <v>1E-024</v>
      </c>
      <c r="BI188" t="s">
        <v>128</v>
      </c>
      <c r="BJ188" s="2" t="s">
        <v>128</v>
      </c>
      <c r="BK188" t="s">
        <v>745</v>
      </c>
      <c r="BL188">
        <f>HYPERLINK("http://exon.niaid.nih.gov/transcriptome/Anopheles_sialome/links/cluster-b/anopheline-sialome-cds-pep-larger-orf25-50SimCLU4.txt", 4)</f>
        <v>4</v>
      </c>
      <c r="BM188">
        <f>HYPERLINK("http://exon.niaid.nih.gov/transcriptome/Anopheles_sialome/links/cluster-b/anopheline-sialome-cds-pep-larger-orf25-50SimCLTL4.txt", 82)</f>
        <v>82</v>
      </c>
      <c r="BN188">
        <f>HYPERLINK("http://exon.niaid.nih.gov/transcriptome/Anopheles_sialome/links/cluster-b/anopheline-sialome-cds-pep-larger-orf30-50SimCLU4.txt", 4)</f>
        <v>4</v>
      </c>
      <c r="BO188">
        <f>HYPERLINK("http://exon.niaid.nih.gov/transcriptome/Anopheles_sialome/links/cluster-b/anopheline-sialome-cds-pep-larger-orf30-50SimCLTL4.txt", 82)</f>
        <v>82</v>
      </c>
      <c r="BP188">
        <f>HYPERLINK("http://exon.niaid.nih.gov/transcriptome/Anopheles_sialome/links/cluster-b/anopheline-sialome-cds-pep-larger-orf35-50SimCLU3.txt", 3)</f>
        <v>3</v>
      </c>
      <c r="BQ188">
        <f>HYPERLINK("http://exon.niaid.nih.gov/transcriptome/Anopheles_sialome/links/cluster-b/anopheline-sialome-cds-pep-larger-orf35-50SimCLTL3.txt", 82)</f>
        <v>82</v>
      </c>
      <c r="BR188">
        <f>HYPERLINK("http://exon.niaid.nih.gov/transcriptome/Anopheles_sialome/links/cluster-b/anopheline-sialome-cds-pep-larger-orf40-50SimCLU3.txt", 3)</f>
        <v>3</v>
      </c>
      <c r="BS188">
        <f>HYPERLINK("http://exon.niaid.nih.gov/transcriptome/Anopheles_sialome/links/cluster-b/anopheline-sialome-cds-pep-larger-orf40-50SimCLTL3.txt", 82)</f>
        <v>82</v>
      </c>
      <c r="BT188">
        <f>HYPERLINK("http://exon.niaid.nih.gov/transcriptome/Anopheles_sialome/links/cluster-b/anopheline-sialome-cds-pep-larger-orf45-50SimCLU2.txt", 2)</f>
        <v>2</v>
      </c>
      <c r="BU188">
        <f>HYPERLINK("http://exon.niaid.nih.gov/transcriptome/Anopheles_sialome/links/cluster-b/anopheline-sialome-cds-pep-larger-orf45-50SimCLTL2.txt", 82)</f>
        <v>82</v>
      </c>
      <c r="BV188">
        <f>HYPERLINK("http://exon.niaid.nih.gov/transcriptome/Anopheles_sialome/links/cluster-b/anopheline-sialome-cds-pep-larger-orf50-50SimCLU2.txt", 2)</f>
        <v>2</v>
      </c>
      <c r="BW188">
        <f>HYPERLINK("http://exon.niaid.nih.gov/transcriptome/Anopheles_sialome/links/cluster-b/anopheline-sialome-cds-pep-larger-orf50-50SimCLTL2.txt", 82)</f>
        <v>82</v>
      </c>
      <c r="BX188">
        <f>HYPERLINK("http://exon.niaid.nih.gov/transcriptome/Anopheles_sialome/links/cluster-b/anopheline-sialome-cds-pep-larger-orf55-50SimCLU2.txt", 2)</f>
        <v>2</v>
      </c>
      <c r="BY188">
        <f>HYPERLINK("http://exon.niaid.nih.gov/transcriptome/Anopheles_sialome/links/cluster-b/anopheline-sialome-cds-pep-larger-orf55-50SimCLTL2.txt", 55)</f>
        <v>55</v>
      </c>
      <c r="BZ188">
        <f>HYPERLINK("http://exon.niaid.nih.gov/transcriptome/Anopheles_sialome/links/cluster-b/anopheline-sialome-cds-pep-larger-orf60-50SimCLU2.txt", 2)</f>
        <v>2</v>
      </c>
      <c r="CA188">
        <f>HYPERLINK("http://exon.niaid.nih.gov/transcriptome/Anopheles_sialome/links/cluster-b/anopheline-sialome-cds-pep-larger-orf60-50SimCLTL2.txt", 54)</f>
        <v>54</v>
      </c>
      <c r="CB188">
        <f>HYPERLINK("http://exon.niaid.nih.gov/transcriptome/Anopheles_sialome/links/cluster-b/anopheline-sialome-cds-pep-larger-orf65-50SimCLU14.txt", 14)</f>
        <v>14</v>
      </c>
      <c r="CC188">
        <f>HYPERLINK("http://exon.niaid.nih.gov/transcriptome/Anopheles_sialome/links/cluster-b/anopheline-sialome-cds-pep-larger-orf65-50SimCLTL14.txt", 18)</f>
        <v>18</v>
      </c>
      <c r="CD188">
        <f>HYPERLINK("http://exon.niaid.nih.gov/transcriptome/Anopheles_sialome/links/cluster-b/anopheline-sialome-cds-pep-larger-orf70-50SimCLU14.txt", 14)</f>
        <v>14</v>
      </c>
      <c r="CE188">
        <f>HYPERLINK("http://exon.niaid.nih.gov/transcriptome/Anopheles_sialome/links/cluster-b/anopheline-sialome-cds-pep-larger-orf70-50SimCLTL14.txt", 18)</f>
        <v>18</v>
      </c>
      <c r="CF188">
        <f>HYPERLINK("http://exon.niaid.nih.gov/transcriptome/Anopheles_sialome/links/cluster-b/anopheline-sialome-cds-pep-larger-orf75-50SimCLU8.txt", 8)</f>
        <v>8</v>
      </c>
      <c r="CG188">
        <f>HYPERLINK("http://exon.niaid.nih.gov/transcriptome/Anopheles_sialome/links/cluster-b/anopheline-sialome-cds-pep-larger-orf75-50SimCLTL8.txt", 18)</f>
        <v>18</v>
      </c>
      <c r="CH188">
        <f>HYPERLINK("http://exon.niaid.nih.gov/transcriptome/Anopheles_sialome/links/cluster-b/anopheline-sialome-cds-pep-larger-orf80-50SimCLU6.txt", 6)</f>
        <v>6</v>
      </c>
      <c r="CI188">
        <f>HYPERLINK("http://exon.niaid.nih.gov/transcriptome/Anopheles_sialome/links/cluster-b/anopheline-sialome-cds-pep-larger-orf80-50SimCLTL6.txt", 18)</f>
        <v>18</v>
      </c>
      <c r="CJ188">
        <f>HYPERLINK("http://exon.niaid.nih.gov/transcriptome/Anopheles_sialome/links/cluster-b/anopheline-sialome-cds-pep-larger-orf85-50SimCLU6.txt", 6)</f>
        <v>6</v>
      </c>
      <c r="CK188">
        <f>HYPERLINK("http://exon.niaid.nih.gov/transcriptome/Anopheles_sialome/links/cluster-b/anopheline-sialome-cds-pep-larger-orf85-50SimCLTL6.txt", 16)</f>
        <v>16</v>
      </c>
      <c r="CL188">
        <f>HYPERLINK("http://exon.niaid.nih.gov/transcriptome/Anopheles_sialome/links/cluster-b/anopheline-sialome-cds-pep-larger-orf90-50SimCLU6.txt", 6)</f>
        <v>6</v>
      </c>
      <c r="CM188">
        <f>HYPERLINK("http://exon.niaid.nih.gov/transcriptome/Anopheles_sialome/links/cluster-b/anopheline-sialome-cds-pep-larger-orf90-50SimCLTL6.txt", 13)</f>
        <v>13</v>
      </c>
      <c r="CN188">
        <f>HYPERLINK("http://exon.niaid.nih.gov/transcriptome/Anopheles_sialome/links/cluster-b/anopheline-sialome-cds-pep-larger-orf95-50SimCLU53.txt", 53)</f>
        <v>53</v>
      </c>
      <c r="CO188">
        <f>HYPERLINK("http://exon.niaid.nih.gov/transcriptome/Anopheles_sialome/links/cluster-b/anopheline-sialome-cds-pep-larger-orf95-50SimCLTL53.txt", 2)</f>
        <v>2</v>
      </c>
    </row>
    <row r="189" spans="1:93">
      <c r="A189" s="2" t="str">
        <f>HYPERLINK("http://exon.niaid.nih.gov/transcriptome/Anopheles_sialome/links/cds/anocul_gVAG-cds.txt","anocul_gVAG")</f>
        <v>anocul_gVAG</v>
      </c>
      <c r="B189">
        <v>783</v>
      </c>
      <c r="C189" t="s">
        <v>50</v>
      </c>
      <c r="D189" t="s">
        <v>7</v>
      </c>
      <c r="E189" t="s">
        <v>5</v>
      </c>
      <c r="F189" t="s">
        <v>1</v>
      </c>
      <c r="G189" t="str">
        <f>HYPERLINK("http://exon.niaid.nih.gov/transcriptome/Anopheles_sialome/links/pep/anocul_gVAG-pep.txt","anocul_gVAG")</f>
        <v>anocul_gVAG</v>
      </c>
      <c r="H189">
        <v>260</v>
      </c>
      <c r="I189">
        <v>2</v>
      </c>
      <c r="J189" s="3" t="str">
        <f>HYPERLINK("http://exon.niaid.nih.gov/transcriptome/Anopheles_sialome/links/Sigp/anocul_gVAG-SigP.txt","SIG")</f>
        <v>SIG</v>
      </c>
      <c r="K189" t="s">
        <v>692</v>
      </c>
      <c r="L189">
        <v>29.067</v>
      </c>
      <c r="M189">
        <v>8.99</v>
      </c>
      <c r="N189">
        <v>26.957999999999998</v>
      </c>
      <c r="O189">
        <v>9.1199999999999992</v>
      </c>
      <c r="P189" t="s">
        <v>748</v>
      </c>
      <c r="Q189" s="3">
        <v>0</v>
      </c>
      <c r="R189" t="s">
        <v>128</v>
      </c>
      <c r="S189" t="s">
        <v>128</v>
      </c>
      <c r="T189" t="s">
        <v>128</v>
      </c>
      <c r="U189" t="s">
        <v>128</v>
      </c>
      <c r="V189" t="s">
        <v>128</v>
      </c>
      <c r="W189" s="3" t="str">
        <f>HYPERLINK("http://exon.niaid.nih.gov/transcriptome/Anopheles_sialome/links/netoglyc/anocul_gVAG-netoglyc.txt","1")</f>
        <v>1</v>
      </c>
      <c r="X189">
        <v>13.8</v>
      </c>
      <c r="Y189">
        <v>7.3</v>
      </c>
      <c r="Z189">
        <v>8.1</v>
      </c>
      <c r="AA189" t="s">
        <v>654</v>
      </c>
      <c r="AB189" t="s">
        <v>128</v>
      </c>
      <c r="AC189" s="2" t="str">
        <f>HYPERLINK("http://exon.niaid.nih.gov/transcriptome/Anopheles_sialome/links/DIPTERA/anocul_gVAG-DIPTERA.txt","putative gVAG protein precursor")</f>
        <v>putative gVAG protein precursor</v>
      </c>
      <c r="AD189" t="str">
        <f>HYPERLINK("http://www.ncbi.nlm.nih.gov/sutils/blink.cgi?pid=34556108","1E-137")</f>
        <v>1E-137</v>
      </c>
      <c r="AE189" t="str">
        <f>HYPERLINK("http://www.ncbi.nlm.nih.gov/protein/34556108","gi|34556108")</f>
        <v>gi|34556108</v>
      </c>
      <c r="AF189">
        <v>86</v>
      </c>
      <c r="AG189">
        <v>92</v>
      </c>
      <c r="AH189">
        <v>100</v>
      </c>
      <c r="AI189" t="s">
        <v>2254</v>
      </c>
      <c r="AJ189" s="2" t="str">
        <f>HYPERLINK("http://exon.niaid.nih.gov/transcriptome/Anopheles_sialome/links/CULICOMORPHA/anocul_gVAG-CULICOMORPHA.txt","putative gVAG protein precursor")</f>
        <v>putative gVAG protein precursor</v>
      </c>
      <c r="AK189" t="str">
        <f>HYPERLINK("http://www.ncbi.nlm.nih.gov/sutils/blink.cgi?pid=34556108","1E-138")</f>
        <v>1E-138</v>
      </c>
      <c r="AL189" t="str">
        <f>HYPERLINK("http://www.ncbi.nlm.nih.gov/protein/34556108","gi|34556108")</f>
        <v>gi|34556108</v>
      </c>
      <c r="AM189">
        <v>86</v>
      </c>
      <c r="AN189">
        <v>92</v>
      </c>
      <c r="AO189">
        <v>100</v>
      </c>
      <c r="AP189" t="s">
        <v>2254</v>
      </c>
      <c r="AQ189" s="2" t="str">
        <f>HYPERLINK("http://exon.niaid.nih.gov/transcriptome/Anopheles_sialome/links/NR-LIGHT/anocul_gVAG-NR-LIGHT.txt","putative gVAG protein precursor")</f>
        <v>putative gVAG protein precursor</v>
      </c>
      <c r="AR189" t="str">
        <f>HYPERLINK("http://www.ncbi.nlm.nih.gov/sutils/blink.cgi?pid=34556108","1E-137")</f>
        <v>1E-137</v>
      </c>
      <c r="AS189" t="str">
        <f>HYPERLINK("http://www.ncbi.nlm.nih.gov/protein/34556108","gi|34556108")</f>
        <v>gi|34556108</v>
      </c>
      <c r="AT189">
        <v>86</v>
      </c>
      <c r="AU189">
        <v>92</v>
      </c>
      <c r="AV189">
        <v>100</v>
      </c>
      <c r="AW189" t="s">
        <v>2254</v>
      </c>
      <c r="AX189" s="2" t="str">
        <f>HYPERLINK("http://exon.niaid.nih.gov/transcriptome/Anopheles_sialome/links/CDD/anocul_gVAG-CDD.txt","SCP_euk")</f>
        <v>SCP_euk</v>
      </c>
      <c r="AY189" t="str">
        <f>HYPERLINK("http://www.ncbi.nlm.nih.gov/Structure/cdd/cddsrv.cgi?uid=cd05380&amp;version=v4.0","4E-038")</f>
        <v>4E-038</v>
      </c>
      <c r="AZ189" t="s">
        <v>2326</v>
      </c>
      <c r="BA189" s="2" t="str">
        <f>HYPERLINK("http://exon.niaid.nih.gov/transcriptome/Anopheles_sialome/links/KOG/anocul_gVAG-KOG.txt","Defense-related protein containing SCP domain")</f>
        <v>Defense-related protein containing SCP domain</v>
      </c>
      <c r="BB189" t="str">
        <f>HYPERLINK("http://www.ncbi.nlm.nih.gov/Structure/cdd/cddsrv.cgi?uid=KOG3017","1E-026")</f>
        <v>1E-026</v>
      </c>
      <c r="BC189" t="s">
        <v>2304</v>
      </c>
      <c r="BD189" t="str">
        <f>HYPERLINK("http://exon.niaid.nih.gov/transcriptome/Anopheles_sialome/links/KOG/anocul_gVAG-KOG.txt","KOG3017")</f>
        <v>KOG3017</v>
      </c>
      <c r="BE189" t="str">
        <f>HYPERLINK("http://exon.niaid.nih.gov/transcriptome/Anopheles_sialome/links/PFAM/anocul_gVAG-PFAM.txt","CAP")</f>
        <v>CAP</v>
      </c>
      <c r="BF189" t="str">
        <f>HYPERLINK("http://pfam.sanger.ac.uk/family?acc=PF00188","2E-012")</f>
        <v>2E-012</v>
      </c>
      <c r="BG189" s="2" t="str">
        <f>HYPERLINK("http://exon.niaid.nih.gov/transcriptome/Anopheles_sialome/links/SMART/anocul_gVAG-SMART.txt","SCP")</f>
        <v>SCP</v>
      </c>
      <c r="BH189" t="str">
        <f>HYPERLINK("http://smart.embl-heidelberg.de/smart/do_annotation.pl?DOMAIN=SCP&amp;BLAST=DUMMY","2E-024")</f>
        <v>2E-024</v>
      </c>
      <c r="BI189" t="s">
        <v>128</v>
      </c>
      <c r="BJ189" s="2" t="s">
        <v>128</v>
      </c>
      <c r="BK189" t="s">
        <v>747</v>
      </c>
      <c r="BL189">
        <f>HYPERLINK("http://exon.niaid.nih.gov/transcriptome/Anopheles_sialome/links/cluster-b/anopheline-sialome-cds-pep-larger-orf25-50SimCLU4.txt", 4)</f>
        <v>4</v>
      </c>
      <c r="BM189">
        <f>HYPERLINK("http://exon.niaid.nih.gov/transcriptome/Anopheles_sialome/links/cluster-b/anopheline-sialome-cds-pep-larger-orf25-50SimCLTL4.txt", 82)</f>
        <v>82</v>
      </c>
      <c r="BN189">
        <f>HYPERLINK("http://exon.niaid.nih.gov/transcriptome/Anopheles_sialome/links/cluster-b/anopheline-sialome-cds-pep-larger-orf30-50SimCLU4.txt", 4)</f>
        <v>4</v>
      </c>
      <c r="BO189">
        <f>HYPERLINK("http://exon.niaid.nih.gov/transcriptome/Anopheles_sialome/links/cluster-b/anopheline-sialome-cds-pep-larger-orf30-50SimCLTL4.txt", 82)</f>
        <v>82</v>
      </c>
      <c r="BP189">
        <f>HYPERLINK("http://exon.niaid.nih.gov/transcriptome/Anopheles_sialome/links/cluster-b/anopheline-sialome-cds-pep-larger-orf35-50SimCLU3.txt", 3)</f>
        <v>3</v>
      </c>
      <c r="BQ189">
        <f>HYPERLINK("http://exon.niaid.nih.gov/transcriptome/Anopheles_sialome/links/cluster-b/anopheline-sialome-cds-pep-larger-orf35-50SimCLTL3.txt", 82)</f>
        <v>82</v>
      </c>
      <c r="BR189">
        <f>HYPERLINK("http://exon.niaid.nih.gov/transcriptome/Anopheles_sialome/links/cluster-b/anopheline-sialome-cds-pep-larger-orf40-50SimCLU3.txt", 3)</f>
        <v>3</v>
      </c>
      <c r="BS189">
        <f>HYPERLINK("http://exon.niaid.nih.gov/transcriptome/Anopheles_sialome/links/cluster-b/anopheline-sialome-cds-pep-larger-orf40-50SimCLTL3.txt", 82)</f>
        <v>82</v>
      </c>
      <c r="BT189">
        <f>HYPERLINK("http://exon.niaid.nih.gov/transcriptome/Anopheles_sialome/links/cluster-b/anopheline-sialome-cds-pep-larger-orf45-50SimCLU2.txt", 2)</f>
        <v>2</v>
      </c>
      <c r="BU189">
        <f>HYPERLINK("http://exon.niaid.nih.gov/transcriptome/Anopheles_sialome/links/cluster-b/anopheline-sialome-cds-pep-larger-orf45-50SimCLTL2.txt", 82)</f>
        <v>82</v>
      </c>
      <c r="BV189">
        <f>HYPERLINK("http://exon.niaid.nih.gov/transcriptome/Anopheles_sialome/links/cluster-b/anopheline-sialome-cds-pep-larger-orf50-50SimCLU2.txt", 2)</f>
        <v>2</v>
      </c>
      <c r="BW189">
        <f>HYPERLINK("http://exon.niaid.nih.gov/transcriptome/Anopheles_sialome/links/cluster-b/anopheline-sialome-cds-pep-larger-orf50-50SimCLTL2.txt", 82)</f>
        <v>82</v>
      </c>
      <c r="BX189">
        <f>HYPERLINK("http://exon.niaid.nih.gov/transcriptome/Anopheles_sialome/links/cluster-b/anopheline-sialome-cds-pep-larger-orf55-50SimCLU2.txt", 2)</f>
        <v>2</v>
      </c>
      <c r="BY189">
        <f>HYPERLINK("http://exon.niaid.nih.gov/transcriptome/Anopheles_sialome/links/cluster-b/anopheline-sialome-cds-pep-larger-orf55-50SimCLTL2.txt", 55)</f>
        <v>55</v>
      </c>
      <c r="BZ189">
        <f>HYPERLINK("http://exon.niaid.nih.gov/transcriptome/Anopheles_sialome/links/cluster-b/anopheline-sialome-cds-pep-larger-orf60-50SimCLU2.txt", 2)</f>
        <v>2</v>
      </c>
      <c r="CA189">
        <f>HYPERLINK("http://exon.niaid.nih.gov/transcriptome/Anopheles_sialome/links/cluster-b/anopheline-sialome-cds-pep-larger-orf60-50SimCLTL2.txt", 54)</f>
        <v>54</v>
      </c>
      <c r="CB189">
        <f>HYPERLINK("http://exon.niaid.nih.gov/transcriptome/Anopheles_sialome/links/cluster-b/anopheline-sialome-cds-pep-larger-orf65-50SimCLU14.txt", 14)</f>
        <v>14</v>
      </c>
      <c r="CC189">
        <f>HYPERLINK("http://exon.niaid.nih.gov/transcriptome/Anopheles_sialome/links/cluster-b/anopheline-sialome-cds-pep-larger-orf65-50SimCLTL14.txt", 18)</f>
        <v>18</v>
      </c>
      <c r="CD189">
        <f>HYPERLINK("http://exon.niaid.nih.gov/transcriptome/Anopheles_sialome/links/cluster-b/anopheline-sialome-cds-pep-larger-orf70-50SimCLU14.txt", 14)</f>
        <v>14</v>
      </c>
      <c r="CE189">
        <f>HYPERLINK("http://exon.niaid.nih.gov/transcriptome/Anopheles_sialome/links/cluster-b/anopheline-sialome-cds-pep-larger-orf70-50SimCLTL14.txt", 18)</f>
        <v>18</v>
      </c>
      <c r="CF189">
        <f>HYPERLINK("http://exon.niaid.nih.gov/transcriptome/Anopheles_sialome/links/cluster-b/anopheline-sialome-cds-pep-larger-orf75-50SimCLU8.txt", 8)</f>
        <v>8</v>
      </c>
      <c r="CG189">
        <f>HYPERLINK("http://exon.niaid.nih.gov/transcriptome/Anopheles_sialome/links/cluster-b/anopheline-sialome-cds-pep-larger-orf75-50SimCLTL8.txt", 18)</f>
        <v>18</v>
      </c>
      <c r="CH189">
        <f>HYPERLINK("http://exon.niaid.nih.gov/transcriptome/Anopheles_sialome/links/cluster-b/anopheline-sialome-cds-pep-larger-orf80-50SimCLU6.txt", 6)</f>
        <v>6</v>
      </c>
      <c r="CI189">
        <f>HYPERLINK("http://exon.niaid.nih.gov/transcriptome/Anopheles_sialome/links/cluster-b/anopheline-sialome-cds-pep-larger-orf80-50SimCLTL6.txt", 18)</f>
        <v>18</v>
      </c>
      <c r="CJ189">
        <f>HYPERLINK("http://exon.niaid.nih.gov/transcriptome/Anopheles_sialome/links/cluster-b/anopheline-sialome-cds-pep-larger-orf85-50SimCLU6.txt", 6)</f>
        <v>6</v>
      </c>
      <c r="CK189">
        <f>HYPERLINK("http://exon.niaid.nih.gov/transcriptome/Anopheles_sialome/links/cluster-b/anopheline-sialome-cds-pep-larger-orf85-50SimCLTL6.txt", 16)</f>
        <v>16</v>
      </c>
      <c r="CL189">
        <f>HYPERLINK("http://exon.niaid.nih.gov/transcriptome/Anopheles_sialome/links/cluster-b/anopheline-sialome-cds-pep-larger-orf90-50SimCLU6.txt", 6)</f>
        <v>6</v>
      </c>
      <c r="CM189">
        <f>HYPERLINK("http://exon.niaid.nih.gov/transcriptome/Anopheles_sialome/links/cluster-b/anopheline-sialome-cds-pep-larger-orf90-50SimCLTL6.txt", 13)</f>
        <v>13</v>
      </c>
      <c r="CN189">
        <f>HYPERLINK("http://exon.niaid.nih.gov/transcriptome/Anopheles_sialome/links/cluster-b/anopheline-sialome-cds-pep-larger-orf95-50SimCLU53.txt", 53)</f>
        <v>53</v>
      </c>
      <c r="CO189">
        <f>HYPERLINK("http://exon.niaid.nih.gov/transcriptome/Anopheles_sialome/links/cluster-b/anopheline-sialome-cds-pep-larger-orf95-50SimCLTL53.txt", 2)</f>
        <v>2</v>
      </c>
    </row>
    <row r="190" spans="1:93">
      <c r="A190" s="2" t="str">
        <f>HYPERLINK("http://exon.niaid.nih.gov/transcriptome/Anopheles_sialome/links/cds/anoste_gVAG-cds.txt","anoste_gVAG")</f>
        <v>anoste_gVAG</v>
      </c>
      <c r="B190">
        <v>780</v>
      </c>
      <c r="C190" t="s">
        <v>51</v>
      </c>
      <c r="D190" t="s">
        <v>7</v>
      </c>
      <c r="E190" t="s">
        <v>5</v>
      </c>
      <c r="F190" t="s">
        <v>1</v>
      </c>
      <c r="G190" t="str">
        <f>HYPERLINK("http://exon.niaid.nih.gov/transcriptome/Anopheles_sialome/links/pep/anoste_gVAG-pep.txt","anoste_gVAG")</f>
        <v>anoste_gVAG</v>
      </c>
      <c r="H190">
        <v>259</v>
      </c>
      <c r="I190">
        <v>1</v>
      </c>
      <c r="J190" s="3" t="str">
        <f>HYPERLINK("http://exon.niaid.nih.gov/transcriptome/Anopheles_sialome/links/Sigp/anoste_gVAG-SigP.txt","SIG")</f>
        <v>SIG</v>
      </c>
      <c r="K190" t="s">
        <v>689</v>
      </c>
      <c r="L190">
        <v>29.01</v>
      </c>
      <c r="M190">
        <v>9.0500000000000007</v>
      </c>
      <c r="N190">
        <v>26.829000000000001</v>
      </c>
      <c r="O190">
        <v>9.17</v>
      </c>
      <c r="P190" t="s">
        <v>750</v>
      </c>
      <c r="Q190" s="3">
        <v>0</v>
      </c>
      <c r="R190" t="s">
        <v>128</v>
      </c>
      <c r="S190" t="s">
        <v>128</v>
      </c>
      <c r="T190" t="s">
        <v>128</v>
      </c>
      <c r="U190" t="s">
        <v>128</v>
      </c>
      <c r="V190" t="s">
        <v>128</v>
      </c>
      <c r="W190" s="3" t="str">
        <f>HYPERLINK("http://exon.niaid.nih.gov/transcriptome/Anopheles_sialome/links/netoglyc/anoste_gVAG-netoglyc.txt","0")</f>
        <v>0</v>
      </c>
      <c r="X190">
        <v>14.3</v>
      </c>
      <c r="Y190">
        <v>7.7</v>
      </c>
      <c r="Z190">
        <v>6.6</v>
      </c>
      <c r="AA190" t="s">
        <v>654</v>
      </c>
      <c r="AB190" t="s">
        <v>128</v>
      </c>
      <c r="AC190" s="2" t="str">
        <f>HYPERLINK("http://exon.niaid.nih.gov/transcriptome/Anopheles_sialome/links/DIPTERA/anoste_gVAG-DIPTERA.txt","salivary antigen-5 related protein")</f>
        <v>salivary antigen-5 related protein</v>
      </c>
      <c r="AD190" t="str">
        <f>HYPERLINK("http://www.ncbi.nlm.nih.gov/sutils/blink.cgi?pid=27372895","1E-156")</f>
        <v>1E-156</v>
      </c>
      <c r="AE190" t="str">
        <f>HYPERLINK("http://www.ncbi.nlm.nih.gov/protein/27372895","gi|27372895")</f>
        <v>gi|27372895</v>
      </c>
      <c r="AF190">
        <v>99</v>
      </c>
      <c r="AG190">
        <v>99</v>
      </c>
      <c r="AH190">
        <v>100</v>
      </c>
      <c r="AI190" t="s">
        <v>2271</v>
      </c>
      <c r="AJ190" s="2" t="str">
        <f>HYPERLINK("http://exon.niaid.nih.gov/transcriptome/Anopheles_sialome/links/CULICOMORPHA/anoste_gVAG-CULICOMORPHA.txt","salivary antigen-5 related protein")</f>
        <v>salivary antigen-5 related protein</v>
      </c>
      <c r="AK190" t="str">
        <f>HYPERLINK("http://www.ncbi.nlm.nih.gov/sutils/blink.cgi?pid=27372895","1E-157")</f>
        <v>1E-157</v>
      </c>
      <c r="AL190" t="str">
        <f>HYPERLINK("http://www.ncbi.nlm.nih.gov/protein/27372895","gi|27372895")</f>
        <v>gi|27372895</v>
      </c>
      <c r="AM190">
        <v>99</v>
      </c>
      <c r="AN190">
        <v>99</v>
      </c>
      <c r="AO190">
        <v>100</v>
      </c>
      <c r="AP190" t="s">
        <v>2271</v>
      </c>
      <c r="AQ190" s="2" t="str">
        <f>HYPERLINK("http://exon.niaid.nih.gov/transcriptome/Anopheles_sialome/links/NR-LIGHT/anoste_gVAG-NR-LIGHT.txt","salivary antigen-5 related protein")</f>
        <v>salivary antigen-5 related protein</v>
      </c>
      <c r="AR190" t="str">
        <f>HYPERLINK("http://www.ncbi.nlm.nih.gov/sutils/blink.cgi?pid=27372895","1E-156")</f>
        <v>1E-156</v>
      </c>
      <c r="AS190" t="str">
        <f>HYPERLINK("http://www.ncbi.nlm.nih.gov/protein/27372895","gi|27372895")</f>
        <v>gi|27372895</v>
      </c>
      <c r="AT190">
        <v>99</v>
      </c>
      <c r="AU190">
        <v>99</v>
      </c>
      <c r="AV190">
        <v>100</v>
      </c>
      <c r="AW190" t="s">
        <v>2271</v>
      </c>
      <c r="AX190" s="2" t="str">
        <f>HYPERLINK("http://exon.niaid.nih.gov/transcriptome/Anopheles_sialome/links/CDD/anoste_gVAG-CDD.txt","SCP_euk")</f>
        <v>SCP_euk</v>
      </c>
      <c r="AY190" t="str">
        <f>HYPERLINK("http://www.ncbi.nlm.nih.gov/Structure/cdd/cddsrv.cgi?uid=cd05380&amp;version=v4.0","9E-039")</f>
        <v>9E-039</v>
      </c>
      <c r="AZ190" t="s">
        <v>2327</v>
      </c>
      <c r="BA190" s="2" t="str">
        <f>HYPERLINK("http://exon.niaid.nih.gov/transcriptome/Anopheles_sialome/links/KOG/anoste_gVAG-KOG.txt","Defense-related protein containing SCP domain")</f>
        <v>Defense-related protein containing SCP domain</v>
      </c>
      <c r="BB190" t="str">
        <f>HYPERLINK("http://www.ncbi.nlm.nih.gov/Structure/cdd/cddsrv.cgi?uid=KOG3017","7E-027")</f>
        <v>7E-027</v>
      </c>
      <c r="BC190" t="s">
        <v>2304</v>
      </c>
      <c r="BD190" t="str">
        <f>HYPERLINK("http://exon.niaid.nih.gov/transcriptome/Anopheles_sialome/links/KOG/anoste_gVAG-KOG.txt","KOG3017")</f>
        <v>KOG3017</v>
      </c>
      <c r="BE190" t="str">
        <f>HYPERLINK("http://exon.niaid.nih.gov/transcriptome/Anopheles_sialome/links/PFAM/anoste_gVAG-PFAM.txt","CAP")</f>
        <v>CAP</v>
      </c>
      <c r="BF190" t="str">
        <f>HYPERLINK("http://pfam.sanger.ac.uk/family?acc=PF00188","3E-013")</f>
        <v>3E-013</v>
      </c>
      <c r="BG190" s="2" t="str">
        <f>HYPERLINK("http://exon.niaid.nih.gov/transcriptome/Anopheles_sialome/links/SMART/anoste_gVAG-SMART.txt","SCP")</f>
        <v>SCP</v>
      </c>
      <c r="BH190" t="str">
        <f>HYPERLINK("http://smart.embl-heidelberg.de/smart/do_annotation.pl?DOMAIN=SCP&amp;BLAST=DUMMY","6E-026")</f>
        <v>6E-026</v>
      </c>
      <c r="BI190" t="s">
        <v>128</v>
      </c>
      <c r="BJ190" s="2" t="s">
        <v>128</v>
      </c>
      <c r="BK190" t="s">
        <v>749</v>
      </c>
      <c r="BL190">
        <f>HYPERLINK("http://exon.niaid.nih.gov/transcriptome/Anopheles_sialome/links/cluster-b/anopheline-sialome-cds-pep-larger-orf25-50SimCLU4.txt", 4)</f>
        <v>4</v>
      </c>
      <c r="BM190">
        <f>HYPERLINK("http://exon.niaid.nih.gov/transcriptome/Anopheles_sialome/links/cluster-b/anopheline-sialome-cds-pep-larger-orf25-50SimCLTL4.txt", 82)</f>
        <v>82</v>
      </c>
      <c r="BN190">
        <f>HYPERLINK("http://exon.niaid.nih.gov/transcriptome/Anopheles_sialome/links/cluster-b/anopheline-sialome-cds-pep-larger-orf30-50SimCLU4.txt", 4)</f>
        <v>4</v>
      </c>
      <c r="BO190">
        <f>HYPERLINK("http://exon.niaid.nih.gov/transcriptome/Anopheles_sialome/links/cluster-b/anopheline-sialome-cds-pep-larger-orf30-50SimCLTL4.txt", 82)</f>
        <v>82</v>
      </c>
      <c r="BP190">
        <f>HYPERLINK("http://exon.niaid.nih.gov/transcriptome/Anopheles_sialome/links/cluster-b/anopheline-sialome-cds-pep-larger-orf35-50SimCLU3.txt", 3)</f>
        <v>3</v>
      </c>
      <c r="BQ190">
        <f>HYPERLINK("http://exon.niaid.nih.gov/transcriptome/Anopheles_sialome/links/cluster-b/anopheline-sialome-cds-pep-larger-orf35-50SimCLTL3.txt", 82)</f>
        <v>82</v>
      </c>
      <c r="BR190">
        <f>HYPERLINK("http://exon.niaid.nih.gov/transcriptome/Anopheles_sialome/links/cluster-b/anopheline-sialome-cds-pep-larger-orf40-50SimCLU3.txt", 3)</f>
        <v>3</v>
      </c>
      <c r="BS190">
        <f>HYPERLINK("http://exon.niaid.nih.gov/transcriptome/Anopheles_sialome/links/cluster-b/anopheline-sialome-cds-pep-larger-orf40-50SimCLTL3.txt", 82)</f>
        <v>82</v>
      </c>
      <c r="BT190">
        <f>HYPERLINK("http://exon.niaid.nih.gov/transcriptome/Anopheles_sialome/links/cluster-b/anopheline-sialome-cds-pep-larger-orf45-50SimCLU2.txt", 2)</f>
        <v>2</v>
      </c>
      <c r="BU190">
        <f>HYPERLINK("http://exon.niaid.nih.gov/transcriptome/Anopheles_sialome/links/cluster-b/anopheline-sialome-cds-pep-larger-orf45-50SimCLTL2.txt", 82)</f>
        <v>82</v>
      </c>
      <c r="BV190">
        <f>HYPERLINK("http://exon.niaid.nih.gov/transcriptome/Anopheles_sialome/links/cluster-b/anopheline-sialome-cds-pep-larger-orf50-50SimCLU2.txt", 2)</f>
        <v>2</v>
      </c>
      <c r="BW190">
        <f>HYPERLINK("http://exon.niaid.nih.gov/transcriptome/Anopheles_sialome/links/cluster-b/anopheline-sialome-cds-pep-larger-orf50-50SimCLTL2.txt", 82)</f>
        <v>82</v>
      </c>
      <c r="BX190">
        <f>HYPERLINK("http://exon.niaid.nih.gov/transcriptome/Anopheles_sialome/links/cluster-b/anopheline-sialome-cds-pep-larger-orf55-50SimCLU2.txt", 2)</f>
        <v>2</v>
      </c>
      <c r="BY190">
        <f>HYPERLINK("http://exon.niaid.nih.gov/transcriptome/Anopheles_sialome/links/cluster-b/anopheline-sialome-cds-pep-larger-orf55-50SimCLTL2.txt", 55)</f>
        <v>55</v>
      </c>
      <c r="BZ190">
        <f>HYPERLINK("http://exon.niaid.nih.gov/transcriptome/Anopheles_sialome/links/cluster-b/anopheline-sialome-cds-pep-larger-orf60-50SimCLU2.txt", 2)</f>
        <v>2</v>
      </c>
      <c r="CA190">
        <f>HYPERLINK("http://exon.niaid.nih.gov/transcriptome/Anopheles_sialome/links/cluster-b/anopheline-sialome-cds-pep-larger-orf60-50SimCLTL2.txt", 54)</f>
        <v>54</v>
      </c>
      <c r="CB190">
        <f>HYPERLINK("http://exon.niaid.nih.gov/transcriptome/Anopheles_sialome/links/cluster-b/anopheline-sialome-cds-pep-larger-orf65-50SimCLU14.txt", 14)</f>
        <v>14</v>
      </c>
      <c r="CC190">
        <f>HYPERLINK("http://exon.niaid.nih.gov/transcriptome/Anopheles_sialome/links/cluster-b/anopheline-sialome-cds-pep-larger-orf65-50SimCLTL14.txt", 18)</f>
        <v>18</v>
      </c>
      <c r="CD190">
        <f>HYPERLINK("http://exon.niaid.nih.gov/transcriptome/Anopheles_sialome/links/cluster-b/anopheline-sialome-cds-pep-larger-orf70-50SimCLU14.txt", 14)</f>
        <v>14</v>
      </c>
      <c r="CE190">
        <f>HYPERLINK("http://exon.niaid.nih.gov/transcriptome/Anopheles_sialome/links/cluster-b/anopheline-sialome-cds-pep-larger-orf70-50SimCLTL14.txt", 18)</f>
        <v>18</v>
      </c>
      <c r="CF190">
        <f>HYPERLINK("http://exon.niaid.nih.gov/transcriptome/Anopheles_sialome/links/cluster-b/anopheline-sialome-cds-pep-larger-orf75-50SimCLU8.txt", 8)</f>
        <v>8</v>
      </c>
      <c r="CG190">
        <f>HYPERLINK("http://exon.niaid.nih.gov/transcriptome/Anopheles_sialome/links/cluster-b/anopheline-sialome-cds-pep-larger-orf75-50SimCLTL8.txt", 18)</f>
        <v>18</v>
      </c>
      <c r="CH190">
        <f>HYPERLINK("http://exon.niaid.nih.gov/transcriptome/Anopheles_sialome/links/cluster-b/anopheline-sialome-cds-pep-larger-orf80-50SimCLU6.txt", 6)</f>
        <v>6</v>
      </c>
      <c r="CI190">
        <f>HYPERLINK("http://exon.niaid.nih.gov/transcriptome/Anopheles_sialome/links/cluster-b/anopheline-sialome-cds-pep-larger-orf80-50SimCLTL6.txt", 18)</f>
        <v>18</v>
      </c>
      <c r="CJ190">
        <f>HYPERLINK("http://exon.niaid.nih.gov/transcriptome/Anopheles_sialome/links/cluster-b/anopheline-sialome-cds-pep-larger-orf85-50SimCLU6.txt", 6)</f>
        <v>6</v>
      </c>
      <c r="CK190">
        <f>HYPERLINK("http://exon.niaid.nih.gov/transcriptome/Anopheles_sialome/links/cluster-b/anopheline-sialome-cds-pep-larger-orf85-50SimCLTL6.txt", 16)</f>
        <v>16</v>
      </c>
      <c r="CL190">
        <f>HYPERLINK("http://exon.niaid.nih.gov/transcriptome/Anopheles_sialome/links/cluster-b/anopheline-sialome-cds-pep-larger-orf90-50SimCLU6.txt", 6)</f>
        <v>6</v>
      </c>
      <c r="CM190">
        <f>HYPERLINK("http://exon.niaid.nih.gov/transcriptome/Anopheles_sialome/links/cluster-b/anopheline-sialome-cds-pep-larger-orf90-50SimCLTL6.txt", 13)</f>
        <v>13</v>
      </c>
      <c r="CN190">
        <v>95</v>
      </c>
      <c r="CO190">
        <v>1</v>
      </c>
    </row>
    <row r="191" spans="1:93">
      <c r="A191" s="2" t="str">
        <f>HYPERLINK("http://exon.niaid.nih.gov/transcriptome/Anopheles_sialome/links/cds/anomac_gVAG-cds.txt","anomac_gVAG")</f>
        <v>anomac_gVAG</v>
      </c>
      <c r="B191">
        <v>780</v>
      </c>
      <c r="C191" t="s">
        <v>52</v>
      </c>
      <c r="D191" t="s">
        <v>4</v>
      </c>
      <c r="E191" t="s">
        <v>5</v>
      </c>
      <c r="F191" t="s">
        <v>1</v>
      </c>
      <c r="G191" t="str">
        <f>HYPERLINK("http://exon.niaid.nih.gov/transcriptome/Anopheles_sialome/links/pep/anomac_gVAG-pep.txt","anomac_gVAG")</f>
        <v>anomac_gVAG</v>
      </c>
      <c r="H191">
        <v>259</v>
      </c>
      <c r="I191">
        <v>1</v>
      </c>
      <c r="J191" s="3" t="str">
        <f>HYPERLINK("http://exon.niaid.nih.gov/transcriptome/Anopheles_sialome/links/Sigp/anomac_gVAG-SigP.txt","SIG")</f>
        <v>SIG</v>
      </c>
      <c r="K191" t="s">
        <v>692</v>
      </c>
      <c r="L191">
        <v>29.152999999999999</v>
      </c>
      <c r="M191">
        <v>8.9700000000000006</v>
      </c>
      <c r="N191">
        <v>27.009</v>
      </c>
      <c r="O191">
        <v>9.09</v>
      </c>
      <c r="P191" t="s">
        <v>752</v>
      </c>
      <c r="Q191" s="3">
        <v>0</v>
      </c>
      <c r="R191" t="s">
        <v>128</v>
      </c>
      <c r="S191" t="s">
        <v>128</v>
      </c>
      <c r="T191" t="s">
        <v>128</v>
      </c>
      <c r="U191" t="s">
        <v>128</v>
      </c>
      <c r="V191" t="s">
        <v>128</v>
      </c>
      <c r="W191" s="3" t="str">
        <f>HYPERLINK("http://exon.niaid.nih.gov/transcriptome/Anopheles_sialome/links/netoglyc/anomac_gVAG-netoglyc.txt","0")</f>
        <v>0</v>
      </c>
      <c r="X191">
        <v>13.1</v>
      </c>
      <c r="Y191">
        <v>7.3</v>
      </c>
      <c r="Z191">
        <v>6.9</v>
      </c>
      <c r="AA191" t="s">
        <v>654</v>
      </c>
      <c r="AB191" t="s">
        <v>753</v>
      </c>
      <c r="AC191" s="2" t="str">
        <f>HYPERLINK("http://exon.niaid.nih.gov/transcriptome/Anopheles_sialome/links/DIPTERA/anomac_gVAG-DIPTERA.txt","salivary antigen-5 related protein")</f>
        <v>salivary antigen-5 related protein</v>
      </c>
      <c r="AD191" t="str">
        <f>HYPERLINK("http://www.ncbi.nlm.nih.gov/sutils/blink.cgi?pid=27372895","1E-145")</f>
        <v>1E-145</v>
      </c>
      <c r="AE191" t="str">
        <f>HYPERLINK("http://www.ncbi.nlm.nih.gov/protein/27372895","gi|27372895")</f>
        <v>gi|27372895</v>
      </c>
      <c r="AF191">
        <v>91</v>
      </c>
      <c r="AG191">
        <v>94</v>
      </c>
      <c r="AH191">
        <v>100</v>
      </c>
      <c r="AI191" t="s">
        <v>2271</v>
      </c>
      <c r="AJ191" s="2" t="str">
        <f>HYPERLINK("http://exon.niaid.nih.gov/transcriptome/Anopheles_sialome/links/CULICOMORPHA/anomac_gVAG-CULICOMORPHA.txt","salivary antigen-5 related protein")</f>
        <v>salivary antigen-5 related protein</v>
      </c>
      <c r="AK191" t="str">
        <f>HYPERLINK("http://www.ncbi.nlm.nih.gov/sutils/blink.cgi?pid=27372895","1E-145")</f>
        <v>1E-145</v>
      </c>
      <c r="AL191" t="str">
        <f>HYPERLINK("http://www.ncbi.nlm.nih.gov/protein/27372895","gi|27372895")</f>
        <v>gi|27372895</v>
      </c>
      <c r="AM191">
        <v>91</v>
      </c>
      <c r="AN191">
        <v>94</v>
      </c>
      <c r="AO191">
        <v>100</v>
      </c>
      <c r="AP191" t="s">
        <v>2271</v>
      </c>
      <c r="AQ191" s="2" t="str">
        <f>HYPERLINK("http://exon.niaid.nih.gov/transcriptome/Anopheles_sialome/links/NR-LIGHT/anomac_gVAG-NR-LIGHT.txt","salivary antigen-5 related protein")</f>
        <v>salivary antigen-5 related protein</v>
      </c>
      <c r="AR191" t="str">
        <f>HYPERLINK("http://www.ncbi.nlm.nih.gov/sutils/blink.cgi?pid=27372895","1E-144")</f>
        <v>1E-144</v>
      </c>
      <c r="AS191" t="str">
        <f>HYPERLINK("http://www.ncbi.nlm.nih.gov/protein/27372895","gi|27372895")</f>
        <v>gi|27372895</v>
      </c>
      <c r="AT191">
        <v>91</v>
      </c>
      <c r="AU191">
        <v>94</v>
      </c>
      <c r="AV191">
        <v>100</v>
      </c>
      <c r="AW191" t="s">
        <v>2271</v>
      </c>
      <c r="AX191" s="2" t="str">
        <f>HYPERLINK("http://exon.niaid.nih.gov/transcriptome/Anopheles_sialome/links/CDD/anomac_gVAG-CDD.txt","SCP_euk")</f>
        <v>SCP_euk</v>
      </c>
      <c r="AY191" t="str">
        <f>HYPERLINK("http://www.ncbi.nlm.nih.gov/Structure/cdd/cddsrv.cgi?uid=cd05380&amp;version=v4.0","1E-038")</f>
        <v>1E-038</v>
      </c>
      <c r="AZ191" t="s">
        <v>2328</v>
      </c>
      <c r="BA191" s="2" t="str">
        <f>HYPERLINK("http://exon.niaid.nih.gov/transcriptome/Anopheles_sialome/links/KOG/anomac_gVAG-KOG.txt","Defense-related protein containing SCP domain")</f>
        <v>Defense-related protein containing SCP domain</v>
      </c>
      <c r="BB191" t="str">
        <f>HYPERLINK("http://www.ncbi.nlm.nih.gov/Structure/cdd/cddsrv.cgi?uid=KOG3017","3E-026")</f>
        <v>3E-026</v>
      </c>
      <c r="BC191" t="s">
        <v>2304</v>
      </c>
      <c r="BD191" t="str">
        <f>HYPERLINK("http://exon.niaid.nih.gov/transcriptome/Anopheles_sialome/links/KOG/anomac_gVAG-KOG.txt","KOG3017")</f>
        <v>KOG3017</v>
      </c>
      <c r="BE191" t="str">
        <f>HYPERLINK("http://exon.niaid.nih.gov/transcriptome/Anopheles_sialome/links/PFAM/anomac_gVAG-PFAM.txt","CAP")</f>
        <v>CAP</v>
      </c>
      <c r="BF191" t="str">
        <f>HYPERLINK("http://pfam.sanger.ac.uk/family?acc=PF00188","3E-012")</f>
        <v>3E-012</v>
      </c>
      <c r="BG191" s="2" t="str">
        <f>HYPERLINK("http://exon.niaid.nih.gov/transcriptome/Anopheles_sialome/links/SMART/anomac_gVAG-SMART.txt","SCP")</f>
        <v>SCP</v>
      </c>
      <c r="BH191" t="str">
        <f>HYPERLINK("http://smart.embl-heidelberg.de/smart/do_annotation.pl?DOMAIN=SCP&amp;BLAST=DUMMY","3E-025")</f>
        <v>3E-025</v>
      </c>
      <c r="BI191" t="s">
        <v>128</v>
      </c>
      <c r="BJ191" s="2" t="s">
        <v>128</v>
      </c>
      <c r="BK191" t="s">
        <v>751</v>
      </c>
      <c r="BL191">
        <f>HYPERLINK("http://exon.niaid.nih.gov/transcriptome/Anopheles_sialome/links/cluster-b/anopheline-sialome-cds-pep-larger-orf25-50SimCLU4.txt", 4)</f>
        <v>4</v>
      </c>
      <c r="BM191">
        <f>HYPERLINK("http://exon.niaid.nih.gov/transcriptome/Anopheles_sialome/links/cluster-b/anopheline-sialome-cds-pep-larger-orf25-50SimCLTL4.txt", 82)</f>
        <v>82</v>
      </c>
      <c r="BN191">
        <f>HYPERLINK("http://exon.niaid.nih.gov/transcriptome/Anopheles_sialome/links/cluster-b/anopheline-sialome-cds-pep-larger-orf30-50SimCLU4.txt", 4)</f>
        <v>4</v>
      </c>
      <c r="BO191">
        <f>HYPERLINK("http://exon.niaid.nih.gov/transcriptome/Anopheles_sialome/links/cluster-b/anopheline-sialome-cds-pep-larger-orf30-50SimCLTL4.txt", 82)</f>
        <v>82</v>
      </c>
      <c r="BP191">
        <f>HYPERLINK("http://exon.niaid.nih.gov/transcriptome/Anopheles_sialome/links/cluster-b/anopheline-sialome-cds-pep-larger-orf35-50SimCLU3.txt", 3)</f>
        <v>3</v>
      </c>
      <c r="BQ191">
        <f>HYPERLINK("http://exon.niaid.nih.gov/transcriptome/Anopheles_sialome/links/cluster-b/anopheline-sialome-cds-pep-larger-orf35-50SimCLTL3.txt", 82)</f>
        <v>82</v>
      </c>
      <c r="BR191">
        <f>HYPERLINK("http://exon.niaid.nih.gov/transcriptome/Anopheles_sialome/links/cluster-b/anopheline-sialome-cds-pep-larger-orf40-50SimCLU3.txt", 3)</f>
        <v>3</v>
      </c>
      <c r="BS191">
        <f>HYPERLINK("http://exon.niaid.nih.gov/transcriptome/Anopheles_sialome/links/cluster-b/anopheline-sialome-cds-pep-larger-orf40-50SimCLTL3.txt", 82)</f>
        <v>82</v>
      </c>
      <c r="BT191">
        <f>HYPERLINK("http://exon.niaid.nih.gov/transcriptome/Anopheles_sialome/links/cluster-b/anopheline-sialome-cds-pep-larger-orf45-50SimCLU2.txt", 2)</f>
        <v>2</v>
      </c>
      <c r="BU191">
        <f>HYPERLINK("http://exon.niaid.nih.gov/transcriptome/Anopheles_sialome/links/cluster-b/anopheline-sialome-cds-pep-larger-orf45-50SimCLTL2.txt", 82)</f>
        <v>82</v>
      </c>
      <c r="BV191">
        <f>HYPERLINK("http://exon.niaid.nih.gov/transcriptome/Anopheles_sialome/links/cluster-b/anopheline-sialome-cds-pep-larger-orf50-50SimCLU2.txt", 2)</f>
        <v>2</v>
      </c>
      <c r="BW191">
        <f>HYPERLINK("http://exon.niaid.nih.gov/transcriptome/Anopheles_sialome/links/cluster-b/anopheline-sialome-cds-pep-larger-orf50-50SimCLTL2.txt", 82)</f>
        <v>82</v>
      </c>
      <c r="BX191">
        <f>HYPERLINK("http://exon.niaid.nih.gov/transcriptome/Anopheles_sialome/links/cluster-b/anopheline-sialome-cds-pep-larger-orf55-50SimCLU2.txt", 2)</f>
        <v>2</v>
      </c>
      <c r="BY191">
        <f>HYPERLINK("http://exon.niaid.nih.gov/transcriptome/Anopheles_sialome/links/cluster-b/anopheline-sialome-cds-pep-larger-orf55-50SimCLTL2.txt", 55)</f>
        <v>55</v>
      </c>
      <c r="BZ191">
        <f>HYPERLINK("http://exon.niaid.nih.gov/transcriptome/Anopheles_sialome/links/cluster-b/anopheline-sialome-cds-pep-larger-orf60-50SimCLU2.txt", 2)</f>
        <v>2</v>
      </c>
      <c r="CA191">
        <f>HYPERLINK("http://exon.niaid.nih.gov/transcriptome/Anopheles_sialome/links/cluster-b/anopheline-sialome-cds-pep-larger-orf60-50SimCLTL2.txt", 54)</f>
        <v>54</v>
      </c>
      <c r="CB191">
        <f>HYPERLINK("http://exon.niaid.nih.gov/transcriptome/Anopheles_sialome/links/cluster-b/anopheline-sialome-cds-pep-larger-orf65-50SimCLU14.txt", 14)</f>
        <v>14</v>
      </c>
      <c r="CC191">
        <f>HYPERLINK("http://exon.niaid.nih.gov/transcriptome/Anopheles_sialome/links/cluster-b/anopheline-sialome-cds-pep-larger-orf65-50SimCLTL14.txt", 18)</f>
        <v>18</v>
      </c>
      <c r="CD191">
        <f>HYPERLINK("http://exon.niaid.nih.gov/transcriptome/Anopheles_sialome/links/cluster-b/anopheline-sialome-cds-pep-larger-orf70-50SimCLU14.txt", 14)</f>
        <v>14</v>
      </c>
      <c r="CE191">
        <f>HYPERLINK("http://exon.niaid.nih.gov/transcriptome/Anopheles_sialome/links/cluster-b/anopheline-sialome-cds-pep-larger-orf70-50SimCLTL14.txt", 18)</f>
        <v>18</v>
      </c>
      <c r="CF191">
        <f>HYPERLINK("http://exon.niaid.nih.gov/transcriptome/Anopheles_sialome/links/cluster-b/anopheline-sialome-cds-pep-larger-orf75-50SimCLU8.txt", 8)</f>
        <v>8</v>
      </c>
      <c r="CG191">
        <f>HYPERLINK("http://exon.niaid.nih.gov/transcriptome/Anopheles_sialome/links/cluster-b/anopheline-sialome-cds-pep-larger-orf75-50SimCLTL8.txt", 18)</f>
        <v>18</v>
      </c>
      <c r="CH191">
        <f>HYPERLINK("http://exon.niaid.nih.gov/transcriptome/Anopheles_sialome/links/cluster-b/anopheline-sialome-cds-pep-larger-orf80-50SimCLU6.txt", 6)</f>
        <v>6</v>
      </c>
      <c r="CI191">
        <f>HYPERLINK("http://exon.niaid.nih.gov/transcriptome/Anopheles_sialome/links/cluster-b/anopheline-sialome-cds-pep-larger-orf80-50SimCLTL6.txt", 18)</f>
        <v>18</v>
      </c>
      <c r="CJ191">
        <f>HYPERLINK("http://exon.niaid.nih.gov/transcriptome/Anopheles_sialome/links/cluster-b/anopheline-sialome-cds-pep-larger-orf85-50SimCLU6.txt", 6)</f>
        <v>6</v>
      </c>
      <c r="CK191">
        <f>HYPERLINK("http://exon.niaid.nih.gov/transcriptome/Anopheles_sialome/links/cluster-b/anopheline-sialome-cds-pep-larger-orf85-50SimCLTL6.txt", 16)</f>
        <v>16</v>
      </c>
      <c r="CL191">
        <f>HYPERLINK("http://exon.niaid.nih.gov/transcriptome/Anopheles_sialome/links/cluster-b/anopheline-sialome-cds-pep-larger-orf90-50SimCLU6.txt", 6)</f>
        <v>6</v>
      </c>
      <c r="CM191">
        <f>HYPERLINK("http://exon.niaid.nih.gov/transcriptome/Anopheles_sialome/links/cluster-b/anopheline-sialome-cds-pep-larger-orf90-50SimCLTL6.txt", 13)</f>
        <v>13</v>
      </c>
      <c r="CN191">
        <v>96</v>
      </c>
      <c r="CO191">
        <v>1</v>
      </c>
    </row>
    <row r="192" spans="1:93">
      <c r="A192" s="2" t="str">
        <f>HYPERLINK("http://exon.niaid.nih.gov/transcriptome/Anopheles_sialome/links/cds/anofar_gVAG-cds.txt","anofar_gVAG")</f>
        <v>anofar_gVAG</v>
      </c>
      <c r="B192">
        <v>783</v>
      </c>
      <c r="C192" t="s">
        <v>53</v>
      </c>
      <c r="D192" t="s">
        <v>7</v>
      </c>
      <c r="E192" t="s">
        <v>5</v>
      </c>
      <c r="F192" t="s">
        <v>1</v>
      </c>
      <c r="G192" t="str">
        <f>HYPERLINK("http://exon.niaid.nih.gov/transcriptome/Anopheles_sialome/links/pep/anofar_gVAG-pep.txt","anofar_gVAG")</f>
        <v>anofar_gVAG</v>
      </c>
      <c r="H192">
        <v>260</v>
      </c>
      <c r="I192">
        <v>1</v>
      </c>
      <c r="J192" s="3" t="str">
        <f>HYPERLINK("http://exon.niaid.nih.gov/transcriptome/Anopheles_sialome/links/Sigp/anofar_gVAG-SigP.txt","SIG")</f>
        <v>SIG</v>
      </c>
      <c r="K192" t="s">
        <v>692</v>
      </c>
      <c r="L192">
        <v>29.298999999999999</v>
      </c>
      <c r="M192">
        <v>8.99</v>
      </c>
      <c r="N192">
        <v>27.236999999999998</v>
      </c>
      <c r="O192">
        <v>8.99</v>
      </c>
      <c r="P192" t="s">
        <v>755</v>
      </c>
      <c r="Q192" s="3">
        <v>0</v>
      </c>
      <c r="R192" t="s">
        <v>128</v>
      </c>
      <c r="S192" t="s">
        <v>128</v>
      </c>
      <c r="T192" t="s">
        <v>128</v>
      </c>
      <c r="U192" t="s">
        <v>128</v>
      </c>
      <c r="V192" t="s">
        <v>128</v>
      </c>
      <c r="W192" s="3" t="str">
        <f>HYPERLINK("http://exon.niaid.nih.gov/transcriptome/Anopheles_sialome/links/netoglyc/anofar_gVAG-netoglyc.txt","1")</f>
        <v>1</v>
      </c>
      <c r="X192">
        <v>12.3</v>
      </c>
      <c r="Y192">
        <v>7.7</v>
      </c>
      <c r="Z192">
        <v>6.5</v>
      </c>
      <c r="AA192" t="s">
        <v>654</v>
      </c>
      <c r="AB192" t="s">
        <v>128</v>
      </c>
      <c r="AC192" s="2" t="str">
        <f>HYPERLINK("http://exon.niaid.nih.gov/transcriptome/Anopheles_sialome/links/DIPTERA/anofar_gVAG-DIPTERA.txt","putative gVAG protein precursor")</f>
        <v>putative gVAG protein precursor</v>
      </c>
      <c r="AD192" t="str">
        <f>HYPERLINK("http://www.ncbi.nlm.nih.gov/sutils/blink.cgi?pid=34556108","1E-123")</f>
        <v>1E-123</v>
      </c>
      <c r="AE192" t="str">
        <f>HYPERLINK("http://www.ncbi.nlm.nih.gov/protein/34556108","gi|34556108")</f>
        <v>gi|34556108</v>
      </c>
      <c r="AF192">
        <v>75</v>
      </c>
      <c r="AG192">
        <v>85</v>
      </c>
      <c r="AH192">
        <v>100</v>
      </c>
      <c r="AI192" t="s">
        <v>2254</v>
      </c>
      <c r="AJ192" s="2" t="str">
        <f>HYPERLINK("http://exon.niaid.nih.gov/transcriptome/Anopheles_sialome/links/CULICOMORPHA/anofar_gVAG-CULICOMORPHA.txt","putative gVAG protein precursor")</f>
        <v>putative gVAG protein precursor</v>
      </c>
      <c r="AK192" t="str">
        <f>HYPERLINK("http://www.ncbi.nlm.nih.gov/sutils/blink.cgi?pid=34556108","1E-124")</f>
        <v>1E-124</v>
      </c>
      <c r="AL192" t="str">
        <f>HYPERLINK("http://www.ncbi.nlm.nih.gov/protein/34556108","gi|34556108")</f>
        <v>gi|34556108</v>
      </c>
      <c r="AM192">
        <v>75</v>
      </c>
      <c r="AN192">
        <v>85</v>
      </c>
      <c r="AO192">
        <v>100</v>
      </c>
      <c r="AP192" t="s">
        <v>2254</v>
      </c>
      <c r="AQ192" s="2" t="str">
        <f>HYPERLINK("http://exon.niaid.nih.gov/transcriptome/Anopheles_sialome/links/NR-LIGHT/anofar_gVAG-NR-LIGHT.txt","putative gVAG protein precursor")</f>
        <v>putative gVAG protein precursor</v>
      </c>
      <c r="AR192" t="str">
        <f>HYPERLINK("http://www.ncbi.nlm.nih.gov/sutils/blink.cgi?pid=34556108","1E-123")</f>
        <v>1E-123</v>
      </c>
      <c r="AS192" t="str">
        <f>HYPERLINK("http://www.ncbi.nlm.nih.gov/protein/34556108","gi|34556108")</f>
        <v>gi|34556108</v>
      </c>
      <c r="AT192">
        <v>75</v>
      </c>
      <c r="AU192">
        <v>85</v>
      </c>
      <c r="AV192">
        <v>100</v>
      </c>
      <c r="AW192" t="s">
        <v>2254</v>
      </c>
      <c r="AX192" s="2" t="str">
        <f>HYPERLINK("http://exon.niaid.nih.gov/transcriptome/Anopheles_sialome/links/CDD/anofar_gVAG-CDD.txt","SCP_euk")</f>
        <v>SCP_euk</v>
      </c>
      <c r="AY192" t="str">
        <f>HYPERLINK("http://www.ncbi.nlm.nih.gov/Structure/cdd/cddsrv.cgi?uid=cd05380&amp;version=v4.0","3E-040")</f>
        <v>3E-040</v>
      </c>
      <c r="AZ192" t="s">
        <v>2329</v>
      </c>
      <c r="BA192" s="2" t="str">
        <f>HYPERLINK("http://exon.niaid.nih.gov/transcriptome/Anopheles_sialome/links/KOG/anofar_gVAG-KOG.txt","Defense-related protein containing SCP domain")</f>
        <v>Defense-related protein containing SCP domain</v>
      </c>
      <c r="BB192" t="str">
        <f>HYPERLINK("http://www.ncbi.nlm.nih.gov/Structure/cdd/cddsrv.cgi?uid=KOG3017","2E-027")</f>
        <v>2E-027</v>
      </c>
      <c r="BC192" t="s">
        <v>2304</v>
      </c>
      <c r="BD192" t="str">
        <f>HYPERLINK("http://exon.niaid.nih.gov/transcriptome/Anopheles_sialome/links/KOG/anofar_gVAG-KOG.txt","KOG3017")</f>
        <v>KOG3017</v>
      </c>
      <c r="BE192" t="str">
        <f>HYPERLINK("http://exon.niaid.nih.gov/transcriptome/Anopheles_sialome/links/PFAM/anofar_gVAG-PFAM.txt","CAP")</f>
        <v>CAP</v>
      </c>
      <c r="BF192" t="str">
        <f>HYPERLINK("http://pfam.sanger.ac.uk/family?acc=PF00188","6E-013")</f>
        <v>6E-013</v>
      </c>
      <c r="BG192" s="2" t="str">
        <f>HYPERLINK("http://exon.niaid.nih.gov/transcriptome/Anopheles_sialome/links/SMART/anofar_gVAG-SMART.txt","SCP")</f>
        <v>SCP</v>
      </c>
      <c r="BH192" t="str">
        <f>HYPERLINK("http://smart.embl-heidelberg.de/smart/do_annotation.pl?DOMAIN=SCP&amp;BLAST=DUMMY","2E-025")</f>
        <v>2E-025</v>
      </c>
      <c r="BI192" t="s">
        <v>128</v>
      </c>
      <c r="BJ192" s="2" t="s">
        <v>128</v>
      </c>
      <c r="BK192" t="s">
        <v>754</v>
      </c>
      <c r="BL192">
        <f>HYPERLINK("http://exon.niaid.nih.gov/transcriptome/Anopheles_sialome/links/cluster-b/anopheline-sialome-cds-pep-larger-orf25-50SimCLU4.txt", 4)</f>
        <v>4</v>
      </c>
      <c r="BM192">
        <f>HYPERLINK("http://exon.niaid.nih.gov/transcriptome/Anopheles_sialome/links/cluster-b/anopheline-sialome-cds-pep-larger-orf25-50SimCLTL4.txt", 82)</f>
        <v>82</v>
      </c>
      <c r="BN192">
        <f>HYPERLINK("http://exon.niaid.nih.gov/transcriptome/Anopheles_sialome/links/cluster-b/anopheline-sialome-cds-pep-larger-orf30-50SimCLU4.txt", 4)</f>
        <v>4</v>
      </c>
      <c r="BO192">
        <f>HYPERLINK("http://exon.niaid.nih.gov/transcriptome/Anopheles_sialome/links/cluster-b/anopheline-sialome-cds-pep-larger-orf30-50SimCLTL4.txt", 82)</f>
        <v>82</v>
      </c>
      <c r="BP192">
        <f>HYPERLINK("http://exon.niaid.nih.gov/transcriptome/Anopheles_sialome/links/cluster-b/anopheline-sialome-cds-pep-larger-orf35-50SimCLU3.txt", 3)</f>
        <v>3</v>
      </c>
      <c r="BQ192">
        <f>HYPERLINK("http://exon.niaid.nih.gov/transcriptome/Anopheles_sialome/links/cluster-b/anopheline-sialome-cds-pep-larger-orf35-50SimCLTL3.txt", 82)</f>
        <v>82</v>
      </c>
      <c r="BR192">
        <f>HYPERLINK("http://exon.niaid.nih.gov/transcriptome/Anopheles_sialome/links/cluster-b/anopheline-sialome-cds-pep-larger-orf40-50SimCLU3.txt", 3)</f>
        <v>3</v>
      </c>
      <c r="BS192">
        <f>HYPERLINK("http://exon.niaid.nih.gov/transcriptome/Anopheles_sialome/links/cluster-b/anopheline-sialome-cds-pep-larger-orf40-50SimCLTL3.txt", 82)</f>
        <v>82</v>
      </c>
      <c r="BT192">
        <f>HYPERLINK("http://exon.niaid.nih.gov/transcriptome/Anopheles_sialome/links/cluster-b/anopheline-sialome-cds-pep-larger-orf45-50SimCLU2.txt", 2)</f>
        <v>2</v>
      </c>
      <c r="BU192">
        <f>HYPERLINK("http://exon.niaid.nih.gov/transcriptome/Anopheles_sialome/links/cluster-b/anopheline-sialome-cds-pep-larger-orf45-50SimCLTL2.txt", 82)</f>
        <v>82</v>
      </c>
      <c r="BV192">
        <f>HYPERLINK("http://exon.niaid.nih.gov/transcriptome/Anopheles_sialome/links/cluster-b/anopheline-sialome-cds-pep-larger-orf50-50SimCLU2.txt", 2)</f>
        <v>2</v>
      </c>
      <c r="BW192">
        <f>HYPERLINK("http://exon.niaid.nih.gov/transcriptome/Anopheles_sialome/links/cluster-b/anopheline-sialome-cds-pep-larger-orf50-50SimCLTL2.txt", 82)</f>
        <v>82</v>
      </c>
      <c r="BX192">
        <f>HYPERLINK("http://exon.niaid.nih.gov/transcriptome/Anopheles_sialome/links/cluster-b/anopheline-sialome-cds-pep-larger-orf55-50SimCLU2.txt", 2)</f>
        <v>2</v>
      </c>
      <c r="BY192">
        <f>HYPERLINK("http://exon.niaid.nih.gov/transcriptome/Anopheles_sialome/links/cluster-b/anopheline-sialome-cds-pep-larger-orf55-50SimCLTL2.txt", 55)</f>
        <v>55</v>
      </c>
      <c r="BZ192">
        <f>HYPERLINK("http://exon.niaid.nih.gov/transcriptome/Anopheles_sialome/links/cluster-b/anopheline-sialome-cds-pep-larger-orf60-50SimCLU2.txt", 2)</f>
        <v>2</v>
      </c>
      <c r="CA192">
        <f>HYPERLINK("http://exon.niaid.nih.gov/transcriptome/Anopheles_sialome/links/cluster-b/anopheline-sialome-cds-pep-larger-orf60-50SimCLTL2.txt", 54)</f>
        <v>54</v>
      </c>
      <c r="CB192">
        <f>HYPERLINK("http://exon.niaid.nih.gov/transcriptome/Anopheles_sialome/links/cluster-b/anopheline-sialome-cds-pep-larger-orf65-50SimCLU14.txt", 14)</f>
        <v>14</v>
      </c>
      <c r="CC192">
        <f>HYPERLINK("http://exon.niaid.nih.gov/transcriptome/Anopheles_sialome/links/cluster-b/anopheline-sialome-cds-pep-larger-orf65-50SimCLTL14.txt", 18)</f>
        <v>18</v>
      </c>
      <c r="CD192">
        <f>HYPERLINK("http://exon.niaid.nih.gov/transcriptome/Anopheles_sialome/links/cluster-b/anopheline-sialome-cds-pep-larger-orf70-50SimCLU14.txt", 14)</f>
        <v>14</v>
      </c>
      <c r="CE192">
        <f>HYPERLINK("http://exon.niaid.nih.gov/transcriptome/Anopheles_sialome/links/cluster-b/anopheline-sialome-cds-pep-larger-orf70-50SimCLTL14.txt", 18)</f>
        <v>18</v>
      </c>
      <c r="CF192">
        <f>HYPERLINK("http://exon.niaid.nih.gov/transcriptome/Anopheles_sialome/links/cluster-b/anopheline-sialome-cds-pep-larger-orf75-50SimCLU8.txt", 8)</f>
        <v>8</v>
      </c>
      <c r="CG192">
        <f>HYPERLINK("http://exon.niaid.nih.gov/transcriptome/Anopheles_sialome/links/cluster-b/anopheline-sialome-cds-pep-larger-orf75-50SimCLTL8.txt", 18)</f>
        <v>18</v>
      </c>
      <c r="CH192">
        <f>HYPERLINK("http://exon.niaid.nih.gov/transcriptome/Anopheles_sialome/links/cluster-b/anopheline-sialome-cds-pep-larger-orf80-50SimCLU6.txt", 6)</f>
        <v>6</v>
      </c>
      <c r="CI192">
        <f>HYPERLINK("http://exon.niaid.nih.gov/transcriptome/Anopheles_sialome/links/cluster-b/anopheline-sialome-cds-pep-larger-orf80-50SimCLTL6.txt", 18)</f>
        <v>18</v>
      </c>
      <c r="CJ192">
        <f>HYPERLINK("http://exon.niaid.nih.gov/transcriptome/Anopheles_sialome/links/cluster-b/anopheline-sialome-cds-pep-larger-orf85-50SimCLU6.txt", 6)</f>
        <v>6</v>
      </c>
      <c r="CK192">
        <f>HYPERLINK("http://exon.niaid.nih.gov/transcriptome/Anopheles_sialome/links/cluster-b/anopheline-sialome-cds-pep-larger-orf85-50SimCLTL6.txt", 16)</f>
        <v>16</v>
      </c>
      <c r="CL192">
        <v>117</v>
      </c>
      <c r="CM192">
        <v>1</v>
      </c>
      <c r="CN192">
        <v>97</v>
      </c>
      <c r="CO192">
        <v>1</v>
      </c>
    </row>
    <row r="193" spans="1:93">
      <c r="A193" s="2" t="str">
        <f>HYPERLINK("http://exon.niaid.nih.gov/transcriptome/Anopheles_sialome/links/cds/anodir_gVAG-cds.txt","anodir_gVAG")</f>
        <v>anodir_gVAG</v>
      </c>
      <c r="B193">
        <v>780</v>
      </c>
      <c r="C193" t="s">
        <v>54</v>
      </c>
      <c r="D193" t="s">
        <v>7</v>
      </c>
      <c r="E193" t="s">
        <v>5</v>
      </c>
      <c r="F193" t="s">
        <v>1</v>
      </c>
      <c r="G193" t="str">
        <f>HYPERLINK("http://exon.niaid.nih.gov/transcriptome/Anopheles_sialome/links/pep/anodir_gVAG-pep.txt","anodir_gVAG")</f>
        <v>anodir_gVAG</v>
      </c>
      <c r="H193">
        <v>259</v>
      </c>
      <c r="I193">
        <v>1</v>
      </c>
      <c r="J193" s="3" t="str">
        <f>HYPERLINK("http://exon.niaid.nih.gov/transcriptome/Anopheles_sialome/links/Sigp/anodir_gVAG-SigP.txt","SIG")</f>
        <v>SIG</v>
      </c>
      <c r="K193" t="s">
        <v>652</v>
      </c>
      <c r="L193">
        <v>29.125</v>
      </c>
      <c r="M193">
        <v>9.24</v>
      </c>
      <c r="N193">
        <v>27.158000000000001</v>
      </c>
      <c r="O193">
        <v>9.3000000000000007</v>
      </c>
      <c r="P193" t="s">
        <v>757</v>
      </c>
      <c r="Q193" s="3">
        <v>0</v>
      </c>
      <c r="R193" t="s">
        <v>128</v>
      </c>
      <c r="S193" t="s">
        <v>128</v>
      </c>
      <c r="T193" t="s">
        <v>128</v>
      </c>
      <c r="U193" t="s">
        <v>128</v>
      </c>
      <c r="V193" t="s">
        <v>128</v>
      </c>
      <c r="W193" s="3" t="str">
        <f>HYPERLINK("http://exon.niaid.nih.gov/transcriptome/Anopheles_sialome/links/netoglyc/anodir_gVAG-netoglyc.txt","0")</f>
        <v>0</v>
      </c>
      <c r="X193">
        <v>11.6</v>
      </c>
      <c r="Y193">
        <v>8.1</v>
      </c>
      <c r="Z193">
        <v>7.3</v>
      </c>
      <c r="AA193" t="s">
        <v>654</v>
      </c>
      <c r="AB193" t="s">
        <v>128</v>
      </c>
      <c r="AC193" s="2" t="str">
        <f>HYPERLINK("http://exon.niaid.nih.gov/transcriptome/Anopheles_sialome/links/DIPTERA/anodir_gVAG-DIPTERA.txt","gvag protein precursor")</f>
        <v>gvag protein precursor</v>
      </c>
      <c r="AD193" t="str">
        <f>HYPERLINK("http://www.ncbi.nlm.nih.gov/sutils/blink.cgi?pid=114864564","1E-118")</f>
        <v>1E-118</v>
      </c>
      <c r="AE193" t="str">
        <f>HYPERLINK("http://www.ncbi.nlm.nih.gov/protein/114864564","gi|114864564")</f>
        <v>gi|114864564</v>
      </c>
      <c r="AF193">
        <v>73</v>
      </c>
      <c r="AG193">
        <v>85</v>
      </c>
      <c r="AH193">
        <v>100</v>
      </c>
      <c r="AI193" t="s">
        <v>2266</v>
      </c>
      <c r="AJ193" s="2" t="str">
        <f>HYPERLINK("http://exon.niaid.nih.gov/transcriptome/Anopheles_sialome/links/CULICOMORPHA/anodir_gVAG-CULICOMORPHA.txt","gvag protein precursor")</f>
        <v>gvag protein precursor</v>
      </c>
      <c r="AK193" t="str">
        <f>HYPERLINK("http://www.ncbi.nlm.nih.gov/sutils/blink.cgi?pid=114864564","1E-119")</f>
        <v>1E-119</v>
      </c>
      <c r="AL193" t="str">
        <f>HYPERLINK("http://www.ncbi.nlm.nih.gov/protein/114864564","gi|114864564")</f>
        <v>gi|114864564</v>
      </c>
      <c r="AM193">
        <v>73</v>
      </c>
      <c r="AN193">
        <v>85</v>
      </c>
      <c r="AO193">
        <v>100</v>
      </c>
      <c r="AP193" t="s">
        <v>2266</v>
      </c>
      <c r="AQ193" s="2" t="str">
        <f>HYPERLINK("http://exon.niaid.nih.gov/transcriptome/Anopheles_sialome/links/NR-LIGHT/anodir_gVAG-NR-LIGHT.txt","gvag protein precursor")</f>
        <v>gvag protein precursor</v>
      </c>
      <c r="AR193" t="str">
        <f>HYPERLINK("http://www.ncbi.nlm.nih.gov/sutils/blink.cgi?pid=114864564","1E-117")</f>
        <v>1E-117</v>
      </c>
      <c r="AS193" t="str">
        <f>HYPERLINK("http://www.ncbi.nlm.nih.gov/protein/114864564","gi|114864564")</f>
        <v>gi|114864564</v>
      </c>
      <c r="AT193">
        <v>73</v>
      </c>
      <c r="AU193">
        <v>85</v>
      </c>
      <c r="AV193">
        <v>100</v>
      </c>
      <c r="AW193" t="s">
        <v>2266</v>
      </c>
      <c r="AX193" s="2" t="str">
        <f>HYPERLINK("http://exon.niaid.nih.gov/transcriptome/Anopheles_sialome/links/CDD/anodir_gVAG-CDD.txt","SCP_euk")</f>
        <v>SCP_euk</v>
      </c>
      <c r="AY193" t="str">
        <f>HYPERLINK("http://www.ncbi.nlm.nih.gov/Structure/cdd/cddsrv.cgi?uid=cd05380&amp;version=v4.0","1E-040")</f>
        <v>1E-040</v>
      </c>
      <c r="AZ193" t="s">
        <v>2330</v>
      </c>
      <c r="BA193" s="2" t="str">
        <f>HYPERLINK("http://exon.niaid.nih.gov/transcriptome/Anopheles_sialome/links/KOG/anodir_gVAG-KOG.txt","Defense-related protein containing SCP domain")</f>
        <v>Defense-related protein containing SCP domain</v>
      </c>
      <c r="BB193" t="str">
        <f>HYPERLINK("http://www.ncbi.nlm.nih.gov/Structure/cdd/cddsrv.cgi?uid=KOG3017","7E-029")</f>
        <v>7E-029</v>
      </c>
      <c r="BC193" t="s">
        <v>2304</v>
      </c>
      <c r="BD193" t="str">
        <f>HYPERLINK("http://exon.niaid.nih.gov/transcriptome/Anopheles_sialome/links/KOG/anodir_gVAG-KOG.txt","KOG3017")</f>
        <v>KOG3017</v>
      </c>
      <c r="BE193" t="str">
        <f>HYPERLINK("http://exon.niaid.nih.gov/transcriptome/Anopheles_sialome/links/PFAM/anodir_gVAG-PFAM.txt","CAP")</f>
        <v>CAP</v>
      </c>
      <c r="BF193" t="str">
        <f>HYPERLINK("http://pfam.sanger.ac.uk/family?acc=PF00188","3E-014")</f>
        <v>3E-014</v>
      </c>
      <c r="BG193" s="2" t="str">
        <f>HYPERLINK("http://exon.niaid.nih.gov/transcriptome/Anopheles_sialome/links/SMART/anodir_gVAG-SMART.txt","SCP")</f>
        <v>SCP</v>
      </c>
      <c r="BH193" t="str">
        <f>HYPERLINK("http://smart.embl-heidelberg.de/smart/do_annotation.pl?DOMAIN=SCP&amp;BLAST=DUMMY","1E-026")</f>
        <v>1E-026</v>
      </c>
      <c r="BI193" t="s">
        <v>128</v>
      </c>
      <c r="BJ193" s="2" t="s">
        <v>128</v>
      </c>
      <c r="BK193" t="s">
        <v>756</v>
      </c>
      <c r="BL193">
        <f>HYPERLINK("http://exon.niaid.nih.gov/transcriptome/Anopheles_sialome/links/cluster-b/anopheline-sialome-cds-pep-larger-orf25-50SimCLU4.txt", 4)</f>
        <v>4</v>
      </c>
      <c r="BM193">
        <f>HYPERLINK("http://exon.niaid.nih.gov/transcriptome/Anopheles_sialome/links/cluster-b/anopheline-sialome-cds-pep-larger-orf25-50SimCLTL4.txt", 82)</f>
        <v>82</v>
      </c>
      <c r="BN193">
        <f>HYPERLINK("http://exon.niaid.nih.gov/transcriptome/Anopheles_sialome/links/cluster-b/anopheline-sialome-cds-pep-larger-orf30-50SimCLU4.txt", 4)</f>
        <v>4</v>
      </c>
      <c r="BO193">
        <f>HYPERLINK("http://exon.niaid.nih.gov/transcriptome/Anopheles_sialome/links/cluster-b/anopheline-sialome-cds-pep-larger-orf30-50SimCLTL4.txt", 82)</f>
        <v>82</v>
      </c>
      <c r="BP193">
        <f>HYPERLINK("http://exon.niaid.nih.gov/transcriptome/Anopheles_sialome/links/cluster-b/anopheline-sialome-cds-pep-larger-orf35-50SimCLU3.txt", 3)</f>
        <v>3</v>
      </c>
      <c r="BQ193">
        <f>HYPERLINK("http://exon.niaid.nih.gov/transcriptome/Anopheles_sialome/links/cluster-b/anopheline-sialome-cds-pep-larger-orf35-50SimCLTL3.txt", 82)</f>
        <v>82</v>
      </c>
      <c r="BR193">
        <f>HYPERLINK("http://exon.niaid.nih.gov/transcriptome/Anopheles_sialome/links/cluster-b/anopheline-sialome-cds-pep-larger-orf40-50SimCLU3.txt", 3)</f>
        <v>3</v>
      </c>
      <c r="BS193">
        <f>HYPERLINK("http://exon.niaid.nih.gov/transcriptome/Anopheles_sialome/links/cluster-b/anopheline-sialome-cds-pep-larger-orf40-50SimCLTL3.txt", 82)</f>
        <v>82</v>
      </c>
      <c r="BT193">
        <f>HYPERLINK("http://exon.niaid.nih.gov/transcriptome/Anopheles_sialome/links/cluster-b/anopheline-sialome-cds-pep-larger-orf45-50SimCLU2.txt", 2)</f>
        <v>2</v>
      </c>
      <c r="BU193">
        <f>HYPERLINK("http://exon.niaid.nih.gov/transcriptome/Anopheles_sialome/links/cluster-b/anopheline-sialome-cds-pep-larger-orf45-50SimCLTL2.txt", 82)</f>
        <v>82</v>
      </c>
      <c r="BV193">
        <f>HYPERLINK("http://exon.niaid.nih.gov/transcriptome/Anopheles_sialome/links/cluster-b/anopheline-sialome-cds-pep-larger-orf50-50SimCLU2.txt", 2)</f>
        <v>2</v>
      </c>
      <c r="BW193">
        <f>HYPERLINK("http://exon.niaid.nih.gov/transcriptome/Anopheles_sialome/links/cluster-b/anopheline-sialome-cds-pep-larger-orf50-50SimCLTL2.txt", 82)</f>
        <v>82</v>
      </c>
      <c r="BX193">
        <f>HYPERLINK("http://exon.niaid.nih.gov/transcriptome/Anopheles_sialome/links/cluster-b/anopheline-sialome-cds-pep-larger-orf55-50SimCLU2.txt", 2)</f>
        <v>2</v>
      </c>
      <c r="BY193">
        <f>HYPERLINK("http://exon.niaid.nih.gov/transcriptome/Anopheles_sialome/links/cluster-b/anopheline-sialome-cds-pep-larger-orf55-50SimCLTL2.txt", 55)</f>
        <v>55</v>
      </c>
      <c r="BZ193">
        <f>HYPERLINK("http://exon.niaid.nih.gov/transcriptome/Anopheles_sialome/links/cluster-b/anopheline-sialome-cds-pep-larger-orf60-50SimCLU2.txt", 2)</f>
        <v>2</v>
      </c>
      <c r="CA193">
        <f>HYPERLINK("http://exon.niaid.nih.gov/transcriptome/Anopheles_sialome/links/cluster-b/anopheline-sialome-cds-pep-larger-orf60-50SimCLTL2.txt", 54)</f>
        <v>54</v>
      </c>
      <c r="CB193">
        <f>HYPERLINK("http://exon.niaid.nih.gov/transcriptome/Anopheles_sialome/links/cluster-b/anopheline-sialome-cds-pep-larger-orf65-50SimCLU14.txt", 14)</f>
        <v>14</v>
      </c>
      <c r="CC193">
        <f>HYPERLINK("http://exon.niaid.nih.gov/transcriptome/Anopheles_sialome/links/cluster-b/anopheline-sialome-cds-pep-larger-orf65-50SimCLTL14.txt", 18)</f>
        <v>18</v>
      </c>
      <c r="CD193">
        <f>HYPERLINK("http://exon.niaid.nih.gov/transcriptome/Anopheles_sialome/links/cluster-b/anopheline-sialome-cds-pep-larger-orf70-50SimCLU14.txt", 14)</f>
        <v>14</v>
      </c>
      <c r="CE193">
        <f>HYPERLINK("http://exon.niaid.nih.gov/transcriptome/Anopheles_sialome/links/cluster-b/anopheline-sialome-cds-pep-larger-orf70-50SimCLTL14.txt", 18)</f>
        <v>18</v>
      </c>
      <c r="CF193">
        <f>HYPERLINK("http://exon.niaid.nih.gov/transcriptome/Anopheles_sialome/links/cluster-b/anopheline-sialome-cds-pep-larger-orf75-50SimCLU8.txt", 8)</f>
        <v>8</v>
      </c>
      <c r="CG193">
        <f>HYPERLINK("http://exon.niaid.nih.gov/transcriptome/Anopheles_sialome/links/cluster-b/anopheline-sialome-cds-pep-larger-orf75-50SimCLTL8.txt", 18)</f>
        <v>18</v>
      </c>
      <c r="CH193">
        <f>HYPERLINK("http://exon.niaid.nih.gov/transcriptome/Anopheles_sialome/links/cluster-b/anopheline-sialome-cds-pep-larger-orf80-50SimCLU6.txt", 6)</f>
        <v>6</v>
      </c>
      <c r="CI193">
        <f>HYPERLINK("http://exon.niaid.nih.gov/transcriptome/Anopheles_sialome/links/cluster-b/anopheline-sialome-cds-pep-larger-orf80-50SimCLTL6.txt", 18)</f>
        <v>18</v>
      </c>
      <c r="CJ193">
        <f>HYPERLINK("http://exon.niaid.nih.gov/transcriptome/Anopheles_sialome/links/cluster-b/anopheline-sialome-cds-pep-larger-orf85-50SimCLU6.txt", 6)</f>
        <v>6</v>
      </c>
      <c r="CK193">
        <f>HYPERLINK("http://exon.niaid.nih.gov/transcriptome/Anopheles_sialome/links/cluster-b/anopheline-sialome-cds-pep-larger-orf85-50SimCLTL6.txt", 16)</f>
        <v>16</v>
      </c>
      <c r="CL193">
        <v>118</v>
      </c>
      <c r="CM193">
        <v>1</v>
      </c>
      <c r="CN193">
        <v>98</v>
      </c>
      <c r="CO193">
        <v>1</v>
      </c>
    </row>
    <row r="194" spans="1:93">
      <c r="A194" s="2" t="str">
        <f>HYPERLINK("http://exon.niaid.nih.gov/transcriptome/Anopheles_sialome/links/cds/anosin_gVAG-cds.txt","anosin_gVAG")</f>
        <v>anosin_gVAG</v>
      </c>
      <c r="B194">
        <v>783</v>
      </c>
      <c r="C194" t="s">
        <v>55</v>
      </c>
      <c r="D194" t="s">
        <v>4</v>
      </c>
      <c r="E194" t="s">
        <v>5</v>
      </c>
      <c r="F194" t="s">
        <v>1</v>
      </c>
      <c r="G194" t="str">
        <f>HYPERLINK("http://exon.niaid.nih.gov/transcriptome/Anopheles_sialome/links/pep/anosin_gVAG-pep.txt","anosin_gVAG")</f>
        <v>anosin_gVAG</v>
      </c>
      <c r="H194">
        <v>260</v>
      </c>
      <c r="I194">
        <v>1</v>
      </c>
      <c r="J194" s="3" t="str">
        <f>HYPERLINK("http://exon.niaid.nih.gov/transcriptome/Anopheles_sialome/links/Sigp/anosin_gVAG-SigP.txt","SIG")</f>
        <v>SIG</v>
      </c>
      <c r="K194" t="s">
        <v>695</v>
      </c>
      <c r="L194">
        <v>28.920999999999999</v>
      </c>
      <c r="M194">
        <v>9.2100000000000009</v>
      </c>
      <c r="N194">
        <v>26.712</v>
      </c>
      <c r="O194">
        <v>9.2899999999999991</v>
      </c>
      <c r="P194" t="s">
        <v>759</v>
      </c>
      <c r="Q194" s="3">
        <v>0</v>
      </c>
      <c r="R194" t="s">
        <v>128</v>
      </c>
      <c r="S194" t="s">
        <v>128</v>
      </c>
      <c r="T194" t="s">
        <v>128</v>
      </c>
      <c r="U194" t="s">
        <v>128</v>
      </c>
      <c r="V194" t="s">
        <v>128</v>
      </c>
      <c r="W194" s="3" t="str">
        <f>HYPERLINK("http://exon.niaid.nih.gov/transcriptome/Anopheles_sialome/links/netoglyc/anosin_gVAG-netoglyc.txt","1")</f>
        <v>1</v>
      </c>
      <c r="X194">
        <v>11.5</v>
      </c>
      <c r="Y194">
        <v>9.1999999999999993</v>
      </c>
      <c r="Z194">
        <v>6.2</v>
      </c>
      <c r="AA194" t="s">
        <v>654</v>
      </c>
      <c r="AB194" t="s">
        <v>128</v>
      </c>
      <c r="AC194" s="2" t="str">
        <f>HYPERLINK("http://exon.niaid.nih.gov/transcriptome/Anopheles_sialome/links/DIPTERA/anosin_gVAG-DIPTERA.txt","putative gVAG protein precursor")</f>
        <v>putative gVAG protein precursor</v>
      </c>
      <c r="AD194" t="str">
        <f>HYPERLINK("http://www.ncbi.nlm.nih.gov/sutils/blink.cgi?pid=668467126","1E-152")</f>
        <v>1E-152</v>
      </c>
      <c r="AE194" t="str">
        <f>HYPERLINK("http://www.ncbi.nlm.nih.gov/protein/668467126","gi|668467126")</f>
        <v>gi|668467126</v>
      </c>
      <c r="AF194">
        <v>92</v>
      </c>
      <c r="AG194">
        <v>92</v>
      </c>
      <c r="AH194">
        <v>100</v>
      </c>
      <c r="AI194" t="s">
        <v>2277</v>
      </c>
      <c r="AJ194" s="2" t="str">
        <f>HYPERLINK("http://exon.niaid.nih.gov/transcriptome/Anopheles_sialome/links/CULICOMORPHA/anosin_gVAG-CULICOMORPHA.txt","putative gVAG protein precursor")</f>
        <v>putative gVAG protein precursor</v>
      </c>
      <c r="AK194" t="str">
        <f>HYPERLINK("http://www.ncbi.nlm.nih.gov/sutils/blink.cgi?pid=668467126","1E-153")</f>
        <v>1E-153</v>
      </c>
      <c r="AL194" t="str">
        <f>HYPERLINK("http://www.ncbi.nlm.nih.gov/protein/668467126","gi|668467126")</f>
        <v>gi|668467126</v>
      </c>
      <c r="AM194">
        <v>92</v>
      </c>
      <c r="AN194">
        <v>92</v>
      </c>
      <c r="AO194">
        <v>100</v>
      </c>
      <c r="AP194" t="s">
        <v>2277</v>
      </c>
      <c r="AQ194" s="2" t="str">
        <f>HYPERLINK("http://exon.niaid.nih.gov/transcriptome/Anopheles_sialome/links/NR-LIGHT/anosin_gVAG-NR-LIGHT.txt","putative gVAG protein precursor")</f>
        <v>putative gVAG protein precursor</v>
      </c>
      <c r="AR194" t="str">
        <f>HYPERLINK("http://www.ncbi.nlm.nih.gov/sutils/blink.cgi?pid=668467126","1E-152")</f>
        <v>1E-152</v>
      </c>
      <c r="AS194" t="str">
        <f>HYPERLINK("http://www.ncbi.nlm.nih.gov/protein/668467126","gi|668467126")</f>
        <v>gi|668467126</v>
      </c>
      <c r="AT194">
        <v>92</v>
      </c>
      <c r="AU194">
        <v>92</v>
      </c>
      <c r="AV194">
        <v>100</v>
      </c>
      <c r="AW194" t="s">
        <v>2277</v>
      </c>
      <c r="AX194" s="2" t="str">
        <f>HYPERLINK("http://exon.niaid.nih.gov/transcriptome/Anopheles_sialome/links/CDD/anosin_gVAG-CDD.txt","SCP_euk")</f>
        <v>SCP_euk</v>
      </c>
      <c r="AY194" t="str">
        <f>HYPERLINK("http://www.ncbi.nlm.nih.gov/Structure/cdd/cddsrv.cgi?uid=cd05380&amp;version=v4.0","1E-038")</f>
        <v>1E-038</v>
      </c>
      <c r="AZ194" t="s">
        <v>2331</v>
      </c>
      <c r="BA194" s="2" t="str">
        <f>HYPERLINK("http://exon.niaid.nih.gov/transcriptome/Anopheles_sialome/links/KOG/anosin_gVAG-KOG.txt","Defense-related protein containing SCP domain")</f>
        <v>Defense-related protein containing SCP domain</v>
      </c>
      <c r="BB194" t="str">
        <f>HYPERLINK("http://www.ncbi.nlm.nih.gov/Structure/cdd/cddsrv.cgi?uid=KOG3017","6E-028")</f>
        <v>6E-028</v>
      </c>
      <c r="BC194" t="s">
        <v>2304</v>
      </c>
      <c r="BD194" t="str">
        <f>HYPERLINK("http://exon.niaid.nih.gov/transcriptome/Anopheles_sialome/links/KOG/anosin_gVAG-KOG.txt","KOG3017")</f>
        <v>KOG3017</v>
      </c>
      <c r="BE194" t="str">
        <f>HYPERLINK("http://exon.niaid.nih.gov/transcriptome/Anopheles_sialome/links/PFAM/anosin_gVAG-PFAM.txt","CAP")</f>
        <v>CAP</v>
      </c>
      <c r="BF194" t="str">
        <f>HYPERLINK("http://pfam.sanger.ac.uk/family?acc=PF00188","1E-012")</f>
        <v>1E-012</v>
      </c>
      <c r="BG194" s="2" t="str">
        <f>HYPERLINK("http://exon.niaid.nih.gov/transcriptome/Anopheles_sialome/links/SMART/anosin_gVAG-SMART.txt","SCP")</f>
        <v>SCP</v>
      </c>
      <c r="BH194" t="str">
        <f>HYPERLINK("http://smart.embl-heidelberg.de/smart/do_annotation.pl?DOMAIN=SCP&amp;BLAST=DUMMY","1E-024")</f>
        <v>1E-024</v>
      </c>
      <c r="BI194" t="s">
        <v>128</v>
      </c>
      <c r="BJ194" s="2" t="s">
        <v>128</v>
      </c>
      <c r="BK194" t="s">
        <v>758</v>
      </c>
      <c r="BL194">
        <f>HYPERLINK("http://exon.niaid.nih.gov/transcriptome/Anopheles_sialome/links/cluster-b/anopheline-sialome-cds-pep-larger-orf25-50SimCLU4.txt", 4)</f>
        <v>4</v>
      </c>
      <c r="BM194">
        <f>HYPERLINK("http://exon.niaid.nih.gov/transcriptome/Anopheles_sialome/links/cluster-b/anopheline-sialome-cds-pep-larger-orf25-50SimCLTL4.txt", 82)</f>
        <v>82</v>
      </c>
      <c r="BN194">
        <f>HYPERLINK("http://exon.niaid.nih.gov/transcriptome/Anopheles_sialome/links/cluster-b/anopheline-sialome-cds-pep-larger-orf30-50SimCLU4.txt", 4)</f>
        <v>4</v>
      </c>
      <c r="BO194">
        <f>HYPERLINK("http://exon.niaid.nih.gov/transcriptome/Anopheles_sialome/links/cluster-b/anopheline-sialome-cds-pep-larger-orf30-50SimCLTL4.txt", 82)</f>
        <v>82</v>
      </c>
      <c r="BP194">
        <f>HYPERLINK("http://exon.niaid.nih.gov/transcriptome/Anopheles_sialome/links/cluster-b/anopheline-sialome-cds-pep-larger-orf35-50SimCLU3.txt", 3)</f>
        <v>3</v>
      </c>
      <c r="BQ194">
        <f>HYPERLINK("http://exon.niaid.nih.gov/transcriptome/Anopheles_sialome/links/cluster-b/anopheline-sialome-cds-pep-larger-orf35-50SimCLTL3.txt", 82)</f>
        <v>82</v>
      </c>
      <c r="BR194">
        <f>HYPERLINK("http://exon.niaid.nih.gov/transcriptome/Anopheles_sialome/links/cluster-b/anopheline-sialome-cds-pep-larger-orf40-50SimCLU3.txt", 3)</f>
        <v>3</v>
      </c>
      <c r="BS194">
        <f>HYPERLINK("http://exon.niaid.nih.gov/transcriptome/Anopheles_sialome/links/cluster-b/anopheline-sialome-cds-pep-larger-orf40-50SimCLTL3.txt", 82)</f>
        <v>82</v>
      </c>
      <c r="BT194">
        <f>HYPERLINK("http://exon.niaid.nih.gov/transcriptome/Anopheles_sialome/links/cluster-b/anopheline-sialome-cds-pep-larger-orf45-50SimCLU2.txt", 2)</f>
        <v>2</v>
      </c>
      <c r="BU194">
        <f>HYPERLINK("http://exon.niaid.nih.gov/transcriptome/Anopheles_sialome/links/cluster-b/anopheline-sialome-cds-pep-larger-orf45-50SimCLTL2.txt", 82)</f>
        <v>82</v>
      </c>
      <c r="BV194">
        <f>HYPERLINK("http://exon.niaid.nih.gov/transcriptome/Anopheles_sialome/links/cluster-b/anopheline-sialome-cds-pep-larger-orf50-50SimCLU2.txt", 2)</f>
        <v>2</v>
      </c>
      <c r="BW194">
        <f>HYPERLINK("http://exon.niaid.nih.gov/transcriptome/Anopheles_sialome/links/cluster-b/anopheline-sialome-cds-pep-larger-orf50-50SimCLTL2.txt", 82)</f>
        <v>82</v>
      </c>
      <c r="BX194">
        <f>HYPERLINK("http://exon.niaid.nih.gov/transcriptome/Anopheles_sialome/links/cluster-b/anopheline-sialome-cds-pep-larger-orf55-50SimCLU2.txt", 2)</f>
        <v>2</v>
      </c>
      <c r="BY194">
        <f>HYPERLINK("http://exon.niaid.nih.gov/transcriptome/Anopheles_sialome/links/cluster-b/anopheline-sialome-cds-pep-larger-orf55-50SimCLTL2.txt", 55)</f>
        <v>55</v>
      </c>
      <c r="BZ194">
        <f>HYPERLINK("http://exon.niaid.nih.gov/transcriptome/Anopheles_sialome/links/cluster-b/anopheline-sialome-cds-pep-larger-orf60-50SimCLU2.txt", 2)</f>
        <v>2</v>
      </c>
      <c r="CA194">
        <f>HYPERLINK("http://exon.niaid.nih.gov/transcriptome/Anopheles_sialome/links/cluster-b/anopheline-sialome-cds-pep-larger-orf60-50SimCLTL2.txt", 54)</f>
        <v>54</v>
      </c>
      <c r="CB194">
        <f>HYPERLINK("http://exon.niaid.nih.gov/transcriptome/Anopheles_sialome/links/cluster-b/anopheline-sialome-cds-pep-larger-orf65-50SimCLU14.txt", 14)</f>
        <v>14</v>
      </c>
      <c r="CC194">
        <f>HYPERLINK("http://exon.niaid.nih.gov/transcriptome/Anopheles_sialome/links/cluster-b/anopheline-sialome-cds-pep-larger-orf65-50SimCLTL14.txt", 18)</f>
        <v>18</v>
      </c>
      <c r="CD194">
        <f>HYPERLINK("http://exon.niaid.nih.gov/transcriptome/Anopheles_sialome/links/cluster-b/anopheline-sialome-cds-pep-larger-orf70-50SimCLU14.txt", 14)</f>
        <v>14</v>
      </c>
      <c r="CE194">
        <f>HYPERLINK("http://exon.niaid.nih.gov/transcriptome/Anopheles_sialome/links/cluster-b/anopheline-sialome-cds-pep-larger-orf70-50SimCLTL14.txt", 18)</f>
        <v>18</v>
      </c>
      <c r="CF194">
        <f>HYPERLINK("http://exon.niaid.nih.gov/transcriptome/Anopheles_sialome/links/cluster-b/anopheline-sialome-cds-pep-larger-orf75-50SimCLU8.txt", 8)</f>
        <v>8</v>
      </c>
      <c r="CG194">
        <f>HYPERLINK("http://exon.niaid.nih.gov/transcriptome/Anopheles_sialome/links/cluster-b/anopheline-sialome-cds-pep-larger-orf75-50SimCLTL8.txt", 18)</f>
        <v>18</v>
      </c>
      <c r="CH194">
        <f>HYPERLINK("http://exon.niaid.nih.gov/transcriptome/Anopheles_sialome/links/cluster-b/anopheline-sialome-cds-pep-larger-orf80-50SimCLU6.txt", 6)</f>
        <v>6</v>
      </c>
      <c r="CI194">
        <f>HYPERLINK("http://exon.niaid.nih.gov/transcriptome/Anopheles_sialome/links/cluster-b/anopheline-sialome-cds-pep-larger-orf80-50SimCLTL6.txt", 18)</f>
        <v>18</v>
      </c>
      <c r="CJ194">
        <f>HYPERLINK("http://exon.niaid.nih.gov/transcriptome/Anopheles_sialome/links/cluster-b/anopheline-sialome-cds-pep-larger-orf85-50SimCLU6.txt", 6)</f>
        <v>6</v>
      </c>
      <c r="CK194">
        <f>HYPERLINK("http://exon.niaid.nih.gov/transcriptome/Anopheles_sialome/links/cluster-b/anopheline-sialome-cds-pep-larger-orf85-50SimCLTL6.txt", 16)</f>
        <v>16</v>
      </c>
      <c r="CL194">
        <v>119</v>
      </c>
      <c r="CM194">
        <v>1</v>
      </c>
      <c r="CN194">
        <v>99</v>
      </c>
      <c r="CO194">
        <v>1</v>
      </c>
    </row>
    <row r="195" spans="1:93">
      <c r="A195" s="2" t="str">
        <f>HYPERLINK("http://exon.niaid.nih.gov/transcriptome/Anopheles_sialome/links/cds/anoalb_gVAG-cds.txt","anoalb_gVAG")</f>
        <v>anoalb_gVAG</v>
      </c>
      <c r="B195">
        <v>792</v>
      </c>
      <c r="C195" t="s">
        <v>56</v>
      </c>
      <c r="D195" t="s">
        <v>7</v>
      </c>
      <c r="E195" t="s">
        <v>5</v>
      </c>
      <c r="F195" t="s">
        <v>1</v>
      </c>
      <c r="G195" t="str">
        <f>HYPERLINK("http://exon.niaid.nih.gov/transcriptome/Anopheles_sialome/links/pep/anoalb_gVAG-pep.txt","anoalb_gVAG")</f>
        <v>anoalb_gVAG</v>
      </c>
      <c r="H195">
        <v>263</v>
      </c>
      <c r="I195">
        <v>1</v>
      </c>
      <c r="J195" s="3" t="str">
        <f>HYPERLINK("http://exon.niaid.nih.gov/transcriptome/Anopheles_sialome/links/Sigp/anoalb_gVAG-SigP.txt","SIG")</f>
        <v>SIG</v>
      </c>
      <c r="K195" t="s">
        <v>708</v>
      </c>
      <c r="L195">
        <v>29.452999999999999</v>
      </c>
      <c r="M195">
        <v>9.1</v>
      </c>
      <c r="N195">
        <v>27.091999999999999</v>
      </c>
      <c r="O195">
        <v>9.1</v>
      </c>
      <c r="P195" t="s">
        <v>761</v>
      </c>
      <c r="Q195" s="3">
        <v>0</v>
      </c>
      <c r="R195" t="s">
        <v>128</v>
      </c>
      <c r="S195" t="s">
        <v>128</v>
      </c>
      <c r="T195" t="s">
        <v>128</v>
      </c>
      <c r="U195" t="s">
        <v>128</v>
      </c>
      <c r="V195" t="s">
        <v>128</v>
      </c>
      <c r="W195" s="3" t="str">
        <f>HYPERLINK("http://exon.niaid.nih.gov/transcriptome/Anopheles_sialome/links/netoglyc/anoalb_gVAG-netoglyc.txt","1")</f>
        <v>1</v>
      </c>
      <c r="X195">
        <v>14.8</v>
      </c>
      <c r="Y195">
        <v>8.6999999999999993</v>
      </c>
      <c r="Z195">
        <v>4.9000000000000004</v>
      </c>
      <c r="AA195" t="s">
        <v>654</v>
      </c>
      <c r="AB195" t="s">
        <v>128</v>
      </c>
      <c r="AC195" s="2" t="str">
        <f>HYPERLINK("http://exon.niaid.nih.gov/transcriptome/Anopheles_sialome/links/DIPTERA/anoalb_gVAG-DIPTERA.txt","venom allergen 5")</f>
        <v>venom allergen 5</v>
      </c>
      <c r="AD195" t="str">
        <f>HYPERLINK("http://www.ncbi.nlm.nih.gov/sutils/blink.cgi?pid=568256134","1E-150")</f>
        <v>1E-150</v>
      </c>
      <c r="AE195" t="str">
        <f>HYPERLINK("http://www.ncbi.nlm.nih.gov/protein/568256134","gi|568256134")</f>
        <v>gi|568256134</v>
      </c>
      <c r="AF195">
        <v>94</v>
      </c>
      <c r="AG195">
        <v>97</v>
      </c>
      <c r="AH195">
        <v>100</v>
      </c>
      <c r="AI195" t="s">
        <v>2283</v>
      </c>
      <c r="AJ195" s="2" t="str">
        <f>HYPERLINK("http://exon.niaid.nih.gov/transcriptome/Anopheles_sialome/links/CULICOMORPHA/anoalb_gVAG-CULICOMORPHA.txt","venom allergen 5")</f>
        <v>venom allergen 5</v>
      </c>
      <c r="AK195" t="str">
        <f>HYPERLINK("http://www.ncbi.nlm.nih.gov/sutils/blink.cgi?pid=568256134","1E-150")</f>
        <v>1E-150</v>
      </c>
      <c r="AL195" t="str">
        <f>HYPERLINK("http://www.ncbi.nlm.nih.gov/protein/568256134","gi|568256134")</f>
        <v>gi|568256134</v>
      </c>
      <c r="AM195">
        <v>94</v>
      </c>
      <c r="AN195">
        <v>97</v>
      </c>
      <c r="AO195">
        <v>100</v>
      </c>
      <c r="AP195" t="s">
        <v>2283</v>
      </c>
      <c r="AQ195" s="2" t="str">
        <f>HYPERLINK("http://exon.niaid.nih.gov/transcriptome/Anopheles_sialome/links/NR-LIGHT/anoalb_gVAG-NR-LIGHT.txt","venom allergen 5")</f>
        <v>venom allergen 5</v>
      </c>
      <c r="AR195" t="str">
        <f>HYPERLINK("http://www.ncbi.nlm.nih.gov/sutils/blink.cgi?pid=568256134","1E-149")</f>
        <v>1E-149</v>
      </c>
      <c r="AS195" t="str">
        <f>HYPERLINK("http://www.ncbi.nlm.nih.gov/protein/568256134","gi|568256134")</f>
        <v>gi|568256134</v>
      </c>
      <c r="AT195">
        <v>94</v>
      </c>
      <c r="AU195">
        <v>97</v>
      </c>
      <c r="AV195">
        <v>100</v>
      </c>
      <c r="AW195" t="s">
        <v>2283</v>
      </c>
      <c r="AX195" s="2" t="str">
        <f>HYPERLINK("http://exon.niaid.nih.gov/transcriptome/Anopheles_sialome/links/CDD/anoalb_gVAG-CDD.txt","SCP_euk")</f>
        <v>SCP_euk</v>
      </c>
      <c r="AY195" t="str">
        <f>HYPERLINK("http://www.ncbi.nlm.nih.gov/Structure/cdd/cddsrv.cgi?uid=cd05380&amp;version=v4.0","1E-040")</f>
        <v>1E-040</v>
      </c>
      <c r="AZ195" t="s">
        <v>2332</v>
      </c>
      <c r="BA195" s="2" t="str">
        <f>HYPERLINK("http://exon.niaid.nih.gov/transcriptome/Anopheles_sialome/links/KOG/anoalb_gVAG-KOG.txt","Defense-related protein containing SCP domain")</f>
        <v>Defense-related protein containing SCP domain</v>
      </c>
      <c r="BB195" t="str">
        <f>HYPERLINK("http://www.ncbi.nlm.nih.gov/Structure/cdd/cddsrv.cgi?uid=KOG3017","6E-027")</f>
        <v>6E-027</v>
      </c>
      <c r="BC195" t="s">
        <v>2304</v>
      </c>
      <c r="BD195" t="str">
        <f>HYPERLINK("http://exon.niaid.nih.gov/transcriptome/Anopheles_sialome/links/KOG/anoalb_gVAG-KOG.txt","KOG3017")</f>
        <v>KOG3017</v>
      </c>
      <c r="BE195" t="str">
        <f>HYPERLINK("http://exon.niaid.nih.gov/transcriptome/Anopheles_sialome/links/PFAM/anoalb_gVAG-PFAM.txt","CAP")</f>
        <v>CAP</v>
      </c>
      <c r="BF195" t="str">
        <f>HYPERLINK("http://pfam.sanger.ac.uk/family?acc=PF00188","6E-014")</f>
        <v>6E-014</v>
      </c>
      <c r="BG195" s="2" t="str">
        <f>HYPERLINK("http://exon.niaid.nih.gov/transcriptome/Anopheles_sialome/links/SMART/anoalb_gVAG-SMART.txt","SCP")</f>
        <v>SCP</v>
      </c>
      <c r="BH195" t="str">
        <f>HYPERLINK("http://smart.embl-heidelberg.de/smart/do_annotation.pl?DOMAIN=SCP&amp;BLAST=DUMMY","3E-027")</f>
        <v>3E-027</v>
      </c>
      <c r="BI195" t="s">
        <v>128</v>
      </c>
      <c r="BJ195" s="2" t="s">
        <v>128</v>
      </c>
      <c r="BK195" t="s">
        <v>760</v>
      </c>
      <c r="BL195">
        <f>HYPERLINK("http://exon.niaid.nih.gov/transcriptome/Anopheles_sialome/links/cluster-b/anopheline-sialome-cds-pep-larger-orf25-50SimCLU4.txt", 4)</f>
        <v>4</v>
      </c>
      <c r="BM195">
        <f>HYPERLINK("http://exon.niaid.nih.gov/transcriptome/Anopheles_sialome/links/cluster-b/anopheline-sialome-cds-pep-larger-orf25-50SimCLTL4.txt", 82)</f>
        <v>82</v>
      </c>
      <c r="BN195">
        <f>HYPERLINK("http://exon.niaid.nih.gov/transcriptome/Anopheles_sialome/links/cluster-b/anopheline-sialome-cds-pep-larger-orf30-50SimCLU4.txt", 4)</f>
        <v>4</v>
      </c>
      <c r="BO195">
        <f>HYPERLINK("http://exon.niaid.nih.gov/transcriptome/Anopheles_sialome/links/cluster-b/anopheline-sialome-cds-pep-larger-orf30-50SimCLTL4.txt", 82)</f>
        <v>82</v>
      </c>
      <c r="BP195">
        <f>HYPERLINK("http://exon.niaid.nih.gov/transcriptome/Anopheles_sialome/links/cluster-b/anopheline-sialome-cds-pep-larger-orf35-50SimCLU3.txt", 3)</f>
        <v>3</v>
      </c>
      <c r="BQ195">
        <f>HYPERLINK("http://exon.niaid.nih.gov/transcriptome/Anopheles_sialome/links/cluster-b/anopheline-sialome-cds-pep-larger-orf35-50SimCLTL3.txt", 82)</f>
        <v>82</v>
      </c>
      <c r="BR195">
        <f>HYPERLINK("http://exon.niaid.nih.gov/transcriptome/Anopheles_sialome/links/cluster-b/anopheline-sialome-cds-pep-larger-orf40-50SimCLU3.txt", 3)</f>
        <v>3</v>
      </c>
      <c r="BS195">
        <f>HYPERLINK("http://exon.niaid.nih.gov/transcriptome/Anopheles_sialome/links/cluster-b/anopheline-sialome-cds-pep-larger-orf40-50SimCLTL3.txt", 82)</f>
        <v>82</v>
      </c>
      <c r="BT195">
        <f>HYPERLINK("http://exon.niaid.nih.gov/transcriptome/Anopheles_sialome/links/cluster-b/anopheline-sialome-cds-pep-larger-orf45-50SimCLU2.txt", 2)</f>
        <v>2</v>
      </c>
      <c r="BU195">
        <f>HYPERLINK("http://exon.niaid.nih.gov/transcriptome/Anopheles_sialome/links/cluster-b/anopheline-sialome-cds-pep-larger-orf45-50SimCLTL2.txt", 82)</f>
        <v>82</v>
      </c>
      <c r="BV195">
        <f>HYPERLINK("http://exon.niaid.nih.gov/transcriptome/Anopheles_sialome/links/cluster-b/anopheline-sialome-cds-pep-larger-orf50-50SimCLU2.txt", 2)</f>
        <v>2</v>
      </c>
      <c r="BW195">
        <f>HYPERLINK("http://exon.niaid.nih.gov/transcriptome/Anopheles_sialome/links/cluster-b/anopheline-sialome-cds-pep-larger-orf50-50SimCLTL2.txt", 82)</f>
        <v>82</v>
      </c>
      <c r="BX195">
        <f>HYPERLINK("http://exon.niaid.nih.gov/transcriptome/Anopheles_sialome/links/cluster-b/anopheline-sialome-cds-pep-larger-orf55-50SimCLU2.txt", 2)</f>
        <v>2</v>
      </c>
      <c r="BY195">
        <f>HYPERLINK("http://exon.niaid.nih.gov/transcriptome/Anopheles_sialome/links/cluster-b/anopheline-sialome-cds-pep-larger-orf55-50SimCLTL2.txt", 55)</f>
        <v>55</v>
      </c>
      <c r="BZ195">
        <f>HYPERLINK("http://exon.niaid.nih.gov/transcriptome/Anopheles_sialome/links/cluster-b/anopheline-sialome-cds-pep-larger-orf60-50SimCLU2.txt", 2)</f>
        <v>2</v>
      </c>
      <c r="CA195">
        <f>HYPERLINK("http://exon.niaid.nih.gov/transcriptome/Anopheles_sialome/links/cluster-b/anopheline-sialome-cds-pep-larger-orf60-50SimCLTL2.txt", 54)</f>
        <v>54</v>
      </c>
      <c r="CB195">
        <f>HYPERLINK("http://exon.niaid.nih.gov/transcriptome/Anopheles_sialome/links/cluster-b/anopheline-sialome-cds-pep-larger-orf65-50SimCLU14.txt", 14)</f>
        <v>14</v>
      </c>
      <c r="CC195">
        <f>HYPERLINK("http://exon.niaid.nih.gov/transcriptome/Anopheles_sialome/links/cluster-b/anopheline-sialome-cds-pep-larger-orf65-50SimCLTL14.txt", 18)</f>
        <v>18</v>
      </c>
      <c r="CD195">
        <f>HYPERLINK("http://exon.niaid.nih.gov/transcriptome/Anopheles_sialome/links/cluster-b/anopheline-sialome-cds-pep-larger-orf70-50SimCLU14.txt", 14)</f>
        <v>14</v>
      </c>
      <c r="CE195">
        <f>HYPERLINK("http://exon.niaid.nih.gov/transcriptome/Anopheles_sialome/links/cluster-b/anopheline-sialome-cds-pep-larger-orf70-50SimCLTL14.txt", 18)</f>
        <v>18</v>
      </c>
      <c r="CF195">
        <f>HYPERLINK("http://exon.niaid.nih.gov/transcriptome/Anopheles_sialome/links/cluster-b/anopheline-sialome-cds-pep-larger-orf75-50SimCLU8.txt", 8)</f>
        <v>8</v>
      </c>
      <c r="CG195">
        <f>HYPERLINK("http://exon.niaid.nih.gov/transcriptome/Anopheles_sialome/links/cluster-b/anopheline-sialome-cds-pep-larger-orf75-50SimCLTL8.txt", 18)</f>
        <v>18</v>
      </c>
      <c r="CH195">
        <f>HYPERLINK("http://exon.niaid.nih.gov/transcriptome/Anopheles_sialome/links/cluster-b/anopheline-sialome-cds-pep-larger-orf80-50SimCLU6.txt", 6)</f>
        <v>6</v>
      </c>
      <c r="CI195">
        <f>HYPERLINK("http://exon.niaid.nih.gov/transcriptome/Anopheles_sialome/links/cluster-b/anopheline-sialome-cds-pep-larger-orf80-50SimCLTL6.txt", 18)</f>
        <v>18</v>
      </c>
      <c r="CJ195">
        <f>HYPERLINK("http://exon.niaid.nih.gov/transcriptome/Anopheles_sialome/links/cluster-b/anopheline-sialome-cds-pep-larger-orf85-50SimCLU60.txt", 60)</f>
        <v>60</v>
      </c>
      <c r="CK195">
        <f>HYPERLINK("http://exon.niaid.nih.gov/transcriptome/Anopheles_sialome/links/cluster-b/anopheline-sialome-cds-pep-larger-orf85-50SimCLTL60.txt", 2)</f>
        <v>2</v>
      </c>
      <c r="CL195">
        <f>HYPERLINK("http://exon.niaid.nih.gov/transcriptome/Anopheles_sialome/links/cluster-b/anopheline-sialome-cds-pep-larger-orf90-50SimCLU60.txt", 60)</f>
        <v>60</v>
      </c>
      <c r="CM195">
        <f>HYPERLINK("http://exon.niaid.nih.gov/transcriptome/Anopheles_sialome/links/cluster-b/anopheline-sialome-cds-pep-larger-orf90-50SimCLTL60.txt", 2)</f>
        <v>2</v>
      </c>
      <c r="CN195">
        <f>HYPERLINK("http://exon.niaid.nih.gov/transcriptome/Anopheles_sialome/links/cluster-b/anopheline-sialome-cds-pep-larger-orf95-50SimCLU54.txt", 54)</f>
        <v>54</v>
      </c>
      <c r="CO195">
        <f>HYPERLINK("http://exon.niaid.nih.gov/transcriptome/Anopheles_sialome/links/cluster-b/anopheline-sialome-cds-pep-larger-orf95-50SimCLTL54.txt", 2)</f>
        <v>2</v>
      </c>
    </row>
    <row r="196" spans="1:93">
      <c r="A196" s="2" t="str">
        <f>HYPERLINK("http://exon.niaid.nih.gov/transcriptome/Anopheles_sialome/links/cds/anodar_gVAG-cds.txt","anodar_gVAG")</f>
        <v>anodar_gVAG</v>
      </c>
      <c r="B196">
        <v>789</v>
      </c>
      <c r="C196" t="s">
        <v>57</v>
      </c>
      <c r="D196" t="s">
        <v>4</v>
      </c>
      <c r="E196" t="s">
        <v>5</v>
      </c>
      <c r="F196" t="s">
        <v>1</v>
      </c>
      <c r="G196" t="str">
        <f>HYPERLINK("http://exon.niaid.nih.gov/transcriptome/Anopheles_sialome/links/pep/anodar_gVAG-pep.txt","anodar_gVAG")</f>
        <v>anodar_gVAG</v>
      </c>
      <c r="H196">
        <v>262</v>
      </c>
      <c r="I196">
        <v>1</v>
      </c>
      <c r="J196" s="3" t="str">
        <f>HYPERLINK("http://exon.niaid.nih.gov/transcriptome/Anopheles_sialome/links/Sigp/anodar_gVAG-SigP.txt","SIG")</f>
        <v>SIG</v>
      </c>
      <c r="K196" t="s">
        <v>695</v>
      </c>
      <c r="L196">
        <v>29.414000000000001</v>
      </c>
      <c r="M196">
        <v>9.08</v>
      </c>
      <c r="N196">
        <v>27.109000000000002</v>
      </c>
      <c r="O196">
        <v>9.15</v>
      </c>
      <c r="P196" t="s">
        <v>763</v>
      </c>
      <c r="Q196" s="3">
        <v>0</v>
      </c>
      <c r="R196" t="s">
        <v>128</v>
      </c>
      <c r="S196" t="s">
        <v>128</v>
      </c>
      <c r="T196" t="s">
        <v>128</v>
      </c>
      <c r="U196" t="s">
        <v>128</v>
      </c>
      <c r="V196" t="s">
        <v>128</v>
      </c>
      <c r="W196" s="3" t="str">
        <f>HYPERLINK("http://exon.niaid.nih.gov/transcriptome/Anopheles_sialome/links/netoglyc/anodar_gVAG-netoglyc.txt","0")</f>
        <v>0</v>
      </c>
      <c r="X196">
        <v>14.9</v>
      </c>
      <c r="Y196">
        <v>8.4</v>
      </c>
      <c r="Z196">
        <v>5</v>
      </c>
      <c r="AA196" t="s">
        <v>654</v>
      </c>
      <c r="AB196" t="s">
        <v>128</v>
      </c>
      <c r="AC196" s="2" t="str">
        <f>HYPERLINK("http://exon.niaid.nih.gov/transcriptome/Anopheles_sialome/links/DIPTERA/anodar_gVAG-DIPTERA.txt","venom allergen 5")</f>
        <v>venom allergen 5</v>
      </c>
      <c r="AD196" t="str">
        <f>HYPERLINK("http://www.ncbi.nlm.nih.gov/sutils/blink.cgi?pid=568256134","1E-158")</f>
        <v>1E-158</v>
      </c>
      <c r="AE196" t="str">
        <f>HYPERLINK("http://www.ncbi.nlm.nih.gov/protein/568256134","gi|568256134")</f>
        <v>gi|568256134</v>
      </c>
      <c r="AF196">
        <v>100</v>
      </c>
      <c r="AG196">
        <v>100</v>
      </c>
      <c r="AH196">
        <v>100</v>
      </c>
      <c r="AI196" t="s">
        <v>2283</v>
      </c>
      <c r="AJ196" s="2" t="str">
        <f>HYPERLINK("http://exon.niaid.nih.gov/transcriptome/Anopheles_sialome/links/CULICOMORPHA/anodar_gVAG-CULICOMORPHA.txt","venom allergen 5")</f>
        <v>venom allergen 5</v>
      </c>
      <c r="AK196" t="str">
        <f>HYPERLINK("http://www.ncbi.nlm.nih.gov/sutils/blink.cgi?pid=568256134","1E-159")</f>
        <v>1E-159</v>
      </c>
      <c r="AL196" t="str">
        <f>HYPERLINK("http://www.ncbi.nlm.nih.gov/protein/568256134","gi|568256134")</f>
        <v>gi|568256134</v>
      </c>
      <c r="AM196">
        <v>100</v>
      </c>
      <c r="AN196">
        <v>100</v>
      </c>
      <c r="AO196">
        <v>100</v>
      </c>
      <c r="AP196" t="s">
        <v>2283</v>
      </c>
      <c r="AQ196" s="2" t="str">
        <f>HYPERLINK("http://exon.niaid.nih.gov/transcriptome/Anopheles_sialome/links/NR-LIGHT/anodar_gVAG-NR-LIGHT.txt","venom allergen 5")</f>
        <v>venom allergen 5</v>
      </c>
      <c r="AR196" t="str">
        <f>HYPERLINK("http://www.ncbi.nlm.nih.gov/sutils/blink.cgi?pid=568256134","1E-157")</f>
        <v>1E-157</v>
      </c>
      <c r="AS196" t="str">
        <f>HYPERLINK("http://www.ncbi.nlm.nih.gov/protein/568256134","gi|568256134")</f>
        <v>gi|568256134</v>
      </c>
      <c r="AT196">
        <v>100</v>
      </c>
      <c r="AU196">
        <v>100</v>
      </c>
      <c r="AV196">
        <v>100</v>
      </c>
      <c r="AW196" t="s">
        <v>2283</v>
      </c>
      <c r="AX196" s="2" t="str">
        <f>HYPERLINK("http://exon.niaid.nih.gov/transcriptome/Anopheles_sialome/links/CDD/anodar_gVAG-CDD.txt","SCP_euk")</f>
        <v>SCP_euk</v>
      </c>
      <c r="AY196" t="str">
        <f>HYPERLINK("http://www.ncbi.nlm.nih.gov/Structure/cdd/cddsrv.cgi?uid=cd05380&amp;version=v4.0","3E-040")</f>
        <v>3E-040</v>
      </c>
      <c r="AZ196" t="s">
        <v>2333</v>
      </c>
      <c r="BA196" s="2" t="str">
        <f>HYPERLINK("http://exon.niaid.nih.gov/transcriptome/Anopheles_sialome/links/KOG/anodar_gVAG-KOG.txt","Defense-related protein containing SCP domain")</f>
        <v>Defense-related protein containing SCP domain</v>
      </c>
      <c r="BB196" t="str">
        <f>HYPERLINK("http://www.ncbi.nlm.nih.gov/Structure/cdd/cddsrv.cgi?uid=KOG3017","5E-028")</f>
        <v>5E-028</v>
      </c>
      <c r="BC196" t="s">
        <v>2304</v>
      </c>
      <c r="BD196" t="str">
        <f>HYPERLINK("http://exon.niaid.nih.gov/transcriptome/Anopheles_sialome/links/KOG/anodar_gVAG-KOG.txt","KOG3017")</f>
        <v>KOG3017</v>
      </c>
      <c r="BE196" t="str">
        <f>HYPERLINK("http://exon.niaid.nih.gov/transcriptome/Anopheles_sialome/links/PFAM/anodar_gVAG-PFAM.txt","CAP")</f>
        <v>CAP</v>
      </c>
      <c r="BF196" t="str">
        <f>HYPERLINK("http://pfam.sanger.ac.uk/family?acc=PF00188","2E-014")</f>
        <v>2E-014</v>
      </c>
      <c r="BG196" s="2" t="str">
        <f>HYPERLINK("http://exon.niaid.nih.gov/transcriptome/Anopheles_sialome/links/SMART/anodar_gVAG-SMART.txt","SCP")</f>
        <v>SCP</v>
      </c>
      <c r="BH196" t="str">
        <f>HYPERLINK("http://smart.embl-heidelberg.de/smart/do_annotation.pl?DOMAIN=SCP&amp;BLAST=DUMMY","4E-028")</f>
        <v>4E-028</v>
      </c>
      <c r="BI196" t="s">
        <v>128</v>
      </c>
      <c r="BJ196" s="2" t="s">
        <v>128</v>
      </c>
      <c r="BK196" t="s">
        <v>762</v>
      </c>
      <c r="BL196">
        <f>HYPERLINK("http://exon.niaid.nih.gov/transcriptome/Anopheles_sialome/links/cluster-b/anopheline-sialome-cds-pep-larger-orf25-50SimCLU4.txt", 4)</f>
        <v>4</v>
      </c>
      <c r="BM196">
        <f>HYPERLINK("http://exon.niaid.nih.gov/transcriptome/Anopheles_sialome/links/cluster-b/anopheline-sialome-cds-pep-larger-orf25-50SimCLTL4.txt", 82)</f>
        <v>82</v>
      </c>
      <c r="BN196">
        <f>HYPERLINK("http://exon.niaid.nih.gov/transcriptome/Anopheles_sialome/links/cluster-b/anopheline-sialome-cds-pep-larger-orf30-50SimCLU4.txt", 4)</f>
        <v>4</v>
      </c>
      <c r="BO196">
        <f>HYPERLINK("http://exon.niaid.nih.gov/transcriptome/Anopheles_sialome/links/cluster-b/anopheline-sialome-cds-pep-larger-orf30-50SimCLTL4.txt", 82)</f>
        <v>82</v>
      </c>
      <c r="BP196">
        <f>HYPERLINK("http://exon.niaid.nih.gov/transcriptome/Anopheles_sialome/links/cluster-b/anopheline-sialome-cds-pep-larger-orf35-50SimCLU3.txt", 3)</f>
        <v>3</v>
      </c>
      <c r="BQ196">
        <f>HYPERLINK("http://exon.niaid.nih.gov/transcriptome/Anopheles_sialome/links/cluster-b/anopheline-sialome-cds-pep-larger-orf35-50SimCLTL3.txt", 82)</f>
        <v>82</v>
      </c>
      <c r="BR196">
        <f>HYPERLINK("http://exon.niaid.nih.gov/transcriptome/Anopheles_sialome/links/cluster-b/anopheline-sialome-cds-pep-larger-orf40-50SimCLU3.txt", 3)</f>
        <v>3</v>
      </c>
      <c r="BS196">
        <f>HYPERLINK("http://exon.niaid.nih.gov/transcriptome/Anopheles_sialome/links/cluster-b/anopheline-sialome-cds-pep-larger-orf40-50SimCLTL3.txt", 82)</f>
        <v>82</v>
      </c>
      <c r="BT196">
        <f>HYPERLINK("http://exon.niaid.nih.gov/transcriptome/Anopheles_sialome/links/cluster-b/anopheline-sialome-cds-pep-larger-orf45-50SimCLU2.txt", 2)</f>
        <v>2</v>
      </c>
      <c r="BU196">
        <f>HYPERLINK("http://exon.niaid.nih.gov/transcriptome/Anopheles_sialome/links/cluster-b/anopheline-sialome-cds-pep-larger-orf45-50SimCLTL2.txt", 82)</f>
        <v>82</v>
      </c>
      <c r="BV196">
        <f>HYPERLINK("http://exon.niaid.nih.gov/transcriptome/Anopheles_sialome/links/cluster-b/anopheline-sialome-cds-pep-larger-orf50-50SimCLU2.txt", 2)</f>
        <v>2</v>
      </c>
      <c r="BW196">
        <f>HYPERLINK("http://exon.niaid.nih.gov/transcriptome/Anopheles_sialome/links/cluster-b/anopheline-sialome-cds-pep-larger-orf50-50SimCLTL2.txt", 82)</f>
        <v>82</v>
      </c>
      <c r="BX196">
        <f>HYPERLINK("http://exon.niaid.nih.gov/transcriptome/Anopheles_sialome/links/cluster-b/anopheline-sialome-cds-pep-larger-orf55-50SimCLU2.txt", 2)</f>
        <v>2</v>
      </c>
      <c r="BY196">
        <f>HYPERLINK("http://exon.niaid.nih.gov/transcriptome/Anopheles_sialome/links/cluster-b/anopheline-sialome-cds-pep-larger-orf55-50SimCLTL2.txt", 55)</f>
        <v>55</v>
      </c>
      <c r="BZ196">
        <f>HYPERLINK("http://exon.niaid.nih.gov/transcriptome/Anopheles_sialome/links/cluster-b/anopheline-sialome-cds-pep-larger-orf60-50SimCLU2.txt", 2)</f>
        <v>2</v>
      </c>
      <c r="CA196">
        <f>HYPERLINK("http://exon.niaid.nih.gov/transcriptome/Anopheles_sialome/links/cluster-b/anopheline-sialome-cds-pep-larger-orf60-50SimCLTL2.txt", 54)</f>
        <v>54</v>
      </c>
      <c r="CB196">
        <f>HYPERLINK("http://exon.niaid.nih.gov/transcriptome/Anopheles_sialome/links/cluster-b/anopheline-sialome-cds-pep-larger-orf65-50SimCLU14.txt", 14)</f>
        <v>14</v>
      </c>
      <c r="CC196">
        <f>HYPERLINK("http://exon.niaid.nih.gov/transcriptome/Anopheles_sialome/links/cluster-b/anopheline-sialome-cds-pep-larger-orf65-50SimCLTL14.txt", 18)</f>
        <v>18</v>
      </c>
      <c r="CD196">
        <f>HYPERLINK("http://exon.niaid.nih.gov/transcriptome/Anopheles_sialome/links/cluster-b/anopheline-sialome-cds-pep-larger-orf70-50SimCLU14.txt", 14)</f>
        <v>14</v>
      </c>
      <c r="CE196">
        <f>HYPERLINK("http://exon.niaid.nih.gov/transcriptome/Anopheles_sialome/links/cluster-b/anopheline-sialome-cds-pep-larger-orf70-50SimCLTL14.txt", 18)</f>
        <v>18</v>
      </c>
      <c r="CF196">
        <f>HYPERLINK("http://exon.niaid.nih.gov/transcriptome/Anopheles_sialome/links/cluster-b/anopheline-sialome-cds-pep-larger-orf75-50SimCLU8.txt", 8)</f>
        <v>8</v>
      </c>
      <c r="CG196">
        <f>HYPERLINK("http://exon.niaid.nih.gov/transcriptome/Anopheles_sialome/links/cluster-b/anopheline-sialome-cds-pep-larger-orf75-50SimCLTL8.txt", 18)</f>
        <v>18</v>
      </c>
      <c r="CH196">
        <f>HYPERLINK("http://exon.niaid.nih.gov/transcriptome/Anopheles_sialome/links/cluster-b/anopheline-sialome-cds-pep-larger-orf80-50SimCLU6.txt", 6)</f>
        <v>6</v>
      </c>
      <c r="CI196">
        <f>HYPERLINK("http://exon.niaid.nih.gov/transcriptome/Anopheles_sialome/links/cluster-b/anopheline-sialome-cds-pep-larger-orf80-50SimCLTL6.txt", 18)</f>
        <v>18</v>
      </c>
      <c r="CJ196">
        <f>HYPERLINK("http://exon.niaid.nih.gov/transcriptome/Anopheles_sialome/links/cluster-b/anopheline-sialome-cds-pep-larger-orf85-50SimCLU60.txt", 60)</f>
        <v>60</v>
      </c>
      <c r="CK196">
        <f>HYPERLINK("http://exon.niaid.nih.gov/transcriptome/Anopheles_sialome/links/cluster-b/anopheline-sialome-cds-pep-larger-orf85-50SimCLTL60.txt", 2)</f>
        <v>2</v>
      </c>
      <c r="CL196">
        <f>HYPERLINK("http://exon.niaid.nih.gov/transcriptome/Anopheles_sialome/links/cluster-b/anopheline-sialome-cds-pep-larger-orf90-50SimCLU60.txt", 60)</f>
        <v>60</v>
      </c>
      <c r="CM196">
        <f>HYPERLINK("http://exon.niaid.nih.gov/transcriptome/Anopheles_sialome/links/cluster-b/anopheline-sialome-cds-pep-larger-orf90-50SimCLTL60.txt", 2)</f>
        <v>2</v>
      </c>
      <c r="CN196">
        <f>HYPERLINK("http://exon.niaid.nih.gov/transcriptome/Anopheles_sialome/links/cluster-b/anopheline-sialome-cds-pep-larger-orf95-50SimCLU54.txt", 54)</f>
        <v>54</v>
      </c>
      <c r="CO196">
        <f>HYPERLINK("http://exon.niaid.nih.gov/transcriptome/Anopheles_sialome/links/cluster-b/anopheline-sialome-cds-pep-larger-orf95-50SimCLTL54.txt", 2)</f>
        <v>2</v>
      </c>
    </row>
    <row r="197" spans="1:93">
      <c r="A197" s="5" t="s">
        <v>3192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</row>
    <row r="198" spans="1:93">
      <c r="A198" s="2" t="str">
        <f>HYPERLINK("http://exon.niaid.nih.gov/transcriptome/Anopheles_sialome/links/cds/anoga_Ag5r2-cds.txt","anoga_Ag5r2")</f>
        <v>anoga_Ag5r2</v>
      </c>
      <c r="B198">
        <v>774</v>
      </c>
      <c r="C198" t="s">
        <v>58</v>
      </c>
      <c r="D198" t="s">
        <v>4</v>
      </c>
      <c r="E198" t="s">
        <v>5</v>
      </c>
      <c r="F198" t="s">
        <v>1</v>
      </c>
      <c r="G198" t="str">
        <f>HYPERLINK("http://exon.niaid.nih.gov/transcriptome/Anopheles_sialome/links/pep/anoga_Ag5r2-pep.txt","anoga_Ag5r2")</f>
        <v>anoga_Ag5r2</v>
      </c>
      <c r="H198">
        <v>257</v>
      </c>
      <c r="I198">
        <v>0</v>
      </c>
      <c r="J198" s="3" t="str">
        <f>HYPERLINK("http://exon.niaid.nih.gov/transcriptome/Anopheles_sialome/links/Sigp/anoga_Ag5r2-SigP.txt","SIG")</f>
        <v>SIG</v>
      </c>
      <c r="K198" t="s">
        <v>652</v>
      </c>
      <c r="L198">
        <v>28.13</v>
      </c>
      <c r="M198">
        <v>8.98</v>
      </c>
      <c r="N198">
        <v>26.154</v>
      </c>
      <c r="O198">
        <v>9.0299999999999994</v>
      </c>
      <c r="P198" t="s">
        <v>765</v>
      </c>
      <c r="Q198" s="3">
        <v>0</v>
      </c>
      <c r="R198" t="s">
        <v>128</v>
      </c>
      <c r="S198" t="s">
        <v>128</v>
      </c>
      <c r="T198" t="s">
        <v>128</v>
      </c>
      <c r="U198" t="s">
        <v>128</v>
      </c>
      <c r="V198" t="s">
        <v>128</v>
      </c>
      <c r="W198" s="3" t="str">
        <f>HYPERLINK("http://exon.niaid.nih.gov/transcriptome/Anopheles_sialome/links/netoglyc/anoga_Ag5r2-netoglyc.txt","2")</f>
        <v>2</v>
      </c>
      <c r="X198">
        <v>17.100000000000001</v>
      </c>
      <c r="Y198">
        <v>6.6</v>
      </c>
      <c r="Z198">
        <v>6.2</v>
      </c>
      <c r="AA198" t="s">
        <v>654</v>
      </c>
      <c r="AB198" t="s">
        <v>128</v>
      </c>
      <c r="AC198" s="2" t="str">
        <f>HYPERLINK("http://exon.niaid.nih.gov/transcriptome/Anopheles_sialome/links/DIPTERA/anoga_Ag5r2-DIPTERA.txt","AGAP006419-PA")</f>
        <v>AGAP006419-PA</v>
      </c>
      <c r="AD198" t="str">
        <f>HYPERLINK("http://www.ncbi.nlm.nih.gov/sutils/blink.cgi?pid=116127082","1E-152")</f>
        <v>1E-152</v>
      </c>
      <c r="AE198" t="str">
        <f>HYPERLINK("http://www.ncbi.nlm.nih.gov/protein/116127082","gi|116127082")</f>
        <v>gi|116127082</v>
      </c>
      <c r="AF198">
        <v>100</v>
      </c>
      <c r="AG198">
        <v>100</v>
      </c>
      <c r="AH198">
        <v>100</v>
      </c>
      <c r="AI198" t="s">
        <v>2285</v>
      </c>
      <c r="AJ198" s="2" t="str">
        <f>HYPERLINK("http://exon.niaid.nih.gov/transcriptome/Anopheles_sialome/links/CULICOMORPHA/anoga_Ag5r2-CULICOMORPHA.txt","AGAP006419-PA")</f>
        <v>AGAP006419-PA</v>
      </c>
      <c r="AK198" t="str">
        <f>HYPERLINK("http://www.ncbi.nlm.nih.gov/sutils/blink.cgi?pid=116127082","1E-153")</f>
        <v>1E-153</v>
      </c>
      <c r="AL198" t="str">
        <f>HYPERLINK("http://www.ncbi.nlm.nih.gov/protein/116127082","gi|116127082")</f>
        <v>gi|116127082</v>
      </c>
      <c r="AM198">
        <v>100</v>
      </c>
      <c r="AN198">
        <v>100</v>
      </c>
      <c r="AO198">
        <v>100</v>
      </c>
      <c r="AP198" t="s">
        <v>2285</v>
      </c>
      <c r="AQ198" s="2" t="str">
        <f>HYPERLINK("http://exon.niaid.nih.gov/transcriptome/Anopheles_sialome/links/NR-LIGHT/anoga_Ag5r2-NR-LIGHT.txt","AGAP006419-PA")</f>
        <v>AGAP006419-PA</v>
      </c>
      <c r="AR198" t="str">
        <f>HYPERLINK("http://www.ncbi.nlm.nih.gov/sutils/blink.cgi?pid=118788030","1E-151")</f>
        <v>1E-151</v>
      </c>
      <c r="AS198" t="str">
        <f>HYPERLINK("http://www.ncbi.nlm.nih.gov/protein/118788030","gi|118788030")</f>
        <v>gi|118788030</v>
      </c>
      <c r="AT198">
        <v>100</v>
      </c>
      <c r="AU198">
        <v>100</v>
      </c>
      <c r="AV198">
        <v>100</v>
      </c>
      <c r="AW198" t="s">
        <v>2285</v>
      </c>
      <c r="AX198" s="2" t="str">
        <f>HYPERLINK("http://exon.niaid.nih.gov/transcriptome/Anopheles_sialome/links/CDD/anoga_Ag5r2-CDD.txt","SCP_euk")</f>
        <v>SCP_euk</v>
      </c>
      <c r="AY198" t="str">
        <f>HYPERLINK("http://www.ncbi.nlm.nih.gov/Structure/cdd/cddsrv.cgi?uid=cd05380&amp;version=v4.0","1E-039")</f>
        <v>1E-039</v>
      </c>
      <c r="AZ198" t="s">
        <v>2334</v>
      </c>
      <c r="BA198" s="2" t="str">
        <f>HYPERLINK("http://exon.niaid.nih.gov/transcriptome/Anopheles_sialome/links/KOG/anoga_Ag5r2-KOG.txt","Defense-related protein containing SCP domain")</f>
        <v>Defense-related protein containing SCP domain</v>
      </c>
      <c r="BB198" t="str">
        <f>HYPERLINK("http://www.ncbi.nlm.nih.gov/Structure/cdd/cddsrv.cgi?uid=KOG3017","7E-032")</f>
        <v>7E-032</v>
      </c>
      <c r="BC198" t="s">
        <v>2304</v>
      </c>
      <c r="BD198" t="str">
        <f>HYPERLINK("http://exon.niaid.nih.gov/transcriptome/Anopheles_sialome/links/KOG/anoga_Ag5r2-KOG.txt","KOG3017")</f>
        <v>KOG3017</v>
      </c>
      <c r="BE198" t="str">
        <f>HYPERLINK("http://exon.niaid.nih.gov/transcriptome/Anopheles_sialome/links/PFAM/anoga_Ag5r2-PFAM.txt","CAP")</f>
        <v>CAP</v>
      </c>
      <c r="BF198" t="str">
        <f>HYPERLINK("http://pfam.sanger.ac.uk/family?acc=PF00188","1E-013")</f>
        <v>1E-013</v>
      </c>
      <c r="BG198" s="2" t="str">
        <f>HYPERLINK("http://exon.niaid.nih.gov/transcriptome/Anopheles_sialome/links/SMART/anoga_Ag5r2-SMART.txt","SCP")</f>
        <v>SCP</v>
      </c>
      <c r="BH198" t="str">
        <f>HYPERLINK("http://smart.embl-heidelberg.de/smart/do_annotation.pl?DOMAIN=SCP&amp;BLAST=DUMMY","2E-026")</f>
        <v>2E-026</v>
      </c>
      <c r="BI198" t="s">
        <v>128</v>
      </c>
      <c r="BJ198" s="2" t="s">
        <v>128</v>
      </c>
      <c r="BK198" t="s">
        <v>764</v>
      </c>
      <c r="BL198">
        <f>HYPERLINK("http://exon.niaid.nih.gov/transcriptome/Anopheles_sialome/links/cluster-b/anopheline-sialome-cds-pep-larger-orf25-50SimCLU4.txt", 4)</f>
        <v>4</v>
      </c>
      <c r="BM198">
        <f>HYPERLINK("http://exon.niaid.nih.gov/transcriptome/Anopheles_sialome/links/cluster-b/anopheline-sialome-cds-pep-larger-orf25-50SimCLTL4.txt", 82)</f>
        <v>82</v>
      </c>
      <c r="BN198">
        <f>HYPERLINK("http://exon.niaid.nih.gov/transcriptome/Anopheles_sialome/links/cluster-b/anopheline-sialome-cds-pep-larger-orf30-50SimCLU4.txt", 4)</f>
        <v>4</v>
      </c>
      <c r="BO198">
        <f>HYPERLINK("http://exon.niaid.nih.gov/transcriptome/Anopheles_sialome/links/cluster-b/anopheline-sialome-cds-pep-larger-orf30-50SimCLTL4.txt", 82)</f>
        <v>82</v>
      </c>
      <c r="BP198">
        <f>HYPERLINK("http://exon.niaid.nih.gov/transcriptome/Anopheles_sialome/links/cluster-b/anopheline-sialome-cds-pep-larger-orf35-50SimCLU3.txt", 3)</f>
        <v>3</v>
      </c>
      <c r="BQ198">
        <f>HYPERLINK("http://exon.niaid.nih.gov/transcriptome/Anopheles_sialome/links/cluster-b/anopheline-sialome-cds-pep-larger-orf35-50SimCLTL3.txt", 82)</f>
        <v>82</v>
      </c>
      <c r="BR198">
        <f>HYPERLINK("http://exon.niaid.nih.gov/transcriptome/Anopheles_sialome/links/cluster-b/anopheline-sialome-cds-pep-larger-orf40-50SimCLU3.txt", 3)</f>
        <v>3</v>
      </c>
      <c r="BS198">
        <f>HYPERLINK("http://exon.niaid.nih.gov/transcriptome/Anopheles_sialome/links/cluster-b/anopheline-sialome-cds-pep-larger-orf40-50SimCLTL3.txt", 82)</f>
        <v>82</v>
      </c>
      <c r="BT198">
        <f>HYPERLINK("http://exon.niaid.nih.gov/transcriptome/Anopheles_sialome/links/cluster-b/anopheline-sialome-cds-pep-larger-orf45-50SimCLU2.txt", 2)</f>
        <v>2</v>
      </c>
      <c r="BU198">
        <f>HYPERLINK("http://exon.niaid.nih.gov/transcriptome/Anopheles_sialome/links/cluster-b/anopheline-sialome-cds-pep-larger-orf45-50SimCLTL2.txt", 82)</f>
        <v>82</v>
      </c>
      <c r="BV198">
        <f>HYPERLINK("http://exon.niaid.nih.gov/transcriptome/Anopheles_sialome/links/cluster-b/anopheline-sialome-cds-pep-larger-orf50-50SimCLU2.txt", 2)</f>
        <v>2</v>
      </c>
      <c r="BW198">
        <f>HYPERLINK("http://exon.niaid.nih.gov/transcriptome/Anopheles_sialome/links/cluster-b/anopheline-sialome-cds-pep-larger-orf50-50SimCLTL2.txt", 82)</f>
        <v>82</v>
      </c>
      <c r="BX198">
        <f>HYPERLINK("http://exon.niaid.nih.gov/transcriptome/Anopheles_sialome/links/cluster-b/anopheline-sialome-cds-pep-larger-orf55-50SimCLU2.txt", 2)</f>
        <v>2</v>
      </c>
      <c r="BY198">
        <f>HYPERLINK("http://exon.niaid.nih.gov/transcriptome/Anopheles_sialome/links/cluster-b/anopheline-sialome-cds-pep-larger-orf55-50SimCLTL2.txt", 55)</f>
        <v>55</v>
      </c>
      <c r="BZ198">
        <f>HYPERLINK("http://exon.niaid.nih.gov/transcriptome/Anopheles_sialome/links/cluster-b/anopheline-sialome-cds-pep-larger-orf60-50SimCLU2.txt", 2)</f>
        <v>2</v>
      </c>
      <c r="CA198">
        <f>HYPERLINK("http://exon.niaid.nih.gov/transcriptome/Anopheles_sialome/links/cluster-b/anopheline-sialome-cds-pep-larger-orf60-50SimCLTL2.txt", 54)</f>
        <v>54</v>
      </c>
      <c r="CB198">
        <f>HYPERLINK("http://exon.niaid.nih.gov/transcriptome/Anopheles_sialome/links/cluster-b/anopheline-sialome-cds-pep-larger-orf65-50SimCLU7.txt", 7)</f>
        <v>7</v>
      </c>
      <c r="CC198">
        <f>HYPERLINK("http://exon.niaid.nih.gov/transcriptome/Anopheles_sialome/links/cluster-b/anopheline-sialome-cds-pep-larger-orf65-50SimCLTL7.txt", 21)</f>
        <v>21</v>
      </c>
      <c r="CD198">
        <f>HYPERLINK("http://exon.niaid.nih.gov/transcriptome/Anopheles_sialome/links/cluster-b/anopheline-sialome-cds-pep-larger-orf70-50SimCLU8.txt", 8)</f>
        <v>8</v>
      </c>
      <c r="CE198">
        <f>HYPERLINK("http://exon.niaid.nih.gov/transcriptome/Anopheles_sialome/links/cluster-b/anopheline-sialome-cds-pep-larger-orf70-50SimCLTL8.txt", 19)</f>
        <v>19</v>
      </c>
      <c r="CF198">
        <f>HYPERLINK("http://exon.niaid.nih.gov/transcriptome/Anopheles_sialome/links/cluster-b/anopheline-sialome-cds-pep-larger-orf75-50SimCLU11.txt", 11)</f>
        <v>11</v>
      </c>
      <c r="CG198">
        <f>HYPERLINK("http://exon.niaid.nih.gov/transcriptome/Anopheles_sialome/links/cluster-b/anopheline-sialome-cds-pep-larger-orf75-50SimCLTL11.txt", 17)</f>
        <v>17</v>
      </c>
      <c r="CH198">
        <f>HYPERLINK("http://exon.niaid.nih.gov/transcriptome/Anopheles_sialome/links/cluster-b/anopheline-sialome-cds-pep-larger-orf80-50SimCLU8.txt", 8)</f>
        <v>8</v>
      </c>
      <c r="CI198">
        <f>HYPERLINK("http://exon.niaid.nih.gov/transcriptome/Anopheles_sialome/links/cluster-b/anopheline-sialome-cds-pep-larger-orf80-50SimCLTL8.txt", 17)</f>
        <v>17</v>
      </c>
      <c r="CJ198">
        <f>HYPERLINK("http://exon.niaid.nih.gov/transcriptome/Anopheles_sialome/links/cluster-b/anopheline-sialome-cds-pep-larger-orf85-50SimCLU45.txt", 45)</f>
        <v>45</v>
      </c>
      <c r="CK198">
        <f>HYPERLINK("http://exon.niaid.nih.gov/transcriptome/Anopheles_sialome/links/cluster-b/anopheline-sialome-cds-pep-larger-orf85-50SimCLTL45.txt", 5)</f>
        <v>5</v>
      </c>
      <c r="CL198">
        <f>HYPERLINK("http://exon.niaid.nih.gov/transcriptome/Anopheles_sialome/links/cluster-b/anopheline-sialome-cds-pep-larger-orf90-50SimCLU41.txt", 41)</f>
        <v>41</v>
      </c>
      <c r="CM198">
        <f>HYPERLINK("http://exon.niaid.nih.gov/transcriptome/Anopheles_sialome/links/cluster-b/anopheline-sialome-cds-pep-larger-orf90-50SimCLTL41.txt", 5)</f>
        <v>5</v>
      </c>
      <c r="CN198">
        <f>HYPERLINK("http://exon.niaid.nih.gov/transcriptome/Anopheles_sialome/links/cluster-b/anopheline-sialome-cds-pep-larger-orf95-50SimCLU46.txt", 46)</f>
        <v>46</v>
      </c>
      <c r="CO198">
        <f>HYPERLINK("http://exon.niaid.nih.gov/transcriptome/Anopheles_sialome/links/cluster-b/anopheline-sialome-cds-pep-larger-orf95-50SimCLTL46.txt", 4)</f>
        <v>4</v>
      </c>
    </row>
    <row r="199" spans="1:93">
      <c r="A199" s="2" t="str">
        <f>HYPERLINK("http://exon.niaid.nih.gov/transcriptome/Anopheles_sialome/links/cds/anocol_Ag5r2-cds.txt","anocol_Ag5r2")</f>
        <v>anocol_Ag5r2</v>
      </c>
      <c r="B199">
        <v>774</v>
      </c>
      <c r="C199" t="s">
        <v>59</v>
      </c>
      <c r="D199" t="s">
        <v>7</v>
      </c>
      <c r="E199" t="s">
        <v>5</v>
      </c>
      <c r="F199" t="s">
        <v>1</v>
      </c>
      <c r="G199" t="str">
        <f>HYPERLINK("http://exon.niaid.nih.gov/transcriptome/Anopheles_sialome/links/pep/anocol_Ag5r2-pep.txt","anocol_Ag5r2")</f>
        <v>anocol_Ag5r2</v>
      </c>
      <c r="H199">
        <v>257</v>
      </c>
      <c r="I199">
        <v>0</v>
      </c>
      <c r="J199" s="3" t="str">
        <f>HYPERLINK("http://exon.niaid.nih.gov/transcriptome/Anopheles_sialome/links/Sigp/anocol_Ag5r2-SigP.txt","SIG")</f>
        <v>SIG</v>
      </c>
      <c r="K199" t="s">
        <v>652</v>
      </c>
      <c r="L199">
        <v>28.17</v>
      </c>
      <c r="M199">
        <v>9.09</v>
      </c>
      <c r="N199">
        <v>26.195</v>
      </c>
      <c r="O199">
        <v>9.14</v>
      </c>
      <c r="P199" t="s">
        <v>767</v>
      </c>
      <c r="Q199" s="3">
        <v>0</v>
      </c>
      <c r="R199" t="s">
        <v>128</v>
      </c>
      <c r="S199" t="s">
        <v>128</v>
      </c>
      <c r="T199" t="s">
        <v>128</v>
      </c>
      <c r="U199" t="s">
        <v>128</v>
      </c>
      <c r="V199" t="s">
        <v>128</v>
      </c>
      <c r="W199" s="3" t="str">
        <f>HYPERLINK("http://exon.niaid.nih.gov/transcriptome/Anopheles_sialome/links/netoglyc/anocol_Ag5r2-netoglyc.txt","2")</f>
        <v>2</v>
      </c>
      <c r="X199">
        <v>17.100000000000001</v>
      </c>
      <c r="Y199">
        <v>6.6</v>
      </c>
      <c r="Z199">
        <v>6.2</v>
      </c>
      <c r="AA199" t="s">
        <v>654</v>
      </c>
      <c r="AB199" t="s">
        <v>128</v>
      </c>
      <c r="AC199" s="2" t="str">
        <f>HYPERLINK("http://exon.niaid.nih.gov/transcriptome/Anopheles_sialome/links/DIPTERA/anocol_Ag5r2-DIPTERA.txt","antigen 5-related 2 protein")</f>
        <v>antigen 5-related 2 protein</v>
      </c>
      <c r="AD199" t="str">
        <f>HYPERLINK("http://www.ncbi.nlm.nih.gov/sutils/blink.cgi?pid=18389885","1E-150")</f>
        <v>1E-150</v>
      </c>
      <c r="AE199" t="str">
        <f>HYPERLINK("http://www.ncbi.nlm.nih.gov/protein/18389885","gi|18389885")</f>
        <v>gi|18389885</v>
      </c>
      <c r="AF199">
        <v>98</v>
      </c>
      <c r="AG199">
        <v>100</v>
      </c>
      <c r="AH199">
        <v>100</v>
      </c>
      <c r="AI199" t="s">
        <v>2254</v>
      </c>
      <c r="AJ199" s="2" t="str">
        <f>HYPERLINK("http://exon.niaid.nih.gov/transcriptome/Anopheles_sialome/links/CULICOMORPHA/anocol_Ag5r2-CULICOMORPHA.txt","antigen 5-related 2 protein")</f>
        <v>antigen 5-related 2 protein</v>
      </c>
      <c r="AK199" t="str">
        <f>HYPERLINK("http://www.ncbi.nlm.nih.gov/sutils/blink.cgi?pid=18389885","1E-151")</f>
        <v>1E-151</v>
      </c>
      <c r="AL199" t="str">
        <f>HYPERLINK("http://www.ncbi.nlm.nih.gov/protein/18389885","gi|18389885")</f>
        <v>gi|18389885</v>
      </c>
      <c r="AM199">
        <v>98</v>
      </c>
      <c r="AN199">
        <v>100</v>
      </c>
      <c r="AO199">
        <v>100</v>
      </c>
      <c r="AP199" t="s">
        <v>2254</v>
      </c>
      <c r="AQ199" s="2" t="str">
        <f>HYPERLINK("http://exon.niaid.nih.gov/transcriptome/Anopheles_sialome/links/NR-LIGHT/anocol_Ag5r2-NR-LIGHT.txt","antigen 5-related 2 protein")</f>
        <v>antigen 5-related 2 protein</v>
      </c>
      <c r="AR199" t="str">
        <f>HYPERLINK("http://www.ncbi.nlm.nih.gov/sutils/blink.cgi?pid=18389885","1E-150")</f>
        <v>1E-150</v>
      </c>
      <c r="AS199" t="str">
        <f>HYPERLINK("http://www.ncbi.nlm.nih.gov/protein/18389885","gi|18389885")</f>
        <v>gi|18389885</v>
      </c>
      <c r="AT199">
        <v>98</v>
      </c>
      <c r="AU199">
        <v>100</v>
      </c>
      <c r="AV199">
        <v>100</v>
      </c>
      <c r="AW199" t="s">
        <v>2254</v>
      </c>
      <c r="AX199" s="2" t="str">
        <f>HYPERLINK("http://exon.niaid.nih.gov/transcriptome/Anopheles_sialome/links/CDD/anocol_Ag5r2-CDD.txt","SCP_euk")</f>
        <v>SCP_euk</v>
      </c>
      <c r="AY199" t="str">
        <f>HYPERLINK("http://www.ncbi.nlm.nih.gov/Structure/cdd/cddsrv.cgi?uid=cd05380&amp;version=v4.0","4E-039")</f>
        <v>4E-039</v>
      </c>
      <c r="AZ199" t="s">
        <v>2335</v>
      </c>
      <c r="BA199" s="2" t="str">
        <f>HYPERLINK("http://exon.niaid.nih.gov/transcriptome/Anopheles_sialome/links/KOG/anocol_Ag5r2-KOG.txt","Defense-related protein containing SCP domain")</f>
        <v>Defense-related protein containing SCP domain</v>
      </c>
      <c r="BB199" t="str">
        <f>HYPERLINK("http://www.ncbi.nlm.nih.gov/Structure/cdd/cddsrv.cgi?uid=KOG3017","1E-031")</f>
        <v>1E-031</v>
      </c>
      <c r="BC199" t="s">
        <v>2304</v>
      </c>
      <c r="BD199" t="str">
        <f>HYPERLINK("http://exon.niaid.nih.gov/transcriptome/Anopheles_sialome/links/KOG/anocol_Ag5r2-KOG.txt","KOG3017")</f>
        <v>KOG3017</v>
      </c>
      <c r="BE199" t="str">
        <f>HYPERLINK("http://exon.niaid.nih.gov/transcriptome/Anopheles_sialome/links/PFAM/anocol_Ag5r2-PFAM.txt","CAP")</f>
        <v>CAP</v>
      </c>
      <c r="BF199" t="str">
        <f>HYPERLINK("http://pfam.sanger.ac.uk/family?acc=PF00188","8E-014")</f>
        <v>8E-014</v>
      </c>
      <c r="BG199" s="2" t="str">
        <f>HYPERLINK("http://exon.niaid.nih.gov/transcriptome/Anopheles_sialome/links/SMART/anocol_Ag5r2-SMART.txt","SCP")</f>
        <v>SCP</v>
      </c>
      <c r="BH199" t="str">
        <f>HYPERLINK("http://smart.embl-heidelberg.de/smart/do_annotation.pl?DOMAIN=SCP&amp;BLAST=DUMMY","9E-027")</f>
        <v>9E-027</v>
      </c>
      <c r="BI199" t="s">
        <v>128</v>
      </c>
      <c r="BJ199" s="2" t="s">
        <v>128</v>
      </c>
      <c r="BK199" t="s">
        <v>766</v>
      </c>
      <c r="BL199">
        <f>HYPERLINK("http://exon.niaid.nih.gov/transcriptome/Anopheles_sialome/links/cluster-b/anopheline-sialome-cds-pep-larger-orf25-50SimCLU4.txt", 4)</f>
        <v>4</v>
      </c>
      <c r="BM199">
        <f>HYPERLINK("http://exon.niaid.nih.gov/transcriptome/Anopheles_sialome/links/cluster-b/anopheline-sialome-cds-pep-larger-orf25-50SimCLTL4.txt", 82)</f>
        <v>82</v>
      </c>
      <c r="BN199">
        <f>HYPERLINK("http://exon.niaid.nih.gov/transcriptome/Anopheles_sialome/links/cluster-b/anopheline-sialome-cds-pep-larger-orf30-50SimCLU4.txt", 4)</f>
        <v>4</v>
      </c>
      <c r="BO199">
        <f>HYPERLINK("http://exon.niaid.nih.gov/transcriptome/Anopheles_sialome/links/cluster-b/anopheline-sialome-cds-pep-larger-orf30-50SimCLTL4.txt", 82)</f>
        <v>82</v>
      </c>
      <c r="BP199">
        <f>HYPERLINK("http://exon.niaid.nih.gov/transcriptome/Anopheles_sialome/links/cluster-b/anopheline-sialome-cds-pep-larger-orf35-50SimCLU3.txt", 3)</f>
        <v>3</v>
      </c>
      <c r="BQ199">
        <f>HYPERLINK("http://exon.niaid.nih.gov/transcriptome/Anopheles_sialome/links/cluster-b/anopheline-sialome-cds-pep-larger-orf35-50SimCLTL3.txt", 82)</f>
        <v>82</v>
      </c>
      <c r="BR199">
        <f>HYPERLINK("http://exon.niaid.nih.gov/transcriptome/Anopheles_sialome/links/cluster-b/anopheline-sialome-cds-pep-larger-orf40-50SimCLU3.txt", 3)</f>
        <v>3</v>
      </c>
      <c r="BS199">
        <f>HYPERLINK("http://exon.niaid.nih.gov/transcriptome/Anopheles_sialome/links/cluster-b/anopheline-sialome-cds-pep-larger-orf40-50SimCLTL3.txt", 82)</f>
        <v>82</v>
      </c>
      <c r="BT199">
        <f>HYPERLINK("http://exon.niaid.nih.gov/transcriptome/Anopheles_sialome/links/cluster-b/anopheline-sialome-cds-pep-larger-orf45-50SimCLU2.txt", 2)</f>
        <v>2</v>
      </c>
      <c r="BU199">
        <f>HYPERLINK("http://exon.niaid.nih.gov/transcriptome/Anopheles_sialome/links/cluster-b/anopheline-sialome-cds-pep-larger-orf45-50SimCLTL2.txt", 82)</f>
        <v>82</v>
      </c>
      <c r="BV199">
        <f>HYPERLINK("http://exon.niaid.nih.gov/transcriptome/Anopheles_sialome/links/cluster-b/anopheline-sialome-cds-pep-larger-orf50-50SimCLU2.txt", 2)</f>
        <v>2</v>
      </c>
      <c r="BW199">
        <f>HYPERLINK("http://exon.niaid.nih.gov/transcriptome/Anopheles_sialome/links/cluster-b/anopheline-sialome-cds-pep-larger-orf50-50SimCLTL2.txt", 82)</f>
        <v>82</v>
      </c>
      <c r="BX199">
        <f>HYPERLINK("http://exon.niaid.nih.gov/transcriptome/Anopheles_sialome/links/cluster-b/anopheline-sialome-cds-pep-larger-orf55-50SimCLU2.txt", 2)</f>
        <v>2</v>
      </c>
      <c r="BY199">
        <f>HYPERLINK("http://exon.niaid.nih.gov/transcriptome/Anopheles_sialome/links/cluster-b/anopheline-sialome-cds-pep-larger-orf55-50SimCLTL2.txt", 55)</f>
        <v>55</v>
      </c>
      <c r="BZ199">
        <f>HYPERLINK("http://exon.niaid.nih.gov/transcriptome/Anopheles_sialome/links/cluster-b/anopheline-sialome-cds-pep-larger-orf60-50SimCLU2.txt", 2)</f>
        <v>2</v>
      </c>
      <c r="CA199">
        <f>HYPERLINK("http://exon.niaid.nih.gov/transcriptome/Anopheles_sialome/links/cluster-b/anopheline-sialome-cds-pep-larger-orf60-50SimCLTL2.txt", 54)</f>
        <v>54</v>
      </c>
      <c r="CB199">
        <f>HYPERLINK("http://exon.niaid.nih.gov/transcriptome/Anopheles_sialome/links/cluster-b/anopheline-sialome-cds-pep-larger-orf65-50SimCLU7.txt", 7)</f>
        <v>7</v>
      </c>
      <c r="CC199">
        <f>HYPERLINK("http://exon.niaid.nih.gov/transcriptome/Anopheles_sialome/links/cluster-b/anopheline-sialome-cds-pep-larger-orf65-50SimCLTL7.txt", 21)</f>
        <v>21</v>
      </c>
      <c r="CD199">
        <f>HYPERLINK("http://exon.niaid.nih.gov/transcriptome/Anopheles_sialome/links/cluster-b/anopheline-sialome-cds-pep-larger-orf70-50SimCLU8.txt", 8)</f>
        <v>8</v>
      </c>
      <c r="CE199">
        <f>HYPERLINK("http://exon.niaid.nih.gov/transcriptome/Anopheles_sialome/links/cluster-b/anopheline-sialome-cds-pep-larger-orf70-50SimCLTL8.txt", 19)</f>
        <v>19</v>
      </c>
      <c r="CF199">
        <f>HYPERLINK("http://exon.niaid.nih.gov/transcriptome/Anopheles_sialome/links/cluster-b/anopheline-sialome-cds-pep-larger-orf75-50SimCLU11.txt", 11)</f>
        <v>11</v>
      </c>
      <c r="CG199">
        <f>HYPERLINK("http://exon.niaid.nih.gov/transcriptome/Anopheles_sialome/links/cluster-b/anopheline-sialome-cds-pep-larger-orf75-50SimCLTL11.txt", 17)</f>
        <v>17</v>
      </c>
      <c r="CH199">
        <f>HYPERLINK("http://exon.niaid.nih.gov/transcriptome/Anopheles_sialome/links/cluster-b/anopheline-sialome-cds-pep-larger-orf80-50SimCLU8.txt", 8)</f>
        <v>8</v>
      </c>
      <c r="CI199">
        <f>HYPERLINK("http://exon.niaid.nih.gov/transcriptome/Anopheles_sialome/links/cluster-b/anopheline-sialome-cds-pep-larger-orf80-50SimCLTL8.txt", 17)</f>
        <v>17</v>
      </c>
      <c r="CJ199">
        <f>HYPERLINK("http://exon.niaid.nih.gov/transcriptome/Anopheles_sialome/links/cluster-b/anopheline-sialome-cds-pep-larger-orf85-50SimCLU45.txt", 45)</f>
        <v>45</v>
      </c>
      <c r="CK199">
        <f>HYPERLINK("http://exon.niaid.nih.gov/transcriptome/Anopheles_sialome/links/cluster-b/anopheline-sialome-cds-pep-larger-orf85-50SimCLTL45.txt", 5)</f>
        <v>5</v>
      </c>
      <c r="CL199">
        <f>HYPERLINK("http://exon.niaid.nih.gov/transcriptome/Anopheles_sialome/links/cluster-b/anopheline-sialome-cds-pep-larger-orf90-50SimCLU41.txt", 41)</f>
        <v>41</v>
      </c>
      <c r="CM199">
        <f>HYPERLINK("http://exon.niaid.nih.gov/transcriptome/Anopheles_sialome/links/cluster-b/anopheline-sialome-cds-pep-larger-orf90-50SimCLTL41.txt", 5)</f>
        <v>5</v>
      </c>
      <c r="CN199">
        <f>HYPERLINK("http://exon.niaid.nih.gov/transcriptome/Anopheles_sialome/links/cluster-b/anopheline-sialome-cds-pep-larger-orf95-50SimCLU46.txt", 46)</f>
        <v>46</v>
      </c>
      <c r="CO199">
        <f>HYPERLINK("http://exon.niaid.nih.gov/transcriptome/Anopheles_sialome/links/cluster-b/anopheline-sialome-cds-pep-larger-orf95-50SimCLTL46.txt", 4)</f>
        <v>4</v>
      </c>
    </row>
    <row r="200" spans="1:93">
      <c r="A200" s="2" t="str">
        <f>HYPERLINK("http://exon.niaid.nih.gov/transcriptome/Anopheles_sialome/links/cds/anoara_Ag5r2-cds.txt","anoara_Ag5r2")</f>
        <v>anoara_Ag5r2</v>
      </c>
      <c r="B200">
        <v>774</v>
      </c>
      <c r="C200" t="s">
        <v>42</v>
      </c>
      <c r="D200" t="s">
        <v>7</v>
      </c>
      <c r="E200" t="s">
        <v>5</v>
      </c>
      <c r="F200" t="s">
        <v>1</v>
      </c>
      <c r="G200" t="str">
        <f>HYPERLINK("http://exon.niaid.nih.gov/transcriptome/Anopheles_sialome/links/pep/anoara_Ag5r2-pep.txt","anoara_Ag5r2")</f>
        <v>anoara_Ag5r2</v>
      </c>
      <c r="H200">
        <v>257</v>
      </c>
      <c r="I200">
        <v>0</v>
      </c>
      <c r="J200" s="3" t="str">
        <f>HYPERLINK("http://exon.niaid.nih.gov/transcriptome/Anopheles_sialome/links/Sigp/anoara_Ag5r2-SigP.txt","SIG")</f>
        <v>SIG</v>
      </c>
      <c r="K200" t="s">
        <v>652</v>
      </c>
      <c r="L200">
        <v>28.155999999999999</v>
      </c>
      <c r="M200">
        <v>9.09</v>
      </c>
      <c r="N200">
        <v>26.181000000000001</v>
      </c>
      <c r="O200">
        <v>9.14</v>
      </c>
      <c r="P200" t="s">
        <v>769</v>
      </c>
      <c r="Q200" s="3">
        <v>0</v>
      </c>
      <c r="R200" t="s">
        <v>128</v>
      </c>
      <c r="S200" t="s">
        <v>128</v>
      </c>
      <c r="T200" t="s">
        <v>128</v>
      </c>
      <c r="U200" t="s">
        <v>128</v>
      </c>
      <c r="V200" t="s">
        <v>128</v>
      </c>
      <c r="W200" s="3" t="str">
        <f>HYPERLINK("http://exon.niaid.nih.gov/transcriptome/Anopheles_sialome/links/netoglyc/anoara_Ag5r2-netoglyc.txt","2")</f>
        <v>2</v>
      </c>
      <c r="X200">
        <v>17.100000000000001</v>
      </c>
      <c r="Y200">
        <v>7</v>
      </c>
      <c r="Z200">
        <v>6.2</v>
      </c>
      <c r="AA200" t="s">
        <v>654</v>
      </c>
      <c r="AB200" t="s">
        <v>128</v>
      </c>
      <c r="AC200" s="2" t="str">
        <f>HYPERLINK("http://exon.niaid.nih.gov/transcriptome/Anopheles_sialome/links/DIPTERA/anoara_Ag5r2-DIPTERA.txt","antigen 5-related 2 protein")</f>
        <v>antigen 5-related 2 protein</v>
      </c>
      <c r="AD200" t="str">
        <f>HYPERLINK("http://www.ncbi.nlm.nih.gov/sutils/blink.cgi?pid=18389885","1E-150")</f>
        <v>1E-150</v>
      </c>
      <c r="AE200" t="str">
        <f>HYPERLINK("http://www.ncbi.nlm.nih.gov/protein/18389885","gi|18389885")</f>
        <v>gi|18389885</v>
      </c>
      <c r="AF200">
        <v>98</v>
      </c>
      <c r="AG200">
        <v>99</v>
      </c>
      <c r="AH200">
        <v>100</v>
      </c>
      <c r="AI200" t="s">
        <v>2254</v>
      </c>
      <c r="AJ200" s="2" t="str">
        <f>HYPERLINK("http://exon.niaid.nih.gov/transcriptome/Anopheles_sialome/links/CULICOMORPHA/anoara_Ag5r2-CULICOMORPHA.txt","antigen 5-related 2 protein")</f>
        <v>antigen 5-related 2 protein</v>
      </c>
      <c r="AK200" t="str">
        <f>HYPERLINK("http://www.ncbi.nlm.nih.gov/sutils/blink.cgi?pid=18389885","1E-151")</f>
        <v>1E-151</v>
      </c>
      <c r="AL200" t="str">
        <f>HYPERLINK("http://www.ncbi.nlm.nih.gov/protein/18389885","gi|18389885")</f>
        <v>gi|18389885</v>
      </c>
      <c r="AM200">
        <v>98</v>
      </c>
      <c r="AN200">
        <v>99</v>
      </c>
      <c r="AO200">
        <v>100</v>
      </c>
      <c r="AP200" t="s">
        <v>2254</v>
      </c>
      <c r="AQ200" s="2" t="str">
        <f>HYPERLINK("http://exon.niaid.nih.gov/transcriptome/Anopheles_sialome/links/NR-LIGHT/anoara_Ag5r2-NR-LIGHT.txt","antigen 5-related 2 protein")</f>
        <v>antigen 5-related 2 protein</v>
      </c>
      <c r="AR200" t="str">
        <f>HYPERLINK("http://www.ncbi.nlm.nih.gov/sutils/blink.cgi?pid=18389885","1E-150")</f>
        <v>1E-150</v>
      </c>
      <c r="AS200" t="str">
        <f>HYPERLINK("http://www.ncbi.nlm.nih.gov/protein/18389885","gi|18389885")</f>
        <v>gi|18389885</v>
      </c>
      <c r="AT200">
        <v>98</v>
      </c>
      <c r="AU200">
        <v>99</v>
      </c>
      <c r="AV200">
        <v>100</v>
      </c>
      <c r="AW200" t="s">
        <v>2254</v>
      </c>
      <c r="AX200" s="2" t="str">
        <f>HYPERLINK("http://exon.niaid.nih.gov/transcriptome/Anopheles_sialome/links/CDD/anoara_Ag5r2-CDD.txt","SCP_euk")</f>
        <v>SCP_euk</v>
      </c>
      <c r="AY200" t="str">
        <f>HYPERLINK("http://www.ncbi.nlm.nih.gov/Structure/cdd/cddsrv.cgi?uid=cd05380&amp;version=v4.0","3E-039")</f>
        <v>3E-039</v>
      </c>
      <c r="AZ200" t="s">
        <v>2336</v>
      </c>
      <c r="BA200" s="2" t="str">
        <f>HYPERLINK("http://exon.niaid.nih.gov/transcriptome/Anopheles_sialome/links/KOG/anoara_Ag5r2-KOG.txt","Defense-related protein containing SCP domain")</f>
        <v>Defense-related protein containing SCP domain</v>
      </c>
      <c r="BB200" t="str">
        <f>HYPERLINK("http://www.ncbi.nlm.nih.gov/Structure/cdd/cddsrv.cgi?uid=KOG3017","2E-031")</f>
        <v>2E-031</v>
      </c>
      <c r="BC200" t="s">
        <v>2304</v>
      </c>
      <c r="BD200" t="str">
        <f>HYPERLINK("http://exon.niaid.nih.gov/transcriptome/Anopheles_sialome/links/KOG/anoara_Ag5r2-KOG.txt","KOG3017")</f>
        <v>KOG3017</v>
      </c>
      <c r="BE200" t="str">
        <f>HYPERLINK("http://exon.niaid.nih.gov/transcriptome/Anopheles_sialome/links/PFAM/anoara_Ag5r2-PFAM.txt","CAP")</f>
        <v>CAP</v>
      </c>
      <c r="BF200" t="str">
        <f>HYPERLINK("http://pfam.sanger.ac.uk/family?acc=PF00188","7E-014")</f>
        <v>7E-014</v>
      </c>
      <c r="BG200" s="2" t="str">
        <f>HYPERLINK("http://exon.niaid.nih.gov/transcriptome/Anopheles_sialome/links/SMART/anoara_Ag5r2-SMART.txt","SCP")</f>
        <v>SCP</v>
      </c>
      <c r="BH200" t="str">
        <f>HYPERLINK("http://smart.embl-heidelberg.de/smart/do_annotation.pl?DOMAIN=SCP&amp;BLAST=DUMMY","9E-027")</f>
        <v>9E-027</v>
      </c>
      <c r="BI200" t="s">
        <v>128</v>
      </c>
      <c r="BJ200" s="2" t="s">
        <v>128</v>
      </c>
      <c r="BK200" t="s">
        <v>768</v>
      </c>
      <c r="BL200">
        <f>HYPERLINK("http://exon.niaid.nih.gov/transcriptome/Anopheles_sialome/links/cluster-b/anopheline-sialome-cds-pep-larger-orf25-50SimCLU4.txt", 4)</f>
        <v>4</v>
      </c>
      <c r="BM200">
        <f>HYPERLINK("http://exon.niaid.nih.gov/transcriptome/Anopheles_sialome/links/cluster-b/anopheline-sialome-cds-pep-larger-orf25-50SimCLTL4.txt", 82)</f>
        <v>82</v>
      </c>
      <c r="BN200">
        <f>HYPERLINK("http://exon.niaid.nih.gov/transcriptome/Anopheles_sialome/links/cluster-b/anopheline-sialome-cds-pep-larger-orf30-50SimCLU4.txt", 4)</f>
        <v>4</v>
      </c>
      <c r="BO200">
        <f>HYPERLINK("http://exon.niaid.nih.gov/transcriptome/Anopheles_sialome/links/cluster-b/anopheline-sialome-cds-pep-larger-orf30-50SimCLTL4.txt", 82)</f>
        <v>82</v>
      </c>
      <c r="BP200">
        <f>HYPERLINK("http://exon.niaid.nih.gov/transcriptome/Anopheles_sialome/links/cluster-b/anopheline-sialome-cds-pep-larger-orf35-50SimCLU3.txt", 3)</f>
        <v>3</v>
      </c>
      <c r="BQ200">
        <f>HYPERLINK("http://exon.niaid.nih.gov/transcriptome/Anopheles_sialome/links/cluster-b/anopheline-sialome-cds-pep-larger-orf35-50SimCLTL3.txt", 82)</f>
        <v>82</v>
      </c>
      <c r="BR200">
        <f>HYPERLINK("http://exon.niaid.nih.gov/transcriptome/Anopheles_sialome/links/cluster-b/anopheline-sialome-cds-pep-larger-orf40-50SimCLU3.txt", 3)</f>
        <v>3</v>
      </c>
      <c r="BS200">
        <f>HYPERLINK("http://exon.niaid.nih.gov/transcriptome/Anopheles_sialome/links/cluster-b/anopheline-sialome-cds-pep-larger-orf40-50SimCLTL3.txt", 82)</f>
        <v>82</v>
      </c>
      <c r="BT200">
        <f>HYPERLINK("http://exon.niaid.nih.gov/transcriptome/Anopheles_sialome/links/cluster-b/anopheline-sialome-cds-pep-larger-orf45-50SimCLU2.txt", 2)</f>
        <v>2</v>
      </c>
      <c r="BU200">
        <f>HYPERLINK("http://exon.niaid.nih.gov/transcriptome/Anopheles_sialome/links/cluster-b/anopheline-sialome-cds-pep-larger-orf45-50SimCLTL2.txt", 82)</f>
        <v>82</v>
      </c>
      <c r="BV200">
        <f>HYPERLINK("http://exon.niaid.nih.gov/transcriptome/Anopheles_sialome/links/cluster-b/anopheline-sialome-cds-pep-larger-orf50-50SimCLU2.txt", 2)</f>
        <v>2</v>
      </c>
      <c r="BW200">
        <f>HYPERLINK("http://exon.niaid.nih.gov/transcriptome/Anopheles_sialome/links/cluster-b/anopheline-sialome-cds-pep-larger-orf50-50SimCLTL2.txt", 82)</f>
        <v>82</v>
      </c>
      <c r="BX200">
        <f>HYPERLINK("http://exon.niaid.nih.gov/transcriptome/Anopheles_sialome/links/cluster-b/anopheline-sialome-cds-pep-larger-orf55-50SimCLU2.txt", 2)</f>
        <v>2</v>
      </c>
      <c r="BY200">
        <f>HYPERLINK("http://exon.niaid.nih.gov/transcriptome/Anopheles_sialome/links/cluster-b/anopheline-sialome-cds-pep-larger-orf55-50SimCLTL2.txt", 55)</f>
        <v>55</v>
      </c>
      <c r="BZ200">
        <f>HYPERLINK("http://exon.niaid.nih.gov/transcriptome/Anopheles_sialome/links/cluster-b/anopheline-sialome-cds-pep-larger-orf60-50SimCLU2.txt", 2)</f>
        <v>2</v>
      </c>
      <c r="CA200">
        <f>HYPERLINK("http://exon.niaid.nih.gov/transcriptome/Anopheles_sialome/links/cluster-b/anopheline-sialome-cds-pep-larger-orf60-50SimCLTL2.txt", 54)</f>
        <v>54</v>
      </c>
      <c r="CB200">
        <f>HYPERLINK("http://exon.niaid.nih.gov/transcriptome/Anopheles_sialome/links/cluster-b/anopheline-sialome-cds-pep-larger-orf65-50SimCLU7.txt", 7)</f>
        <v>7</v>
      </c>
      <c r="CC200">
        <f>HYPERLINK("http://exon.niaid.nih.gov/transcriptome/Anopheles_sialome/links/cluster-b/anopheline-sialome-cds-pep-larger-orf65-50SimCLTL7.txt", 21)</f>
        <v>21</v>
      </c>
      <c r="CD200">
        <f>HYPERLINK("http://exon.niaid.nih.gov/transcriptome/Anopheles_sialome/links/cluster-b/anopheline-sialome-cds-pep-larger-orf70-50SimCLU8.txt", 8)</f>
        <v>8</v>
      </c>
      <c r="CE200">
        <f>HYPERLINK("http://exon.niaid.nih.gov/transcriptome/Anopheles_sialome/links/cluster-b/anopheline-sialome-cds-pep-larger-orf70-50SimCLTL8.txt", 19)</f>
        <v>19</v>
      </c>
      <c r="CF200">
        <f>HYPERLINK("http://exon.niaid.nih.gov/transcriptome/Anopheles_sialome/links/cluster-b/anopheline-sialome-cds-pep-larger-orf75-50SimCLU11.txt", 11)</f>
        <v>11</v>
      </c>
      <c r="CG200">
        <f>HYPERLINK("http://exon.niaid.nih.gov/transcriptome/Anopheles_sialome/links/cluster-b/anopheline-sialome-cds-pep-larger-orf75-50SimCLTL11.txt", 17)</f>
        <v>17</v>
      </c>
      <c r="CH200">
        <f>HYPERLINK("http://exon.niaid.nih.gov/transcriptome/Anopheles_sialome/links/cluster-b/anopheline-sialome-cds-pep-larger-orf80-50SimCLU8.txt", 8)</f>
        <v>8</v>
      </c>
      <c r="CI200">
        <f>HYPERLINK("http://exon.niaid.nih.gov/transcriptome/Anopheles_sialome/links/cluster-b/anopheline-sialome-cds-pep-larger-orf80-50SimCLTL8.txt", 17)</f>
        <v>17</v>
      </c>
      <c r="CJ200">
        <f>HYPERLINK("http://exon.niaid.nih.gov/transcriptome/Anopheles_sialome/links/cluster-b/anopheline-sialome-cds-pep-larger-orf85-50SimCLU45.txt", 45)</f>
        <v>45</v>
      </c>
      <c r="CK200">
        <f>HYPERLINK("http://exon.niaid.nih.gov/transcriptome/Anopheles_sialome/links/cluster-b/anopheline-sialome-cds-pep-larger-orf85-50SimCLTL45.txt", 5)</f>
        <v>5</v>
      </c>
      <c r="CL200">
        <f>HYPERLINK("http://exon.niaid.nih.gov/transcriptome/Anopheles_sialome/links/cluster-b/anopheline-sialome-cds-pep-larger-orf90-50SimCLU41.txt", 41)</f>
        <v>41</v>
      </c>
      <c r="CM200">
        <f>HYPERLINK("http://exon.niaid.nih.gov/transcriptome/Anopheles_sialome/links/cluster-b/anopheline-sialome-cds-pep-larger-orf90-50SimCLTL41.txt", 5)</f>
        <v>5</v>
      </c>
      <c r="CN200">
        <f>HYPERLINK("http://exon.niaid.nih.gov/transcriptome/Anopheles_sialome/links/cluster-b/anopheline-sialome-cds-pep-larger-orf95-50SimCLU46.txt", 46)</f>
        <v>46</v>
      </c>
      <c r="CO200">
        <f>HYPERLINK("http://exon.niaid.nih.gov/transcriptome/Anopheles_sialome/links/cluster-b/anopheline-sialome-cds-pep-larger-orf95-50SimCLTL46.txt", 4)</f>
        <v>4</v>
      </c>
    </row>
    <row r="201" spans="1:93">
      <c r="A201" s="2" t="str">
        <f>HYPERLINK("http://exon.niaid.nih.gov/transcriptome/Anopheles_sialome/links/cds/anoqua_Ag5r2-cds.txt","anoqua_Ag5r2")</f>
        <v>anoqua_Ag5r2</v>
      </c>
      <c r="B201">
        <v>783</v>
      </c>
      <c r="C201" t="s">
        <v>43</v>
      </c>
      <c r="D201" t="s">
        <v>7</v>
      </c>
      <c r="E201" t="s">
        <v>5</v>
      </c>
      <c r="F201" t="s">
        <v>1</v>
      </c>
      <c r="G201" t="str">
        <f>HYPERLINK("http://exon.niaid.nih.gov/transcriptome/Anopheles_sialome/links/pep/anoqua_Ag5r2-pep.txt","anoqua_Ag5r2")</f>
        <v>anoqua_Ag5r2</v>
      </c>
      <c r="H201">
        <v>260</v>
      </c>
      <c r="I201">
        <v>0</v>
      </c>
      <c r="J201" s="3" t="str">
        <f>HYPERLINK("http://exon.niaid.nih.gov/transcriptome/Anopheles_sialome/links/Sigp/anoqua_Ag5r2-SigP.txt","SIG")</f>
        <v>SIG</v>
      </c>
      <c r="K201" t="s">
        <v>652</v>
      </c>
      <c r="L201">
        <v>28.681000000000001</v>
      </c>
      <c r="M201">
        <v>9.18</v>
      </c>
      <c r="N201">
        <v>26.646000000000001</v>
      </c>
      <c r="O201">
        <v>9.19</v>
      </c>
      <c r="P201" t="s">
        <v>771</v>
      </c>
      <c r="Q201" s="3">
        <v>0</v>
      </c>
      <c r="R201" t="s">
        <v>128</v>
      </c>
      <c r="S201" t="s">
        <v>128</v>
      </c>
      <c r="T201" t="s">
        <v>128</v>
      </c>
      <c r="U201" t="s">
        <v>128</v>
      </c>
      <c r="V201" t="s">
        <v>128</v>
      </c>
      <c r="W201" s="3" t="str">
        <f>HYPERLINK("http://exon.niaid.nih.gov/transcriptome/Anopheles_sialome/links/netoglyc/anoqua_Ag5r2-netoglyc.txt","1")</f>
        <v>1</v>
      </c>
      <c r="X201">
        <v>15</v>
      </c>
      <c r="Y201">
        <v>6.9</v>
      </c>
      <c r="Z201">
        <v>6.5</v>
      </c>
      <c r="AA201" t="s">
        <v>654</v>
      </c>
      <c r="AB201" t="s">
        <v>128</v>
      </c>
      <c r="AC201" s="2" t="str">
        <f>HYPERLINK("http://exon.niaid.nih.gov/transcriptome/Anopheles_sialome/links/DIPTERA/anoqua_Ag5r2-DIPTERA.txt","AGAP006419-PA")</f>
        <v>AGAP006419-PA</v>
      </c>
      <c r="AD201" t="str">
        <f>HYPERLINK("http://www.ncbi.nlm.nih.gov/sutils/blink.cgi?pid=116127082","1E-135")</f>
        <v>1E-135</v>
      </c>
      <c r="AE201" t="str">
        <f>HYPERLINK("http://www.ncbi.nlm.nih.gov/protein/116127082","gi|116127082")</f>
        <v>gi|116127082</v>
      </c>
      <c r="AF201">
        <v>89</v>
      </c>
      <c r="AG201">
        <v>91</v>
      </c>
      <c r="AH201">
        <v>101</v>
      </c>
      <c r="AI201" t="s">
        <v>2285</v>
      </c>
      <c r="AJ201" s="2" t="str">
        <f>HYPERLINK("http://exon.niaid.nih.gov/transcriptome/Anopheles_sialome/links/CULICOMORPHA/anoqua_Ag5r2-CULICOMORPHA.txt","AGAP006419-PA")</f>
        <v>AGAP006419-PA</v>
      </c>
      <c r="AK201" t="str">
        <f>HYPERLINK("http://www.ncbi.nlm.nih.gov/sutils/blink.cgi?pid=116127082","1E-135")</f>
        <v>1E-135</v>
      </c>
      <c r="AL201" t="str">
        <f>HYPERLINK("http://www.ncbi.nlm.nih.gov/protein/116127082","gi|116127082")</f>
        <v>gi|116127082</v>
      </c>
      <c r="AM201">
        <v>89</v>
      </c>
      <c r="AN201">
        <v>91</v>
      </c>
      <c r="AO201">
        <v>101</v>
      </c>
      <c r="AP201" t="s">
        <v>2285</v>
      </c>
      <c r="AQ201" s="2" t="str">
        <f>HYPERLINK("http://exon.niaid.nih.gov/transcriptome/Anopheles_sialome/links/NR-LIGHT/anoqua_Ag5r2-NR-LIGHT.txt","AGAP006419-PA")</f>
        <v>AGAP006419-PA</v>
      </c>
      <c r="AR201" t="str">
        <f>HYPERLINK("http://www.ncbi.nlm.nih.gov/sutils/blink.cgi?pid=118788030","1E-134")</f>
        <v>1E-134</v>
      </c>
      <c r="AS201" t="str">
        <f>HYPERLINK("http://www.ncbi.nlm.nih.gov/protein/118788030","gi|118788030")</f>
        <v>gi|118788030</v>
      </c>
      <c r="AT201">
        <v>89</v>
      </c>
      <c r="AU201">
        <v>91</v>
      </c>
      <c r="AV201">
        <v>101</v>
      </c>
      <c r="AW201" t="s">
        <v>2285</v>
      </c>
      <c r="AX201" s="2" t="str">
        <f>HYPERLINK("http://exon.niaid.nih.gov/transcriptome/Anopheles_sialome/links/CDD/anoqua_Ag5r2-CDD.txt","SCP_euk")</f>
        <v>SCP_euk</v>
      </c>
      <c r="AY201" t="str">
        <f>HYPERLINK("http://www.ncbi.nlm.nih.gov/Structure/cdd/cddsrv.cgi?uid=cd05380&amp;version=v4.0","2E-037")</f>
        <v>2E-037</v>
      </c>
      <c r="AZ201" t="s">
        <v>2337</v>
      </c>
      <c r="BA201" s="2" t="str">
        <f>HYPERLINK("http://exon.niaid.nih.gov/transcriptome/Anopheles_sialome/links/KOG/anoqua_Ag5r2-KOG.txt","Defense-related protein containing SCP domain")</f>
        <v>Defense-related protein containing SCP domain</v>
      </c>
      <c r="BB201" t="str">
        <f>HYPERLINK("http://www.ncbi.nlm.nih.gov/Structure/cdd/cddsrv.cgi?uid=KOG3017","1E-030")</f>
        <v>1E-030</v>
      </c>
      <c r="BC201" t="s">
        <v>2304</v>
      </c>
      <c r="BD201" t="str">
        <f>HYPERLINK("http://exon.niaid.nih.gov/transcriptome/Anopheles_sialome/links/KOG/anoqua_Ag5r2-KOG.txt","KOG3017")</f>
        <v>KOG3017</v>
      </c>
      <c r="BE201" t="str">
        <f>HYPERLINK("http://exon.niaid.nih.gov/transcriptome/Anopheles_sialome/links/PFAM/anoqua_Ag5r2-PFAM.txt","CAP")</f>
        <v>CAP</v>
      </c>
      <c r="BF201" t="str">
        <f>HYPERLINK("http://pfam.sanger.ac.uk/family?acc=PF00188","3E-012")</f>
        <v>3E-012</v>
      </c>
      <c r="BG201" s="2" t="str">
        <f>HYPERLINK("http://exon.niaid.nih.gov/transcriptome/Anopheles_sialome/links/SMART/anoqua_Ag5r2-SMART.txt","SCP")</f>
        <v>SCP</v>
      </c>
      <c r="BH201" t="str">
        <f>HYPERLINK("http://smart.embl-heidelberg.de/smart/do_annotation.pl?DOMAIN=SCP&amp;BLAST=DUMMY","1E-025")</f>
        <v>1E-025</v>
      </c>
      <c r="BI201" t="s">
        <v>128</v>
      </c>
      <c r="BJ201" s="2" t="s">
        <v>128</v>
      </c>
      <c r="BK201" t="s">
        <v>770</v>
      </c>
      <c r="BL201">
        <f>HYPERLINK("http://exon.niaid.nih.gov/transcriptome/Anopheles_sialome/links/cluster-b/anopheline-sialome-cds-pep-larger-orf25-50SimCLU4.txt", 4)</f>
        <v>4</v>
      </c>
      <c r="BM201">
        <f>HYPERLINK("http://exon.niaid.nih.gov/transcriptome/Anopheles_sialome/links/cluster-b/anopheline-sialome-cds-pep-larger-orf25-50SimCLTL4.txt", 82)</f>
        <v>82</v>
      </c>
      <c r="BN201">
        <f>HYPERLINK("http://exon.niaid.nih.gov/transcriptome/Anopheles_sialome/links/cluster-b/anopheline-sialome-cds-pep-larger-orf30-50SimCLU4.txt", 4)</f>
        <v>4</v>
      </c>
      <c r="BO201">
        <f>HYPERLINK("http://exon.niaid.nih.gov/transcriptome/Anopheles_sialome/links/cluster-b/anopheline-sialome-cds-pep-larger-orf30-50SimCLTL4.txt", 82)</f>
        <v>82</v>
      </c>
      <c r="BP201">
        <f>HYPERLINK("http://exon.niaid.nih.gov/transcriptome/Anopheles_sialome/links/cluster-b/anopheline-sialome-cds-pep-larger-orf35-50SimCLU3.txt", 3)</f>
        <v>3</v>
      </c>
      <c r="BQ201">
        <f>HYPERLINK("http://exon.niaid.nih.gov/transcriptome/Anopheles_sialome/links/cluster-b/anopheline-sialome-cds-pep-larger-orf35-50SimCLTL3.txt", 82)</f>
        <v>82</v>
      </c>
      <c r="BR201">
        <f>HYPERLINK("http://exon.niaid.nih.gov/transcriptome/Anopheles_sialome/links/cluster-b/anopheline-sialome-cds-pep-larger-orf40-50SimCLU3.txt", 3)</f>
        <v>3</v>
      </c>
      <c r="BS201">
        <f>HYPERLINK("http://exon.niaid.nih.gov/transcriptome/Anopheles_sialome/links/cluster-b/anopheline-sialome-cds-pep-larger-orf40-50SimCLTL3.txt", 82)</f>
        <v>82</v>
      </c>
      <c r="BT201">
        <f>HYPERLINK("http://exon.niaid.nih.gov/transcriptome/Anopheles_sialome/links/cluster-b/anopheline-sialome-cds-pep-larger-orf45-50SimCLU2.txt", 2)</f>
        <v>2</v>
      </c>
      <c r="BU201">
        <f>HYPERLINK("http://exon.niaid.nih.gov/transcriptome/Anopheles_sialome/links/cluster-b/anopheline-sialome-cds-pep-larger-orf45-50SimCLTL2.txt", 82)</f>
        <v>82</v>
      </c>
      <c r="BV201">
        <f>HYPERLINK("http://exon.niaid.nih.gov/transcriptome/Anopheles_sialome/links/cluster-b/anopheline-sialome-cds-pep-larger-orf50-50SimCLU2.txt", 2)</f>
        <v>2</v>
      </c>
      <c r="BW201">
        <f>HYPERLINK("http://exon.niaid.nih.gov/transcriptome/Anopheles_sialome/links/cluster-b/anopheline-sialome-cds-pep-larger-orf50-50SimCLTL2.txt", 82)</f>
        <v>82</v>
      </c>
      <c r="BX201">
        <f>HYPERLINK("http://exon.niaid.nih.gov/transcriptome/Anopheles_sialome/links/cluster-b/anopheline-sialome-cds-pep-larger-orf55-50SimCLU2.txt", 2)</f>
        <v>2</v>
      </c>
      <c r="BY201">
        <f>HYPERLINK("http://exon.niaid.nih.gov/transcriptome/Anopheles_sialome/links/cluster-b/anopheline-sialome-cds-pep-larger-orf55-50SimCLTL2.txt", 55)</f>
        <v>55</v>
      </c>
      <c r="BZ201">
        <f>HYPERLINK("http://exon.niaid.nih.gov/transcriptome/Anopheles_sialome/links/cluster-b/anopheline-sialome-cds-pep-larger-orf60-50SimCLU2.txt", 2)</f>
        <v>2</v>
      </c>
      <c r="CA201">
        <f>HYPERLINK("http://exon.niaid.nih.gov/transcriptome/Anopheles_sialome/links/cluster-b/anopheline-sialome-cds-pep-larger-orf60-50SimCLTL2.txt", 54)</f>
        <v>54</v>
      </c>
      <c r="CB201">
        <f>HYPERLINK("http://exon.niaid.nih.gov/transcriptome/Anopheles_sialome/links/cluster-b/anopheline-sialome-cds-pep-larger-orf65-50SimCLU7.txt", 7)</f>
        <v>7</v>
      </c>
      <c r="CC201">
        <f>HYPERLINK("http://exon.niaid.nih.gov/transcriptome/Anopheles_sialome/links/cluster-b/anopheline-sialome-cds-pep-larger-orf65-50SimCLTL7.txt", 21)</f>
        <v>21</v>
      </c>
      <c r="CD201">
        <f>HYPERLINK("http://exon.niaid.nih.gov/transcriptome/Anopheles_sialome/links/cluster-b/anopheline-sialome-cds-pep-larger-orf70-50SimCLU8.txt", 8)</f>
        <v>8</v>
      </c>
      <c r="CE201">
        <f>HYPERLINK("http://exon.niaid.nih.gov/transcriptome/Anopheles_sialome/links/cluster-b/anopheline-sialome-cds-pep-larger-orf70-50SimCLTL8.txt", 19)</f>
        <v>19</v>
      </c>
      <c r="CF201">
        <f>HYPERLINK("http://exon.niaid.nih.gov/transcriptome/Anopheles_sialome/links/cluster-b/anopheline-sialome-cds-pep-larger-orf75-50SimCLU11.txt", 11)</f>
        <v>11</v>
      </c>
      <c r="CG201">
        <f>HYPERLINK("http://exon.niaid.nih.gov/transcriptome/Anopheles_sialome/links/cluster-b/anopheline-sialome-cds-pep-larger-orf75-50SimCLTL11.txt", 17)</f>
        <v>17</v>
      </c>
      <c r="CH201">
        <f>HYPERLINK("http://exon.niaid.nih.gov/transcriptome/Anopheles_sialome/links/cluster-b/anopheline-sialome-cds-pep-larger-orf80-50SimCLU8.txt", 8)</f>
        <v>8</v>
      </c>
      <c r="CI201">
        <f>HYPERLINK("http://exon.niaid.nih.gov/transcriptome/Anopheles_sialome/links/cluster-b/anopheline-sialome-cds-pep-larger-orf80-50SimCLTL8.txt", 17)</f>
        <v>17</v>
      </c>
      <c r="CJ201">
        <f>HYPERLINK("http://exon.niaid.nih.gov/transcriptome/Anopheles_sialome/links/cluster-b/anopheline-sialome-cds-pep-larger-orf85-50SimCLU45.txt", 45)</f>
        <v>45</v>
      </c>
      <c r="CK201">
        <f>HYPERLINK("http://exon.niaid.nih.gov/transcriptome/Anopheles_sialome/links/cluster-b/anopheline-sialome-cds-pep-larger-orf85-50SimCLTL45.txt", 5)</f>
        <v>5</v>
      </c>
      <c r="CL201">
        <f>HYPERLINK("http://exon.niaid.nih.gov/transcriptome/Anopheles_sialome/links/cluster-b/anopheline-sialome-cds-pep-larger-orf90-50SimCLU41.txt", 41)</f>
        <v>41</v>
      </c>
      <c r="CM201">
        <f>HYPERLINK("http://exon.niaid.nih.gov/transcriptome/Anopheles_sialome/links/cluster-b/anopheline-sialome-cds-pep-larger-orf90-50SimCLTL41.txt", 5)</f>
        <v>5</v>
      </c>
      <c r="CN201">
        <v>100</v>
      </c>
      <c r="CO201">
        <v>1</v>
      </c>
    </row>
    <row r="202" spans="1:93">
      <c r="A202" s="2" t="str">
        <f>HYPERLINK("http://exon.niaid.nih.gov/transcriptome/Anopheles_sialome/links/cds/anomer_Ag5r2-cds.txt","anomer_Ag5r2")</f>
        <v>anomer_Ag5r2</v>
      </c>
      <c r="B202">
        <v>774</v>
      </c>
      <c r="C202" t="s">
        <v>60</v>
      </c>
      <c r="D202" t="s">
        <v>4</v>
      </c>
      <c r="E202" t="s">
        <v>5</v>
      </c>
      <c r="F202" t="s">
        <v>1</v>
      </c>
      <c r="G202" t="str">
        <f>HYPERLINK("http://exon.niaid.nih.gov/transcriptome/Anopheles_sialome/links/pep/anomer_Ag5r2-pep.txt","anomer_Ag5r2")</f>
        <v>anomer_Ag5r2</v>
      </c>
      <c r="H202">
        <v>257</v>
      </c>
      <c r="I202">
        <v>0</v>
      </c>
      <c r="J202" s="3" t="str">
        <f>HYPERLINK("http://exon.niaid.nih.gov/transcriptome/Anopheles_sialome/links/Sigp/anomer_Ag5r2-SigP.txt","SIG")</f>
        <v>SIG</v>
      </c>
      <c r="K202" t="s">
        <v>652</v>
      </c>
      <c r="L202">
        <v>28.016999999999999</v>
      </c>
      <c r="M202">
        <v>9.09</v>
      </c>
      <c r="N202">
        <v>26.030999999999999</v>
      </c>
      <c r="O202">
        <v>9.14</v>
      </c>
      <c r="P202" t="s">
        <v>773</v>
      </c>
      <c r="Q202" s="3">
        <v>0</v>
      </c>
      <c r="R202" t="s">
        <v>128</v>
      </c>
      <c r="S202" t="s">
        <v>128</v>
      </c>
      <c r="T202" t="s">
        <v>128</v>
      </c>
      <c r="U202" t="s">
        <v>128</v>
      </c>
      <c r="V202" t="s">
        <v>128</v>
      </c>
      <c r="W202" s="3" t="str">
        <f>HYPERLINK("http://exon.niaid.nih.gov/transcriptome/Anopheles_sialome/links/netoglyc/anomer_Ag5r2-netoglyc.txt","1")</f>
        <v>1</v>
      </c>
      <c r="X202">
        <v>16</v>
      </c>
      <c r="Y202">
        <v>6.6</v>
      </c>
      <c r="Z202">
        <v>6.2</v>
      </c>
      <c r="AA202" t="s">
        <v>654</v>
      </c>
      <c r="AB202" t="s">
        <v>128</v>
      </c>
      <c r="AC202" s="2" t="str">
        <f>HYPERLINK("http://exon.niaid.nih.gov/transcriptome/Anopheles_sialome/links/DIPTERA/anomer_Ag5r2-DIPTERA.txt","AGAP006419-PA")</f>
        <v>AGAP006419-PA</v>
      </c>
      <c r="AD202" t="str">
        <f>HYPERLINK("http://www.ncbi.nlm.nih.gov/sutils/blink.cgi?pid=116127082","1E-145")</f>
        <v>1E-145</v>
      </c>
      <c r="AE202" t="str">
        <f>HYPERLINK("http://www.ncbi.nlm.nih.gov/protein/116127082","gi|116127082")</f>
        <v>gi|116127082</v>
      </c>
      <c r="AF202">
        <v>94</v>
      </c>
      <c r="AG202">
        <v>97</v>
      </c>
      <c r="AH202">
        <v>100</v>
      </c>
      <c r="AI202" t="s">
        <v>2285</v>
      </c>
      <c r="AJ202" s="2" t="str">
        <f>HYPERLINK("http://exon.niaid.nih.gov/transcriptome/Anopheles_sialome/links/CULICOMORPHA/anomer_Ag5r2-CULICOMORPHA.txt","AGAP006419-PA")</f>
        <v>AGAP006419-PA</v>
      </c>
      <c r="AK202" t="str">
        <f>HYPERLINK("http://www.ncbi.nlm.nih.gov/sutils/blink.cgi?pid=116127082","1E-145")</f>
        <v>1E-145</v>
      </c>
      <c r="AL202" t="str">
        <f>HYPERLINK("http://www.ncbi.nlm.nih.gov/protein/116127082","gi|116127082")</f>
        <v>gi|116127082</v>
      </c>
      <c r="AM202">
        <v>94</v>
      </c>
      <c r="AN202">
        <v>97</v>
      </c>
      <c r="AO202">
        <v>100</v>
      </c>
      <c r="AP202" t="s">
        <v>2285</v>
      </c>
      <c r="AQ202" s="2" t="str">
        <f>HYPERLINK("http://exon.niaid.nih.gov/transcriptome/Anopheles_sialome/links/NR-LIGHT/anomer_Ag5r2-NR-LIGHT.txt","AGAP006419-PA")</f>
        <v>AGAP006419-PA</v>
      </c>
      <c r="AR202" t="str">
        <f>HYPERLINK("http://www.ncbi.nlm.nih.gov/sutils/blink.cgi?pid=118788030","1E-144")</f>
        <v>1E-144</v>
      </c>
      <c r="AS202" t="str">
        <f>HYPERLINK("http://www.ncbi.nlm.nih.gov/protein/118788030","gi|118788030")</f>
        <v>gi|118788030</v>
      </c>
      <c r="AT202">
        <v>94</v>
      </c>
      <c r="AU202">
        <v>97</v>
      </c>
      <c r="AV202">
        <v>100</v>
      </c>
      <c r="AW202" t="s">
        <v>2285</v>
      </c>
      <c r="AX202" s="2" t="str">
        <f>HYPERLINK("http://exon.niaid.nih.gov/transcriptome/Anopheles_sialome/links/CDD/anomer_Ag5r2-CDD.txt","SCP_euk")</f>
        <v>SCP_euk</v>
      </c>
      <c r="AY202" t="str">
        <f>HYPERLINK("http://www.ncbi.nlm.nih.gov/Structure/cdd/cddsrv.cgi?uid=cd05380&amp;version=v4.0","1E-037")</f>
        <v>1E-037</v>
      </c>
      <c r="AZ202" t="s">
        <v>2338</v>
      </c>
      <c r="BA202" s="2" t="str">
        <f>HYPERLINK("http://exon.niaid.nih.gov/transcriptome/Anopheles_sialome/links/KOG/anomer_Ag5r2-KOG.txt","Defense-related protein containing SCP domain")</f>
        <v>Defense-related protein containing SCP domain</v>
      </c>
      <c r="BB202" t="str">
        <f>HYPERLINK("http://www.ncbi.nlm.nih.gov/Structure/cdd/cddsrv.cgi?uid=KOG3017","3E-029")</f>
        <v>3E-029</v>
      </c>
      <c r="BC202" t="s">
        <v>2304</v>
      </c>
      <c r="BD202" t="str">
        <f>HYPERLINK("http://exon.niaid.nih.gov/transcriptome/Anopheles_sialome/links/KOG/anomer_Ag5r2-KOG.txt","KOG3017")</f>
        <v>KOG3017</v>
      </c>
      <c r="BE202" t="str">
        <f>HYPERLINK("http://exon.niaid.nih.gov/transcriptome/Anopheles_sialome/links/PFAM/anomer_Ag5r2-PFAM.txt","CAP")</f>
        <v>CAP</v>
      </c>
      <c r="BF202" t="str">
        <f>HYPERLINK("http://pfam.sanger.ac.uk/family?acc=PF00188","5E-012")</f>
        <v>5E-012</v>
      </c>
      <c r="BG202" s="2" t="str">
        <f>HYPERLINK("http://exon.niaid.nih.gov/transcriptome/Anopheles_sialome/links/SMART/anomer_Ag5r2-SMART.txt","SCP")</f>
        <v>SCP</v>
      </c>
      <c r="BH202" t="str">
        <f>HYPERLINK("http://smart.embl-heidelberg.de/smart/do_annotation.pl?DOMAIN=SCP&amp;BLAST=DUMMY","1E-023")</f>
        <v>1E-023</v>
      </c>
      <c r="BI202" t="s">
        <v>128</v>
      </c>
      <c r="BJ202" s="2" t="s">
        <v>128</v>
      </c>
      <c r="BK202" t="s">
        <v>772</v>
      </c>
      <c r="BL202">
        <f>HYPERLINK("http://exon.niaid.nih.gov/transcriptome/Anopheles_sialome/links/cluster-b/anopheline-sialome-cds-pep-larger-orf25-50SimCLU4.txt", 4)</f>
        <v>4</v>
      </c>
      <c r="BM202">
        <f>HYPERLINK("http://exon.niaid.nih.gov/transcriptome/Anopheles_sialome/links/cluster-b/anopheline-sialome-cds-pep-larger-orf25-50SimCLTL4.txt", 82)</f>
        <v>82</v>
      </c>
      <c r="BN202">
        <f>HYPERLINK("http://exon.niaid.nih.gov/transcriptome/Anopheles_sialome/links/cluster-b/anopheline-sialome-cds-pep-larger-orf30-50SimCLU4.txt", 4)</f>
        <v>4</v>
      </c>
      <c r="BO202">
        <f>HYPERLINK("http://exon.niaid.nih.gov/transcriptome/Anopheles_sialome/links/cluster-b/anopheline-sialome-cds-pep-larger-orf30-50SimCLTL4.txt", 82)</f>
        <v>82</v>
      </c>
      <c r="BP202">
        <f>HYPERLINK("http://exon.niaid.nih.gov/transcriptome/Anopheles_sialome/links/cluster-b/anopheline-sialome-cds-pep-larger-orf35-50SimCLU3.txt", 3)</f>
        <v>3</v>
      </c>
      <c r="BQ202">
        <f>HYPERLINK("http://exon.niaid.nih.gov/transcriptome/Anopheles_sialome/links/cluster-b/anopheline-sialome-cds-pep-larger-orf35-50SimCLTL3.txt", 82)</f>
        <v>82</v>
      </c>
      <c r="BR202">
        <f>HYPERLINK("http://exon.niaid.nih.gov/transcriptome/Anopheles_sialome/links/cluster-b/anopheline-sialome-cds-pep-larger-orf40-50SimCLU3.txt", 3)</f>
        <v>3</v>
      </c>
      <c r="BS202">
        <f>HYPERLINK("http://exon.niaid.nih.gov/transcriptome/Anopheles_sialome/links/cluster-b/anopheline-sialome-cds-pep-larger-orf40-50SimCLTL3.txt", 82)</f>
        <v>82</v>
      </c>
      <c r="BT202">
        <f>HYPERLINK("http://exon.niaid.nih.gov/transcriptome/Anopheles_sialome/links/cluster-b/anopheline-sialome-cds-pep-larger-orf45-50SimCLU2.txt", 2)</f>
        <v>2</v>
      </c>
      <c r="BU202">
        <f>HYPERLINK("http://exon.niaid.nih.gov/transcriptome/Anopheles_sialome/links/cluster-b/anopheline-sialome-cds-pep-larger-orf45-50SimCLTL2.txt", 82)</f>
        <v>82</v>
      </c>
      <c r="BV202">
        <f>HYPERLINK("http://exon.niaid.nih.gov/transcriptome/Anopheles_sialome/links/cluster-b/anopheline-sialome-cds-pep-larger-orf50-50SimCLU2.txt", 2)</f>
        <v>2</v>
      </c>
      <c r="BW202">
        <f>HYPERLINK("http://exon.niaid.nih.gov/transcriptome/Anopheles_sialome/links/cluster-b/anopheline-sialome-cds-pep-larger-orf50-50SimCLTL2.txt", 82)</f>
        <v>82</v>
      </c>
      <c r="BX202">
        <f>HYPERLINK("http://exon.niaid.nih.gov/transcriptome/Anopheles_sialome/links/cluster-b/anopheline-sialome-cds-pep-larger-orf55-50SimCLU2.txt", 2)</f>
        <v>2</v>
      </c>
      <c r="BY202">
        <f>HYPERLINK("http://exon.niaid.nih.gov/transcriptome/Anopheles_sialome/links/cluster-b/anopheline-sialome-cds-pep-larger-orf55-50SimCLTL2.txt", 55)</f>
        <v>55</v>
      </c>
      <c r="BZ202">
        <f>HYPERLINK("http://exon.niaid.nih.gov/transcriptome/Anopheles_sialome/links/cluster-b/anopheline-sialome-cds-pep-larger-orf60-50SimCLU2.txt", 2)</f>
        <v>2</v>
      </c>
      <c r="CA202">
        <f>HYPERLINK("http://exon.niaid.nih.gov/transcriptome/Anopheles_sialome/links/cluster-b/anopheline-sialome-cds-pep-larger-orf60-50SimCLTL2.txt", 54)</f>
        <v>54</v>
      </c>
      <c r="CB202">
        <f>HYPERLINK("http://exon.niaid.nih.gov/transcriptome/Anopheles_sialome/links/cluster-b/anopheline-sialome-cds-pep-larger-orf65-50SimCLU7.txt", 7)</f>
        <v>7</v>
      </c>
      <c r="CC202">
        <f>HYPERLINK("http://exon.niaid.nih.gov/transcriptome/Anopheles_sialome/links/cluster-b/anopheline-sialome-cds-pep-larger-orf65-50SimCLTL7.txt", 21)</f>
        <v>21</v>
      </c>
      <c r="CD202">
        <f>HYPERLINK("http://exon.niaid.nih.gov/transcriptome/Anopheles_sialome/links/cluster-b/anopheline-sialome-cds-pep-larger-orf70-50SimCLU8.txt", 8)</f>
        <v>8</v>
      </c>
      <c r="CE202">
        <f>HYPERLINK("http://exon.niaid.nih.gov/transcriptome/Anopheles_sialome/links/cluster-b/anopheline-sialome-cds-pep-larger-orf70-50SimCLTL8.txt", 19)</f>
        <v>19</v>
      </c>
      <c r="CF202">
        <f>HYPERLINK("http://exon.niaid.nih.gov/transcriptome/Anopheles_sialome/links/cluster-b/anopheline-sialome-cds-pep-larger-orf75-50SimCLU11.txt", 11)</f>
        <v>11</v>
      </c>
      <c r="CG202">
        <f>HYPERLINK("http://exon.niaid.nih.gov/transcriptome/Anopheles_sialome/links/cluster-b/anopheline-sialome-cds-pep-larger-orf75-50SimCLTL11.txt", 17)</f>
        <v>17</v>
      </c>
      <c r="CH202">
        <f>HYPERLINK("http://exon.niaid.nih.gov/transcriptome/Anopheles_sialome/links/cluster-b/anopheline-sialome-cds-pep-larger-orf80-50SimCLU8.txt", 8)</f>
        <v>8</v>
      </c>
      <c r="CI202">
        <f>HYPERLINK("http://exon.niaid.nih.gov/transcriptome/Anopheles_sialome/links/cluster-b/anopheline-sialome-cds-pep-larger-orf80-50SimCLTL8.txt", 17)</f>
        <v>17</v>
      </c>
      <c r="CJ202">
        <f>HYPERLINK("http://exon.niaid.nih.gov/transcriptome/Anopheles_sialome/links/cluster-b/anopheline-sialome-cds-pep-larger-orf85-50SimCLU45.txt", 45)</f>
        <v>45</v>
      </c>
      <c r="CK202">
        <f>HYPERLINK("http://exon.niaid.nih.gov/transcriptome/Anopheles_sialome/links/cluster-b/anopheline-sialome-cds-pep-larger-orf85-50SimCLTL45.txt", 5)</f>
        <v>5</v>
      </c>
      <c r="CL202">
        <f>HYPERLINK("http://exon.niaid.nih.gov/transcriptome/Anopheles_sialome/links/cluster-b/anopheline-sialome-cds-pep-larger-orf90-50SimCLU41.txt", 41)</f>
        <v>41</v>
      </c>
      <c r="CM202">
        <f>HYPERLINK("http://exon.niaid.nih.gov/transcriptome/Anopheles_sialome/links/cluster-b/anopheline-sialome-cds-pep-larger-orf90-50SimCLTL41.txt", 5)</f>
        <v>5</v>
      </c>
      <c r="CN202">
        <f>HYPERLINK("http://exon.niaid.nih.gov/transcriptome/Anopheles_sialome/links/cluster-b/anopheline-sialome-cds-pep-larger-orf95-50SimCLU46.txt", 46)</f>
        <v>46</v>
      </c>
      <c r="CO202">
        <f>HYPERLINK("http://exon.niaid.nih.gov/transcriptome/Anopheles_sialome/links/cluster-b/anopheline-sialome-cds-pep-larger-orf95-50SimCLTL46.txt", 4)</f>
        <v>4</v>
      </c>
    </row>
    <row r="203" spans="1:93">
      <c r="A203" s="2" t="str">
        <f>HYPERLINK("http://exon.niaid.nih.gov/transcriptome/Anopheles_sialome/links/cds/anoepi_Ag5r2-cds.txt","anoepi_Ag5r2")</f>
        <v>anoepi_Ag5r2</v>
      </c>
      <c r="B203">
        <v>774</v>
      </c>
      <c r="C203" t="s">
        <v>61</v>
      </c>
      <c r="D203" t="s">
        <v>4</v>
      </c>
      <c r="E203" t="s">
        <v>5</v>
      </c>
      <c r="F203" t="s">
        <v>1</v>
      </c>
      <c r="G203" t="str">
        <f>HYPERLINK("http://exon.niaid.nih.gov/transcriptome/Anopheles_sialome/links/pep/anoepi_Ag5r2-pep.txt","anoepi_Ag5r2")</f>
        <v>anoepi_Ag5r2</v>
      </c>
      <c r="H203">
        <v>257</v>
      </c>
      <c r="I203">
        <v>0</v>
      </c>
      <c r="J203" s="3" t="str">
        <f>HYPERLINK("http://exon.niaid.nih.gov/transcriptome/Anopheles_sialome/links/Sigp/anoepi_Ag5r2-SigP.txt","SIG")</f>
        <v>SIG</v>
      </c>
      <c r="K203" t="s">
        <v>652</v>
      </c>
      <c r="L203">
        <v>28.314</v>
      </c>
      <c r="M203">
        <v>8.89</v>
      </c>
      <c r="N203">
        <v>26.26</v>
      </c>
      <c r="O203">
        <v>8.9499999999999993</v>
      </c>
      <c r="P203" t="s">
        <v>775</v>
      </c>
      <c r="Q203" s="3">
        <v>0</v>
      </c>
      <c r="R203" t="s">
        <v>128</v>
      </c>
      <c r="S203" t="s">
        <v>128</v>
      </c>
      <c r="T203" t="s">
        <v>128</v>
      </c>
      <c r="U203" t="s">
        <v>128</v>
      </c>
      <c r="V203" t="s">
        <v>128</v>
      </c>
      <c r="W203" s="3" t="str">
        <f>HYPERLINK("http://exon.niaid.nih.gov/transcriptome/Anopheles_sialome/links/netoglyc/anoepi_Ag5r2-netoglyc.txt","0")</f>
        <v>0</v>
      </c>
      <c r="X203">
        <v>16.7</v>
      </c>
      <c r="Y203">
        <v>7.8</v>
      </c>
      <c r="Z203">
        <v>5.8</v>
      </c>
      <c r="AA203" t="s">
        <v>654</v>
      </c>
      <c r="AB203" t="s">
        <v>128</v>
      </c>
      <c r="AC203" s="2" t="str">
        <f>HYPERLINK("http://exon.niaid.nih.gov/transcriptome/Anopheles_sialome/links/DIPTERA/anoepi_Ag5r2-DIPTERA.txt","AGAP006443-PA")</f>
        <v>AGAP006443-PA</v>
      </c>
      <c r="AD203" t="str">
        <f>HYPERLINK("http://www.ncbi.nlm.nih.gov/sutils/blink.cgi?pid=157016229","1E-108")</f>
        <v>1E-108</v>
      </c>
      <c r="AE203" t="str">
        <f>HYPERLINK("http://www.ncbi.nlm.nih.gov/protein/157016229","gi|157016229")</f>
        <v>gi|157016229</v>
      </c>
      <c r="AF203">
        <v>70</v>
      </c>
      <c r="AG203">
        <v>82</v>
      </c>
      <c r="AH203">
        <v>98</v>
      </c>
      <c r="AI203" t="s">
        <v>2285</v>
      </c>
      <c r="AJ203" s="2" t="str">
        <f>HYPERLINK("http://exon.niaid.nih.gov/transcriptome/Anopheles_sialome/links/CULICOMORPHA/anoepi_Ag5r2-CULICOMORPHA.txt","AGAP006443-PA")</f>
        <v>AGAP006443-PA</v>
      </c>
      <c r="AK203" t="str">
        <f>HYPERLINK("http://www.ncbi.nlm.nih.gov/sutils/blink.cgi?pid=157016229","1E-109")</f>
        <v>1E-109</v>
      </c>
      <c r="AL203" t="str">
        <f>HYPERLINK("http://www.ncbi.nlm.nih.gov/protein/157016229","gi|157016229")</f>
        <v>gi|157016229</v>
      </c>
      <c r="AM203">
        <v>70</v>
      </c>
      <c r="AN203">
        <v>82</v>
      </c>
      <c r="AO203">
        <v>98</v>
      </c>
      <c r="AP203" t="s">
        <v>2285</v>
      </c>
      <c r="AQ203" s="2" t="str">
        <f>HYPERLINK("http://exon.niaid.nih.gov/transcriptome/Anopheles_sialome/links/NR-LIGHT/anoepi_Ag5r2-NR-LIGHT.txt","AGAP006443-PA")</f>
        <v>AGAP006443-PA</v>
      </c>
      <c r="AR203" t="str">
        <f>HYPERLINK("http://www.ncbi.nlm.nih.gov/sutils/blink.cgi?pid=158295848","1E-108")</f>
        <v>1E-108</v>
      </c>
      <c r="AS203" t="str">
        <f>HYPERLINK("http://www.ncbi.nlm.nih.gov/protein/158295848","gi|158295848")</f>
        <v>gi|158295848</v>
      </c>
      <c r="AT203">
        <v>70</v>
      </c>
      <c r="AU203">
        <v>82</v>
      </c>
      <c r="AV203">
        <v>98</v>
      </c>
      <c r="AW203" t="s">
        <v>2285</v>
      </c>
      <c r="AX203" s="2" t="str">
        <f>HYPERLINK("http://exon.niaid.nih.gov/transcriptome/Anopheles_sialome/links/CDD/anoepi_Ag5r2-CDD.txt","SCP_euk")</f>
        <v>SCP_euk</v>
      </c>
      <c r="AY203" t="str">
        <f>HYPERLINK("http://www.ncbi.nlm.nih.gov/Structure/cdd/cddsrv.cgi?uid=cd05380&amp;version=v4.0","3E-039")</f>
        <v>3E-039</v>
      </c>
      <c r="AZ203" t="s">
        <v>2339</v>
      </c>
      <c r="BA203" s="2" t="str">
        <f>HYPERLINK("http://exon.niaid.nih.gov/transcriptome/Anopheles_sialome/links/KOG/anoepi_Ag5r2-KOG.txt","Defense-related protein containing SCP domain")</f>
        <v>Defense-related protein containing SCP domain</v>
      </c>
      <c r="BB203" t="str">
        <f>HYPERLINK("http://www.ncbi.nlm.nih.gov/Structure/cdd/cddsrv.cgi?uid=KOG3017","3E-033")</f>
        <v>3E-033</v>
      </c>
      <c r="BC203" t="s">
        <v>2304</v>
      </c>
      <c r="BD203" t="str">
        <f>HYPERLINK("http://exon.niaid.nih.gov/transcriptome/Anopheles_sialome/links/KOG/anoepi_Ag5r2-KOG.txt","KOG3017")</f>
        <v>KOG3017</v>
      </c>
      <c r="BE203" t="str">
        <f>HYPERLINK("http://exon.niaid.nih.gov/transcriptome/Anopheles_sialome/links/PFAM/anoepi_Ag5r2-PFAM.txt","CAP")</f>
        <v>CAP</v>
      </c>
      <c r="BF203" t="str">
        <f>HYPERLINK("http://pfam.sanger.ac.uk/family?acc=PF00188","4E-013")</f>
        <v>4E-013</v>
      </c>
      <c r="BG203" s="2" t="str">
        <f>HYPERLINK("http://exon.niaid.nih.gov/transcriptome/Anopheles_sialome/links/SMART/anoepi_Ag5r2-SMART.txt","SCP")</f>
        <v>SCP</v>
      </c>
      <c r="BH203" t="str">
        <f>HYPERLINK("http://smart.embl-heidelberg.de/smart/do_annotation.pl?DOMAIN=SCP&amp;BLAST=DUMMY","3E-030")</f>
        <v>3E-030</v>
      </c>
      <c r="BI203" t="s">
        <v>128</v>
      </c>
      <c r="BJ203" s="2" t="s">
        <v>128</v>
      </c>
      <c r="BK203" t="s">
        <v>774</v>
      </c>
      <c r="BL203">
        <f>HYPERLINK("http://exon.niaid.nih.gov/transcriptome/Anopheles_sialome/links/cluster-b/anopheline-sialome-cds-pep-larger-orf25-50SimCLU4.txt", 4)</f>
        <v>4</v>
      </c>
      <c r="BM203">
        <f>HYPERLINK("http://exon.niaid.nih.gov/transcriptome/Anopheles_sialome/links/cluster-b/anopheline-sialome-cds-pep-larger-orf25-50SimCLTL4.txt", 82)</f>
        <v>82</v>
      </c>
      <c r="BN203">
        <f>HYPERLINK("http://exon.niaid.nih.gov/transcriptome/Anopheles_sialome/links/cluster-b/anopheline-sialome-cds-pep-larger-orf30-50SimCLU4.txt", 4)</f>
        <v>4</v>
      </c>
      <c r="BO203">
        <f>HYPERLINK("http://exon.niaid.nih.gov/transcriptome/Anopheles_sialome/links/cluster-b/anopheline-sialome-cds-pep-larger-orf30-50SimCLTL4.txt", 82)</f>
        <v>82</v>
      </c>
      <c r="BP203">
        <f>HYPERLINK("http://exon.niaid.nih.gov/transcriptome/Anopheles_sialome/links/cluster-b/anopheline-sialome-cds-pep-larger-orf35-50SimCLU3.txt", 3)</f>
        <v>3</v>
      </c>
      <c r="BQ203">
        <f>HYPERLINK("http://exon.niaid.nih.gov/transcriptome/Anopheles_sialome/links/cluster-b/anopheline-sialome-cds-pep-larger-orf35-50SimCLTL3.txt", 82)</f>
        <v>82</v>
      </c>
      <c r="BR203">
        <f>HYPERLINK("http://exon.niaid.nih.gov/transcriptome/Anopheles_sialome/links/cluster-b/anopheline-sialome-cds-pep-larger-orf40-50SimCLU3.txt", 3)</f>
        <v>3</v>
      </c>
      <c r="BS203">
        <f>HYPERLINK("http://exon.niaid.nih.gov/transcriptome/Anopheles_sialome/links/cluster-b/anopheline-sialome-cds-pep-larger-orf40-50SimCLTL3.txt", 82)</f>
        <v>82</v>
      </c>
      <c r="BT203">
        <f>HYPERLINK("http://exon.niaid.nih.gov/transcriptome/Anopheles_sialome/links/cluster-b/anopheline-sialome-cds-pep-larger-orf45-50SimCLU2.txt", 2)</f>
        <v>2</v>
      </c>
      <c r="BU203">
        <f>HYPERLINK("http://exon.niaid.nih.gov/transcriptome/Anopheles_sialome/links/cluster-b/anopheline-sialome-cds-pep-larger-orf45-50SimCLTL2.txt", 82)</f>
        <v>82</v>
      </c>
      <c r="BV203">
        <f>HYPERLINK("http://exon.niaid.nih.gov/transcriptome/Anopheles_sialome/links/cluster-b/anopheline-sialome-cds-pep-larger-orf50-50SimCLU2.txt", 2)</f>
        <v>2</v>
      </c>
      <c r="BW203">
        <f>HYPERLINK("http://exon.niaid.nih.gov/transcriptome/Anopheles_sialome/links/cluster-b/anopheline-sialome-cds-pep-larger-orf50-50SimCLTL2.txt", 82)</f>
        <v>82</v>
      </c>
      <c r="BX203">
        <f>HYPERLINK("http://exon.niaid.nih.gov/transcriptome/Anopheles_sialome/links/cluster-b/anopheline-sialome-cds-pep-larger-orf55-50SimCLU2.txt", 2)</f>
        <v>2</v>
      </c>
      <c r="BY203">
        <f>HYPERLINK("http://exon.niaid.nih.gov/transcriptome/Anopheles_sialome/links/cluster-b/anopheline-sialome-cds-pep-larger-orf55-50SimCLTL2.txt", 55)</f>
        <v>55</v>
      </c>
      <c r="BZ203">
        <f>HYPERLINK("http://exon.niaid.nih.gov/transcriptome/Anopheles_sialome/links/cluster-b/anopheline-sialome-cds-pep-larger-orf60-50SimCLU2.txt", 2)</f>
        <v>2</v>
      </c>
      <c r="CA203">
        <f>HYPERLINK("http://exon.niaid.nih.gov/transcriptome/Anopheles_sialome/links/cluster-b/anopheline-sialome-cds-pep-larger-orf60-50SimCLTL2.txt", 54)</f>
        <v>54</v>
      </c>
      <c r="CB203">
        <f>HYPERLINK("http://exon.niaid.nih.gov/transcriptome/Anopheles_sialome/links/cluster-b/anopheline-sialome-cds-pep-larger-orf65-50SimCLU7.txt", 7)</f>
        <v>7</v>
      </c>
      <c r="CC203">
        <f>HYPERLINK("http://exon.niaid.nih.gov/transcriptome/Anopheles_sialome/links/cluster-b/anopheline-sialome-cds-pep-larger-orf65-50SimCLTL7.txt", 21)</f>
        <v>21</v>
      </c>
      <c r="CD203">
        <f>HYPERLINK("http://exon.niaid.nih.gov/transcriptome/Anopheles_sialome/links/cluster-b/anopheline-sialome-cds-pep-larger-orf70-50SimCLU8.txt", 8)</f>
        <v>8</v>
      </c>
      <c r="CE203">
        <f>HYPERLINK("http://exon.niaid.nih.gov/transcriptome/Anopheles_sialome/links/cluster-b/anopheline-sialome-cds-pep-larger-orf70-50SimCLTL8.txt", 19)</f>
        <v>19</v>
      </c>
      <c r="CF203">
        <f>HYPERLINK("http://exon.niaid.nih.gov/transcriptome/Anopheles_sialome/links/cluster-b/anopheline-sialome-cds-pep-larger-orf75-50SimCLU11.txt", 11)</f>
        <v>11</v>
      </c>
      <c r="CG203">
        <f>HYPERLINK("http://exon.niaid.nih.gov/transcriptome/Anopheles_sialome/links/cluster-b/anopheline-sialome-cds-pep-larger-orf75-50SimCLTL11.txt", 17)</f>
        <v>17</v>
      </c>
      <c r="CH203">
        <f>HYPERLINK("http://exon.niaid.nih.gov/transcriptome/Anopheles_sialome/links/cluster-b/anopheline-sialome-cds-pep-larger-orf80-50SimCLU8.txt", 8)</f>
        <v>8</v>
      </c>
      <c r="CI203">
        <f>HYPERLINK("http://exon.niaid.nih.gov/transcriptome/Anopheles_sialome/links/cluster-b/anopheline-sialome-cds-pep-larger-orf80-50SimCLTL8.txt", 17)</f>
        <v>17</v>
      </c>
      <c r="CJ203">
        <v>118</v>
      </c>
      <c r="CK203">
        <v>1</v>
      </c>
      <c r="CL203">
        <v>120</v>
      </c>
      <c r="CM203">
        <v>1</v>
      </c>
      <c r="CN203">
        <v>101</v>
      </c>
      <c r="CO203">
        <v>1</v>
      </c>
    </row>
    <row r="204" spans="1:93">
      <c r="A204" s="2" t="str">
        <f>HYPERLINK("http://exon.niaid.nih.gov/transcriptome/Anopheles_sialome/links/cds/anomin_Ag5r2-cds.txt","anomin_Ag5r2")</f>
        <v>anomin_Ag5r2</v>
      </c>
      <c r="B204">
        <v>780</v>
      </c>
      <c r="C204" t="s">
        <v>49</v>
      </c>
      <c r="D204" t="s">
        <v>7</v>
      </c>
      <c r="E204" t="s">
        <v>5</v>
      </c>
      <c r="F204" t="s">
        <v>1</v>
      </c>
      <c r="G204" t="str">
        <f>HYPERLINK("http://exon.niaid.nih.gov/transcriptome/Anopheles_sialome/links/pep/anomin_Ag5r2-pep.txt","anomin_Ag5r2")</f>
        <v>anomin_Ag5r2</v>
      </c>
      <c r="H204">
        <v>259</v>
      </c>
      <c r="I204">
        <v>0</v>
      </c>
      <c r="J204" s="3" t="str">
        <f>HYPERLINK("http://exon.niaid.nih.gov/transcriptome/Anopheles_sialome/links/Sigp/anomin_Ag5r2-SigP.txt","SIG")</f>
        <v>SIG</v>
      </c>
      <c r="K204" t="s">
        <v>652</v>
      </c>
      <c r="L204">
        <v>28.11</v>
      </c>
      <c r="M204">
        <v>8.94</v>
      </c>
      <c r="N204">
        <v>26.088999999999999</v>
      </c>
      <c r="O204">
        <v>9.0399999999999991</v>
      </c>
      <c r="P204" t="s">
        <v>777</v>
      </c>
      <c r="Q204" s="3">
        <v>0</v>
      </c>
      <c r="R204" t="s">
        <v>128</v>
      </c>
      <c r="S204" t="s">
        <v>128</v>
      </c>
      <c r="T204" t="s">
        <v>128</v>
      </c>
      <c r="U204" t="s">
        <v>128</v>
      </c>
      <c r="V204" t="s">
        <v>128</v>
      </c>
      <c r="W204" s="3" t="str">
        <f>HYPERLINK("http://exon.niaid.nih.gov/transcriptome/Anopheles_sialome/links/netoglyc/anomin_Ag5r2-netoglyc.txt","0")</f>
        <v>0</v>
      </c>
      <c r="X204">
        <v>17.399999999999999</v>
      </c>
      <c r="Y204">
        <v>8.5</v>
      </c>
      <c r="Z204">
        <v>5</v>
      </c>
      <c r="AA204" t="s">
        <v>654</v>
      </c>
      <c r="AB204" t="s">
        <v>128</v>
      </c>
      <c r="AC204" s="2" t="str">
        <f>HYPERLINK("http://exon.niaid.nih.gov/transcriptome/Anopheles_sialome/links/DIPTERA/anomin_Ag5r2-DIPTERA.txt","AGAP006419-PA")</f>
        <v>AGAP006419-PA</v>
      </c>
      <c r="AD204" t="str">
        <f>HYPERLINK("http://www.ncbi.nlm.nih.gov/sutils/blink.cgi?pid=116127082","1E-108")</f>
        <v>1E-108</v>
      </c>
      <c r="AE204" t="str">
        <f>HYPERLINK("http://www.ncbi.nlm.nih.gov/protein/116127082","gi|116127082")</f>
        <v>gi|116127082</v>
      </c>
      <c r="AF204">
        <v>70</v>
      </c>
      <c r="AG204">
        <v>79</v>
      </c>
      <c r="AH204">
        <v>101</v>
      </c>
      <c r="AI204" t="s">
        <v>2285</v>
      </c>
      <c r="AJ204" s="2" t="str">
        <f>HYPERLINK("http://exon.niaid.nih.gov/transcriptome/Anopheles_sialome/links/CULICOMORPHA/anomin_Ag5r2-CULICOMORPHA.txt","AGAP006419-PA")</f>
        <v>AGAP006419-PA</v>
      </c>
      <c r="AK204" t="str">
        <f>HYPERLINK("http://www.ncbi.nlm.nih.gov/sutils/blink.cgi?pid=116127082","1E-109")</f>
        <v>1E-109</v>
      </c>
      <c r="AL204" t="str">
        <f>HYPERLINK("http://www.ncbi.nlm.nih.gov/protein/116127082","gi|116127082")</f>
        <v>gi|116127082</v>
      </c>
      <c r="AM204">
        <v>70</v>
      </c>
      <c r="AN204">
        <v>79</v>
      </c>
      <c r="AO204">
        <v>101</v>
      </c>
      <c r="AP204" t="s">
        <v>2285</v>
      </c>
      <c r="AQ204" s="2" t="str">
        <f>HYPERLINK("http://exon.niaid.nih.gov/transcriptome/Anopheles_sialome/links/NR-LIGHT/anomin_Ag5r2-NR-LIGHT.txt","AGAP006419-PA")</f>
        <v>AGAP006419-PA</v>
      </c>
      <c r="AR204" t="str">
        <f>HYPERLINK("http://www.ncbi.nlm.nih.gov/sutils/blink.cgi?pid=118788030","1E-107")</f>
        <v>1E-107</v>
      </c>
      <c r="AS204" t="str">
        <f>HYPERLINK("http://www.ncbi.nlm.nih.gov/protein/118788030","gi|118788030")</f>
        <v>gi|118788030</v>
      </c>
      <c r="AT204">
        <v>70</v>
      </c>
      <c r="AU204">
        <v>79</v>
      </c>
      <c r="AV204">
        <v>101</v>
      </c>
      <c r="AW204" t="s">
        <v>2285</v>
      </c>
      <c r="AX204" s="2" t="str">
        <f>HYPERLINK("http://exon.niaid.nih.gov/transcriptome/Anopheles_sialome/links/CDD/anomin_Ag5r2-CDD.txt","SCP_euk")</f>
        <v>SCP_euk</v>
      </c>
      <c r="AY204" t="str">
        <f>HYPERLINK("http://www.ncbi.nlm.nih.gov/Structure/cdd/cddsrv.cgi?uid=cd05380&amp;version=v4.0","9E-039")</f>
        <v>9E-039</v>
      </c>
      <c r="AZ204" t="s">
        <v>2340</v>
      </c>
      <c r="BA204" s="2" t="str">
        <f>HYPERLINK("http://exon.niaid.nih.gov/transcriptome/Anopheles_sialome/links/KOG/anomin_Ag5r2-KOG.txt","Defense-related protein containing SCP domain")</f>
        <v>Defense-related protein containing SCP domain</v>
      </c>
      <c r="BB204" t="str">
        <f>HYPERLINK("http://www.ncbi.nlm.nih.gov/Structure/cdd/cddsrv.cgi?uid=KOG3017","4E-027")</f>
        <v>4E-027</v>
      </c>
      <c r="BC204" t="s">
        <v>2304</v>
      </c>
      <c r="BD204" t="str">
        <f>HYPERLINK("http://exon.niaid.nih.gov/transcriptome/Anopheles_sialome/links/KOG/anomin_Ag5r2-KOG.txt","KOG3017")</f>
        <v>KOG3017</v>
      </c>
      <c r="BE204" t="str">
        <f>HYPERLINK("http://exon.niaid.nih.gov/transcriptome/Anopheles_sialome/links/PFAM/anomin_Ag5r2-PFAM.txt","CAP")</f>
        <v>CAP</v>
      </c>
      <c r="BF204" t="str">
        <f>HYPERLINK("http://pfam.sanger.ac.uk/family?acc=PF00188","6E-011")</f>
        <v>6E-011</v>
      </c>
      <c r="BG204" s="2" t="str">
        <f>HYPERLINK("http://exon.niaid.nih.gov/transcriptome/Anopheles_sialome/links/SMART/anomin_Ag5r2-SMART.txt","SCP")</f>
        <v>SCP</v>
      </c>
      <c r="BH204" t="str">
        <f>HYPERLINK("http://smart.embl-heidelberg.de/smart/do_annotation.pl?DOMAIN=SCP&amp;BLAST=DUMMY","4E-026")</f>
        <v>4E-026</v>
      </c>
      <c r="BI204" t="s">
        <v>128</v>
      </c>
      <c r="BJ204" s="2" t="s">
        <v>128</v>
      </c>
      <c r="BK204" t="s">
        <v>776</v>
      </c>
      <c r="BL204">
        <f>HYPERLINK("http://exon.niaid.nih.gov/transcriptome/Anopheles_sialome/links/cluster-b/anopheline-sialome-cds-pep-larger-orf25-50SimCLU4.txt", 4)</f>
        <v>4</v>
      </c>
      <c r="BM204">
        <f>HYPERLINK("http://exon.niaid.nih.gov/transcriptome/Anopheles_sialome/links/cluster-b/anopheline-sialome-cds-pep-larger-orf25-50SimCLTL4.txt", 82)</f>
        <v>82</v>
      </c>
      <c r="BN204">
        <f>HYPERLINK("http://exon.niaid.nih.gov/transcriptome/Anopheles_sialome/links/cluster-b/anopheline-sialome-cds-pep-larger-orf30-50SimCLU4.txt", 4)</f>
        <v>4</v>
      </c>
      <c r="BO204">
        <f>HYPERLINK("http://exon.niaid.nih.gov/transcriptome/Anopheles_sialome/links/cluster-b/anopheline-sialome-cds-pep-larger-orf30-50SimCLTL4.txt", 82)</f>
        <v>82</v>
      </c>
      <c r="BP204">
        <f>HYPERLINK("http://exon.niaid.nih.gov/transcriptome/Anopheles_sialome/links/cluster-b/anopheline-sialome-cds-pep-larger-orf35-50SimCLU3.txt", 3)</f>
        <v>3</v>
      </c>
      <c r="BQ204">
        <f>HYPERLINK("http://exon.niaid.nih.gov/transcriptome/Anopheles_sialome/links/cluster-b/anopheline-sialome-cds-pep-larger-orf35-50SimCLTL3.txt", 82)</f>
        <v>82</v>
      </c>
      <c r="BR204">
        <f>HYPERLINK("http://exon.niaid.nih.gov/transcriptome/Anopheles_sialome/links/cluster-b/anopheline-sialome-cds-pep-larger-orf40-50SimCLU3.txt", 3)</f>
        <v>3</v>
      </c>
      <c r="BS204">
        <f>HYPERLINK("http://exon.niaid.nih.gov/transcriptome/Anopheles_sialome/links/cluster-b/anopheline-sialome-cds-pep-larger-orf40-50SimCLTL3.txt", 82)</f>
        <v>82</v>
      </c>
      <c r="BT204">
        <f>HYPERLINK("http://exon.niaid.nih.gov/transcriptome/Anopheles_sialome/links/cluster-b/anopheline-sialome-cds-pep-larger-orf45-50SimCLU2.txt", 2)</f>
        <v>2</v>
      </c>
      <c r="BU204">
        <f>HYPERLINK("http://exon.niaid.nih.gov/transcriptome/Anopheles_sialome/links/cluster-b/anopheline-sialome-cds-pep-larger-orf45-50SimCLTL2.txt", 82)</f>
        <v>82</v>
      </c>
      <c r="BV204">
        <f>HYPERLINK("http://exon.niaid.nih.gov/transcriptome/Anopheles_sialome/links/cluster-b/anopheline-sialome-cds-pep-larger-orf50-50SimCLU2.txt", 2)</f>
        <v>2</v>
      </c>
      <c r="BW204">
        <f>HYPERLINK("http://exon.niaid.nih.gov/transcriptome/Anopheles_sialome/links/cluster-b/anopheline-sialome-cds-pep-larger-orf50-50SimCLTL2.txt", 82)</f>
        <v>82</v>
      </c>
      <c r="BX204">
        <f>HYPERLINK("http://exon.niaid.nih.gov/transcriptome/Anopheles_sialome/links/cluster-b/anopheline-sialome-cds-pep-larger-orf55-50SimCLU2.txt", 2)</f>
        <v>2</v>
      </c>
      <c r="BY204">
        <f>HYPERLINK("http://exon.niaid.nih.gov/transcriptome/Anopheles_sialome/links/cluster-b/anopheline-sialome-cds-pep-larger-orf55-50SimCLTL2.txt", 55)</f>
        <v>55</v>
      </c>
      <c r="BZ204">
        <f>HYPERLINK("http://exon.niaid.nih.gov/transcriptome/Anopheles_sialome/links/cluster-b/anopheline-sialome-cds-pep-larger-orf60-50SimCLU2.txt", 2)</f>
        <v>2</v>
      </c>
      <c r="CA204">
        <f>HYPERLINK("http://exon.niaid.nih.gov/transcriptome/Anopheles_sialome/links/cluster-b/anopheline-sialome-cds-pep-larger-orf60-50SimCLTL2.txt", 54)</f>
        <v>54</v>
      </c>
      <c r="CB204">
        <f>HYPERLINK("http://exon.niaid.nih.gov/transcriptome/Anopheles_sialome/links/cluster-b/anopheline-sialome-cds-pep-larger-orf65-50SimCLU7.txt", 7)</f>
        <v>7</v>
      </c>
      <c r="CC204">
        <f>HYPERLINK("http://exon.niaid.nih.gov/transcriptome/Anopheles_sialome/links/cluster-b/anopheline-sialome-cds-pep-larger-orf65-50SimCLTL7.txt", 21)</f>
        <v>21</v>
      </c>
      <c r="CD204">
        <f>HYPERLINK("http://exon.niaid.nih.gov/transcriptome/Anopheles_sialome/links/cluster-b/anopheline-sialome-cds-pep-larger-orf70-50SimCLU8.txt", 8)</f>
        <v>8</v>
      </c>
      <c r="CE204">
        <f>HYPERLINK("http://exon.niaid.nih.gov/transcriptome/Anopheles_sialome/links/cluster-b/anopheline-sialome-cds-pep-larger-orf70-50SimCLTL8.txt", 19)</f>
        <v>19</v>
      </c>
      <c r="CF204">
        <f>HYPERLINK("http://exon.niaid.nih.gov/transcriptome/Anopheles_sialome/links/cluster-b/anopheline-sialome-cds-pep-larger-orf75-50SimCLU11.txt", 11)</f>
        <v>11</v>
      </c>
      <c r="CG204">
        <f>HYPERLINK("http://exon.niaid.nih.gov/transcriptome/Anopheles_sialome/links/cluster-b/anopheline-sialome-cds-pep-larger-orf75-50SimCLTL11.txt", 17)</f>
        <v>17</v>
      </c>
      <c r="CH204">
        <f>HYPERLINK("http://exon.niaid.nih.gov/transcriptome/Anopheles_sialome/links/cluster-b/anopheline-sialome-cds-pep-larger-orf80-50SimCLU8.txt", 8)</f>
        <v>8</v>
      </c>
      <c r="CI204">
        <f>HYPERLINK("http://exon.niaid.nih.gov/transcriptome/Anopheles_sialome/links/cluster-b/anopheline-sialome-cds-pep-larger-orf80-50SimCLTL8.txt", 17)</f>
        <v>17</v>
      </c>
      <c r="CJ204">
        <f>HYPERLINK("http://exon.niaid.nih.gov/transcriptome/Anopheles_sialome/links/cluster-b/anopheline-sialome-cds-pep-larger-orf85-50SimCLU61.txt", 61)</f>
        <v>61</v>
      </c>
      <c r="CK204">
        <f>HYPERLINK("http://exon.niaid.nih.gov/transcriptome/Anopheles_sialome/links/cluster-b/anopheline-sialome-cds-pep-larger-orf85-50SimCLTL61.txt", 2)</f>
        <v>2</v>
      </c>
      <c r="CL204">
        <v>121</v>
      </c>
      <c r="CM204">
        <v>1</v>
      </c>
      <c r="CN204">
        <v>102</v>
      </c>
      <c r="CO204">
        <v>1</v>
      </c>
    </row>
    <row r="205" spans="1:93">
      <c r="A205" s="2" t="str">
        <f>HYPERLINK("http://exon.niaid.nih.gov/transcriptome/Anopheles_sialome/links/cds/anoste_Ag5r2-cds.txt","anoste_Ag5r2")</f>
        <v>anoste_Ag5r2</v>
      </c>
      <c r="B205">
        <v>780</v>
      </c>
      <c r="C205" t="s">
        <v>51</v>
      </c>
      <c r="D205" t="s">
        <v>7</v>
      </c>
      <c r="E205" t="s">
        <v>5</v>
      </c>
      <c r="F205" t="s">
        <v>1</v>
      </c>
      <c r="G205" t="str">
        <f>HYPERLINK("http://exon.niaid.nih.gov/transcriptome/Anopheles_sialome/links/pep/anoste_Ag5r2-pep.txt","anoste_Ag5r2")</f>
        <v>anoste_Ag5r2</v>
      </c>
      <c r="H205">
        <v>259</v>
      </c>
      <c r="I205">
        <v>1</v>
      </c>
      <c r="J205" s="3" t="str">
        <f>HYPERLINK("http://exon.niaid.nih.gov/transcriptome/Anopheles_sialome/links/Sigp/anoste_Ag5r2-SigP.txt","SIG")</f>
        <v>SIG</v>
      </c>
      <c r="K205" t="s">
        <v>652</v>
      </c>
      <c r="L205">
        <v>28.172999999999998</v>
      </c>
      <c r="M205">
        <v>9.27</v>
      </c>
      <c r="N205">
        <v>26.262</v>
      </c>
      <c r="O205">
        <v>9.33</v>
      </c>
      <c r="P205" t="s">
        <v>779</v>
      </c>
      <c r="Q205" s="3">
        <v>0</v>
      </c>
      <c r="R205" t="s">
        <v>128</v>
      </c>
      <c r="S205" t="s">
        <v>128</v>
      </c>
      <c r="T205" t="s">
        <v>128</v>
      </c>
      <c r="U205" t="s">
        <v>128</v>
      </c>
      <c r="V205" t="s">
        <v>128</v>
      </c>
      <c r="W205" s="3" t="str">
        <f>HYPERLINK("http://exon.niaid.nih.gov/transcriptome/Anopheles_sialome/links/netoglyc/anoste_Ag5r2-netoglyc.txt","1")</f>
        <v>1</v>
      </c>
      <c r="X205">
        <v>16.2</v>
      </c>
      <c r="Y205">
        <v>8.5</v>
      </c>
      <c r="Z205">
        <v>6.6</v>
      </c>
      <c r="AA205" t="s">
        <v>654</v>
      </c>
      <c r="AB205" t="s">
        <v>128</v>
      </c>
      <c r="AC205" s="2" t="str">
        <f>HYPERLINK("http://exon.niaid.nih.gov/transcriptome/Anopheles_sialome/links/DIPTERA/anoste_Ag5r2-DIPTERA.txt","antigen 5-related 2 protein")</f>
        <v>antigen 5-related 2 protein</v>
      </c>
      <c r="AD205" t="str">
        <f>HYPERLINK("http://www.ncbi.nlm.nih.gov/sutils/blink.cgi?pid=18389885","6E-099")</f>
        <v>6E-099</v>
      </c>
      <c r="AE205" t="str">
        <f>HYPERLINK("http://www.ncbi.nlm.nih.gov/protein/18389885","gi|18389885")</f>
        <v>gi|18389885</v>
      </c>
      <c r="AF205">
        <v>64</v>
      </c>
      <c r="AG205">
        <v>75</v>
      </c>
      <c r="AH205">
        <v>101</v>
      </c>
      <c r="AI205" t="s">
        <v>2254</v>
      </c>
      <c r="AJ205" s="2" t="str">
        <f>HYPERLINK("http://exon.niaid.nih.gov/transcriptome/Anopheles_sialome/links/CULICOMORPHA/anoste_Ag5r2-CULICOMORPHA.txt","antigen 5-related 2 protein")</f>
        <v>antigen 5-related 2 protein</v>
      </c>
      <c r="AK205" t="str">
        <f>HYPERLINK("http://www.ncbi.nlm.nih.gov/sutils/blink.cgi?pid=18389885","1E-099")</f>
        <v>1E-099</v>
      </c>
      <c r="AL205" t="str">
        <f>HYPERLINK("http://www.ncbi.nlm.nih.gov/protein/18389885","gi|18389885")</f>
        <v>gi|18389885</v>
      </c>
      <c r="AM205">
        <v>64</v>
      </c>
      <c r="AN205">
        <v>75</v>
      </c>
      <c r="AO205">
        <v>101</v>
      </c>
      <c r="AP205" t="s">
        <v>2254</v>
      </c>
      <c r="AQ205" s="2" t="str">
        <f>HYPERLINK("http://exon.niaid.nih.gov/transcriptome/Anopheles_sialome/links/NR-LIGHT/anoste_Ag5r2-NR-LIGHT.txt","antigen 5-related 2 protein")</f>
        <v>antigen 5-related 2 protein</v>
      </c>
      <c r="AR205" t="str">
        <f>HYPERLINK("http://www.ncbi.nlm.nih.gov/sutils/blink.cgi?pid=18389885","2E-098")</f>
        <v>2E-098</v>
      </c>
      <c r="AS205" t="str">
        <f>HYPERLINK("http://www.ncbi.nlm.nih.gov/protein/18389885","gi|18389885")</f>
        <v>gi|18389885</v>
      </c>
      <c r="AT205">
        <v>64</v>
      </c>
      <c r="AU205">
        <v>75</v>
      </c>
      <c r="AV205">
        <v>101</v>
      </c>
      <c r="AW205" t="s">
        <v>2254</v>
      </c>
      <c r="AX205" s="2" t="str">
        <f>HYPERLINK("http://exon.niaid.nih.gov/transcriptome/Anopheles_sialome/links/CDD/anoste_Ag5r2-CDD.txt","SCP_euk")</f>
        <v>SCP_euk</v>
      </c>
      <c r="AY205" t="str">
        <f>HYPERLINK("http://www.ncbi.nlm.nih.gov/Structure/cdd/cddsrv.cgi?uid=cd05380&amp;version=v4.0","5E-035")</f>
        <v>5E-035</v>
      </c>
      <c r="AZ205" t="s">
        <v>2341</v>
      </c>
      <c r="BA205" s="2" t="str">
        <f>HYPERLINK("http://exon.niaid.nih.gov/transcriptome/Anopheles_sialome/links/KOG/anoste_Ag5r2-KOG.txt","Defense-related protein containing SCP domain")</f>
        <v>Defense-related protein containing SCP domain</v>
      </c>
      <c r="BB205" t="str">
        <f>HYPERLINK("http://www.ncbi.nlm.nih.gov/Structure/cdd/cddsrv.cgi?uid=KOG3017","2E-026")</f>
        <v>2E-026</v>
      </c>
      <c r="BC205" t="s">
        <v>2304</v>
      </c>
      <c r="BD205" t="str">
        <f>HYPERLINK("http://exon.niaid.nih.gov/transcriptome/Anopheles_sialome/links/KOG/anoste_Ag5r2-KOG.txt","KOG3017")</f>
        <v>KOG3017</v>
      </c>
      <c r="BE205" t="str">
        <f>HYPERLINK("http://exon.niaid.nih.gov/transcriptome/Anopheles_sialome/links/PFAM/anoste_Ag5r2-PFAM.txt","CAP")</f>
        <v>CAP</v>
      </c>
      <c r="BF205" t="str">
        <f>HYPERLINK("http://pfam.sanger.ac.uk/family?acc=PF00188","8E-011")</f>
        <v>8E-011</v>
      </c>
      <c r="BG205" s="2" t="str">
        <f>HYPERLINK("http://exon.niaid.nih.gov/transcriptome/Anopheles_sialome/links/SMART/anoste_Ag5r2-SMART.txt","SCP")</f>
        <v>SCP</v>
      </c>
      <c r="BH205" t="str">
        <f>HYPERLINK("http://smart.embl-heidelberg.de/smart/do_annotation.pl?DOMAIN=SCP&amp;BLAST=DUMMY","1E-022")</f>
        <v>1E-022</v>
      </c>
      <c r="BI205" t="s">
        <v>128</v>
      </c>
      <c r="BJ205" s="2" t="s">
        <v>128</v>
      </c>
      <c r="BK205" t="s">
        <v>778</v>
      </c>
      <c r="BL205">
        <f>HYPERLINK("http://exon.niaid.nih.gov/transcriptome/Anopheles_sialome/links/cluster-b/anopheline-sialome-cds-pep-larger-orf25-50SimCLU4.txt", 4)</f>
        <v>4</v>
      </c>
      <c r="BM205">
        <f>HYPERLINK("http://exon.niaid.nih.gov/transcriptome/Anopheles_sialome/links/cluster-b/anopheline-sialome-cds-pep-larger-orf25-50SimCLTL4.txt", 82)</f>
        <v>82</v>
      </c>
      <c r="BN205">
        <f>HYPERLINK("http://exon.niaid.nih.gov/transcriptome/Anopheles_sialome/links/cluster-b/anopheline-sialome-cds-pep-larger-orf30-50SimCLU4.txt", 4)</f>
        <v>4</v>
      </c>
      <c r="BO205">
        <f>HYPERLINK("http://exon.niaid.nih.gov/transcriptome/Anopheles_sialome/links/cluster-b/anopheline-sialome-cds-pep-larger-orf30-50SimCLTL4.txt", 82)</f>
        <v>82</v>
      </c>
      <c r="BP205">
        <f>HYPERLINK("http://exon.niaid.nih.gov/transcriptome/Anopheles_sialome/links/cluster-b/anopheline-sialome-cds-pep-larger-orf35-50SimCLU3.txt", 3)</f>
        <v>3</v>
      </c>
      <c r="BQ205">
        <f>HYPERLINK("http://exon.niaid.nih.gov/transcriptome/Anopheles_sialome/links/cluster-b/anopheline-sialome-cds-pep-larger-orf35-50SimCLTL3.txt", 82)</f>
        <v>82</v>
      </c>
      <c r="BR205">
        <f>HYPERLINK("http://exon.niaid.nih.gov/transcriptome/Anopheles_sialome/links/cluster-b/anopheline-sialome-cds-pep-larger-orf40-50SimCLU3.txt", 3)</f>
        <v>3</v>
      </c>
      <c r="BS205">
        <f>HYPERLINK("http://exon.niaid.nih.gov/transcriptome/Anopheles_sialome/links/cluster-b/anopheline-sialome-cds-pep-larger-orf40-50SimCLTL3.txt", 82)</f>
        <v>82</v>
      </c>
      <c r="BT205">
        <f>HYPERLINK("http://exon.niaid.nih.gov/transcriptome/Anopheles_sialome/links/cluster-b/anopheline-sialome-cds-pep-larger-orf45-50SimCLU2.txt", 2)</f>
        <v>2</v>
      </c>
      <c r="BU205">
        <f>HYPERLINK("http://exon.niaid.nih.gov/transcriptome/Anopheles_sialome/links/cluster-b/anopheline-sialome-cds-pep-larger-orf45-50SimCLTL2.txt", 82)</f>
        <v>82</v>
      </c>
      <c r="BV205">
        <f>HYPERLINK("http://exon.niaid.nih.gov/transcriptome/Anopheles_sialome/links/cluster-b/anopheline-sialome-cds-pep-larger-orf50-50SimCLU2.txt", 2)</f>
        <v>2</v>
      </c>
      <c r="BW205">
        <f>HYPERLINK("http://exon.niaid.nih.gov/transcriptome/Anopheles_sialome/links/cluster-b/anopheline-sialome-cds-pep-larger-orf50-50SimCLTL2.txt", 82)</f>
        <v>82</v>
      </c>
      <c r="BX205">
        <f>HYPERLINK("http://exon.niaid.nih.gov/transcriptome/Anopheles_sialome/links/cluster-b/anopheline-sialome-cds-pep-larger-orf55-50SimCLU2.txt", 2)</f>
        <v>2</v>
      </c>
      <c r="BY205">
        <f>HYPERLINK("http://exon.niaid.nih.gov/transcriptome/Anopheles_sialome/links/cluster-b/anopheline-sialome-cds-pep-larger-orf55-50SimCLTL2.txt", 55)</f>
        <v>55</v>
      </c>
      <c r="BZ205">
        <f>HYPERLINK("http://exon.niaid.nih.gov/transcriptome/Anopheles_sialome/links/cluster-b/anopheline-sialome-cds-pep-larger-orf60-50SimCLU2.txt", 2)</f>
        <v>2</v>
      </c>
      <c r="CA205">
        <f>HYPERLINK("http://exon.niaid.nih.gov/transcriptome/Anopheles_sialome/links/cluster-b/anopheline-sialome-cds-pep-larger-orf60-50SimCLTL2.txt", 54)</f>
        <v>54</v>
      </c>
      <c r="CB205">
        <f>HYPERLINK("http://exon.niaid.nih.gov/transcriptome/Anopheles_sialome/links/cluster-b/anopheline-sialome-cds-pep-larger-orf65-50SimCLU7.txt", 7)</f>
        <v>7</v>
      </c>
      <c r="CC205">
        <f>HYPERLINK("http://exon.niaid.nih.gov/transcriptome/Anopheles_sialome/links/cluster-b/anopheline-sialome-cds-pep-larger-orf65-50SimCLTL7.txt", 21)</f>
        <v>21</v>
      </c>
      <c r="CD205">
        <f>HYPERLINK("http://exon.niaid.nih.gov/transcriptome/Anopheles_sialome/links/cluster-b/anopheline-sialome-cds-pep-larger-orf70-50SimCLU8.txt", 8)</f>
        <v>8</v>
      </c>
      <c r="CE205">
        <f>HYPERLINK("http://exon.niaid.nih.gov/transcriptome/Anopheles_sialome/links/cluster-b/anopheline-sialome-cds-pep-larger-orf70-50SimCLTL8.txt", 19)</f>
        <v>19</v>
      </c>
      <c r="CF205">
        <f>HYPERLINK("http://exon.niaid.nih.gov/transcriptome/Anopheles_sialome/links/cluster-b/anopheline-sialome-cds-pep-larger-orf75-50SimCLU11.txt", 11)</f>
        <v>11</v>
      </c>
      <c r="CG205">
        <f>HYPERLINK("http://exon.niaid.nih.gov/transcriptome/Anopheles_sialome/links/cluster-b/anopheline-sialome-cds-pep-larger-orf75-50SimCLTL11.txt", 17)</f>
        <v>17</v>
      </c>
      <c r="CH205">
        <f>HYPERLINK("http://exon.niaid.nih.gov/transcriptome/Anopheles_sialome/links/cluster-b/anopheline-sialome-cds-pep-larger-orf80-50SimCLU8.txt", 8)</f>
        <v>8</v>
      </c>
      <c r="CI205">
        <f>HYPERLINK("http://exon.niaid.nih.gov/transcriptome/Anopheles_sialome/links/cluster-b/anopheline-sialome-cds-pep-larger-orf80-50SimCLTL8.txt", 17)</f>
        <v>17</v>
      </c>
      <c r="CJ205">
        <v>119</v>
      </c>
      <c r="CK205">
        <v>1</v>
      </c>
      <c r="CL205">
        <v>122</v>
      </c>
      <c r="CM205">
        <v>1</v>
      </c>
      <c r="CN205">
        <v>103</v>
      </c>
      <c r="CO205">
        <v>1</v>
      </c>
    </row>
    <row r="206" spans="1:93">
      <c r="A206" s="2" t="str">
        <f>HYPERLINK("http://exon.niaid.nih.gov/transcriptome/Anopheles_sialome/links/cds/anodir_Ag5r2-cds.txt","anodir_Ag5r2")</f>
        <v>anodir_Ag5r2</v>
      </c>
      <c r="B206">
        <v>795</v>
      </c>
      <c r="C206" t="s">
        <v>54</v>
      </c>
      <c r="D206" t="s">
        <v>7</v>
      </c>
      <c r="E206" t="s">
        <v>5</v>
      </c>
      <c r="F206" t="s">
        <v>1</v>
      </c>
      <c r="G206" t="str">
        <f>HYPERLINK("http://exon.niaid.nih.gov/transcriptome/Anopheles_sialome/links/pep/anodir_Ag5r2-pep.txt","anodir_Ag5r2")</f>
        <v>anodir_Ag5r2</v>
      </c>
      <c r="H206">
        <v>264</v>
      </c>
      <c r="I206">
        <v>0</v>
      </c>
      <c r="J206" s="3" t="str">
        <f>HYPERLINK("http://exon.niaid.nih.gov/transcriptome/Anopheles_sialome/links/Sigp/anodir_Ag5r2-SigP.txt","SIG")</f>
        <v>SIG</v>
      </c>
      <c r="K206" t="s">
        <v>652</v>
      </c>
      <c r="L206">
        <v>29.126000000000001</v>
      </c>
      <c r="M206">
        <v>9.1199999999999992</v>
      </c>
      <c r="N206">
        <v>26.995999999999999</v>
      </c>
      <c r="O206">
        <v>9.2100000000000009</v>
      </c>
      <c r="P206" t="s">
        <v>781</v>
      </c>
      <c r="Q206" s="3">
        <v>0</v>
      </c>
      <c r="R206" t="s">
        <v>128</v>
      </c>
      <c r="S206" t="s">
        <v>128</v>
      </c>
      <c r="T206" t="s">
        <v>128</v>
      </c>
      <c r="U206" t="s">
        <v>128</v>
      </c>
      <c r="V206" t="s">
        <v>128</v>
      </c>
      <c r="W206" s="3" t="str">
        <f>HYPERLINK("http://exon.niaid.nih.gov/transcriptome/Anopheles_sialome/links/netoglyc/anodir_Ag5r2-netoglyc.txt","1")</f>
        <v>1</v>
      </c>
      <c r="X206">
        <v>16.3</v>
      </c>
      <c r="Y206">
        <v>8.3000000000000007</v>
      </c>
      <c r="Z206">
        <v>5.3</v>
      </c>
      <c r="AA206" t="s">
        <v>654</v>
      </c>
      <c r="AB206" t="s">
        <v>128</v>
      </c>
      <c r="AC206" s="2" t="str">
        <f>HYPERLINK("http://exon.niaid.nih.gov/transcriptome/Anopheles_sialome/links/DIPTERA/anodir_Ag5r2-DIPTERA.txt","antigen 5-related 2 salivary protein, partial")</f>
        <v>antigen 5-related 2 salivary protein, partial</v>
      </c>
      <c r="AD206" t="str">
        <f>HYPERLINK("http://www.ncbi.nlm.nih.gov/sutils/blink.cgi?pid=31979121","1E-134")</f>
        <v>1E-134</v>
      </c>
      <c r="AE206" t="str">
        <f>HYPERLINK("http://www.ncbi.nlm.nih.gov/protein/31979121","gi|31979121")</f>
        <v>gi|31979121</v>
      </c>
      <c r="AF206">
        <v>98</v>
      </c>
      <c r="AG206">
        <v>99</v>
      </c>
      <c r="AH206">
        <v>100</v>
      </c>
      <c r="AI206" t="s">
        <v>2274</v>
      </c>
      <c r="AJ206" s="2" t="str">
        <f>HYPERLINK("http://exon.niaid.nih.gov/transcriptome/Anopheles_sialome/links/CULICOMORPHA/anodir_Ag5r2-CULICOMORPHA.txt","antigen 5-related 2 salivary protein, partial")</f>
        <v>antigen 5-related 2 salivary protein, partial</v>
      </c>
      <c r="AK206" t="str">
        <f>HYPERLINK("http://www.ncbi.nlm.nih.gov/sutils/blink.cgi?pid=31979121","1E-134")</f>
        <v>1E-134</v>
      </c>
      <c r="AL206" t="str">
        <f>HYPERLINK("http://www.ncbi.nlm.nih.gov/protein/31979121","gi|31979121")</f>
        <v>gi|31979121</v>
      </c>
      <c r="AM206">
        <v>98</v>
      </c>
      <c r="AN206">
        <v>99</v>
      </c>
      <c r="AO206">
        <v>100</v>
      </c>
      <c r="AP206" t="s">
        <v>2274</v>
      </c>
      <c r="AQ206" s="2" t="str">
        <f>HYPERLINK("http://exon.niaid.nih.gov/transcriptome/Anopheles_sialome/links/NR-LIGHT/anodir_Ag5r2-NR-LIGHT.txt","antigen 5-related 2 salivary protein, partial")</f>
        <v>antigen 5-related 2 salivary protein, partial</v>
      </c>
      <c r="AR206" t="str">
        <f>HYPERLINK("http://www.ncbi.nlm.nih.gov/sutils/blink.cgi?pid=31979121","1E-133")</f>
        <v>1E-133</v>
      </c>
      <c r="AS206" t="str">
        <f>HYPERLINK("http://www.ncbi.nlm.nih.gov/protein/31979121","gi|31979121")</f>
        <v>gi|31979121</v>
      </c>
      <c r="AT206">
        <v>98</v>
      </c>
      <c r="AU206">
        <v>99</v>
      </c>
      <c r="AV206">
        <v>100</v>
      </c>
      <c r="AW206" t="s">
        <v>2274</v>
      </c>
      <c r="AX206" s="2" t="str">
        <f>HYPERLINK("http://exon.niaid.nih.gov/transcriptome/Anopheles_sialome/links/CDD/anodir_Ag5r2-CDD.txt","SCP_euk")</f>
        <v>SCP_euk</v>
      </c>
      <c r="AY206" t="str">
        <f>HYPERLINK("http://www.ncbi.nlm.nih.gov/Structure/cdd/cddsrv.cgi?uid=cd05380&amp;version=v4.0","1E-040")</f>
        <v>1E-040</v>
      </c>
      <c r="AZ206" t="s">
        <v>2342</v>
      </c>
      <c r="BA206" s="2" t="str">
        <f>HYPERLINK("http://exon.niaid.nih.gov/transcriptome/Anopheles_sialome/links/KOG/anodir_Ag5r2-KOG.txt","Defense-related protein containing SCP domain")</f>
        <v>Defense-related protein containing SCP domain</v>
      </c>
      <c r="BB206" t="str">
        <f>HYPERLINK("http://www.ncbi.nlm.nih.gov/Structure/cdd/cddsrv.cgi?uid=KOG3017","1E-030")</f>
        <v>1E-030</v>
      </c>
      <c r="BC206" t="s">
        <v>2304</v>
      </c>
      <c r="BD206" t="str">
        <f>HYPERLINK("http://exon.niaid.nih.gov/transcriptome/Anopheles_sialome/links/KOG/anodir_Ag5r2-KOG.txt","KOG3017")</f>
        <v>KOG3017</v>
      </c>
      <c r="BE206" t="str">
        <f>HYPERLINK("http://exon.niaid.nih.gov/transcriptome/Anopheles_sialome/links/PFAM/anodir_Ag5r2-PFAM.txt","CAP")</f>
        <v>CAP</v>
      </c>
      <c r="BF206" t="str">
        <f>HYPERLINK("http://pfam.sanger.ac.uk/family?acc=PF00188","4E-014")</f>
        <v>4E-014</v>
      </c>
      <c r="BG206" s="2" t="str">
        <f>HYPERLINK("http://exon.niaid.nih.gov/transcriptome/Anopheles_sialome/links/SMART/anodir_Ag5r2-SMART.txt","SCP")</f>
        <v>SCP</v>
      </c>
      <c r="BH206" t="str">
        <f>HYPERLINK("http://smart.embl-heidelberg.de/smart/do_annotation.pl?DOMAIN=SCP&amp;BLAST=DUMMY","5E-028")</f>
        <v>5E-028</v>
      </c>
      <c r="BI206" t="s">
        <v>128</v>
      </c>
      <c r="BJ206" s="2" t="s">
        <v>128</v>
      </c>
      <c r="BK206" t="s">
        <v>780</v>
      </c>
      <c r="BL206">
        <f>HYPERLINK("http://exon.niaid.nih.gov/transcriptome/Anopheles_sialome/links/cluster-b/anopheline-sialome-cds-pep-larger-orf25-50SimCLU4.txt", 4)</f>
        <v>4</v>
      </c>
      <c r="BM206">
        <f>HYPERLINK("http://exon.niaid.nih.gov/transcriptome/Anopheles_sialome/links/cluster-b/anopheline-sialome-cds-pep-larger-orf25-50SimCLTL4.txt", 82)</f>
        <v>82</v>
      </c>
      <c r="BN206">
        <f>HYPERLINK("http://exon.niaid.nih.gov/transcriptome/Anopheles_sialome/links/cluster-b/anopheline-sialome-cds-pep-larger-orf30-50SimCLU4.txt", 4)</f>
        <v>4</v>
      </c>
      <c r="BO206">
        <f>HYPERLINK("http://exon.niaid.nih.gov/transcriptome/Anopheles_sialome/links/cluster-b/anopheline-sialome-cds-pep-larger-orf30-50SimCLTL4.txt", 82)</f>
        <v>82</v>
      </c>
      <c r="BP206">
        <f>HYPERLINK("http://exon.niaid.nih.gov/transcriptome/Anopheles_sialome/links/cluster-b/anopheline-sialome-cds-pep-larger-orf35-50SimCLU3.txt", 3)</f>
        <v>3</v>
      </c>
      <c r="BQ206">
        <f>HYPERLINK("http://exon.niaid.nih.gov/transcriptome/Anopheles_sialome/links/cluster-b/anopheline-sialome-cds-pep-larger-orf35-50SimCLTL3.txt", 82)</f>
        <v>82</v>
      </c>
      <c r="BR206">
        <f>HYPERLINK("http://exon.niaid.nih.gov/transcriptome/Anopheles_sialome/links/cluster-b/anopheline-sialome-cds-pep-larger-orf40-50SimCLU3.txt", 3)</f>
        <v>3</v>
      </c>
      <c r="BS206">
        <f>HYPERLINK("http://exon.niaid.nih.gov/transcriptome/Anopheles_sialome/links/cluster-b/anopheline-sialome-cds-pep-larger-orf40-50SimCLTL3.txt", 82)</f>
        <v>82</v>
      </c>
      <c r="BT206">
        <f>HYPERLINK("http://exon.niaid.nih.gov/transcriptome/Anopheles_sialome/links/cluster-b/anopheline-sialome-cds-pep-larger-orf45-50SimCLU2.txt", 2)</f>
        <v>2</v>
      </c>
      <c r="BU206">
        <f>HYPERLINK("http://exon.niaid.nih.gov/transcriptome/Anopheles_sialome/links/cluster-b/anopheline-sialome-cds-pep-larger-orf45-50SimCLTL2.txt", 82)</f>
        <v>82</v>
      </c>
      <c r="BV206">
        <f>HYPERLINK("http://exon.niaid.nih.gov/transcriptome/Anopheles_sialome/links/cluster-b/anopheline-sialome-cds-pep-larger-orf50-50SimCLU2.txt", 2)</f>
        <v>2</v>
      </c>
      <c r="BW206">
        <f>HYPERLINK("http://exon.niaid.nih.gov/transcriptome/Anopheles_sialome/links/cluster-b/anopheline-sialome-cds-pep-larger-orf50-50SimCLTL2.txt", 82)</f>
        <v>82</v>
      </c>
      <c r="BX206">
        <f>HYPERLINK("http://exon.niaid.nih.gov/transcriptome/Anopheles_sialome/links/cluster-b/anopheline-sialome-cds-pep-larger-orf55-50SimCLU2.txt", 2)</f>
        <v>2</v>
      </c>
      <c r="BY206">
        <f>HYPERLINK("http://exon.niaid.nih.gov/transcriptome/Anopheles_sialome/links/cluster-b/anopheline-sialome-cds-pep-larger-orf55-50SimCLTL2.txt", 55)</f>
        <v>55</v>
      </c>
      <c r="BZ206">
        <f>HYPERLINK("http://exon.niaid.nih.gov/transcriptome/Anopheles_sialome/links/cluster-b/anopheline-sialome-cds-pep-larger-orf60-50SimCLU2.txt", 2)</f>
        <v>2</v>
      </c>
      <c r="CA206">
        <f>HYPERLINK("http://exon.niaid.nih.gov/transcriptome/Anopheles_sialome/links/cluster-b/anopheline-sialome-cds-pep-larger-orf60-50SimCLTL2.txt", 54)</f>
        <v>54</v>
      </c>
      <c r="CB206">
        <f>HYPERLINK("http://exon.niaid.nih.gov/transcriptome/Anopheles_sialome/links/cluster-b/anopheline-sialome-cds-pep-larger-orf65-50SimCLU7.txt", 7)</f>
        <v>7</v>
      </c>
      <c r="CC206">
        <f>HYPERLINK("http://exon.niaid.nih.gov/transcriptome/Anopheles_sialome/links/cluster-b/anopheline-sialome-cds-pep-larger-orf65-50SimCLTL7.txt", 21)</f>
        <v>21</v>
      </c>
      <c r="CD206">
        <f>HYPERLINK("http://exon.niaid.nih.gov/transcriptome/Anopheles_sialome/links/cluster-b/anopheline-sialome-cds-pep-larger-orf70-50SimCLU8.txt", 8)</f>
        <v>8</v>
      </c>
      <c r="CE206">
        <f>HYPERLINK("http://exon.niaid.nih.gov/transcriptome/Anopheles_sialome/links/cluster-b/anopheline-sialome-cds-pep-larger-orf70-50SimCLTL8.txt", 19)</f>
        <v>19</v>
      </c>
      <c r="CF206">
        <f>HYPERLINK("http://exon.niaid.nih.gov/transcriptome/Anopheles_sialome/links/cluster-b/anopheline-sialome-cds-pep-larger-orf75-50SimCLU11.txt", 11)</f>
        <v>11</v>
      </c>
      <c r="CG206">
        <f>HYPERLINK("http://exon.niaid.nih.gov/transcriptome/Anopheles_sialome/links/cluster-b/anopheline-sialome-cds-pep-larger-orf75-50SimCLTL11.txt", 17)</f>
        <v>17</v>
      </c>
      <c r="CH206">
        <f>HYPERLINK("http://exon.niaid.nih.gov/transcriptome/Anopheles_sialome/links/cluster-b/anopheline-sialome-cds-pep-larger-orf80-50SimCLU8.txt", 8)</f>
        <v>8</v>
      </c>
      <c r="CI206">
        <f>HYPERLINK("http://exon.niaid.nih.gov/transcriptome/Anopheles_sialome/links/cluster-b/anopheline-sialome-cds-pep-larger-orf80-50SimCLTL8.txt", 17)</f>
        <v>17</v>
      </c>
      <c r="CJ206">
        <v>120</v>
      </c>
      <c r="CK206">
        <v>1</v>
      </c>
      <c r="CL206">
        <v>123</v>
      </c>
      <c r="CM206">
        <v>1</v>
      </c>
      <c r="CN206">
        <v>104</v>
      </c>
      <c r="CO206">
        <v>1</v>
      </c>
    </row>
    <row r="207" spans="1:93">
      <c r="A207" s="2" t="str">
        <f>HYPERLINK("http://exon.niaid.nih.gov/transcriptome/Anopheles_sialome/links/cds/anosin_Ag5r2-cds.txt","anosin_Ag5r2")</f>
        <v>anosin_Ag5r2</v>
      </c>
      <c r="B207">
        <v>744</v>
      </c>
      <c r="C207" t="s">
        <v>62</v>
      </c>
      <c r="D207" t="s">
        <v>4</v>
      </c>
      <c r="E207" t="s">
        <v>5</v>
      </c>
      <c r="F207" t="s">
        <v>1</v>
      </c>
      <c r="G207" t="str">
        <f>HYPERLINK("http://exon.niaid.nih.gov/transcriptome/Anopheles_sialome/links/pep/anosin_Ag5r2-pep.txt","anosin_Ag5r2")</f>
        <v>anosin_Ag5r2</v>
      </c>
      <c r="H207">
        <v>247</v>
      </c>
      <c r="I207">
        <v>2</v>
      </c>
      <c r="J207" s="3" t="str">
        <f>HYPERLINK("http://exon.niaid.nih.gov/transcriptome/Anopheles_sialome/links/Sigp/anosin_Ag5r2-SigP.txt","CYT")</f>
        <v>CYT</v>
      </c>
      <c r="K207" t="s">
        <v>128</v>
      </c>
      <c r="L207">
        <v>26.951000000000001</v>
      </c>
      <c r="M207">
        <v>4.9400000000000004</v>
      </c>
      <c r="N207" t="s">
        <v>128</v>
      </c>
      <c r="O207" t="s">
        <v>128</v>
      </c>
      <c r="P207" t="s">
        <v>783</v>
      </c>
      <c r="Q207" s="3">
        <v>0</v>
      </c>
      <c r="R207" t="s">
        <v>128</v>
      </c>
      <c r="S207" t="s">
        <v>128</v>
      </c>
      <c r="T207" t="s">
        <v>128</v>
      </c>
      <c r="U207" t="s">
        <v>128</v>
      </c>
      <c r="V207" t="s">
        <v>128</v>
      </c>
      <c r="W207" s="3" t="str">
        <f>HYPERLINK("http://exon.niaid.nih.gov/transcriptome/Anopheles_sialome/links/netoglyc/anosin_Ag5r2-netoglyc.txt","1")</f>
        <v>1</v>
      </c>
      <c r="X207">
        <v>12.1</v>
      </c>
      <c r="Y207">
        <v>8.5</v>
      </c>
      <c r="Z207">
        <v>7.3</v>
      </c>
      <c r="AA207" t="s">
        <v>654</v>
      </c>
      <c r="AB207" t="s">
        <v>128</v>
      </c>
      <c r="AC207" s="2" t="str">
        <f>HYPERLINK("http://exon.niaid.nih.gov/transcriptome/Anopheles_sialome/links/DIPTERA/anosin_Ag5r2-DIPTERA.txt","venom allergen")</f>
        <v>venom allergen</v>
      </c>
      <c r="AD207" t="str">
        <f>HYPERLINK("http://www.ncbi.nlm.nih.gov/sutils/blink.cgi?pid=568256131","2E-054")</f>
        <v>2E-054</v>
      </c>
      <c r="AE207" t="str">
        <f>HYPERLINK("http://www.ncbi.nlm.nih.gov/protein/568256131","gi|568256131")</f>
        <v>gi|568256131</v>
      </c>
      <c r="AF207">
        <v>48</v>
      </c>
      <c r="AG207">
        <v>61</v>
      </c>
      <c r="AH207">
        <v>70</v>
      </c>
      <c r="AI207" t="s">
        <v>2283</v>
      </c>
      <c r="AJ207" s="2" t="str">
        <f>HYPERLINK("http://exon.niaid.nih.gov/transcriptome/Anopheles_sialome/links/CULICOMORPHA/anosin_Ag5r2-CULICOMORPHA.txt","venom allergen")</f>
        <v>venom allergen</v>
      </c>
      <c r="AK207" t="str">
        <f>HYPERLINK("http://www.ncbi.nlm.nih.gov/sutils/blink.cgi?pid=568256131","3E-055")</f>
        <v>3E-055</v>
      </c>
      <c r="AL207" t="str">
        <f>HYPERLINK("http://www.ncbi.nlm.nih.gov/protein/568256131","gi|568256131")</f>
        <v>gi|568256131</v>
      </c>
      <c r="AM207">
        <v>48</v>
      </c>
      <c r="AN207">
        <v>61</v>
      </c>
      <c r="AO207">
        <v>70</v>
      </c>
      <c r="AP207" t="s">
        <v>2283</v>
      </c>
      <c r="AQ207" s="2" t="str">
        <f>HYPERLINK("http://exon.niaid.nih.gov/transcriptome/Anopheles_sialome/links/NR-LIGHT/anosin_Ag5r2-NR-LIGHT.txt","venom allergen")</f>
        <v>venom allergen</v>
      </c>
      <c r="AR207" t="str">
        <f>HYPERLINK("http://www.ncbi.nlm.nih.gov/sutils/blink.cgi?pid=568256131","5E-054")</f>
        <v>5E-054</v>
      </c>
      <c r="AS207" t="str">
        <f>HYPERLINK("http://www.ncbi.nlm.nih.gov/protein/568256131","gi|568256131")</f>
        <v>gi|568256131</v>
      </c>
      <c r="AT207">
        <v>48</v>
      </c>
      <c r="AU207">
        <v>61</v>
      </c>
      <c r="AV207">
        <v>70</v>
      </c>
      <c r="AW207" t="s">
        <v>2283</v>
      </c>
      <c r="AX207" s="2" t="str">
        <f>HYPERLINK("http://exon.niaid.nih.gov/transcriptome/Anopheles_sialome/links/CDD/anosin_Ag5r2-CDD.txt","SCP_euk")</f>
        <v>SCP_euk</v>
      </c>
      <c r="AY207" t="str">
        <f>HYPERLINK("http://www.ncbi.nlm.nih.gov/Structure/cdd/cddsrv.cgi?uid=cd05380&amp;version=v4.0","4E-030")</f>
        <v>4E-030</v>
      </c>
      <c r="AZ207" t="s">
        <v>2343</v>
      </c>
      <c r="BA207" s="2" t="str">
        <f>HYPERLINK("http://exon.niaid.nih.gov/transcriptome/Anopheles_sialome/links/KOG/anosin_Ag5r2-KOG.txt","Defense-related protein containing SCP domain")</f>
        <v>Defense-related protein containing SCP domain</v>
      </c>
      <c r="BB207" t="str">
        <f>HYPERLINK("http://www.ncbi.nlm.nih.gov/Structure/cdd/cddsrv.cgi?uid=KOG3017","5E-020")</f>
        <v>5E-020</v>
      </c>
      <c r="BC207" t="s">
        <v>2304</v>
      </c>
      <c r="BD207" t="str">
        <f>HYPERLINK("http://exon.niaid.nih.gov/transcriptome/Anopheles_sialome/links/KOG/anosin_Ag5r2-KOG.txt","KOG3017")</f>
        <v>KOG3017</v>
      </c>
      <c r="BE207" t="str">
        <f>HYPERLINK("http://exon.niaid.nih.gov/transcriptome/Anopheles_sialome/links/PFAM/anosin_Ag5r2-PFAM.txt","CAP")</f>
        <v>CAP</v>
      </c>
      <c r="BF207" t="str">
        <f>HYPERLINK("http://pfam.sanger.ac.uk/family?acc=PF00188","5E-010")</f>
        <v>5E-010</v>
      </c>
      <c r="BG207" s="2" t="str">
        <f>HYPERLINK("http://exon.niaid.nih.gov/transcriptome/Anopheles_sialome/links/SMART/anosin_Ag5r2-SMART.txt","SCP")</f>
        <v>SCP</v>
      </c>
      <c r="BH207" t="str">
        <f>HYPERLINK("http://smart.embl-heidelberg.de/smart/do_annotation.pl?DOMAIN=SCP&amp;BLAST=DUMMY","1E-015")</f>
        <v>1E-015</v>
      </c>
      <c r="BI207" t="s">
        <v>128</v>
      </c>
      <c r="BJ207" s="2" t="s">
        <v>128</v>
      </c>
      <c r="BK207" t="s">
        <v>782</v>
      </c>
      <c r="BL207">
        <f>HYPERLINK("http://exon.niaid.nih.gov/transcriptome/Anopheles_sialome/links/cluster-b/anopheline-sialome-cds-pep-larger-orf25-50SimCLU4.txt", 4)</f>
        <v>4</v>
      </c>
      <c r="BM207">
        <f>HYPERLINK("http://exon.niaid.nih.gov/transcriptome/Anopheles_sialome/links/cluster-b/anopheline-sialome-cds-pep-larger-orf25-50SimCLTL4.txt", 82)</f>
        <v>82</v>
      </c>
      <c r="BN207">
        <f>HYPERLINK("http://exon.niaid.nih.gov/transcriptome/Anopheles_sialome/links/cluster-b/anopheline-sialome-cds-pep-larger-orf30-50SimCLU4.txt", 4)</f>
        <v>4</v>
      </c>
      <c r="BO207">
        <f>HYPERLINK("http://exon.niaid.nih.gov/transcriptome/Anopheles_sialome/links/cluster-b/anopheline-sialome-cds-pep-larger-orf30-50SimCLTL4.txt", 82)</f>
        <v>82</v>
      </c>
      <c r="BP207">
        <f>HYPERLINK("http://exon.niaid.nih.gov/transcriptome/Anopheles_sialome/links/cluster-b/anopheline-sialome-cds-pep-larger-orf35-50SimCLU3.txt", 3)</f>
        <v>3</v>
      </c>
      <c r="BQ207">
        <f>HYPERLINK("http://exon.niaid.nih.gov/transcriptome/Anopheles_sialome/links/cluster-b/anopheline-sialome-cds-pep-larger-orf35-50SimCLTL3.txt", 82)</f>
        <v>82</v>
      </c>
      <c r="BR207">
        <f>HYPERLINK("http://exon.niaid.nih.gov/transcriptome/Anopheles_sialome/links/cluster-b/anopheline-sialome-cds-pep-larger-orf40-50SimCLU3.txt", 3)</f>
        <v>3</v>
      </c>
      <c r="BS207">
        <f>HYPERLINK("http://exon.niaid.nih.gov/transcriptome/Anopheles_sialome/links/cluster-b/anopheline-sialome-cds-pep-larger-orf40-50SimCLTL3.txt", 82)</f>
        <v>82</v>
      </c>
      <c r="BT207">
        <f>HYPERLINK("http://exon.niaid.nih.gov/transcriptome/Anopheles_sialome/links/cluster-b/anopheline-sialome-cds-pep-larger-orf45-50SimCLU2.txt", 2)</f>
        <v>2</v>
      </c>
      <c r="BU207">
        <f>HYPERLINK("http://exon.niaid.nih.gov/transcriptome/Anopheles_sialome/links/cluster-b/anopheline-sialome-cds-pep-larger-orf45-50SimCLTL2.txt", 82)</f>
        <v>82</v>
      </c>
      <c r="BV207">
        <f>HYPERLINK("http://exon.niaid.nih.gov/transcriptome/Anopheles_sialome/links/cluster-b/anopheline-sialome-cds-pep-larger-orf50-50SimCLU2.txt", 2)</f>
        <v>2</v>
      </c>
      <c r="BW207">
        <f>HYPERLINK("http://exon.niaid.nih.gov/transcriptome/Anopheles_sialome/links/cluster-b/anopheline-sialome-cds-pep-larger-orf50-50SimCLTL2.txt", 82)</f>
        <v>82</v>
      </c>
      <c r="BX207">
        <f>HYPERLINK("http://exon.niaid.nih.gov/transcriptome/Anopheles_sialome/links/cluster-b/anopheline-sialome-cds-pep-larger-orf55-50SimCLU2.txt", 2)</f>
        <v>2</v>
      </c>
      <c r="BY207">
        <f>HYPERLINK("http://exon.niaid.nih.gov/transcriptome/Anopheles_sialome/links/cluster-b/anopheline-sialome-cds-pep-larger-orf55-50SimCLTL2.txt", 55)</f>
        <v>55</v>
      </c>
      <c r="BZ207">
        <v>52</v>
      </c>
      <c r="CA207">
        <v>1</v>
      </c>
      <c r="CB207">
        <v>63</v>
      </c>
      <c r="CC207">
        <v>1</v>
      </c>
      <c r="CD207">
        <v>73</v>
      </c>
      <c r="CE207">
        <v>1</v>
      </c>
      <c r="CF207">
        <v>93</v>
      </c>
      <c r="CG207">
        <v>1</v>
      </c>
      <c r="CH207">
        <v>114</v>
      </c>
      <c r="CI207">
        <v>1</v>
      </c>
      <c r="CJ207">
        <v>121</v>
      </c>
      <c r="CK207">
        <v>1</v>
      </c>
      <c r="CL207">
        <v>124</v>
      </c>
      <c r="CM207">
        <v>1</v>
      </c>
      <c r="CN207">
        <v>105</v>
      </c>
      <c r="CO207">
        <v>1</v>
      </c>
    </row>
    <row r="208" spans="1:93">
      <c r="A208" s="2" t="str">
        <f>HYPERLINK("http://exon.niaid.nih.gov/transcriptome/Anopheles_sialome/links/cds/anoalb_Ag5r2-cds.txt","anoalb_Ag5r2")</f>
        <v>anoalb_Ag5r2</v>
      </c>
      <c r="B208">
        <v>789</v>
      </c>
      <c r="C208" t="s">
        <v>56</v>
      </c>
      <c r="D208" t="s">
        <v>7</v>
      </c>
      <c r="E208" t="s">
        <v>5</v>
      </c>
      <c r="F208" t="s">
        <v>1</v>
      </c>
      <c r="G208" t="str">
        <f>HYPERLINK("http://exon.niaid.nih.gov/transcriptome/Anopheles_sialome/links/pep/anoalb_Ag5r2-pep.txt","anoalb_Ag5r2")</f>
        <v>anoalb_Ag5r2</v>
      </c>
      <c r="H208">
        <v>262</v>
      </c>
      <c r="I208">
        <v>0</v>
      </c>
      <c r="J208" s="3" t="str">
        <f>HYPERLINK("http://exon.niaid.nih.gov/transcriptome/Anopheles_sialome/links/Sigp/anoalb_Ag5r2-SigP.txt","SIG")</f>
        <v>SIG</v>
      </c>
      <c r="K208" t="s">
        <v>715</v>
      </c>
      <c r="L208">
        <v>28.434000000000001</v>
      </c>
      <c r="M208">
        <v>6.4</v>
      </c>
      <c r="N208">
        <v>26.009</v>
      </c>
      <c r="O208">
        <v>6.08</v>
      </c>
      <c r="P208" t="s">
        <v>785</v>
      </c>
      <c r="Q208" s="3" t="str">
        <f>HYPERLINK("http://exon.niaid.nih.gov/transcriptome/Anopheles_sialome/links/tmhmm/anoalb_Ag5r2-tmhmm.txt","1")</f>
        <v>1</v>
      </c>
      <c r="R208">
        <v>8.4</v>
      </c>
      <c r="S208">
        <v>89.7</v>
      </c>
      <c r="T208">
        <v>1.9</v>
      </c>
      <c r="U208" t="s">
        <v>128</v>
      </c>
      <c r="V208">
        <v>235</v>
      </c>
      <c r="W208" s="3" t="str">
        <f>HYPERLINK("http://exon.niaid.nih.gov/transcriptome/Anopheles_sialome/links/netoglyc/anoalb_Ag5r2-netoglyc.txt","4")</f>
        <v>4</v>
      </c>
      <c r="X208">
        <v>14.9</v>
      </c>
      <c r="Y208">
        <v>8.4</v>
      </c>
      <c r="Z208">
        <v>5.3</v>
      </c>
      <c r="AA208" t="s">
        <v>654</v>
      </c>
      <c r="AB208" t="s">
        <v>128</v>
      </c>
      <c r="AC208" s="2" t="str">
        <f>HYPERLINK("http://exon.niaid.nih.gov/transcriptome/Anopheles_sialome/links/DIPTERA/anoalb_Ag5r2-DIPTERA.txt","venom allergen 3")</f>
        <v>venom allergen 3</v>
      </c>
      <c r="AD208" t="str">
        <f>HYPERLINK("http://www.ncbi.nlm.nih.gov/sutils/blink.cgi?pid=568256132","1E-119")</f>
        <v>1E-119</v>
      </c>
      <c r="AE208" t="str">
        <f>HYPERLINK("http://www.ncbi.nlm.nih.gov/protein/568256132","gi|568256132")</f>
        <v>gi|568256132</v>
      </c>
      <c r="AF208">
        <v>78</v>
      </c>
      <c r="AG208">
        <v>88</v>
      </c>
      <c r="AH208">
        <v>97</v>
      </c>
      <c r="AI208" t="s">
        <v>2283</v>
      </c>
      <c r="AJ208" s="2" t="str">
        <f>HYPERLINK("http://exon.niaid.nih.gov/transcriptome/Anopheles_sialome/links/CULICOMORPHA/anoalb_Ag5r2-CULICOMORPHA.txt","venom allergen 3")</f>
        <v>venom allergen 3</v>
      </c>
      <c r="AK208" t="str">
        <f>HYPERLINK("http://www.ncbi.nlm.nih.gov/sutils/blink.cgi?pid=568256132","1E-119")</f>
        <v>1E-119</v>
      </c>
      <c r="AL208" t="str">
        <f>HYPERLINK("http://www.ncbi.nlm.nih.gov/protein/568256132","gi|568256132")</f>
        <v>gi|568256132</v>
      </c>
      <c r="AM208">
        <v>78</v>
      </c>
      <c r="AN208">
        <v>88</v>
      </c>
      <c r="AO208">
        <v>97</v>
      </c>
      <c r="AP208" t="s">
        <v>2283</v>
      </c>
      <c r="AQ208" s="2" t="str">
        <f>HYPERLINK("http://exon.niaid.nih.gov/transcriptome/Anopheles_sialome/links/NR-LIGHT/anoalb_Ag5r2-NR-LIGHT.txt","venom allergen 3")</f>
        <v>venom allergen 3</v>
      </c>
      <c r="AR208" t="str">
        <f>HYPERLINK("http://www.ncbi.nlm.nih.gov/sutils/blink.cgi?pid=568256132","1E-118")</f>
        <v>1E-118</v>
      </c>
      <c r="AS208" t="str">
        <f>HYPERLINK("http://www.ncbi.nlm.nih.gov/protein/568256132","gi|568256132")</f>
        <v>gi|568256132</v>
      </c>
      <c r="AT208">
        <v>78</v>
      </c>
      <c r="AU208">
        <v>88</v>
      </c>
      <c r="AV208">
        <v>97</v>
      </c>
      <c r="AW208" t="s">
        <v>2283</v>
      </c>
      <c r="AX208" s="2" t="str">
        <f>HYPERLINK("http://exon.niaid.nih.gov/transcriptome/Anopheles_sialome/links/CDD/anoalb_Ag5r2-CDD.txt","SCP_euk")</f>
        <v>SCP_euk</v>
      </c>
      <c r="AY208" t="str">
        <f>HYPERLINK("http://www.ncbi.nlm.nih.gov/Structure/cdd/cddsrv.cgi?uid=cd05380&amp;version=v4.0","8E-040")</f>
        <v>8E-040</v>
      </c>
      <c r="AZ208" t="s">
        <v>2344</v>
      </c>
      <c r="BA208" s="2" t="str">
        <f>HYPERLINK("http://exon.niaid.nih.gov/transcriptome/Anopheles_sialome/links/KOG/anoalb_Ag5r2-KOG.txt","Defense-related protein containing SCP domain")</f>
        <v>Defense-related protein containing SCP domain</v>
      </c>
      <c r="BB208" t="str">
        <f>HYPERLINK("http://www.ncbi.nlm.nih.gov/Structure/cdd/cddsrv.cgi?uid=KOG3017","4E-030")</f>
        <v>4E-030</v>
      </c>
      <c r="BC208" t="s">
        <v>2304</v>
      </c>
      <c r="BD208" t="str">
        <f>HYPERLINK("http://exon.niaid.nih.gov/transcriptome/Anopheles_sialome/links/KOG/anoalb_Ag5r2-KOG.txt","KOG3017")</f>
        <v>KOG3017</v>
      </c>
      <c r="BE208" t="str">
        <f>HYPERLINK("http://exon.niaid.nih.gov/transcriptome/Anopheles_sialome/links/PFAM/anoalb_Ag5r2-PFAM.txt","CAP")</f>
        <v>CAP</v>
      </c>
      <c r="BF208" t="str">
        <f>HYPERLINK("http://pfam.sanger.ac.uk/family?acc=PF00188","1E-013")</f>
        <v>1E-013</v>
      </c>
      <c r="BG208" s="2" t="str">
        <f>HYPERLINK("http://exon.niaid.nih.gov/transcriptome/Anopheles_sialome/links/SMART/anoalb_Ag5r2-SMART.txt","SCP")</f>
        <v>SCP</v>
      </c>
      <c r="BH208" t="str">
        <f>HYPERLINK("http://smart.embl-heidelberg.de/smart/do_annotation.pl?DOMAIN=SCP&amp;BLAST=DUMMY","3E-024")</f>
        <v>3E-024</v>
      </c>
      <c r="BI208" t="s">
        <v>128</v>
      </c>
      <c r="BJ208" s="2" t="s">
        <v>128</v>
      </c>
      <c r="BK208" t="s">
        <v>784</v>
      </c>
      <c r="BL208">
        <f>HYPERLINK("http://exon.niaid.nih.gov/transcriptome/Anopheles_sialome/links/cluster-b/anopheline-sialome-cds-pep-larger-orf25-50SimCLU4.txt", 4)</f>
        <v>4</v>
      </c>
      <c r="BM208">
        <f>HYPERLINK("http://exon.niaid.nih.gov/transcriptome/Anopheles_sialome/links/cluster-b/anopheline-sialome-cds-pep-larger-orf25-50SimCLTL4.txt", 82)</f>
        <v>82</v>
      </c>
      <c r="BN208">
        <f>HYPERLINK("http://exon.niaid.nih.gov/transcriptome/Anopheles_sialome/links/cluster-b/anopheline-sialome-cds-pep-larger-orf30-50SimCLU4.txt", 4)</f>
        <v>4</v>
      </c>
      <c r="BO208">
        <f>HYPERLINK("http://exon.niaid.nih.gov/transcriptome/Anopheles_sialome/links/cluster-b/anopheline-sialome-cds-pep-larger-orf30-50SimCLTL4.txt", 82)</f>
        <v>82</v>
      </c>
      <c r="BP208">
        <f>HYPERLINK("http://exon.niaid.nih.gov/transcriptome/Anopheles_sialome/links/cluster-b/anopheline-sialome-cds-pep-larger-orf35-50SimCLU3.txt", 3)</f>
        <v>3</v>
      </c>
      <c r="BQ208">
        <f>HYPERLINK("http://exon.niaid.nih.gov/transcriptome/Anopheles_sialome/links/cluster-b/anopheline-sialome-cds-pep-larger-orf35-50SimCLTL3.txt", 82)</f>
        <v>82</v>
      </c>
      <c r="BR208">
        <f>HYPERLINK("http://exon.niaid.nih.gov/transcriptome/Anopheles_sialome/links/cluster-b/anopheline-sialome-cds-pep-larger-orf40-50SimCLU3.txt", 3)</f>
        <v>3</v>
      </c>
      <c r="BS208">
        <f>HYPERLINK("http://exon.niaid.nih.gov/transcriptome/Anopheles_sialome/links/cluster-b/anopheline-sialome-cds-pep-larger-orf40-50SimCLTL3.txt", 82)</f>
        <v>82</v>
      </c>
      <c r="BT208">
        <f>HYPERLINK("http://exon.niaid.nih.gov/transcriptome/Anopheles_sialome/links/cluster-b/anopheline-sialome-cds-pep-larger-orf45-50SimCLU2.txt", 2)</f>
        <v>2</v>
      </c>
      <c r="BU208">
        <f>HYPERLINK("http://exon.niaid.nih.gov/transcriptome/Anopheles_sialome/links/cluster-b/anopheline-sialome-cds-pep-larger-orf45-50SimCLTL2.txt", 82)</f>
        <v>82</v>
      </c>
      <c r="BV208">
        <f>HYPERLINK("http://exon.niaid.nih.gov/transcriptome/Anopheles_sialome/links/cluster-b/anopheline-sialome-cds-pep-larger-orf50-50SimCLU2.txt", 2)</f>
        <v>2</v>
      </c>
      <c r="BW208">
        <f>HYPERLINK("http://exon.niaid.nih.gov/transcriptome/Anopheles_sialome/links/cluster-b/anopheline-sialome-cds-pep-larger-orf50-50SimCLTL2.txt", 82)</f>
        <v>82</v>
      </c>
      <c r="BX208">
        <f>HYPERLINK("http://exon.niaid.nih.gov/transcriptome/Anopheles_sialome/links/cluster-b/anopheline-sialome-cds-pep-larger-orf55-50SimCLU2.txt", 2)</f>
        <v>2</v>
      </c>
      <c r="BY208">
        <f>HYPERLINK("http://exon.niaid.nih.gov/transcriptome/Anopheles_sialome/links/cluster-b/anopheline-sialome-cds-pep-larger-orf55-50SimCLTL2.txt", 55)</f>
        <v>55</v>
      </c>
      <c r="BZ208">
        <f>HYPERLINK("http://exon.niaid.nih.gov/transcriptome/Anopheles_sialome/links/cluster-b/anopheline-sialome-cds-pep-larger-orf60-50SimCLU2.txt", 2)</f>
        <v>2</v>
      </c>
      <c r="CA208">
        <f>HYPERLINK("http://exon.niaid.nih.gov/transcriptome/Anopheles_sialome/links/cluster-b/anopheline-sialome-cds-pep-larger-orf60-50SimCLTL2.txt", 54)</f>
        <v>54</v>
      </c>
      <c r="CB208">
        <f>HYPERLINK("http://exon.niaid.nih.gov/transcriptome/Anopheles_sialome/links/cluster-b/anopheline-sialome-cds-pep-larger-orf65-50SimCLU7.txt", 7)</f>
        <v>7</v>
      </c>
      <c r="CC208">
        <f>HYPERLINK("http://exon.niaid.nih.gov/transcriptome/Anopheles_sialome/links/cluster-b/anopheline-sialome-cds-pep-larger-orf65-50SimCLTL7.txt", 21)</f>
        <v>21</v>
      </c>
      <c r="CD208">
        <f>HYPERLINK("http://exon.niaid.nih.gov/transcriptome/Anopheles_sialome/links/cluster-b/anopheline-sialome-cds-pep-larger-orf70-50SimCLU8.txt", 8)</f>
        <v>8</v>
      </c>
      <c r="CE208">
        <f>HYPERLINK("http://exon.niaid.nih.gov/transcriptome/Anopheles_sialome/links/cluster-b/anopheline-sialome-cds-pep-larger-orf70-50SimCLTL8.txt", 19)</f>
        <v>19</v>
      </c>
      <c r="CF208">
        <f>HYPERLINK("http://exon.niaid.nih.gov/transcriptome/Anopheles_sialome/links/cluster-b/anopheline-sialome-cds-pep-larger-orf75-50SimCLU57.txt", 57)</f>
        <v>57</v>
      </c>
      <c r="CG208">
        <f>HYPERLINK("http://exon.niaid.nih.gov/transcriptome/Anopheles_sialome/links/cluster-b/anopheline-sialome-cds-pep-larger-orf75-50SimCLTL57.txt", 2)</f>
        <v>2</v>
      </c>
      <c r="CH208">
        <f>HYPERLINK("http://exon.niaid.nih.gov/transcriptome/Anopheles_sialome/links/cluster-b/anopheline-sialome-cds-pep-larger-orf80-50SimCLU64.txt", 64)</f>
        <v>64</v>
      </c>
      <c r="CI208">
        <f>HYPERLINK("http://exon.niaid.nih.gov/transcriptome/Anopheles_sialome/links/cluster-b/anopheline-sialome-cds-pep-larger-orf80-50SimCLTL64.txt", 2)</f>
        <v>2</v>
      </c>
      <c r="CJ208">
        <f>HYPERLINK("http://exon.niaid.nih.gov/transcriptome/Anopheles_sialome/links/cluster-b/anopheline-sialome-cds-pep-larger-orf85-50SimCLU62.txt", 62)</f>
        <v>62</v>
      </c>
      <c r="CK208">
        <f>HYPERLINK("http://exon.niaid.nih.gov/transcriptome/Anopheles_sialome/links/cluster-b/anopheline-sialome-cds-pep-larger-orf85-50SimCLTL62.txt", 2)</f>
        <v>2</v>
      </c>
      <c r="CL208">
        <v>125</v>
      </c>
      <c r="CM208">
        <v>1</v>
      </c>
      <c r="CN208">
        <v>106</v>
      </c>
      <c r="CO208">
        <v>1</v>
      </c>
    </row>
    <row r="209" spans="1:93">
      <c r="A209" s="2" t="str">
        <f>HYPERLINK("http://exon.niaid.nih.gov/transcriptome/Anopheles_sialome/links/cds/anodar_Ag5r2-cds.txt","anodar_Ag5r2")</f>
        <v>anodar_Ag5r2</v>
      </c>
      <c r="B209">
        <v>804</v>
      </c>
      <c r="C209" t="s">
        <v>63</v>
      </c>
      <c r="D209" t="s">
        <v>4</v>
      </c>
      <c r="E209" t="s">
        <v>5</v>
      </c>
      <c r="F209" t="s">
        <v>1</v>
      </c>
      <c r="G209" t="str">
        <f>HYPERLINK("http://exon.niaid.nih.gov/transcriptome/Anopheles_sialome/links/pep/anodar_Ag5r2-pep.txt","anodar_Ag5r2")</f>
        <v>anodar_Ag5r2</v>
      </c>
      <c r="H209">
        <v>267</v>
      </c>
      <c r="I209">
        <v>1</v>
      </c>
      <c r="J209" s="3" t="str">
        <f>HYPERLINK("http://exon.niaid.nih.gov/transcriptome/Anopheles_sialome/links/Sigp/anodar_Ag5r2-SigP.txt","SIG")</f>
        <v>SIG</v>
      </c>
      <c r="K209" t="s">
        <v>787</v>
      </c>
      <c r="L209">
        <v>29.155000000000001</v>
      </c>
      <c r="M209">
        <v>6.96</v>
      </c>
      <c r="N209">
        <v>26.454999999999998</v>
      </c>
      <c r="O209">
        <v>6.55</v>
      </c>
      <c r="P209" t="s">
        <v>788</v>
      </c>
      <c r="Q209" s="3">
        <v>0</v>
      </c>
      <c r="R209" t="s">
        <v>128</v>
      </c>
      <c r="S209" t="s">
        <v>128</v>
      </c>
      <c r="T209" t="s">
        <v>128</v>
      </c>
      <c r="U209" t="s">
        <v>128</v>
      </c>
      <c r="V209" t="s">
        <v>128</v>
      </c>
      <c r="W209" s="3" t="str">
        <f>HYPERLINK("http://exon.niaid.nih.gov/transcriptome/Anopheles_sialome/links/netoglyc/anodar_Ag5r2-netoglyc.txt","0")</f>
        <v>0</v>
      </c>
      <c r="X209">
        <v>13.5</v>
      </c>
      <c r="Y209">
        <v>7.1</v>
      </c>
      <c r="Z209">
        <v>4.9000000000000004</v>
      </c>
      <c r="AA209" t="s">
        <v>654</v>
      </c>
      <c r="AB209" t="s">
        <v>128</v>
      </c>
      <c r="AC209" s="2" t="str">
        <f>HYPERLINK("http://exon.niaid.nih.gov/transcriptome/Anopheles_sialome/links/DIPTERA/anodar_Ag5r2-DIPTERA.txt","hypothetical protein AND_003517")</f>
        <v>hypothetical protein AND_003517</v>
      </c>
      <c r="AD209" t="str">
        <f>HYPERLINK("http://www.ncbi.nlm.nih.gov/sutils/blink.cgi?pid=568256133","1E-158")</f>
        <v>1E-158</v>
      </c>
      <c r="AE209" t="str">
        <f>HYPERLINK("http://www.ncbi.nlm.nih.gov/protein/568256133","gi|568256133")</f>
        <v>gi|568256133</v>
      </c>
      <c r="AF209">
        <v>100</v>
      </c>
      <c r="AG209">
        <v>100</v>
      </c>
      <c r="AH209">
        <v>100</v>
      </c>
      <c r="AI209" t="s">
        <v>2283</v>
      </c>
      <c r="AJ209" s="2" t="str">
        <f>HYPERLINK("http://exon.niaid.nih.gov/transcriptome/Anopheles_sialome/links/CULICOMORPHA/anodar_Ag5r2-CULICOMORPHA.txt","hypothetical protein AND_003517")</f>
        <v>hypothetical protein AND_003517</v>
      </c>
      <c r="AK209" t="str">
        <f>HYPERLINK("http://www.ncbi.nlm.nih.gov/sutils/blink.cgi?pid=568256133","1E-159")</f>
        <v>1E-159</v>
      </c>
      <c r="AL209" t="str">
        <f>HYPERLINK("http://www.ncbi.nlm.nih.gov/protein/568256133","gi|568256133")</f>
        <v>gi|568256133</v>
      </c>
      <c r="AM209">
        <v>100</v>
      </c>
      <c r="AN209">
        <v>100</v>
      </c>
      <c r="AO209">
        <v>100</v>
      </c>
      <c r="AP209" t="s">
        <v>2283</v>
      </c>
      <c r="AQ209" s="2" t="str">
        <f>HYPERLINK("http://exon.niaid.nih.gov/transcriptome/Anopheles_sialome/links/NR-LIGHT/anodar_Ag5r2-NR-LIGHT.txt","hypothetical protein AND_003517")</f>
        <v>hypothetical protein AND_003517</v>
      </c>
      <c r="AR209" t="str">
        <f>HYPERLINK("http://www.ncbi.nlm.nih.gov/sutils/blink.cgi?pid=568256133","1E-158")</f>
        <v>1E-158</v>
      </c>
      <c r="AS209" t="str">
        <f>HYPERLINK("http://www.ncbi.nlm.nih.gov/protein/568256133","gi|568256133")</f>
        <v>gi|568256133</v>
      </c>
      <c r="AT209">
        <v>100</v>
      </c>
      <c r="AU209">
        <v>100</v>
      </c>
      <c r="AV209">
        <v>100</v>
      </c>
      <c r="AW209" t="s">
        <v>2283</v>
      </c>
      <c r="AX209" s="2" t="str">
        <f>HYPERLINK("http://exon.niaid.nih.gov/transcriptome/Anopheles_sialome/links/CDD/anodar_Ag5r2-CDD.txt","SCP_euk")</f>
        <v>SCP_euk</v>
      </c>
      <c r="AY209" t="str">
        <f>HYPERLINK("http://www.ncbi.nlm.nih.gov/Structure/cdd/cddsrv.cgi?uid=cd05380&amp;version=v4.0","2E-036")</f>
        <v>2E-036</v>
      </c>
      <c r="AZ209" t="s">
        <v>2345</v>
      </c>
      <c r="BA209" s="2" t="str">
        <f>HYPERLINK("http://exon.niaid.nih.gov/transcriptome/Anopheles_sialome/links/KOG/anodar_Ag5r2-KOG.txt","Defense-related protein containing SCP domain")</f>
        <v>Defense-related protein containing SCP domain</v>
      </c>
      <c r="BB209" t="str">
        <f>HYPERLINK("http://www.ncbi.nlm.nih.gov/Structure/cdd/cddsrv.cgi?uid=KOG3017","1E-026")</f>
        <v>1E-026</v>
      </c>
      <c r="BC209" t="s">
        <v>2304</v>
      </c>
      <c r="BD209" t="str">
        <f>HYPERLINK("http://exon.niaid.nih.gov/transcriptome/Anopheles_sialome/links/KOG/anodar_Ag5r2-KOG.txt","KOG3017")</f>
        <v>KOG3017</v>
      </c>
      <c r="BE209" t="str">
        <f>HYPERLINK("http://exon.niaid.nih.gov/transcriptome/Anopheles_sialome/links/PFAM/anodar_Ag5r2-PFAM.txt","CAP")</f>
        <v>CAP</v>
      </c>
      <c r="BF209" t="str">
        <f>HYPERLINK("http://pfam.sanger.ac.uk/family?acc=PF00188","7E-011")</f>
        <v>7E-011</v>
      </c>
      <c r="BG209" s="2" t="str">
        <f>HYPERLINK("http://exon.niaid.nih.gov/transcriptome/Anopheles_sialome/links/SMART/anodar_Ag5r2-SMART.txt","SCP")</f>
        <v>SCP</v>
      </c>
      <c r="BH209" t="str">
        <f>HYPERLINK("http://smart.embl-heidelberg.de/smart/do_annotation.pl?DOMAIN=SCP&amp;BLAST=DUMMY","6E-023")</f>
        <v>6E-023</v>
      </c>
      <c r="BI209" t="s">
        <v>128</v>
      </c>
      <c r="BJ209" s="2" t="s">
        <v>128</v>
      </c>
      <c r="BK209" t="s">
        <v>786</v>
      </c>
      <c r="BL209">
        <f>HYPERLINK("http://exon.niaid.nih.gov/transcriptome/Anopheles_sialome/links/cluster-b/anopheline-sialome-cds-pep-larger-orf25-50SimCLU4.txt", 4)</f>
        <v>4</v>
      </c>
      <c r="BM209">
        <f>HYPERLINK("http://exon.niaid.nih.gov/transcriptome/Anopheles_sialome/links/cluster-b/anopheline-sialome-cds-pep-larger-orf25-50SimCLTL4.txt", 82)</f>
        <v>82</v>
      </c>
      <c r="BN209">
        <f>HYPERLINK("http://exon.niaid.nih.gov/transcriptome/Anopheles_sialome/links/cluster-b/anopheline-sialome-cds-pep-larger-orf30-50SimCLU4.txt", 4)</f>
        <v>4</v>
      </c>
      <c r="BO209">
        <f>HYPERLINK("http://exon.niaid.nih.gov/transcriptome/Anopheles_sialome/links/cluster-b/anopheline-sialome-cds-pep-larger-orf30-50SimCLTL4.txt", 82)</f>
        <v>82</v>
      </c>
      <c r="BP209">
        <f>HYPERLINK("http://exon.niaid.nih.gov/transcriptome/Anopheles_sialome/links/cluster-b/anopheline-sialome-cds-pep-larger-orf35-50SimCLU3.txt", 3)</f>
        <v>3</v>
      </c>
      <c r="BQ209">
        <f>HYPERLINK("http://exon.niaid.nih.gov/transcriptome/Anopheles_sialome/links/cluster-b/anopheline-sialome-cds-pep-larger-orf35-50SimCLTL3.txt", 82)</f>
        <v>82</v>
      </c>
      <c r="BR209">
        <f>HYPERLINK("http://exon.niaid.nih.gov/transcriptome/Anopheles_sialome/links/cluster-b/anopheline-sialome-cds-pep-larger-orf40-50SimCLU3.txt", 3)</f>
        <v>3</v>
      </c>
      <c r="BS209">
        <f>HYPERLINK("http://exon.niaid.nih.gov/transcriptome/Anopheles_sialome/links/cluster-b/anopheline-sialome-cds-pep-larger-orf40-50SimCLTL3.txt", 82)</f>
        <v>82</v>
      </c>
      <c r="BT209">
        <f>HYPERLINK("http://exon.niaid.nih.gov/transcriptome/Anopheles_sialome/links/cluster-b/anopheline-sialome-cds-pep-larger-orf45-50SimCLU2.txt", 2)</f>
        <v>2</v>
      </c>
      <c r="BU209">
        <f>HYPERLINK("http://exon.niaid.nih.gov/transcriptome/Anopheles_sialome/links/cluster-b/anopheline-sialome-cds-pep-larger-orf45-50SimCLTL2.txt", 82)</f>
        <v>82</v>
      </c>
      <c r="BV209">
        <f>HYPERLINK("http://exon.niaid.nih.gov/transcriptome/Anopheles_sialome/links/cluster-b/anopheline-sialome-cds-pep-larger-orf50-50SimCLU2.txt", 2)</f>
        <v>2</v>
      </c>
      <c r="BW209">
        <f>HYPERLINK("http://exon.niaid.nih.gov/transcriptome/Anopheles_sialome/links/cluster-b/anopheline-sialome-cds-pep-larger-orf50-50SimCLTL2.txt", 82)</f>
        <v>82</v>
      </c>
      <c r="BX209">
        <f>HYPERLINK("http://exon.niaid.nih.gov/transcriptome/Anopheles_sialome/links/cluster-b/anopheline-sialome-cds-pep-larger-orf55-50SimCLU2.txt", 2)</f>
        <v>2</v>
      </c>
      <c r="BY209">
        <f>HYPERLINK("http://exon.niaid.nih.gov/transcriptome/Anopheles_sialome/links/cluster-b/anopheline-sialome-cds-pep-larger-orf55-50SimCLTL2.txt", 55)</f>
        <v>55</v>
      </c>
      <c r="BZ209">
        <f>HYPERLINK("http://exon.niaid.nih.gov/transcriptome/Anopheles_sialome/links/cluster-b/anopheline-sialome-cds-pep-larger-orf60-50SimCLU2.txt", 2)</f>
        <v>2</v>
      </c>
      <c r="CA209">
        <f>HYPERLINK("http://exon.niaid.nih.gov/transcriptome/Anopheles_sialome/links/cluster-b/anopheline-sialome-cds-pep-larger-orf60-50SimCLTL2.txt", 54)</f>
        <v>54</v>
      </c>
      <c r="CB209">
        <f>HYPERLINK("http://exon.niaid.nih.gov/transcriptome/Anopheles_sialome/links/cluster-b/anopheline-sialome-cds-pep-larger-orf65-50SimCLU7.txt", 7)</f>
        <v>7</v>
      </c>
      <c r="CC209">
        <f>HYPERLINK("http://exon.niaid.nih.gov/transcriptome/Anopheles_sialome/links/cluster-b/anopheline-sialome-cds-pep-larger-orf65-50SimCLTL7.txt", 21)</f>
        <v>21</v>
      </c>
      <c r="CD209">
        <v>74</v>
      </c>
      <c r="CE209">
        <v>1</v>
      </c>
      <c r="CF209">
        <v>94</v>
      </c>
      <c r="CG209">
        <v>1</v>
      </c>
      <c r="CH209">
        <v>115</v>
      </c>
      <c r="CI209">
        <v>1</v>
      </c>
      <c r="CJ209">
        <v>122</v>
      </c>
      <c r="CK209">
        <v>1</v>
      </c>
      <c r="CL209">
        <v>126</v>
      </c>
      <c r="CM209">
        <v>1</v>
      </c>
      <c r="CN209">
        <v>107</v>
      </c>
      <c r="CO209">
        <v>1</v>
      </c>
    </row>
    <row r="210" spans="1:93">
      <c r="A210" s="5" t="s">
        <v>3193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</row>
    <row r="211" spans="1:93">
      <c r="A211" s="2" t="str">
        <f>HYPERLINK("http://exon.niaid.nih.gov/transcriptome/Anopheles_sialome/links/cds/anoga_Ag5r3-cds.txt","anoga_Ag5r3")</f>
        <v>anoga_Ag5r3</v>
      </c>
      <c r="B211">
        <v>783</v>
      </c>
      <c r="C211" t="s">
        <v>64</v>
      </c>
      <c r="D211" t="s">
        <v>4</v>
      </c>
      <c r="E211" t="s">
        <v>5</v>
      </c>
      <c r="F211" t="s">
        <v>1</v>
      </c>
      <c r="G211" t="str">
        <f>HYPERLINK("http://exon.niaid.nih.gov/transcriptome/Anopheles_sialome/links/pep/anoga_Ag5r3-pep.txt","anoga_Ag5r3")</f>
        <v>anoga_Ag5r3</v>
      </c>
      <c r="H211">
        <v>260</v>
      </c>
      <c r="I211">
        <v>2</v>
      </c>
      <c r="J211" s="3" t="str">
        <f>HYPERLINK("http://exon.niaid.nih.gov/transcriptome/Anopheles_sialome/links/Sigp/anoga_Ag5r3-SigP.txt","SIG")</f>
        <v>SIG</v>
      </c>
      <c r="K211" t="s">
        <v>787</v>
      </c>
      <c r="L211">
        <v>28.684999999999999</v>
      </c>
      <c r="M211">
        <v>7.04</v>
      </c>
      <c r="N211">
        <v>26.231999999999999</v>
      </c>
      <c r="O211">
        <v>6.24</v>
      </c>
      <c r="P211" t="s">
        <v>790</v>
      </c>
      <c r="Q211" s="3">
        <v>0</v>
      </c>
      <c r="R211" t="s">
        <v>128</v>
      </c>
      <c r="S211" t="s">
        <v>128</v>
      </c>
      <c r="T211" t="s">
        <v>128</v>
      </c>
      <c r="U211" t="s">
        <v>128</v>
      </c>
      <c r="V211" t="s">
        <v>128</v>
      </c>
      <c r="W211" s="3" t="str">
        <f>HYPERLINK("http://exon.niaid.nih.gov/transcriptome/Anopheles_sialome/links/netoglyc/anoga_Ag5r3-netoglyc.txt","0")</f>
        <v>0</v>
      </c>
      <c r="X211">
        <v>11.5</v>
      </c>
      <c r="Y211">
        <v>6.9</v>
      </c>
      <c r="Z211">
        <v>5.8</v>
      </c>
      <c r="AA211" t="s">
        <v>654</v>
      </c>
      <c r="AB211" t="s">
        <v>128</v>
      </c>
      <c r="AC211" s="2" t="str">
        <f>HYPERLINK("http://exon.niaid.nih.gov/transcriptome/Anopheles_sialome/links/DIPTERA/anoga_Ag5r3-DIPTERA.txt","AGAP003354-PA")</f>
        <v>AGAP003354-PA</v>
      </c>
      <c r="AD211" t="str">
        <f>HYPERLINK("http://www.ncbi.nlm.nih.gov/sutils/blink.cgi?pid=333469253","1E-157")</f>
        <v>1E-157</v>
      </c>
      <c r="AE211" t="str">
        <f t="shared" ref="AE211:AE223" si="117">HYPERLINK("http://www.ncbi.nlm.nih.gov/protein/333469253","gi|333469253")</f>
        <v>gi|333469253</v>
      </c>
      <c r="AF211">
        <v>100</v>
      </c>
      <c r="AG211">
        <v>100</v>
      </c>
      <c r="AH211">
        <v>100</v>
      </c>
      <c r="AI211" t="s">
        <v>2285</v>
      </c>
      <c r="AJ211" s="2" t="str">
        <f>HYPERLINK("http://exon.niaid.nih.gov/transcriptome/Anopheles_sialome/links/CULICOMORPHA/anoga_Ag5r3-CULICOMORPHA.txt","AGAP003354-PA")</f>
        <v>AGAP003354-PA</v>
      </c>
      <c r="AK211" t="str">
        <f>HYPERLINK("http://www.ncbi.nlm.nih.gov/sutils/blink.cgi?pid=333469253","1E-158")</f>
        <v>1E-158</v>
      </c>
      <c r="AL211" t="str">
        <f t="shared" ref="AL211:AL223" si="118">HYPERLINK("http://www.ncbi.nlm.nih.gov/protein/333469253","gi|333469253")</f>
        <v>gi|333469253</v>
      </c>
      <c r="AM211">
        <v>100</v>
      </c>
      <c r="AN211">
        <v>100</v>
      </c>
      <c r="AO211">
        <v>100</v>
      </c>
      <c r="AP211" t="s">
        <v>2285</v>
      </c>
      <c r="AQ211" s="2" t="str">
        <f>HYPERLINK("http://exon.niaid.nih.gov/transcriptome/Anopheles_sialome/links/NR-LIGHT/anoga_Ag5r3-NR-LIGHT.txt","AGAP003354-PA")</f>
        <v>AGAP003354-PA</v>
      </c>
      <c r="AR211" t="str">
        <f>HYPERLINK("http://www.ncbi.nlm.nih.gov/sutils/blink.cgi?pid=347969748","1E-156")</f>
        <v>1E-156</v>
      </c>
      <c r="AS211" t="str">
        <f t="shared" ref="AS211:AS223" si="119">HYPERLINK("http://www.ncbi.nlm.nih.gov/protein/347969748","gi|347969748")</f>
        <v>gi|347969748</v>
      </c>
      <c r="AT211">
        <v>100</v>
      </c>
      <c r="AU211">
        <v>100</v>
      </c>
      <c r="AV211">
        <v>100</v>
      </c>
      <c r="AW211" t="s">
        <v>2285</v>
      </c>
      <c r="AX211" s="2" t="str">
        <f>HYPERLINK("http://exon.niaid.nih.gov/transcriptome/Anopheles_sialome/links/CDD/anoga_Ag5r3-CDD.txt","SCP_euk")</f>
        <v>SCP_euk</v>
      </c>
      <c r="AY211" t="str">
        <f>HYPERLINK("http://www.ncbi.nlm.nih.gov/Structure/cdd/cddsrv.cgi?uid=cd05380&amp;version=v4.0","4E-036")</f>
        <v>4E-036</v>
      </c>
      <c r="AZ211" t="s">
        <v>2346</v>
      </c>
      <c r="BA211" s="2" t="str">
        <f>HYPERLINK("http://exon.niaid.nih.gov/transcriptome/Anopheles_sialome/links/KOG/anoga_Ag5r3-KOG.txt","Defense-related protein containing SCP domain")</f>
        <v>Defense-related protein containing SCP domain</v>
      </c>
      <c r="BB211" t="str">
        <f>HYPERLINK("http://www.ncbi.nlm.nih.gov/Structure/cdd/cddsrv.cgi?uid=KOG3017","2E-031")</f>
        <v>2E-031</v>
      </c>
      <c r="BC211" t="s">
        <v>2304</v>
      </c>
      <c r="BD211" t="str">
        <f>HYPERLINK("http://exon.niaid.nih.gov/transcriptome/Anopheles_sialome/links/KOG/anoga_Ag5r3-KOG.txt","KOG3017")</f>
        <v>KOG3017</v>
      </c>
      <c r="BE211" t="str">
        <f>HYPERLINK("http://exon.niaid.nih.gov/transcriptome/Anopheles_sialome/links/PFAM/anoga_Ag5r3-PFAM.txt","CAP")</f>
        <v>CAP</v>
      </c>
      <c r="BF211" t="str">
        <f>HYPERLINK("http://pfam.sanger.ac.uk/family?acc=PF00188","4E-014")</f>
        <v>4E-014</v>
      </c>
      <c r="BG211" s="2" t="str">
        <f>HYPERLINK("http://exon.niaid.nih.gov/transcriptome/Anopheles_sialome/links/SMART/anoga_Ag5r3-SMART.txt","SCP")</f>
        <v>SCP</v>
      </c>
      <c r="BH211" t="str">
        <f>HYPERLINK("http://smart.embl-heidelberg.de/smart/do_annotation.pl?DOMAIN=SCP&amp;BLAST=DUMMY","3E-028")</f>
        <v>3E-028</v>
      </c>
      <c r="BI211" t="s">
        <v>128</v>
      </c>
      <c r="BJ211" s="2" t="s">
        <v>128</v>
      </c>
      <c r="BK211" t="s">
        <v>789</v>
      </c>
      <c r="BL211">
        <f>HYPERLINK("http://exon.niaid.nih.gov/transcriptome/Anopheles_sialome/links/cluster-b/anopheline-sialome-cds-pep-larger-orf25-50SimCLU4.txt", 4)</f>
        <v>4</v>
      </c>
      <c r="BM211">
        <f>HYPERLINK("http://exon.niaid.nih.gov/transcriptome/Anopheles_sialome/links/cluster-b/anopheline-sialome-cds-pep-larger-orf25-50SimCLTL4.txt", 82)</f>
        <v>82</v>
      </c>
      <c r="BN211">
        <f>HYPERLINK("http://exon.niaid.nih.gov/transcriptome/Anopheles_sialome/links/cluster-b/anopheline-sialome-cds-pep-larger-orf30-50SimCLU4.txt", 4)</f>
        <v>4</v>
      </c>
      <c r="BO211">
        <f>HYPERLINK("http://exon.niaid.nih.gov/transcriptome/Anopheles_sialome/links/cluster-b/anopheline-sialome-cds-pep-larger-orf30-50SimCLTL4.txt", 82)</f>
        <v>82</v>
      </c>
      <c r="BP211">
        <f>HYPERLINK("http://exon.niaid.nih.gov/transcriptome/Anopheles_sialome/links/cluster-b/anopheline-sialome-cds-pep-larger-orf35-50SimCLU3.txt", 3)</f>
        <v>3</v>
      </c>
      <c r="BQ211">
        <f>HYPERLINK("http://exon.niaid.nih.gov/transcriptome/Anopheles_sialome/links/cluster-b/anopheline-sialome-cds-pep-larger-orf35-50SimCLTL3.txt", 82)</f>
        <v>82</v>
      </c>
      <c r="BR211">
        <f>HYPERLINK("http://exon.niaid.nih.gov/transcriptome/Anopheles_sialome/links/cluster-b/anopheline-sialome-cds-pep-larger-orf40-50SimCLU3.txt", 3)</f>
        <v>3</v>
      </c>
      <c r="BS211">
        <f>HYPERLINK("http://exon.niaid.nih.gov/transcriptome/Anopheles_sialome/links/cluster-b/anopheline-sialome-cds-pep-larger-orf40-50SimCLTL3.txt", 82)</f>
        <v>82</v>
      </c>
      <c r="BT211">
        <f>HYPERLINK("http://exon.niaid.nih.gov/transcriptome/Anopheles_sialome/links/cluster-b/anopheline-sialome-cds-pep-larger-orf45-50SimCLU2.txt", 2)</f>
        <v>2</v>
      </c>
      <c r="BU211">
        <f>HYPERLINK("http://exon.niaid.nih.gov/transcriptome/Anopheles_sialome/links/cluster-b/anopheline-sialome-cds-pep-larger-orf45-50SimCLTL2.txt", 82)</f>
        <v>82</v>
      </c>
      <c r="BV211">
        <f>HYPERLINK("http://exon.niaid.nih.gov/transcriptome/Anopheles_sialome/links/cluster-b/anopheline-sialome-cds-pep-larger-orf50-50SimCLU2.txt", 2)</f>
        <v>2</v>
      </c>
      <c r="BW211">
        <f>HYPERLINK("http://exon.niaid.nih.gov/transcriptome/Anopheles_sialome/links/cluster-b/anopheline-sialome-cds-pep-larger-orf50-50SimCLTL2.txt", 82)</f>
        <v>82</v>
      </c>
      <c r="BX211">
        <f>HYPERLINK("http://exon.niaid.nih.gov/transcriptome/Anopheles_sialome/links/cluster-b/anopheline-sialome-cds-pep-larger-orf55-50SimCLU9.txt", 9)</f>
        <v>9</v>
      </c>
      <c r="BY211">
        <f>HYPERLINK("http://exon.niaid.nih.gov/transcriptome/Anopheles_sialome/links/cluster-b/anopheline-sialome-cds-pep-larger-orf55-50SimCLTL9.txt", 27)</f>
        <v>27</v>
      </c>
      <c r="BZ211">
        <f>HYPERLINK("http://exon.niaid.nih.gov/transcriptome/Anopheles_sialome/links/cluster-b/anopheline-sialome-cds-pep-larger-orf60-50SimCLU7.txt", 7)</f>
        <v>7</v>
      </c>
      <c r="CA211">
        <f>HYPERLINK("http://exon.niaid.nih.gov/transcriptome/Anopheles_sialome/links/cluster-b/anopheline-sialome-cds-pep-larger-orf60-50SimCLTL7.txt", 27)</f>
        <v>27</v>
      </c>
      <c r="CB211">
        <f>HYPERLINK("http://exon.niaid.nih.gov/transcriptome/Anopheles_sialome/links/cluster-b/anopheline-sialome-cds-pep-larger-orf65-50SimCLU4.txt", 4)</f>
        <v>4</v>
      </c>
      <c r="CC211">
        <f>HYPERLINK("http://exon.niaid.nih.gov/transcriptome/Anopheles_sialome/links/cluster-b/anopheline-sialome-cds-pep-larger-orf65-50SimCLTL4.txt", 27)</f>
        <v>27</v>
      </c>
      <c r="CD211">
        <f>HYPERLINK("http://exon.niaid.nih.gov/transcriptome/Anopheles_sialome/links/cluster-b/anopheline-sialome-cds-pep-larger-orf70-50SimCLU3.txt", 3)</f>
        <v>3</v>
      </c>
      <c r="CE211">
        <f>HYPERLINK("http://exon.niaid.nih.gov/transcriptome/Anopheles_sialome/links/cluster-b/anopheline-sialome-cds-pep-larger-orf70-50SimCLTL3.txt", 27)</f>
        <v>27</v>
      </c>
      <c r="CF211">
        <f>HYPERLINK("http://exon.niaid.nih.gov/transcriptome/Anopheles_sialome/links/cluster-b/anopheline-sialome-cds-pep-larger-orf75-50SimCLU3.txt", 3)</f>
        <v>3</v>
      </c>
      <c r="CG211">
        <f>HYPERLINK("http://exon.niaid.nih.gov/transcriptome/Anopheles_sialome/links/cluster-b/anopheline-sialome-cds-pep-larger-orf75-50SimCLTL3.txt", 27)</f>
        <v>27</v>
      </c>
      <c r="CH211">
        <f>HYPERLINK("http://exon.niaid.nih.gov/transcriptome/Anopheles_sialome/links/cluster-b/anopheline-sialome-cds-pep-larger-orf80-50SimCLU2.txt", 2)</f>
        <v>2</v>
      </c>
      <c r="CI211">
        <f>HYPERLINK("http://exon.niaid.nih.gov/transcriptome/Anopheles_sialome/links/cluster-b/anopheline-sialome-cds-pep-larger-orf80-50SimCLTL2.txt", 27)</f>
        <v>27</v>
      </c>
      <c r="CJ211">
        <f>HYPERLINK("http://exon.niaid.nih.gov/transcriptome/Anopheles_sialome/links/cluster-b/anopheline-sialome-cds-pep-larger-orf85-50SimCLU1.txt", 1)</f>
        <v>1</v>
      </c>
      <c r="CK211">
        <f>HYPERLINK("http://exon.niaid.nih.gov/transcriptome/Anopheles_sialome/links/cluster-b/anopheline-sialome-cds-pep-larger-orf85-50SimCLTL1.txt", 27)</f>
        <v>27</v>
      </c>
      <c r="CL211">
        <f>HYPERLINK("http://exon.niaid.nih.gov/transcriptome/Anopheles_sialome/links/cluster-b/anopheline-sialome-cds-pep-larger-orf90-50SimCLU1.txt", 1)</f>
        <v>1</v>
      </c>
      <c r="CM211">
        <f>HYPERLINK("http://exon.niaid.nih.gov/transcriptome/Anopheles_sialome/links/cluster-b/anopheline-sialome-cds-pep-larger-orf90-50SimCLTL1.txt", 25)</f>
        <v>25</v>
      </c>
      <c r="CN211">
        <f>HYPERLINK("http://exon.niaid.nih.gov/transcriptome/Anopheles_sialome/links/cluster-b/anopheline-sialome-cds-pep-larger-orf95-50SimCLU1.txt", 1)</f>
        <v>1</v>
      </c>
      <c r="CO211">
        <f>HYPERLINK("http://exon.niaid.nih.gov/transcriptome/Anopheles_sialome/links/cluster-b/anopheline-sialome-cds-pep-larger-orf95-50SimCLTL1.txt", 23)</f>
        <v>23</v>
      </c>
    </row>
    <row r="212" spans="1:93">
      <c r="A212" s="2" t="str">
        <f>HYPERLINK("http://exon.niaid.nih.gov/transcriptome/Anopheles_sialome/links/cds/anocol_Ag5r3-cds.txt","anocol_Ag5r3")</f>
        <v>anocol_Ag5r3</v>
      </c>
      <c r="B212">
        <v>783</v>
      </c>
      <c r="C212" t="s">
        <v>65</v>
      </c>
      <c r="D212" t="s">
        <v>4</v>
      </c>
      <c r="E212" t="s">
        <v>5</v>
      </c>
      <c r="F212" t="s">
        <v>1</v>
      </c>
      <c r="G212" t="str">
        <f>HYPERLINK("http://exon.niaid.nih.gov/transcriptome/Anopheles_sialome/links/pep/anocol_Ag5r3-pep.txt","anocol_Ag5r3")</f>
        <v>anocol_Ag5r3</v>
      </c>
      <c r="H212">
        <v>260</v>
      </c>
      <c r="I212">
        <v>2</v>
      </c>
      <c r="J212" s="3" t="str">
        <f>HYPERLINK("http://exon.niaid.nih.gov/transcriptome/Anopheles_sialome/links/Sigp/anocol_Ag5r3-SigP.txt","SIG")</f>
        <v>SIG</v>
      </c>
      <c r="K212" t="s">
        <v>787</v>
      </c>
      <c r="L212">
        <v>28.684999999999999</v>
      </c>
      <c r="M212">
        <v>7.04</v>
      </c>
      <c r="N212">
        <v>26.231999999999999</v>
      </c>
      <c r="O212">
        <v>6.24</v>
      </c>
      <c r="P212" t="s">
        <v>790</v>
      </c>
      <c r="Q212" s="3">
        <v>0</v>
      </c>
      <c r="R212" t="s">
        <v>128</v>
      </c>
      <c r="S212" t="s">
        <v>128</v>
      </c>
      <c r="T212" t="s">
        <v>128</v>
      </c>
      <c r="U212" t="s">
        <v>128</v>
      </c>
      <c r="V212" t="s">
        <v>128</v>
      </c>
      <c r="W212" s="3" t="str">
        <f>HYPERLINK("http://exon.niaid.nih.gov/transcriptome/Anopheles_sialome/links/netoglyc/anocol_Ag5r3-netoglyc.txt","0")</f>
        <v>0</v>
      </c>
      <c r="X212">
        <v>11.5</v>
      </c>
      <c r="Y212">
        <v>6.9</v>
      </c>
      <c r="Z212">
        <v>5.8</v>
      </c>
      <c r="AA212" t="s">
        <v>654</v>
      </c>
      <c r="AB212" t="s">
        <v>128</v>
      </c>
      <c r="AC212" s="2" t="str">
        <f>HYPERLINK("http://exon.niaid.nih.gov/transcriptome/Anopheles_sialome/links/DIPTERA/anocol_Ag5r3-DIPTERA.txt","AGAP003354-PA")</f>
        <v>AGAP003354-PA</v>
      </c>
      <c r="AD212" t="str">
        <f>HYPERLINK("http://www.ncbi.nlm.nih.gov/sutils/blink.cgi?pid=333469253","1E-157")</f>
        <v>1E-157</v>
      </c>
      <c r="AE212" t="str">
        <f t="shared" si="117"/>
        <v>gi|333469253</v>
      </c>
      <c r="AF212">
        <v>100</v>
      </c>
      <c r="AG212">
        <v>100</v>
      </c>
      <c r="AH212">
        <v>100</v>
      </c>
      <c r="AI212" t="s">
        <v>2285</v>
      </c>
      <c r="AJ212" s="2" t="str">
        <f>HYPERLINK("http://exon.niaid.nih.gov/transcriptome/Anopheles_sialome/links/CULICOMORPHA/anocol_Ag5r3-CULICOMORPHA.txt","AGAP003354-PA")</f>
        <v>AGAP003354-PA</v>
      </c>
      <c r="AK212" t="str">
        <f>HYPERLINK("http://www.ncbi.nlm.nih.gov/sutils/blink.cgi?pid=333469253","1E-158")</f>
        <v>1E-158</v>
      </c>
      <c r="AL212" t="str">
        <f t="shared" si="118"/>
        <v>gi|333469253</v>
      </c>
      <c r="AM212">
        <v>100</v>
      </c>
      <c r="AN212">
        <v>100</v>
      </c>
      <c r="AO212">
        <v>100</v>
      </c>
      <c r="AP212" t="s">
        <v>2285</v>
      </c>
      <c r="AQ212" s="2" t="str">
        <f>HYPERLINK("http://exon.niaid.nih.gov/transcriptome/Anopheles_sialome/links/NR-LIGHT/anocol_Ag5r3-NR-LIGHT.txt","AGAP003354-PA")</f>
        <v>AGAP003354-PA</v>
      </c>
      <c r="AR212" t="str">
        <f>HYPERLINK("http://www.ncbi.nlm.nih.gov/sutils/blink.cgi?pid=347969748","1E-156")</f>
        <v>1E-156</v>
      </c>
      <c r="AS212" t="str">
        <f t="shared" si="119"/>
        <v>gi|347969748</v>
      </c>
      <c r="AT212">
        <v>100</v>
      </c>
      <c r="AU212">
        <v>100</v>
      </c>
      <c r="AV212">
        <v>100</v>
      </c>
      <c r="AW212" t="s">
        <v>2285</v>
      </c>
      <c r="AX212" s="2" t="str">
        <f>HYPERLINK("http://exon.niaid.nih.gov/transcriptome/Anopheles_sialome/links/CDD/anocol_Ag5r3-CDD.txt","SCP_euk")</f>
        <v>SCP_euk</v>
      </c>
      <c r="AY212" t="str">
        <f>HYPERLINK("http://www.ncbi.nlm.nih.gov/Structure/cdd/cddsrv.cgi?uid=cd05380&amp;version=v4.0","4E-036")</f>
        <v>4E-036</v>
      </c>
      <c r="AZ212" t="s">
        <v>2346</v>
      </c>
      <c r="BA212" s="2" t="str">
        <f>HYPERLINK("http://exon.niaid.nih.gov/transcriptome/Anopheles_sialome/links/KOG/anocol_Ag5r3-KOG.txt","Defense-related protein containing SCP domain")</f>
        <v>Defense-related protein containing SCP domain</v>
      </c>
      <c r="BB212" t="str">
        <f>HYPERLINK("http://www.ncbi.nlm.nih.gov/Structure/cdd/cddsrv.cgi?uid=KOG3017","2E-031")</f>
        <v>2E-031</v>
      </c>
      <c r="BC212" t="s">
        <v>2304</v>
      </c>
      <c r="BD212" t="str">
        <f>HYPERLINK("http://exon.niaid.nih.gov/transcriptome/Anopheles_sialome/links/KOG/anocol_Ag5r3-KOG.txt","KOG3017")</f>
        <v>KOG3017</v>
      </c>
      <c r="BE212" t="str">
        <f>HYPERLINK("http://exon.niaid.nih.gov/transcriptome/Anopheles_sialome/links/PFAM/anocol_Ag5r3-PFAM.txt","CAP")</f>
        <v>CAP</v>
      </c>
      <c r="BF212" t="str">
        <f>HYPERLINK("http://pfam.sanger.ac.uk/family?acc=PF00188","4E-014")</f>
        <v>4E-014</v>
      </c>
      <c r="BG212" s="2" t="str">
        <f>HYPERLINK("http://exon.niaid.nih.gov/transcriptome/Anopheles_sialome/links/SMART/anocol_Ag5r3-SMART.txt","SCP")</f>
        <v>SCP</v>
      </c>
      <c r="BH212" t="str">
        <f>HYPERLINK("http://smart.embl-heidelberg.de/smart/do_annotation.pl?DOMAIN=SCP&amp;BLAST=DUMMY","3E-028")</f>
        <v>3E-028</v>
      </c>
      <c r="BI212" t="s">
        <v>128</v>
      </c>
      <c r="BJ212" s="2" t="s">
        <v>128</v>
      </c>
      <c r="BK212" t="s">
        <v>791</v>
      </c>
      <c r="BL212">
        <f>HYPERLINK("http://exon.niaid.nih.gov/transcriptome/Anopheles_sialome/links/cluster-b/anopheline-sialome-cds-pep-larger-orf25-50SimCLU4.txt", 4)</f>
        <v>4</v>
      </c>
      <c r="BM212">
        <f>HYPERLINK("http://exon.niaid.nih.gov/transcriptome/Anopheles_sialome/links/cluster-b/anopheline-sialome-cds-pep-larger-orf25-50SimCLTL4.txt", 82)</f>
        <v>82</v>
      </c>
      <c r="BN212">
        <f>HYPERLINK("http://exon.niaid.nih.gov/transcriptome/Anopheles_sialome/links/cluster-b/anopheline-sialome-cds-pep-larger-orf30-50SimCLU4.txt", 4)</f>
        <v>4</v>
      </c>
      <c r="BO212">
        <f>HYPERLINK("http://exon.niaid.nih.gov/transcriptome/Anopheles_sialome/links/cluster-b/anopheline-sialome-cds-pep-larger-orf30-50SimCLTL4.txt", 82)</f>
        <v>82</v>
      </c>
      <c r="BP212">
        <f>HYPERLINK("http://exon.niaid.nih.gov/transcriptome/Anopheles_sialome/links/cluster-b/anopheline-sialome-cds-pep-larger-orf35-50SimCLU3.txt", 3)</f>
        <v>3</v>
      </c>
      <c r="BQ212">
        <f>HYPERLINK("http://exon.niaid.nih.gov/transcriptome/Anopheles_sialome/links/cluster-b/anopheline-sialome-cds-pep-larger-orf35-50SimCLTL3.txt", 82)</f>
        <v>82</v>
      </c>
      <c r="BR212">
        <f>HYPERLINK("http://exon.niaid.nih.gov/transcriptome/Anopheles_sialome/links/cluster-b/anopheline-sialome-cds-pep-larger-orf40-50SimCLU3.txt", 3)</f>
        <v>3</v>
      </c>
      <c r="BS212">
        <f>HYPERLINK("http://exon.niaid.nih.gov/transcriptome/Anopheles_sialome/links/cluster-b/anopheline-sialome-cds-pep-larger-orf40-50SimCLTL3.txt", 82)</f>
        <v>82</v>
      </c>
      <c r="BT212">
        <f>HYPERLINK("http://exon.niaid.nih.gov/transcriptome/Anopheles_sialome/links/cluster-b/anopheline-sialome-cds-pep-larger-orf45-50SimCLU2.txt", 2)</f>
        <v>2</v>
      </c>
      <c r="BU212">
        <f>HYPERLINK("http://exon.niaid.nih.gov/transcriptome/Anopheles_sialome/links/cluster-b/anopheline-sialome-cds-pep-larger-orf45-50SimCLTL2.txt", 82)</f>
        <v>82</v>
      </c>
      <c r="BV212">
        <f>HYPERLINK("http://exon.niaid.nih.gov/transcriptome/Anopheles_sialome/links/cluster-b/anopheline-sialome-cds-pep-larger-orf50-50SimCLU2.txt", 2)</f>
        <v>2</v>
      </c>
      <c r="BW212">
        <f>HYPERLINK("http://exon.niaid.nih.gov/transcriptome/Anopheles_sialome/links/cluster-b/anopheline-sialome-cds-pep-larger-orf50-50SimCLTL2.txt", 82)</f>
        <v>82</v>
      </c>
      <c r="BX212">
        <f>HYPERLINK("http://exon.niaid.nih.gov/transcriptome/Anopheles_sialome/links/cluster-b/anopheline-sialome-cds-pep-larger-orf55-50SimCLU9.txt", 9)</f>
        <v>9</v>
      </c>
      <c r="BY212">
        <f>HYPERLINK("http://exon.niaid.nih.gov/transcriptome/Anopheles_sialome/links/cluster-b/anopheline-sialome-cds-pep-larger-orf55-50SimCLTL9.txt", 27)</f>
        <v>27</v>
      </c>
      <c r="BZ212">
        <f>HYPERLINK("http://exon.niaid.nih.gov/transcriptome/Anopheles_sialome/links/cluster-b/anopheline-sialome-cds-pep-larger-orf60-50SimCLU7.txt", 7)</f>
        <v>7</v>
      </c>
      <c r="CA212">
        <f>HYPERLINK("http://exon.niaid.nih.gov/transcriptome/Anopheles_sialome/links/cluster-b/anopheline-sialome-cds-pep-larger-orf60-50SimCLTL7.txt", 27)</f>
        <v>27</v>
      </c>
      <c r="CB212">
        <f>HYPERLINK("http://exon.niaid.nih.gov/transcriptome/Anopheles_sialome/links/cluster-b/anopheline-sialome-cds-pep-larger-orf65-50SimCLU4.txt", 4)</f>
        <v>4</v>
      </c>
      <c r="CC212">
        <f>HYPERLINK("http://exon.niaid.nih.gov/transcriptome/Anopheles_sialome/links/cluster-b/anopheline-sialome-cds-pep-larger-orf65-50SimCLTL4.txt", 27)</f>
        <v>27</v>
      </c>
      <c r="CD212">
        <f>HYPERLINK("http://exon.niaid.nih.gov/transcriptome/Anopheles_sialome/links/cluster-b/anopheline-sialome-cds-pep-larger-orf70-50SimCLU3.txt", 3)</f>
        <v>3</v>
      </c>
      <c r="CE212">
        <f>HYPERLINK("http://exon.niaid.nih.gov/transcriptome/Anopheles_sialome/links/cluster-b/anopheline-sialome-cds-pep-larger-orf70-50SimCLTL3.txt", 27)</f>
        <v>27</v>
      </c>
      <c r="CF212">
        <f>HYPERLINK("http://exon.niaid.nih.gov/transcriptome/Anopheles_sialome/links/cluster-b/anopheline-sialome-cds-pep-larger-orf75-50SimCLU3.txt", 3)</f>
        <v>3</v>
      </c>
      <c r="CG212">
        <f>HYPERLINK("http://exon.niaid.nih.gov/transcriptome/Anopheles_sialome/links/cluster-b/anopheline-sialome-cds-pep-larger-orf75-50SimCLTL3.txt", 27)</f>
        <v>27</v>
      </c>
      <c r="CH212">
        <f>HYPERLINK("http://exon.niaid.nih.gov/transcriptome/Anopheles_sialome/links/cluster-b/anopheline-sialome-cds-pep-larger-orf80-50SimCLU2.txt", 2)</f>
        <v>2</v>
      </c>
      <c r="CI212">
        <f>HYPERLINK("http://exon.niaid.nih.gov/transcriptome/Anopheles_sialome/links/cluster-b/anopheline-sialome-cds-pep-larger-orf80-50SimCLTL2.txt", 27)</f>
        <v>27</v>
      </c>
      <c r="CJ212">
        <f>HYPERLINK("http://exon.niaid.nih.gov/transcriptome/Anopheles_sialome/links/cluster-b/anopheline-sialome-cds-pep-larger-orf85-50SimCLU1.txt", 1)</f>
        <v>1</v>
      </c>
      <c r="CK212">
        <f>HYPERLINK("http://exon.niaid.nih.gov/transcriptome/Anopheles_sialome/links/cluster-b/anopheline-sialome-cds-pep-larger-orf85-50SimCLTL1.txt", 27)</f>
        <v>27</v>
      </c>
      <c r="CL212">
        <f>HYPERLINK("http://exon.niaid.nih.gov/transcriptome/Anopheles_sialome/links/cluster-b/anopheline-sialome-cds-pep-larger-orf90-50SimCLU1.txt", 1)</f>
        <v>1</v>
      </c>
      <c r="CM212">
        <f>HYPERLINK("http://exon.niaid.nih.gov/transcriptome/Anopheles_sialome/links/cluster-b/anopheline-sialome-cds-pep-larger-orf90-50SimCLTL1.txt", 25)</f>
        <v>25</v>
      </c>
      <c r="CN212">
        <f>HYPERLINK("http://exon.niaid.nih.gov/transcriptome/Anopheles_sialome/links/cluster-b/anopheline-sialome-cds-pep-larger-orf95-50SimCLU1.txt", 1)</f>
        <v>1</v>
      </c>
      <c r="CO212">
        <f>HYPERLINK("http://exon.niaid.nih.gov/transcriptome/Anopheles_sialome/links/cluster-b/anopheline-sialome-cds-pep-larger-orf95-50SimCLTL1.txt", 23)</f>
        <v>23</v>
      </c>
    </row>
    <row r="213" spans="1:93">
      <c r="A213" s="2" t="str">
        <f>HYPERLINK("http://exon.niaid.nih.gov/transcriptome/Anopheles_sialome/links/cds/anoara_Ag5r3-cds.txt","anoara_Ag5r3")</f>
        <v>anoara_Ag5r3</v>
      </c>
      <c r="B213">
        <v>783</v>
      </c>
      <c r="C213" t="s">
        <v>66</v>
      </c>
      <c r="D213" t="s">
        <v>4</v>
      </c>
      <c r="E213" t="s">
        <v>5</v>
      </c>
      <c r="F213" t="s">
        <v>1</v>
      </c>
      <c r="G213" t="str">
        <f>HYPERLINK("http://exon.niaid.nih.gov/transcriptome/Anopheles_sialome/links/pep/anoara_Ag5r3-pep.txt","anoara_Ag5r3")</f>
        <v>anoara_Ag5r3</v>
      </c>
      <c r="H213">
        <v>260</v>
      </c>
      <c r="I213">
        <v>2</v>
      </c>
      <c r="J213" s="3" t="str">
        <f>HYPERLINK("http://exon.niaid.nih.gov/transcriptome/Anopheles_sialome/links/Sigp/anoara_Ag5r3-SigP.txt","SIG")</f>
        <v>SIG</v>
      </c>
      <c r="K213" t="s">
        <v>787</v>
      </c>
      <c r="L213">
        <v>28.638999999999999</v>
      </c>
      <c r="M213">
        <v>7.04</v>
      </c>
      <c r="N213">
        <v>26.231999999999999</v>
      </c>
      <c r="O213">
        <v>6.24</v>
      </c>
      <c r="P213" t="s">
        <v>793</v>
      </c>
      <c r="Q213" s="3">
        <v>0</v>
      </c>
      <c r="R213" t="s">
        <v>128</v>
      </c>
      <c r="S213" t="s">
        <v>128</v>
      </c>
      <c r="T213" t="s">
        <v>128</v>
      </c>
      <c r="U213" t="s">
        <v>128</v>
      </c>
      <c r="V213" t="s">
        <v>128</v>
      </c>
      <c r="W213" s="3" t="str">
        <f>HYPERLINK("http://exon.niaid.nih.gov/transcriptome/Anopheles_sialome/links/netoglyc/anoara_Ag5r3-netoglyc.txt","0")</f>
        <v>0</v>
      </c>
      <c r="X213">
        <v>11.5</v>
      </c>
      <c r="Y213">
        <v>6.9</v>
      </c>
      <c r="Z213">
        <v>5.8</v>
      </c>
      <c r="AA213" t="s">
        <v>654</v>
      </c>
      <c r="AB213" t="s">
        <v>128</v>
      </c>
      <c r="AC213" s="2" t="str">
        <f>HYPERLINK("http://exon.niaid.nih.gov/transcriptome/Anopheles_sialome/links/DIPTERA/anoara_Ag5r3-DIPTERA.txt","AGAP003354-PA")</f>
        <v>AGAP003354-PA</v>
      </c>
      <c r="AD213" t="str">
        <f>HYPERLINK("http://www.ncbi.nlm.nih.gov/sutils/blink.cgi?pid=333469253","1E-156")</f>
        <v>1E-156</v>
      </c>
      <c r="AE213" t="str">
        <f t="shared" si="117"/>
        <v>gi|333469253</v>
      </c>
      <c r="AF213">
        <v>99</v>
      </c>
      <c r="AG213">
        <v>99</v>
      </c>
      <c r="AH213">
        <v>100</v>
      </c>
      <c r="AI213" t="s">
        <v>2285</v>
      </c>
      <c r="AJ213" s="2" t="str">
        <f>HYPERLINK("http://exon.niaid.nih.gov/transcriptome/Anopheles_sialome/links/CULICOMORPHA/anoara_Ag5r3-CULICOMORPHA.txt","AGAP003354-PA")</f>
        <v>AGAP003354-PA</v>
      </c>
      <c r="AK213" t="str">
        <f>HYPERLINK("http://www.ncbi.nlm.nih.gov/sutils/blink.cgi?pid=333469253","1E-157")</f>
        <v>1E-157</v>
      </c>
      <c r="AL213" t="str">
        <f t="shared" si="118"/>
        <v>gi|333469253</v>
      </c>
      <c r="AM213">
        <v>99</v>
      </c>
      <c r="AN213">
        <v>99</v>
      </c>
      <c r="AO213">
        <v>100</v>
      </c>
      <c r="AP213" t="s">
        <v>2285</v>
      </c>
      <c r="AQ213" s="2" t="str">
        <f>HYPERLINK("http://exon.niaid.nih.gov/transcriptome/Anopheles_sialome/links/NR-LIGHT/anoara_Ag5r3-NR-LIGHT.txt","AGAP003354-PA")</f>
        <v>AGAP003354-PA</v>
      </c>
      <c r="AR213" t="str">
        <f>HYPERLINK("http://www.ncbi.nlm.nih.gov/sutils/blink.cgi?pid=347969748","1E-155")</f>
        <v>1E-155</v>
      </c>
      <c r="AS213" t="str">
        <f t="shared" si="119"/>
        <v>gi|347969748</v>
      </c>
      <c r="AT213">
        <v>99</v>
      </c>
      <c r="AU213">
        <v>99</v>
      </c>
      <c r="AV213">
        <v>100</v>
      </c>
      <c r="AW213" t="s">
        <v>2285</v>
      </c>
      <c r="AX213" s="2" t="str">
        <f>HYPERLINK("http://exon.niaid.nih.gov/transcriptome/Anopheles_sialome/links/CDD/anoara_Ag5r3-CDD.txt","SCP_euk")</f>
        <v>SCP_euk</v>
      </c>
      <c r="AY213" t="str">
        <f>HYPERLINK("http://www.ncbi.nlm.nih.gov/Structure/cdd/cddsrv.cgi?uid=cd05380&amp;version=v4.0","4E-036")</f>
        <v>4E-036</v>
      </c>
      <c r="AZ213" t="s">
        <v>2346</v>
      </c>
      <c r="BA213" s="2" t="str">
        <f>HYPERLINK("http://exon.niaid.nih.gov/transcriptome/Anopheles_sialome/links/KOG/anoara_Ag5r3-KOG.txt","Defense-related protein containing SCP domain")</f>
        <v>Defense-related protein containing SCP domain</v>
      </c>
      <c r="BB213" t="str">
        <f>HYPERLINK("http://www.ncbi.nlm.nih.gov/Structure/cdd/cddsrv.cgi?uid=KOG3017","2E-031")</f>
        <v>2E-031</v>
      </c>
      <c r="BC213" t="s">
        <v>2304</v>
      </c>
      <c r="BD213" t="str">
        <f>HYPERLINK("http://exon.niaid.nih.gov/transcriptome/Anopheles_sialome/links/KOG/anoara_Ag5r3-KOG.txt","KOG3017")</f>
        <v>KOG3017</v>
      </c>
      <c r="BE213" t="str">
        <f>HYPERLINK("http://exon.niaid.nih.gov/transcriptome/Anopheles_sialome/links/PFAM/anoara_Ag5r3-PFAM.txt","CAP")</f>
        <v>CAP</v>
      </c>
      <c r="BF213" t="str">
        <f>HYPERLINK("http://pfam.sanger.ac.uk/family?acc=PF00188","4E-014")</f>
        <v>4E-014</v>
      </c>
      <c r="BG213" s="2" t="str">
        <f>HYPERLINK("http://exon.niaid.nih.gov/transcriptome/Anopheles_sialome/links/SMART/anoara_Ag5r3-SMART.txt","SCP")</f>
        <v>SCP</v>
      </c>
      <c r="BH213" t="str">
        <f>HYPERLINK("http://smart.embl-heidelberg.de/smart/do_annotation.pl?DOMAIN=SCP&amp;BLAST=DUMMY","3E-028")</f>
        <v>3E-028</v>
      </c>
      <c r="BI213" t="s">
        <v>128</v>
      </c>
      <c r="BJ213" s="2" t="s">
        <v>128</v>
      </c>
      <c r="BK213" t="s">
        <v>792</v>
      </c>
      <c r="BL213">
        <f>HYPERLINK("http://exon.niaid.nih.gov/transcriptome/Anopheles_sialome/links/cluster-b/anopheline-sialome-cds-pep-larger-orf25-50SimCLU4.txt", 4)</f>
        <v>4</v>
      </c>
      <c r="BM213">
        <f>HYPERLINK("http://exon.niaid.nih.gov/transcriptome/Anopheles_sialome/links/cluster-b/anopheline-sialome-cds-pep-larger-orf25-50SimCLTL4.txt", 82)</f>
        <v>82</v>
      </c>
      <c r="BN213">
        <f>HYPERLINK("http://exon.niaid.nih.gov/transcriptome/Anopheles_sialome/links/cluster-b/anopheline-sialome-cds-pep-larger-orf30-50SimCLU4.txt", 4)</f>
        <v>4</v>
      </c>
      <c r="BO213">
        <f>HYPERLINK("http://exon.niaid.nih.gov/transcriptome/Anopheles_sialome/links/cluster-b/anopheline-sialome-cds-pep-larger-orf30-50SimCLTL4.txt", 82)</f>
        <v>82</v>
      </c>
      <c r="BP213">
        <f>HYPERLINK("http://exon.niaid.nih.gov/transcriptome/Anopheles_sialome/links/cluster-b/anopheline-sialome-cds-pep-larger-orf35-50SimCLU3.txt", 3)</f>
        <v>3</v>
      </c>
      <c r="BQ213">
        <f>HYPERLINK("http://exon.niaid.nih.gov/transcriptome/Anopheles_sialome/links/cluster-b/anopheline-sialome-cds-pep-larger-orf35-50SimCLTL3.txt", 82)</f>
        <v>82</v>
      </c>
      <c r="BR213">
        <f>HYPERLINK("http://exon.niaid.nih.gov/transcriptome/Anopheles_sialome/links/cluster-b/anopheline-sialome-cds-pep-larger-orf40-50SimCLU3.txt", 3)</f>
        <v>3</v>
      </c>
      <c r="BS213">
        <f>HYPERLINK("http://exon.niaid.nih.gov/transcriptome/Anopheles_sialome/links/cluster-b/anopheline-sialome-cds-pep-larger-orf40-50SimCLTL3.txt", 82)</f>
        <v>82</v>
      </c>
      <c r="BT213">
        <f>HYPERLINK("http://exon.niaid.nih.gov/transcriptome/Anopheles_sialome/links/cluster-b/anopheline-sialome-cds-pep-larger-orf45-50SimCLU2.txt", 2)</f>
        <v>2</v>
      </c>
      <c r="BU213">
        <f>HYPERLINK("http://exon.niaid.nih.gov/transcriptome/Anopheles_sialome/links/cluster-b/anopheline-sialome-cds-pep-larger-orf45-50SimCLTL2.txt", 82)</f>
        <v>82</v>
      </c>
      <c r="BV213">
        <f>HYPERLINK("http://exon.niaid.nih.gov/transcriptome/Anopheles_sialome/links/cluster-b/anopheline-sialome-cds-pep-larger-orf50-50SimCLU2.txt", 2)</f>
        <v>2</v>
      </c>
      <c r="BW213">
        <f>HYPERLINK("http://exon.niaid.nih.gov/transcriptome/Anopheles_sialome/links/cluster-b/anopheline-sialome-cds-pep-larger-orf50-50SimCLTL2.txt", 82)</f>
        <v>82</v>
      </c>
      <c r="BX213">
        <f>HYPERLINK("http://exon.niaid.nih.gov/transcriptome/Anopheles_sialome/links/cluster-b/anopheline-sialome-cds-pep-larger-orf55-50SimCLU9.txt", 9)</f>
        <v>9</v>
      </c>
      <c r="BY213">
        <f>HYPERLINK("http://exon.niaid.nih.gov/transcriptome/Anopheles_sialome/links/cluster-b/anopheline-sialome-cds-pep-larger-orf55-50SimCLTL9.txt", 27)</f>
        <v>27</v>
      </c>
      <c r="BZ213">
        <f>HYPERLINK("http://exon.niaid.nih.gov/transcriptome/Anopheles_sialome/links/cluster-b/anopheline-sialome-cds-pep-larger-orf60-50SimCLU7.txt", 7)</f>
        <v>7</v>
      </c>
      <c r="CA213">
        <f>HYPERLINK("http://exon.niaid.nih.gov/transcriptome/Anopheles_sialome/links/cluster-b/anopheline-sialome-cds-pep-larger-orf60-50SimCLTL7.txt", 27)</f>
        <v>27</v>
      </c>
      <c r="CB213">
        <f>HYPERLINK("http://exon.niaid.nih.gov/transcriptome/Anopheles_sialome/links/cluster-b/anopheline-sialome-cds-pep-larger-orf65-50SimCLU4.txt", 4)</f>
        <v>4</v>
      </c>
      <c r="CC213">
        <f>HYPERLINK("http://exon.niaid.nih.gov/transcriptome/Anopheles_sialome/links/cluster-b/anopheline-sialome-cds-pep-larger-orf65-50SimCLTL4.txt", 27)</f>
        <v>27</v>
      </c>
      <c r="CD213">
        <f>HYPERLINK("http://exon.niaid.nih.gov/transcriptome/Anopheles_sialome/links/cluster-b/anopheline-sialome-cds-pep-larger-orf70-50SimCLU3.txt", 3)</f>
        <v>3</v>
      </c>
      <c r="CE213">
        <f>HYPERLINK("http://exon.niaid.nih.gov/transcriptome/Anopheles_sialome/links/cluster-b/anopheline-sialome-cds-pep-larger-orf70-50SimCLTL3.txt", 27)</f>
        <v>27</v>
      </c>
      <c r="CF213">
        <f>HYPERLINK("http://exon.niaid.nih.gov/transcriptome/Anopheles_sialome/links/cluster-b/anopheline-sialome-cds-pep-larger-orf75-50SimCLU3.txt", 3)</f>
        <v>3</v>
      </c>
      <c r="CG213">
        <f>HYPERLINK("http://exon.niaid.nih.gov/transcriptome/Anopheles_sialome/links/cluster-b/anopheline-sialome-cds-pep-larger-orf75-50SimCLTL3.txt", 27)</f>
        <v>27</v>
      </c>
      <c r="CH213">
        <f>HYPERLINK("http://exon.niaid.nih.gov/transcriptome/Anopheles_sialome/links/cluster-b/anopheline-sialome-cds-pep-larger-orf80-50SimCLU2.txt", 2)</f>
        <v>2</v>
      </c>
      <c r="CI213">
        <f>HYPERLINK("http://exon.niaid.nih.gov/transcriptome/Anopheles_sialome/links/cluster-b/anopheline-sialome-cds-pep-larger-orf80-50SimCLTL2.txt", 27)</f>
        <v>27</v>
      </c>
      <c r="CJ213">
        <f>HYPERLINK("http://exon.niaid.nih.gov/transcriptome/Anopheles_sialome/links/cluster-b/anopheline-sialome-cds-pep-larger-orf85-50SimCLU1.txt", 1)</f>
        <v>1</v>
      </c>
      <c r="CK213">
        <f>HYPERLINK("http://exon.niaid.nih.gov/transcriptome/Anopheles_sialome/links/cluster-b/anopheline-sialome-cds-pep-larger-orf85-50SimCLTL1.txt", 27)</f>
        <v>27</v>
      </c>
      <c r="CL213">
        <f>HYPERLINK("http://exon.niaid.nih.gov/transcriptome/Anopheles_sialome/links/cluster-b/anopheline-sialome-cds-pep-larger-orf90-50SimCLU1.txt", 1)</f>
        <v>1</v>
      </c>
      <c r="CM213">
        <f>HYPERLINK("http://exon.niaid.nih.gov/transcriptome/Anopheles_sialome/links/cluster-b/anopheline-sialome-cds-pep-larger-orf90-50SimCLTL1.txt", 25)</f>
        <v>25</v>
      </c>
      <c r="CN213">
        <f>HYPERLINK("http://exon.niaid.nih.gov/transcriptome/Anopheles_sialome/links/cluster-b/anopheline-sialome-cds-pep-larger-orf95-50SimCLU1.txt", 1)</f>
        <v>1</v>
      </c>
      <c r="CO213">
        <f>HYPERLINK("http://exon.niaid.nih.gov/transcriptome/Anopheles_sialome/links/cluster-b/anopheline-sialome-cds-pep-larger-orf95-50SimCLTL1.txt", 23)</f>
        <v>23</v>
      </c>
    </row>
    <row r="214" spans="1:93">
      <c r="A214" s="2" t="str">
        <f>HYPERLINK("http://exon.niaid.nih.gov/transcriptome/Anopheles_sialome/links/cds/anoqua_Ag5r3-cds.txt","anoqua_Ag5r3")</f>
        <v>anoqua_Ag5r3</v>
      </c>
      <c r="B214">
        <v>783</v>
      </c>
      <c r="C214" t="s">
        <v>67</v>
      </c>
      <c r="D214" t="s">
        <v>7</v>
      </c>
      <c r="E214" t="s">
        <v>5</v>
      </c>
      <c r="F214" t="s">
        <v>1</v>
      </c>
      <c r="G214" t="str">
        <f>HYPERLINK("http://exon.niaid.nih.gov/transcriptome/Anopheles_sialome/links/pep/anoqua_Ag5r3-pep.txt","anoqua_Ag5r3")</f>
        <v>anoqua_Ag5r3</v>
      </c>
      <c r="H214">
        <v>260</v>
      </c>
      <c r="I214">
        <v>2</v>
      </c>
      <c r="J214" s="3" t="str">
        <f>HYPERLINK("http://exon.niaid.nih.gov/transcriptome/Anopheles_sialome/links/Sigp/anoqua_Ag5r3-SigP.txt","SIG")</f>
        <v>SIG</v>
      </c>
      <c r="K214" t="s">
        <v>787</v>
      </c>
      <c r="L214">
        <v>28.68</v>
      </c>
      <c r="M214">
        <v>7.5</v>
      </c>
      <c r="N214">
        <v>26.210999999999999</v>
      </c>
      <c r="O214">
        <v>6.46</v>
      </c>
      <c r="P214" t="s">
        <v>795</v>
      </c>
      <c r="Q214" s="3">
        <v>0</v>
      </c>
      <c r="R214" t="s">
        <v>128</v>
      </c>
      <c r="S214" t="s">
        <v>128</v>
      </c>
      <c r="T214" t="s">
        <v>128</v>
      </c>
      <c r="U214" t="s">
        <v>128</v>
      </c>
      <c r="V214" t="s">
        <v>128</v>
      </c>
      <c r="W214" s="3" t="str">
        <f>HYPERLINK("http://exon.niaid.nih.gov/transcriptome/Anopheles_sialome/links/netoglyc/anoqua_Ag5r3-netoglyc.txt","0")</f>
        <v>0</v>
      </c>
      <c r="X214">
        <v>11.2</v>
      </c>
      <c r="Y214">
        <v>6.9</v>
      </c>
      <c r="Z214">
        <v>5.8</v>
      </c>
      <c r="AA214" t="s">
        <v>654</v>
      </c>
      <c r="AB214" t="s">
        <v>128</v>
      </c>
      <c r="AC214" s="2" t="str">
        <f>HYPERLINK("http://exon.niaid.nih.gov/transcriptome/Anopheles_sialome/links/DIPTERA/anoqua_Ag5r3-DIPTERA.txt","AGAP003354-PA")</f>
        <v>AGAP003354-PA</v>
      </c>
      <c r="AD214" t="str">
        <f>HYPERLINK("http://www.ncbi.nlm.nih.gov/sutils/blink.cgi?pid=333469253","1E-154")</f>
        <v>1E-154</v>
      </c>
      <c r="AE214" t="str">
        <f t="shared" si="117"/>
        <v>gi|333469253</v>
      </c>
      <c r="AF214">
        <v>98</v>
      </c>
      <c r="AG214">
        <v>98</v>
      </c>
      <c r="AH214">
        <v>100</v>
      </c>
      <c r="AI214" t="s">
        <v>2285</v>
      </c>
      <c r="AJ214" s="2" t="str">
        <f>HYPERLINK("http://exon.niaid.nih.gov/transcriptome/Anopheles_sialome/links/CULICOMORPHA/anoqua_Ag5r3-CULICOMORPHA.txt","AGAP003354-PA")</f>
        <v>AGAP003354-PA</v>
      </c>
      <c r="AK214" t="str">
        <f>HYPERLINK("http://www.ncbi.nlm.nih.gov/sutils/blink.cgi?pid=333469253","1E-155")</f>
        <v>1E-155</v>
      </c>
      <c r="AL214" t="str">
        <f t="shared" si="118"/>
        <v>gi|333469253</v>
      </c>
      <c r="AM214">
        <v>98</v>
      </c>
      <c r="AN214">
        <v>98</v>
      </c>
      <c r="AO214">
        <v>100</v>
      </c>
      <c r="AP214" t="s">
        <v>2285</v>
      </c>
      <c r="AQ214" s="2" t="str">
        <f>HYPERLINK("http://exon.niaid.nih.gov/transcriptome/Anopheles_sialome/links/NR-LIGHT/anoqua_Ag5r3-NR-LIGHT.txt","AGAP003354-PA")</f>
        <v>AGAP003354-PA</v>
      </c>
      <c r="AR214" t="str">
        <f>HYPERLINK("http://www.ncbi.nlm.nih.gov/sutils/blink.cgi?pid=347969748","1E-153")</f>
        <v>1E-153</v>
      </c>
      <c r="AS214" t="str">
        <f t="shared" si="119"/>
        <v>gi|347969748</v>
      </c>
      <c r="AT214">
        <v>98</v>
      </c>
      <c r="AU214">
        <v>98</v>
      </c>
      <c r="AV214">
        <v>100</v>
      </c>
      <c r="AW214" t="s">
        <v>2285</v>
      </c>
      <c r="AX214" s="2" t="str">
        <f>HYPERLINK("http://exon.niaid.nih.gov/transcriptome/Anopheles_sialome/links/CDD/anoqua_Ag5r3-CDD.txt","SCP_euk")</f>
        <v>SCP_euk</v>
      </c>
      <c r="AY214" t="str">
        <f>HYPERLINK("http://www.ncbi.nlm.nih.gov/Structure/cdd/cddsrv.cgi?uid=cd05380&amp;version=v4.0","6E-036")</f>
        <v>6E-036</v>
      </c>
      <c r="AZ214" t="s">
        <v>2347</v>
      </c>
      <c r="BA214" s="2" t="str">
        <f>HYPERLINK("http://exon.niaid.nih.gov/transcriptome/Anopheles_sialome/links/KOG/anoqua_Ag5r3-KOG.txt","Defense-related protein containing SCP domain")</f>
        <v>Defense-related protein containing SCP domain</v>
      </c>
      <c r="BB214" t="str">
        <f>HYPERLINK("http://www.ncbi.nlm.nih.gov/Structure/cdd/cddsrv.cgi?uid=KOG3017","6E-031")</f>
        <v>6E-031</v>
      </c>
      <c r="BC214" t="s">
        <v>2304</v>
      </c>
      <c r="BD214" t="str">
        <f>HYPERLINK("http://exon.niaid.nih.gov/transcriptome/Anopheles_sialome/links/KOG/anoqua_Ag5r3-KOG.txt","KOG3017")</f>
        <v>KOG3017</v>
      </c>
      <c r="BE214" t="str">
        <f>HYPERLINK("http://exon.niaid.nih.gov/transcriptome/Anopheles_sialome/links/PFAM/anoqua_Ag5r3-PFAM.txt","CAP")</f>
        <v>CAP</v>
      </c>
      <c r="BF214" t="str">
        <f>HYPERLINK("http://pfam.sanger.ac.uk/family?acc=PF00188","5E-014")</f>
        <v>5E-014</v>
      </c>
      <c r="BG214" s="2" t="str">
        <f>HYPERLINK("http://exon.niaid.nih.gov/transcriptome/Anopheles_sialome/links/SMART/anoqua_Ag5r3-SMART.txt","SCP")</f>
        <v>SCP</v>
      </c>
      <c r="BH214" t="str">
        <f>HYPERLINK("http://smart.embl-heidelberg.de/smart/do_annotation.pl?DOMAIN=SCP&amp;BLAST=DUMMY","7E-028")</f>
        <v>7E-028</v>
      </c>
      <c r="BI214" t="s">
        <v>128</v>
      </c>
      <c r="BJ214" s="2" t="s">
        <v>128</v>
      </c>
      <c r="BK214" t="s">
        <v>794</v>
      </c>
      <c r="BL214">
        <f>HYPERLINK("http://exon.niaid.nih.gov/transcriptome/Anopheles_sialome/links/cluster-b/anopheline-sialome-cds-pep-larger-orf25-50SimCLU4.txt", 4)</f>
        <v>4</v>
      </c>
      <c r="BM214">
        <f>HYPERLINK("http://exon.niaid.nih.gov/transcriptome/Anopheles_sialome/links/cluster-b/anopheline-sialome-cds-pep-larger-orf25-50SimCLTL4.txt", 82)</f>
        <v>82</v>
      </c>
      <c r="BN214">
        <f>HYPERLINK("http://exon.niaid.nih.gov/transcriptome/Anopheles_sialome/links/cluster-b/anopheline-sialome-cds-pep-larger-orf30-50SimCLU4.txt", 4)</f>
        <v>4</v>
      </c>
      <c r="BO214">
        <f>HYPERLINK("http://exon.niaid.nih.gov/transcriptome/Anopheles_sialome/links/cluster-b/anopheline-sialome-cds-pep-larger-orf30-50SimCLTL4.txt", 82)</f>
        <v>82</v>
      </c>
      <c r="BP214">
        <f>HYPERLINK("http://exon.niaid.nih.gov/transcriptome/Anopheles_sialome/links/cluster-b/anopheline-sialome-cds-pep-larger-orf35-50SimCLU3.txt", 3)</f>
        <v>3</v>
      </c>
      <c r="BQ214">
        <f>HYPERLINK("http://exon.niaid.nih.gov/transcriptome/Anopheles_sialome/links/cluster-b/anopheline-sialome-cds-pep-larger-orf35-50SimCLTL3.txt", 82)</f>
        <v>82</v>
      </c>
      <c r="BR214">
        <f>HYPERLINK("http://exon.niaid.nih.gov/transcriptome/Anopheles_sialome/links/cluster-b/anopheline-sialome-cds-pep-larger-orf40-50SimCLU3.txt", 3)</f>
        <v>3</v>
      </c>
      <c r="BS214">
        <f>HYPERLINK("http://exon.niaid.nih.gov/transcriptome/Anopheles_sialome/links/cluster-b/anopheline-sialome-cds-pep-larger-orf40-50SimCLTL3.txt", 82)</f>
        <v>82</v>
      </c>
      <c r="BT214">
        <f>HYPERLINK("http://exon.niaid.nih.gov/transcriptome/Anopheles_sialome/links/cluster-b/anopheline-sialome-cds-pep-larger-orf45-50SimCLU2.txt", 2)</f>
        <v>2</v>
      </c>
      <c r="BU214">
        <f>HYPERLINK("http://exon.niaid.nih.gov/transcriptome/Anopheles_sialome/links/cluster-b/anopheline-sialome-cds-pep-larger-orf45-50SimCLTL2.txt", 82)</f>
        <v>82</v>
      </c>
      <c r="BV214">
        <f>HYPERLINK("http://exon.niaid.nih.gov/transcriptome/Anopheles_sialome/links/cluster-b/anopheline-sialome-cds-pep-larger-orf50-50SimCLU2.txt", 2)</f>
        <v>2</v>
      </c>
      <c r="BW214">
        <f>HYPERLINK("http://exon.niaid.nih.gov/transcriptome/Anopheles_sialome/links/cluster-b/anopheline-sialome-cds-pep-larger-orf50-50SimCLTL2.txt", 82)</f>
        <v>82</v>
      </c>
      <c r="BX214">
        <f>HYPERLINK("http://exon.niaid.nih.gov/transcriptome/Anopheles_sialome/links/cluster-b/anopheline-sialome-cds-pep-larger-orf55-50SimCLU9.txt", 9)</f>
        <v>9</v>
      </c>
      <c r="BY214">
        <f>HYPERLINK("http://exon.niaid.nih.gov/transcriptome/Anopheles_sialome/links/cluster-b/anopheline-sialome-cds-pep-larger-orf55-50SimCLTL9.txt", 27)</f>
        <v>27</v>
      </c>
      <c r="BZ214">
        <f>HYPERLINK("http://exon.niaid.nih.gov/transcriptome/Anopheles_sialome/links/cluster-b/anopheline-sialome-cds-pep-larger-orf60-50SimCLU7.txt", 7)</f>
        <v>7</v>
      </c>
      <c r="CA214">
        <f>HYPERLINK("http://exon.niaid.nih.gov/transcriptome/Anopheles_sialome/links/cluster-b/anopheline-sialome-cds-pep-larger-orf60-50SimCLTL7.txt", 27)</f>
        <v>27</v>
      </c>
      <c r="CB214">
        <f>HYPERLINK("http://exon.niaid.nih.gov/transcriptome/Anopheles_sialome/links/cluster-b/anopheline-sialome-cds-pep-larger-orf65-50SimCLU4.txt", 4)</f>
        <v>4</v>
      </c>
      <c r="CC214">
        <f>HYPERLINK("http://exon.niaid.nih.gov/transcriptome/Anopheles_sialome/links/cluster-b/anopheline-sialome-cds-pep-larger-orf65-50SimCLTL4.txt", 27)</f>
        <v>27</v>
      </c>
      <c r="CD214">
        <f>HYPERLINK("http://exon.niaid.nih.gov/transcriptome/Anopheles_sialome/links/cluster-b/anopheline-sialome-cds-pep-larger-orf70-50SimCLU3.txt", 3)</f>
        <v>3</v>
      </c>
      <c r="CE214">
        <f>HYPERLINK("http://exon.niaid.nih.gov/transcriptome/Anopheles_sialome/links/cluster-b/anopheline-sialome-cds-pep-larger-orf70-50SimCLTL3.txt", 27)</f>
        <v>27</v>
      </c>
      <c r="CF214">
        <f>HYPERLINK("http://exon.niaid.nih.gov/transcriptome/Anopheles_sialome/links/cluster-b/anopheline-sialome-cds-pep-larger-orf75-50SimCLU3.txt", 3)</f>
        <v>3</v>
      </c>
      <c r="CG214">
        <f>HYPERLINK("http://exon.niaid.nih.gov/transcriptome/Anopheles_sialome/links/cluster-b/anopheline-sialome-cds-pep-larger-orf75-50SimCLTL3.txt", 27)</f>
        <v>27</v>
      </c>
      <c r="CH214">
        <f>HYPERLINK("http://exon.niaid.nih.gov/transcriptome/Anopheles_sialome/links/cluster-b/anopheline-sialome-cds-pep-larger-orf80-50SimCLU2.txt", 2)</f>
        <v>2</v>
      </c>
      <c r="CI214">
        <f>HYPERLINK("http://exon.niaid.nih.gov/transcriptome/Anopheles_sialome/links/cluster-b/anopheline-sialome-cds-pep-larger-orf80-50SimCLTL2.txt", 27)</f>
        <v>27</v>
      </c>
      <c r="CJ214">
        <f>HYPERLINK("http://exon.niaid.nih.gov/transcriptome/Anopheles_sialome/links/cluster-b/anopheline-sialome-cds-pep-larger-orf85-50SimCLU1.txt", 1)</f>
        <v>1</v>
      </c>
      <c r="CK214">
        <f>HYPERLINK("http://exon.niaid.nih.gov/transcriptome/Anopheles_sialome/links/cluster-b/anopheline-sialome-cds-pep-larger-orf85-50SimCLTL1.txt", 27)</f>
        <v>27</v>
      </c>
      <c r="CL214">
        <f>HYPERLINK("http://exon.niaid.nih.gov/transcriptome/Anopheles_sialome/links/cluster-b/anopheline-sialome-cds-pep-larger-orf90-50SimCLU1.txt", 1)</f>
        <v>1</v>
      </c>
      <c r="CM214">
        <f>HYPERLINK("http://exon.niaid.nih.gov/transcriptome/Anopheles_sialome/links/cluster-b/anopheline-sialome-cds-pep-larger-orf90-50SimCLTL1.txt", 25)</f>
        <v>25</v>
      </c>
      <c r="CN214">
        <f>HYPERLINK("http://exon.niaid.nih.gov/transcriptome/Anopheles_sialome/links/cluster-b/anopheline-sialome-cds-pep-larger-orf95-50SimCLU1.txt", 1)</f>
        <v>1</v>
      </c>
      <c r="CO214">
        <f>HYPERLINK("http://exon.niaid.nih.gov/transcriptome/Anopheles_sialome/links/cluster-b/anopheline-sialome-cds-pep-larger-orf95-50SimCLTL1.txt", 23)</f>
        <v>23</v>
      </c>
    </row>
    <row r="215" spans="1:93">
      <c r="A215" s="2" t="str">
        <f>HYPERLINK("http://exon.niaid.nih.gov/transcriptome/Anopheles_sialome/links/cds/anomer_Ag5r3-cds.txt","anomer_Ag5r3")</f>
        <v>anomer_Ag5r3</v>
      </c>
      <c r="B215">
        <v>783</v>
      </c>
      <c r="C215" t="s">
        <v>68</v>
      </c>
      <c r="D215" t="s">
        <v>4</v>
      </c>
      <c r="E215" t="s">
        <v>5</v>
      </c>
      <c r="F215" t="s">
        <v>1</v>
      </c>
      <c r="G215" t="str">
        <f>HYPERLINK("http://exon.niaid.nih.gov/transcriptome/Anopheles_sialome/links/pep/anomer_Ag5r3-pep.txt","anomer_Ag5r3")</f>
        <v>anomer_Ag5r3</v>
      </c>
      <c r="H215">
        <v>260</v>
      </c>
      <c r="I215">
        <v>2</v>
      </c>
      <c r="J215" s="3" t="str">
        <f>HYPERLINK("http://exon.niaid.nih.gov/transcriptome/Anopheles_sialome/links/Sigp/anomer_Ag5r3-SigP.txt","SIG")</f>
        <v>SIG</v>
      </c>
      <c r="K215" t="s">
        <v>787</v>
      </c>
      <c r="L215">
        <v>28.678000000000001</v>
      </c>
      <c r="M215">
        <v>7.51</v>
      </c>
      <c r="N215">
        <v>26.225000000000001</v>
      </c>
      <c r="O215">
        <v>6.46</v>
      </c>
      <c r="P215" t="s">
        <v>797</v>
      </c>
      <c r="Q215" s="3">
        <v>0</v>
      </c>
      <c r="R215" t="s">
        <v>128</v>
      </c>
      <c r="S215" t="s">
        <v>128</v>
      </c>
      <c r="T215" t="s">
        <v>128</v>
      </c>
      <c r="U215" t="s">
        <v>128</v>
      </c>
      <c r="V215" t="s">
        <v>128</v>
      </c>
      <c r="W215" s="3" t="str">
        <f>HYPERLINK("http://exon.niaid.nih.gov/transcriptome/Anopheles_sialome/links/netoglyc/anomer_Ag5r3-netoglyc.txt","0")</f>
        <v>0</v>
      </c>
      <c r="X215">
        <v>11.5</v>
      </c>
      <c r="Y215">
        <v>6.9</v>
      </c>
      <c r="Z215">
        <v>5.8</v>
      </c>
      <c r="AA215" t="s">
        <v>654</v>
      </c>
      <c r="AB215" t="s">
        <v>128</v>
      </c>
      <c r="AC215" s="2" t="str">
        <f>HYPERLINK("http://exon.niaid.nih.gov/transcriptome/Anopheles_sialome/links/DIPTERA/anomer_Ag5r3-DIPTERA.txt","AGAP003354-PA")</f>
        <v>AGAP003354-PA</v>
      </c>
      <c r="AD215" t="str">
        <f>HYPERLINK("http://www.ncbi.nlm.nih.gov/sutils/blink.cgi?pid=333469253","1E-154")</f>
        <v>1E-154</v>
      </c>
      <c r="AE215" t="str">
        <f t="shared" si="117"/>
        <v>gi|333469253</v>
      </c>
      <c r="AF215">
        <v>98</v>
      </c>
      <c r="AG215">
        <v>99</v>
      </c>
      <c r="AH215">
        <v>100</v>
      </c>
      <c r="AI215" t="s">
        <v>2285</v>
      </c>
      <c r="AJ215" s="2" t="str">
        <f>HYPERLINK("http://exon.niaid.nih.gov/transcriptome/Anopheles_sialome/links/CULICOMORPHA/anomer_Ag5r3-CULICOMORPHA.txt","AGAP003354-PA")</f>
        <v>AGAP003354-PA</v>
      </c>
      <c r="AK215" t="str">
        <f>HYPERLINK("http://www.ncbi.nlm.nih.gov/sutils/blink.cgi?pid=333469253","1E-155")</f>
        <v>1E-155</v>
      </c>
      <c r="AL215" t="str">
        <f t="shared" si="118"/>
        <v>gi|333469253</v>
      </c>
      <c r="AM215">
        <v>98</v>
      </c>
      <c r="AN215">
        <v>99</v>
      </c>
      <c r="AO215">
        <v>100</v>
      </c>
      <c r="AP215" t="s">
        <v>2285</v>
      </c>
      <c r="AQ215" s="2" t="str">
        <f>HYPERLINK("http://exon.niaid.nih.gov/transcriptome/Anopheles_sialome/links/NR-LIGHT/anomer_Ag5r3-NR-LIGHT.txt","AGAP003354-PA")</f>
        <v>AGAP003354-PA</v>
      </c>
      <c r="AR215" t="str">
        <f>HYPERLINK("http://www.ncbi.nlm.nih.gov/sutils/blink.cgi?pid=347969748","1E-154")</f>
        <v>1E-154</v>
      </c>
      <c r="AS215" t="str">
        <f t="shared" si="119"/>
        <v>gi|347969748</v>
      </c>
      <c r="AT215">
        <v>98</v>
      </c>
      <c r="AU215">
        <v>99</v>
      </c>
      <c r="AV215">
        <v>100</v>
      </c>
      <c r="AW215" t="s">
        <v>2285</v>
      </c>
      <c r="AX215" s="2" t="str">
        <f>HYPERLINK("http://exon.niaid.nih.gov/transcriptome/Anopheles_sialome/links/CDD/anomer_Ag5r3-CDD.txt","SCP_euk")</f>
        <v>SCP_euk</v>
      </c>
      <c r="AY215" t="str">
        <f>HYPERLINK("http://www.ncbi.nlm.nih.gov/Structure/cdd/cddsrv.cgi?uid=cd05380&amp;version=v4.0","4E-036")</f>
        <v>4E-036</v>
      </c>
      <c r="AZ215" t="s">
        <v>2348</v>
      </c>
      <c r="BA215" s="2" t="str">
        <f>HYPERLINK("http://exon.niaid.nih.gov/transcriptome/Anopheles_sialome/links/KOG/anomer_Ag5r3-KOG.txt","Defense-related protein containing SCP domain")</f>
        <v>Defense-related protein containing SCP domain</v>
      </c>
      <c r="BB215" t="str">
        <f>HYPERLINK("http://www.ncbi.nlm.nih.gov/Structure/cdd/cddsrv.cgi?uid=KOG3017","5E-031")</f>
        <v>5E-031</v>
      </c>
      <c r="BC215" t="s">
        <v>2304</v>
      </c>
      <c r="BD215" t="str">
        <f>HYPERLINK("http://exon.niaid.nih.gov/transcriptome/Anopheles_sialome/links/KOG/anomer_Ag5r3-KOG.txt","KOG3017")</f>
        <v>KOG3017</v>
      </c>
      <c r="BE215" t="str">
        <f>HYPERLINK("http://exon.niaid.nih.gov/transcriptome/Anopheles_sialome/links/PFAM/anomer_Ag5r3-PFAM.txt","CAP")</f>
        <v>CAP</v>
      </c>
      <c r="BF215" t="str">
        <f>HYPERLINK("http://pfam.sanger.ac.uk/family?acc=PF00188","5E-014")</f>
        <v>5E-014</v>
      </c>
      <c r="BG215" s="2" t="str">
        <f>HYPERLINK("http://exon.niaid.nih.gov/transcriptome/Anopheles_sialome/links/SMART/anomer_Ag5r3-SMART.txt","SCP")</f>
        <v>SCP</v>
      </c>
      <c r="BH215" t="str">
        <f>HYPERLINK("http://smart.embl-heidelberg.de/smart/do_annotation.pl?DOMAIN=SCP&amp;BLAST=DUMMY","6E-028")</f>
        <v>6E-028</v>
      </c>
      <c r="BI215" t="s">
        <v>128</v>
      </c>
      <c r="BJ215" s="2" t="s">
        <v>128</v>
      </c>
      <c r="BK215" t="s">
        <v>796</v>
      </c>
      <c r="BL215">
        <f>HYPERLINK("http://exon.niaid.nih.gov/transcriptome/Anopheles_sialome/links/cluster-b/anopheline-sialome-cds-pep-larger-orf25-50SimCLU4.txt", 4)</f>
        <v>4</v>
      </c>
      <c r="BM215">
        <f>HYPERLINK("http://exon.niaid.nih.gov/transcriptome/Anopheles_sialome/links/cluster-b/anopheline-sialome-cds-pep-larger-orf25-50SimCLTL4.txt", 82)</f>
        <v>82</v>
      </c>
      <c r="BN215">
        <f>HYPERLINK("http://exon.niaid.nih.gov/transcriptome/Anopheles_sialome/links/cluster-b/anopheline-sialome-cds-pep-larger-orf30-50SimCLU4.txt", 4)</f>
        <v>4</v>
      </c>
      <c r="BO215">
        <f>HYPERLINK("http://exon.niaid.nih.gov/transcriptome/Anopheles_sialome/links/cluster-b/anopheline-sialome-cds-pep-larger-orf30-50SimCLTL4.txt", 82)</f>
        <v>82</v>
      </c>
      <c r="BP215">
        <f>HYPERLINK("http://exon.niaid.nih.gov/transcriptome/Anopheles_sialome/links/cluster-b/anopheline-sialome-cds-pep-larger-orf35-50SimCLU3.txt", 3)</f>
        <v>3</v>
      </c>
      <c r="BQ215">
        <f>HYPERLINK("http://exon.niaid.nih.gov/transcriptome/Anopheles_sialome/links/cluster-b/anopheline-sialome-cds-pep-larger-orf35-50SimCLTL3.txt", 82)</f>
        <v>82</v>
      </c>
      <c r="BR215">
        <f>HYPERLINK("http://exon.niaid.nih.gov/transcriptome/Anopheles_sialome/links/cluster-b/anopheline-sialome-cds-pep-larger-orf40-50SimCLU3.txt", 3)</f>
        <v>3</v>
      </c>
      <c r="BS215">
        <f>HYPERLINK("http://exon.niaid.nih.gov/transcriptome/Anopheles_sialome/links/cluster-b/anopheline-sialome-cds-pep-larger-orf40-50SimCLTL3.txt", 82)</f>
        <v>82</v>
      </c>
      <c r="BT215">
        <f>HYPERLINK("http://exon.niaid.nih.gov/transcriptome/Anopheles_sialome/links/cluster-b/anopheline-sialome-cds-pep-larger-orf45-50SimCLU2.txt", 2)</f>
        <v>2</v>
      </c>
      <c r="BU215">
        <f>HYPERLINK("http://exon.niaid.nih.gov/transcriptome/Anopheles_sialome/links/cluster-b/anopheline-sialome-cds-pep-larger-orf45-50SimCLTL2.txt", 82)</f>
        <v>82</v>
      </c>
      <c r="BV215">
        <f>HYPERLINK("http://exon.niaid.nih.gov/transcriptome/Anopheles_sialome/links/cluster-b/anopheline-sialome-cds-pep-larger-orf50-50SimCLU2.txt", 2)</f>
        <v>2</v>
      </c>
      <c r="BW215">
        <f>HYPERLINK("http://exon.niaid.nih.gov/transcriptome/Anopheles_sialome/links/cluster-b/anopheline-sialome-cds-pep-larger-orf50-50SimCLTL2.txt", 82)</f>
        <v>82</v>
      </c>
      <c r="BX215">
        <f>HYPERLINK("http://exon.niaid.nih.gov/transcriptome/Anopheles_sialome/links/cluster-b/anopheline-sialome-cds-pep-larger-orf55-50SimCLU9.txt", 9)</f>
        <v>9</v>
      </c>
      <c r="BY215">
        <f>HYPERLINK("http://exon.niaid.nih.gov/transcriptome/Anopheles_sialome/links/cluster-b/anopheline-sialome-cds-pep-larger-orf55-50SimCLTL9.txt", 27)</f>
        <v>27</v>
      </c>
      <c r="BZ215">
        <f>HYPERLINK("http://exon.niaid.nih.gov/transcriptome/Anopheles_sialome/links/cluster-b/anopheline-sialome-cds-pep-larger-orf60-50SimCLU7.txt", 7)</f>
        <v>7</v>
      </c>
      <c r="CA215">
        <f>HYPERLINK("http://exon.niaid.nih.gov/transcriptome/Anopheles_sialome/links/cluster-b/anopheline-sialome-cds-pep-larger-orf60-50SimCLTL7.txt", 27)</f>
        <v>27</v>
      </c>
      <c r="CB215">
        <f>HYPERLINK("http://exon.niaid.nih.gov/transcriptome/Anopheles_sialome/links/cluster-b/anopheline-sialome-cds-pep-larger-orf65-50SimCLU4.txt", 4)</f>
        <v>4</v>
      </c>
      <c r="CC215">
        <f>HYPERLINK("http://exon.niaid.nih.gov/transcriptome/Anopheles_sialome/links/cluster-b/anopheline-sialome-cds-pep-larger-orf65-50SimCLTL4.txt", 27)</f>
        <v>27</v>
      </c>
      <c r="CD215">
        <f>HYPERLINK("http://exon.niaid.nih.gov/transcriptome/Anopheles_sialome/links/cluster-b/anopheline-sialome-cds-pep-larger-orf70-50SimCLU3.txt", 3)</f>
        <v>3</v>
      </c>
      <c r="CE215">
        <f>HYPERLINK("http://exon.niaid.nih.gov/transcriptome/Anopheles_sialome/links/cluster-b/anopheline-sialome-cds-pep-larger-orf70-50SimCLTL3.txt", 27)</f>
        <v>27</v>
      </c>
      <c r="CF215">
        <f>HYPERLINK("http://exon.niaid.nih.gov/transcriptome/Anopheles_sialome/links/cluster-b/anopheline-sialome-cds-pep-larger-orf75-50SimCLU3.txt", 3)</f>
        <v>3</v>
      </c>
      <c r="CG215">
        <f>HYPERLINK("http://exon.niaid.nih.gov/transcriptome/Anopheles_sialome/links/cluster-b/anopheline-sialome-cds-pep-larger-orf75-50SimCLTL3.txt", 27)</f>
        <v>27</v>
      </c>
      <c r="CH215">
        <f>HYPERLINK("http://exon.niaid.nih.gov/transcriptome/Anopheles_sialome/links/cluster-b/anopheline-sialome-cds-pep-larger-orf80-50SimCLU2.txt", 2)</f>
        <v>2</v>
      </c>
      <c r="CI215">
        <f>HYPERLINK("http://exon.niaid.nih.gov/transcriptome/Anopheles_sialome/links/cluster-b/anopheline-sialome-cds-pep-larger-orf80-50SimCLTL2.txt", 27)</f>
        <v>27</v>
      </c>
      <c r="CJ215">
        <f>HYPERLINK("http://exon.niaid.nih.gov/transcriptome/Anopheles_sialome/links/cluster-b/anopheline-sialome-cds-pep-larger-orf85-50SimCLU1.txt", 1)</f>
        <v>1</v>
      </c>
      <c r="CK215">
        <f>HYPERLINK("http://exon.niaid.nih.gov/transcriptome/Anopheles_sialome/links/cluster-b/anopheline-sialome-cds-pep-larger-orf85-50SimCLTL1.txt", 27)</f>
        <v>27</v>
      </c>
      <c r="CL215">
        <f>HYPERLINK("http://exon.niaid.nih.gov/transcriptome/Anopheles_sialome/links/cluster-b/anopheline-sialome-cds-pep-larger-orf90-50SimCLU1.txt", 1)</f>
        <v>1</v>
      </c>
      <c r="CM215">
        <f>HYPERLINK("http://exon.niaid.nih.gov/transcriptome/Anopheles_sialome/links/cluster-b/anopheline-sialome-cds-pep-larger-orf90-50SimCLTL1.txt", 25)</f>
        <v>25</v>
      </c>
      <c r="CN215">
        <f>HYPERLINK("http://exon.niaid.nih.gov/transcriptome/Anopheles_sialome/links/cluster-b/anopheline-sialome-cds-pep-larger-orf95-50SimCLU1.txt", 1)</f>
        <v>1</v>
      </c>
      <c r="CO215">
        <f>HYPERLINK("http://exon.niaid.nih.gov/transcriptome/Anopheles_sialome/links/cluster-b/anopheline-sialome-cds-pep-larger-orf95-50SimCLTL1.txt", 23)</f>
        <v>23</v>
      </c>
    </row>
    <row r="216" spans="1:93">
      <c r="A216" s="2" t="str">
        <f>HYPERLINK("http://exon.niaid.nih.gov/transcriptome/Anopheles_sialome/links/cds/anomel_Ag5r3-cds.txt","anomel_Ag5r3")</f>
        <v>anomel_Ag5r3</v>
      </c>
      <c r="B216">
        <v>783</v>
      </c>
      <c r="C216" t="s">
        <v>69</v>
      </c>
      <c r="D216" t="s">
        <v>4</v>
      </c>
      <c r="E216" t="s">
        <v>5</v>
      </c>
      <c r="F216" t="s">
        <v>1</v>
      </c>
      <c r="G216" t="str">
        <f>HYPERLINK("http://exon.niaid.nih.gov/transcriptome/Anopheles_sialome/links/pep/anomel_Ag5r3-pep.txt","anomel_Ag5r3")</f>
        <v>anomel_Ag5r3</v>
      </c>
      <c r="H216">
        <v>260</v>
      </c>
      <c r="I216">
        <v>2</v>
      </c>
      <c r="J216" s="3" t="str">
        <f>HYPERLINK("http://exon.niaid.nih.gov/transcriptome/Anopheles_sialome/links/Sigp/anomel_Ag5r3-SigP.txt","SIG")</f>
        <v>SIG</v>
      </c>
      <c r="K216" t="s">
        <v>787</v>
      </c>
      <c r="L216">
        <v>28.667999999999999</v>
      </c>
      <c r="M216">
        <v>7.51</v>
      </c>
      <c r="N216">
        <v>26.215</v>
      </c>
      <c r="O216">
        <v>6.46</v>
      </c>
      <c r="P216" t="s">
        <v>797</v>
      </c>
      <c r="Q216" s="3">
        <v>0</v>
      </c>
      <c r="R216" t="s">
        <v>128</v>
      </c>
      <c r="S216" t="s">
        <v>128</v>
      </c>
      <c r="T216" t="s">
        <v>128</v>
      </c>
      <c r="U216" t="s">
        <v>128</v>
      </c>
      <c r="V216" t="s">
        <v>128</v>
      </c>
      <c r="W216" s="3" t="str">
        <f>HYPERLINK("http://exon.niaid.nih.gov/transcriptome/Anopheles_sialome/links/netoglyc/anomel_Ag5r3-netoglyc.txt","0")</f>
        <v>0</v>
      </c>
      <c r="X216">
        <v>11.5</v>
      </c>
      <c r="Y216">
        <v>6.9</v>
      </c>
      <c r="Z216">
        <v>5.8</v>
      </c>
      <c r="AA216" t="s">
        <v>654</v>
      </c>
      <c r="AB216" t="s">
        <v>128</v>
      </c>
      <c r="AC216" s="2" t="str">
        <f>HYPERLINK("http://exon.niaid.nih.gov/transcriptome/Anopheles_sialome/links/DIPTERA/anomel_Ag5r3-DIPTERA.txt","AGAP003354-PA")</f>
        <v>AGAP003354-PA</v>
      </c>
      <c r="AD216" t="str">
        <f>HYPERLINK("http://www.ncbi.nlm.nih.gov/sutils/blink.cgi?pid=333469253","1E-154")</f>
        <v>1E-154</v>
      </c>
      <c r="AE216" t="str">
        <f t="shared" si="117"/>
        <v>gi|333469253</v>
      </c>
      <c r="AF216">
        <v>97</v>
      </c>
      <c r="AG216">
        <v>99</v>
      </c>
      <c r="AH216">
        <v>100</v>
      </c>
      <c r="AI216" t="s">
        <v>2285</v>
      </c>
      <c r="AJ216" s="2" t="str">
        <f>HYPERLINK("http://exon.niaid.nih.gov/transcriptome/Anopheles_sialome/links/CULICOMORPHA/anomel_Ag5r3-CULICOMORPHA.txt","AGAP003354-PA")</f>
        <v>AGAP003354-PA</v>
      </c>
      <c r="AK216" t="str">
        <f>HYPERLINK("http://www.ncbi.nlm.nih.gov/sutils/blink.cgi?pid=333469253","1E-155")</f>
        <v>1E-155</v>
      </c>
      <c r="AL216" t="str">
        <f t="shared" si="118"/>
        <v>gi|333469253</v>
      </c>
      <c r="AM216">
        <v>97</v>
      </c>
      <c r="AN216">
        <v>99</v>
      </c>
      <c r="AO216">
        <v>100</v>
      </c>
      <c r="AP216" t="s">
        <v>2285</v>
      </c>
      <c r="AQ216" s="2" t="str">
        <f>HYPERLINK("http://exon.niaid.nih.gov/transcriptome/Anopheles_sialome/links/NR-LIGHT/anomel_Ag5r3-NR-LIGHT.txt","AGAP003354-PA")</f>
        <v>AGAP003354-PA</v>
      </c>
      <c r="AR216" t="str">
        <f>HYPERLINK("http://www.ncbi.nlm.nih.gov/sutils/blink.cgi?pid=347969748","1E-154")</f>
        <v>1E-154</v>
      </c>
      <c r="AS216" t="str">
        <f t="shared" si="119"/>
        <v>gi|347969748</v>
      </c>
      <c r="AT216">
        <v>97</v>
      </c>
      <c r="AU216">
        <v>99</v>
      </c>
      <c r="AV216">
        <v>100</v>
      </c>
      <c r="AW216" t="s">
        <v>2285</v>
      </c>
      <c r="AX216" s="2" t="str">
        <f>HYPERLINK("http://exon.niaid.nih.gov/transcriptome/Anopheles_sialome/links/CDD/anomel_Ag5r3-CDD.txt","SCP_euk")</f>
        <v>SCP_euk</v>
      </c>
      <c r="AY216" t="str">
        <f>HYPERLINK("http://www.ncbi.nlm.nih.gov/Structure/cdd/cddsrv.cgi?uid=cd05380&amp;version=v4.0","2E-036")</f>
        <v>2E-036</v>
      </c>
      <c r="AZ216" t="s">
        <v>2349</v>
      </c>
      <c r="BA216" s="2" t="str">
        <f>HYPERLINK("http://exon.niaid.nih.gov/transcriptome/Anopheles_sialome/links/KOG/anomel_Ag5r3-KOG.txt","Defense-related protein containing SCP domain")</f>
        <v>Defense-related protein containing SCP domain</v>
      </c>
      <c r="BB216" t="str">
        <f>HYPERLINK("http://www.ncbi.nlm.nih.gov/Structure/cdd/cddsrv.cgi?uid=KOG3017","5E-031")</f>
        <v>5E-031</v>
      </c>
      <c r="BC216" t="s">
        <v>2304</v>
      </c>
      <c r="BD216" t="str">
        <f>HYPERLINK("http://exon.niaid.nih.gov/transcriptome/Anopheles_sialome/links/KOG/anomel_Ag5r3-KOG.txt","KOG3017")</f>
        <v>KOG3017</v>
      </c>
      <c r="BE216" t="str">
        <f>HYPERLINK("http://exon.niaid.nih.gov/transcriptome/Anopheles_sialome/links/PFAM/anomel_Ag5r3-PFAM.txt","CAP")</f>
        <v>CAP</v>
      </c>
      <c r="BF216" t="str">
        <f>HYPERLINK("http://pfam.sanger.ac.uk/family?acc=PF00188","2E-013")</f>
        <v>2E-013</v>
      </c>
      <c r="BG216" s="2" t="str">
        <f>HYPERLINK("http://exon.niaid.nih.gov/transcriptome/Anopheles_sialome/links/SMART/anomel_Ag5r3-SMART.txt","SCP")</f>
        <v>SCP</v>
      </c>
      <c r="BH216" t="str">
        <f>HYPERLINK("http://smart.embl-heidelberg.de/smart/do_annotation.pl?DOMAIN=SCP&amp;BLAST=DUMMY","3E-028")</f>
        <v>3E-028</v>
      </c>
      <c r="BI216" t="s">
        <v>128</v>
      </c>
      <c r="BJ216" s="2" t="s">
        <v>128</v>
      </c>
      <c r="BK216" t="s">
        <v>798</v>
      </c>
      <c r="BL216">
        <f>HYPERLINK("http://exon.niaid.nih.gov/transcriptome/Anopheles_sialome/links/cluster-b/anopheline-sialome-cds-pep-larger-orf25-50SimCLU4.txt", 4)</f>
        <v>4</v>
      </c>
      <c r="BM216">
        <f>HYPERLINK("http://exon.niaid.nih.gov/transcriptome/Anopheles_sialome/links/cluster-b/anopheline-sialome-cds-pep-larger-orf25-50SimCLTL4.txt", 82)</f>
        <v>82</v>
      </c>
      <c r="BN216">
        <f>HYPERLINK("http://exon.niaid.nih.gov/transcriptome/Anopheles_sialome/links/cluster-b/anopheline-sialome-cds-pep-larger-orf30-50SimCLU4.txt", 4)</f>
        <v>4</v>
      </c>
      <c r="BO216">
        <f>HYPERLINK("http://exon.niaid.nih.gov/transcriptome/Anopheles_sialome/links/cluster-b/anopheline-sialome-cds-pep-larger-orf30-50SimCLTL4.txt", 82)</f>
        <v>82</v>
      </c>
      <c r="BP216">
        <f>HYPERLINK("http://exon.niaid.nih.gov/transcriptome/Anopheles_sialome/links/cluster-b/anopheline-sialome-cds-pep-larger-orf35-50SimCLU3.txt", 3)</f>
        <v>3</v>
      </c>
      <c r="BQ216">
        <f>HYPERLINK("http://exon.niaid.nih.gov/transcriptome/Anopheles_sialome/links/cluster-b/anopheline-sialome-cds-pep-larger-orf35-50SimCLTL3.txt", 82)</f>
        <v>82</v>
      </c>
      <c r="BR216">
        <f>HYPERLINK("http://exon.niaid.nih.gov/transcriptome/Anopheles_sialome/links/cluster-b/anopheline-sialome-cds-pep-larger-orf40-50SimCLU3.txt", 3)</f>
        <v>3</v>
      </c>
      <c r="BS216">
        <f>HYPERLINK("http://exon.niaid.nih.gov/transcriptome/Anopheles_sialome/links/cluster-b/anopheline-sialome-cds-pep-larger-orf40-50SimCLTL3.txt", 82)</f>
        <v>82</v>
      </c>
      <c r="BT216">
        <f>HYPERLINK("http://exon.niaid.nih.gov/transcriptome/Anopheles_sialome/links/cluster-b/anopheline-sialome-cds-pep-larger-orf45-50SimCLU2.txt", 2)</f>
        <v>2</v>
      </c>
      <c r="BU216">
        <f>HYPERLINK("http://exon.niaid.nih.gov/transcriptome/Anopheles_sialome/links/cluster-b/anopheline-sialome-cds-pep-larger-orf45-50SimCLTL2.txt", 82)</f>
        <v>82</v>
      </c>
      <c r="BV216">
        <f>HYPERLINK("http://exon.niaid.nih.gov/transcriptome/Anopheles_sialome/links/cluster-b/anopheline-sialome-cds-pep-larger-orf50-50SimCLU2.txt", 2)</f>
        <v>2</v>
      </c>
      <c r="BW216">
        <f>HYPERLINK("http://exon.niaid.nih.gov/transcriptome/Anopheles_sialome/links/cluster-b/anopheline-sialome-cds-pep-larger-orf50-50SimCLTL2.txt", 82)</f>
        <v>82</v>
      </c>
      <c r="BX216">
        <f>HYPERLINK("http://exon.niaid.nih.gov/transcriptome/Anopheles_sialome/links/cluster-b/anopheline-sialome-cds-pep-larger-orf55-50SimCLU9.txt", 9)</f>
        <v>9</v>
      </c>
      <c r="BY216">
        <f>HYPERLINK("http://exon.niaid.nih.gov/transcriptome/Anopheles_sialome/links/cluster-b/anopheline-sialome-cds-pep-larger-orf55-50SimCLTL9.txt", 27)</f>
        <v>27</v>
      </c>
      <c r="BZ216">
        <f>HYPERLINK("http://exon.niaid.nih.gov/transcriptome/Anopheles_sialome/links/cluster-b/anopheline-sialome-cds-pep-larger-orf60-50SimCLU7.txt", 7)</f>
        <v>7</v>
      </c>
      <c r="CA216">
        <f>HYPERLINK("http://exon.niaid.nih.gov/transcriptome/Anopheles_sialome/links/cluster-b/anopheline-sialome-cds-pep-larger-orf60-50SimCLTL7.txt", 27)</f>
        <v>27</v>
      </c>
      <c r="CB216">
        <f>HYPERLINK("http://exon.niaid.nih.gov/transcriptome/Anopheles_sialome/links/cluster-b/anopheline-sialome-cds-pep-larger-orf65-50SimCLU4.txt", 4)</f>
        <v>4</v>
      </c>
      <c r="CC216">
        <f>HYPERLINK("http://exon.niaid.nih.gov/transcriptome/Anopheles_sialome/links/cluster-b/anopheline-sialome-cds-pep-larger-orf65-50SimCLTL4.txt", 27)</f>
        <v>27</v>
      </c>
      <c r="CD216">
        <f>HYPERLINK("http://exon.niaid.nih.gov/transcriptome/Anopheles_sialome/links/cluster-b/anopheline-sialome-cds-pep-larger-orf70-50SimCLU3.txt", 3)</f>
        <v>3</v>
      </c>
      <c r="CE216">
        <f>HYPERLINK("http://exon.niaid.nih.gov/transcriptome/Anopheles_sialome/links/cluster-b/anopheline-sialome-cds-pep-larger-orf70-50SimCLTL3.txt", 27)</f>
        <v>27</v>
      </c>
      <c r="CF216">
        <f>HYPERLINK("http://exon.niaid.nih.gov/transcriptome/Anopheles_sialome/links/cluster-b/anopheline-sialome-cds-pep-larger-orf75-50SimCLU3.txt", 3)</f>
        <v>3</v>
      </c>
      <c r="CG216">
        <f>HYPERLINK("http://exon.niaid.nih.gov/transcriptome/Anopheles_sialome/links/cluster-b/anopheline-sialome-cds-pep-larger-orf75-50SimCLTL3.txt", 27)</f>
        <v>27</v>
      </c>
      <c r="CH216">
        <f>HYPERLINK("http://exon.niaid.nih.gov/transcriptome/Anopheles_sialome/links/cluster-b/anopheline-sialome-cds-pep-larger-orf80-50SimCLU2.txt", 2)</f>
        <v>2</v>
      </c>
      <c r="CI216">
        <f>HYPERLINK("http://exon.niaid.nih.gov/transcriptome/Anopheles_sialome/links/cluster-b/anopheline-sialome-cds-pep-larger-orf80-50SimCLTL2.txt", 27)</f>
        <v>27</v>
      </c>
      <c r="CJ216">
        <f>HYPERLINK("http://exon.niaid.nih.gov/transcriptome/Anopheles_sialome/links/cluster-b/anopheline-sialome-cds-pep-larger-orf85-50SimCLU1.txt", 1)</f>
        <v>1</v>
      </c>
      <c r="CK216">
        <f>HYPERLINK("http://exon.niaid.nih.gov/transcriptome/Anopheles_sialome/links/cluster-b/anopheline-sialome-cds-pep-larger-orf85-50SimCLTL1.txt", 27)</f>
        <v>27</v>
      </c>
      <c r="CL216">
        <f>HYPERLINK("http://exon.niaid.nih.gov/transcriptome/Anopheles_sialome/links/cluster-b/anopheline-sialome-cds-pep-larger-orf90-50SimCLU1.txt", 1)</f>
        <v>1</v>
      </c>
      <c r="CM216">
        <f>HYPERLINK("http://exon.niaid.nih.gov/transcriptome/Anopheles_sialome/links/cluster-b/anopheline-sialome-cds-pep-larger-orf90-50SimCLTL1.txt", 25)</f>
        <v>25</v>
      </c>
      <c r="CN216">
        <f>HYPERLINK("http://exon.niaid.nih.gov/transcriptome/Anopheles_sialome/links/cluster-b/anopheline-sialome-cds-pep-larger-orf95-50SimCLU1.txt", 1)</f>
        <v>1</v>
      </c>
      <c r="CO216">
        <f>HYPERLINK("http://exon.niaid.nih.gov/transcriptome/Anopheles_sialome/links/cluster-b/anopheline-sialome-cds-pep-larger-orf95-50SimCLTL1.txt", 23)</f>
        <v>23</v>
      </c>
    </row>
    <row r="217" spans="1:93">
      <c r="A217" s="2" t="str">
        <f>HYPERLINK("http://exon.niaid.nih.gov/transcriptome/Anopheles_sialome/links/cds/anochris_Ag5r3-cds.txt","anochris_Ag5r3")</f>
        <v>anochris_Ag5r3</v>
      </c>
      <c r="B217">
        <v>783</v>
      </c>
      <c r="C217" t="s">
        <v>4</v>
      </c>
      <c r="D217" s="8" t="s">
        <v>3178</v>
      </c>
      <c r="E217" t="s">
        <v>5</v>
      </c>
      <c r="F217" t="s">
        <v>1</v>
      </c>
      <c r="G217" t="str">
        <f>HYPERLINK("http://exon.niaid.nih.gov/transcriptome/Anopheles_sialome/links/pep/anochris_Ag5r3-pep.txt","anochris_Ag5r3")</f>
        <v>anochris_Ag5r3</v>
      </c>
      <c r="H217">
        <v>260</v>
      </c>
      <c r="I217">
        <v>2</v>
      </c>
      <c r="J217" s="3" t="str">
        <f>HYPERLINK("http://exon.niaid.nih.gov/transcriptome/Anopheles_sialome/links/Sigp/anochris_Ag5r3-SigP.txt","SIG")</f>
        <v>SIG</v>
      </c>
      <c r="K217" t="s">
        <v>787</v>
      </c>
      <c r="L217">
        <v>28.492000000000001</v>
      </c>
      <c r="M217">
        <v>7.51</v>
      </c>
      <c r="N217">
        <v>26.081</v>
      </c>
      <c r="O217">
        <v>6.46</v>
      </c>
      <c r="P217" t="s">
        <v>800</v>
      </c>
      <c r="Q217" s="3">
        <v>0</v>
      </c>
      <c r="R217" t="s">
        <v>128</v>
      </c>
      <c r="S217" t="s">
        <v>128</v>
      </c>
      <c r="T217" t="s">
        <v>128</v>
      </c>
      <c r="U217" t="s">
        <v>128</v>
      </c>
      <c r="V217" t="s">
        <v>128</v>
      </c>
      <c r="W217" s="3" t="str">
        <f>HYPERLINK("http://exon.niaid.nih.gov/transcriptome/Anopheles_sialome/links/netoglyc/anochris_Ag5r3-netoglyc.txt","0")</f>
        <v>0</v>
      </c>
      <c r="X217">
        <v>11.9</v>
      </c>
      <c r="Y217">
        <v>7.3</v>
      </c>
      <c r="Z217">
        <v>5.8</v>
      </c>
      <c r="AA217" t="s">
        <v>654</v>
      </c>
      <c r="AB217" t="s">
        <v>128</v>
      </c>
      <c r="AC217" s="2" t="str">
        <f>HYPERLINK("http://exon.niaid.nih.gov/transcriptome/Anopheles_sialome/links/DIPTERA/anochris_Ag5r3-DIPTERA.txt","AGAP003354-PA")</f>
        <v>AGAP003354-PA</v>
      </c>
      <c r="AD217" t="str">
        <f>HYPERLINK("http://www.ncbi.nlm.nih.gov/sutils/blink.cgi?pid=333469253","1E-150")</f>
        <v>1E-150</v>
      </c>
      <c r="AE217" t="str">
        <f t="shared" si="117"/>
        <v>gi|333469253</v>
      </c>
      <c r="AF217">
        <v>95</v>
      </c>
      <c r="AG217">
        <v>97</v>
      </c>
      <c r="AH217">
        <v>100</v>
      </c>
      <c r="AI217" t="s">
        <v>2285</v>
      </c>
      <c r="AJ217" s="2" t="str">
        <f>HYPERLINK("http://exon.niaid.nih.gov/transcriptome/Anopheles_sialome/links/CULICOMORPHA/anochris_Ag5r3-CULICOMORPHA.txt","AGAP003354-PA")</f>
        <v>AGAP003354-PA</v>
      </c>
      <c r="AK217" t="str">
        <f>HYPERLINK("http://www.ncbi.nlm.nih.gov/sutils/blink.cgi?pid=333469253","1E-151")</f>
        <v>1E-151</v>
      </c>
      <c r="AL217" t="str">
        <f t="shared" si="118"/>
        <v>gi|333469253</v>
      </c>
      <c r="AM217">
        <v>95</v>
      </c>
      <c r="AN217">
        <v>97</v>
      </c>
      <c r="AO217">
        <v>100</v>
      </c>
      <c r="AP217" t="s">
        <v>2285</v>
      </c>
      <c r="AQ217" s="2" t="str">
        <f>HYPERLINK("http://exon.niaid.nih.gov/transcriptome/Anopheles_sialome/links/NR-LIGHT/anochris_Ag5r3-NR-LIGHT.txt","AGAP003354-PA")</f>
        <v>AGAP003354-PA</v>
      </c>
      <c r="AR217" t="str">
        <f>HYPERLINK("http://www.ncbi.nlm.nih.gov/sutils/blink.cgi?pid=347969748","1E-150")</f>
        <v>1E-150</v>
      </c>
      <c r="AS217" t="str">
        <f t="shared" si="119"/>
        <v>gi|347969748</v>
      </c>
      <c r="AT217">
        <v>95</v>
      </c>
      <c r="AU217">
        <v>97</v>
      </c>
      <c r="AV217">
        <v>100</v>
      </c>
      <c r="AW217" t="s">
        <v>2285</v>
      </c>
      <c r="AX217" s="2" t="str">
        <f>HYPERLINK("http://exon.niaid.nih.gov/transcriptome/Anopheles_sialome/links/CDD/anochris_Ag5r3-CDD.txt","SCP_euk")</f>
        <v>SCP_euk</v>
      </c>
      <c r="AY217" t="str">
        <f>HYPERLINK("http://www.ncbi.nlm.nih.gov/Structure/cdd/cddsrv.cgi?uid=cd05380&amp;version=v4.0","1E-035")</f>
        <v>1E-035</v>
      </c>
      <c r="AZ217" t="s">
        <v>2350</v>
      </c>
      <c r="BA217" s="2" t="str">
        <f>HYPERLINK("http://exon.niaid.nih.gov/transcriptome/Anopheles_sialome/links/KOG/anochris_Ag5r3-KOG.txt","Defense-related protein containing SCP domain")</f>
        <v>Defense-related protein containing SCP domain</v>
      </c>
      <c r="BB217" t="str">
        <f>HYPERLINK("http://www.ncbi.nlm.nih.gov/Structure/cdd/cddsrv.cgi?uid=KOG3017","1E-030")</f>
        <v>1E-030</v>
      </c>
      <c r="BC217" t="s">
        <v>2304</v>
      </c>
      <c r="BD217" t="str">
        <f>HYPERLINK("http://exon.niaid.nih.gov/transcriptome/Anopheles_sialome/links/KOG/anochris_Ag5r3-KOG.txt","KOG3017")</f>
        <v>KOG3017</v>
      </c>
      <c r="BE217" t="str">
        <f>HYPERLINK("http://exon.niaid.nih.gov/transcriptome/Anopheles_sialome/links/PFAM/anochris_Ag5r3-PFAM.txt","CAP")</f>
        <v>CAP</v>
      </c>
      <c r="BF217" t="str">
        <f>HYPERLINK("http://pfam.sanger.ac.uk/family?acc=PF00188","6E-014")</f>
        <v>6E-014</v>
      </c>
      <c r="BG217" s="2" t="str">
        <f>HYPERLINK("http://exon.niaid.nih.gov/transcriptome/Anopheles_sialome/links/SMART/anochris_Ag5r3-SMART.txt","SCP")</f>
        <v>SCP</v>
      </c>
      <c r="BH217" t="str">
        <f>HYPERLINK("http://smart.embl-heidelberg.de/smart/do_annotation.pl?DOMAIN=SCP&amp;BLAST=DUMMY","1E-026")</f>
        <v>1E-026</v>
      </c>
      <c r="BI217" t="s">
        <v>128</v>
      </c>
      <c r="BJ217" s="2" t="s">
        <v>128</v>
      </c>
      <c r="BK217" t="s">
        <v>799</v>
      </c>
      <c r="BL217">
        <f>HYPERLINK("http://exon.niaid.nih.gov/transcriptome/Anopheles_sialome/links/cluster-b/anopheline-sialome-cds-pep-larger-orf25-50SimCLU4.txt", 4)</f>
        <v>4</v>
      </c>
      <c r="BM217">
        <f>HYPERLINK("http://exon.niaid.nih.gov/transcriptome/Anopheles_sialome/links/cluster-b/anopheline-sialome-cds-pep-larger-orf25-50SimCLTL4.txt", 82)</f>
        <v>82</v>
      </c>
      <c r="BN217">
        <f>HYPERLINK("http://exon.niaid.nih.gov/transcriptome/Anopheles_sialome/links/cluster-b/anopheline-sialome-cds-pep-larger-orf30-50SimCLU4.txt", 4)</f>
        <v>4</v>
      </c>
      <c r="BO217">
        <f>HYPERLINK("http://exon.niaid.nih.gov/transcriptome/Anopheles_sialome/links/cluster-b/anopheline-sialome-cds-pep-larger-orf30-50SimCLTL4.txt", 82)</f>
        <v>82</v>
      </c>
      <c r="BP217">
        <f>HYPERLINK("http://exon.niaid.nih.gov/transcriptome/Anopheles_sialome/links/cluster-b/anopheline-sialome-cds-pep-larger-orf35-50SimCLU3.txt", 3)</f>
        <v>3</v>
      </c>
      <c r="BQ217">
        <f>HYPERLINK("http://exon.niaid.nih.gov/transcriptome/Anopheles_sialome/links/cluster-b/anopheline-sialome-cds-pep-larger-orf35-50SimCLTL3.txt", 82)</f>
        <v>82</v>
      </c>
      <c r="BR217">
        <f>HYPERLINK("http://exon.niaid.nih.gov/transcriptome/Anopheles_sialome/links/cluster-b/anopheline-sialome-cds-pep-larger-orf40-50SimCLU3.txt", 3)</f>
        <v>3</v>
      </c>
      <c r="BS217">
        <f>HYPERLINK("http://exon.niaid.nih.gov/transcriptome/Anopheles_sialome/links/cluster-b/anopheline-sialome-cds-pep-larger-orf40-50SimCLTL3.txt", 82)</f>
        <v>82</v>
      </c>
      <c r="BT217">
        <f>HYPERLINK("http://exon.niaid.nih.gov/transcriptome/Anopheles_sialome/links/cluster-b/anopheline-sialome-cds-pep-larger-orf45-50SimCLU2.txt", 2)</f>
        <v>2</v>
      </c>
      <c r="BU217">
        <f>HYPERLINK("http://exon.niaid.nih.gov/transcriptome/Anopheles_sialome/links/cluster-b/anopheline-sialome-cds-pep-larger-orf45-50SimCLTL2.txt", 82)</f>
        <v>82</v>
      </c>
      <c r="BV217">
        <f>HYPERLINK("http://exon.niaid.nih.gov/transcriptome/Anopheles_sialome/links/cluster-b/anopheline-sialome-cds-pep-larger-orf50-50SimCLU2.txt", 2)</f>
        <v>2</v>
      </c>
      <c r="BW217">
        <f>HYPERLINK("http://exon.niaid.nih.gov/transcriptome/Anopheles_sialome/links/cluster-b/anopheline-sialome-cds-pep-larger-orf50-50SimCLTL2.txt", 82)</f>
        <v>82</v>
      </c>
      <c r="BX217">
        <f>HYPERLINK("http://exon.niaid.nih.gov/transcriptome/Anopheles_sialome/links/cluster-b/anopheline-sialome-cds-pep-larger-orf55-50SimCLU9.txt", 9)</f>
        <v>9</v>
      </c>
      <c r="BY217">
        <f>HYPERLINK("http://exon.niaid.nih.gov/transcriptome/Anopheles_sialome/links/cluster-b/anopheline-sialome-cds-pep-larger-orf55-50SimCLTL9.txt", 27)</f>
        <v>27</v>
      </c>
      <c r="BZ217">
        <f>HYPERLINK("http://exon.niaid.nih.gov/transcriptome/Anopheles_sialome/links/cluster-b/anopheline-sialome-cds-pep-larger-orf60-50SimCLU7.txt", 7)</f>
        <v>7</v>
      </c>
      <c r="CA217">
        <f>HYPERLINK("http://exon.niaid.nih.gov/transcriptome/Anopheles_sialome/links/cluster-b/anopheline-sialome-cds-pep-larger-orf60-50SimCLTL7.txt", 27)</f>
        <v>27</v>
      </c>
      <c r="CB217">
        <f>HYPERLINK("http://exon.niaid.nih.gov/transcriptome/Anopheles_sialome/links/cluster-b/anopheline-sialome-cds-pep-larger-orf65-50SimCLU4.txt", 4)</f>
        <v>4</v>
      </c>
      <c r="CC217">
        <f>HYPERLINK("http://exon.niaid.nih.gov/transcriptome/Anopheles_sialome/links/cluster-b/anopheline-sialome-cds-pep-larger-orf65-50SimCLTL4.txt", 27)</f>
        <v>27</v>
      </c>
      <c r="CD217">
        <f>HYPERLINK("http://exon.niaid.nih.gov/transcriptome/Anopheles_sialome/links/cluster-b/anopheline-sialome-cds-pep-larger-orf70-50SimCLU3.txt", 3)</f>
        <v>3</v>
      </c>
      <c r="CE217">
        <f>HYPERLINK("http://exon.niaid.nih.gov/transcriptome/Anopheles_sialome/links/cluster-b/anopheline-sialome-cds-pep-larger-orf70-50SimCLTL3.txt", 27)</f>
        <v>27</v>
      </c>
      <c r="CF217">
        <f>HYPERLINK("http://exon.niaid.nih.gov/transcriptome/Anopheles_sialome/links/cluster-b/anopheline-sialome-cds-pep-larger-orf75-50SimCLU3.txt", 3)</f>
        <v>3</v>
      </c>
      <c r="CG217">
        <f>HYPERLINK("http://exon.niaid.nih.gov/transcriptome/Anopheles_sialome/links/cluster-b/anopheline-sialome-cds-pep-larger-orf75-50SimCLTL3.txt", 27)</f>
        <v>27</v>
      </c>
      <c r="CH217">
        <f>HYPERLINK("http://exon.niaid.nih.gov/transcriptome/Anopheles_sialome/links/cluster-b/anopheline-sialome-cds-pep-larger-orf80-50SimCLU2.txt", 2)</f>
        <v>2</v>
      </c>
      <c r="CI217">
        <f>HYPERLINK("http://exon.niaid.nih.gov/transcriptome/Anopheles_sialome/links/cluster-b/anopheline-sialome-cds-pep-larger-orf80-50SimCLTL2.txt", 27)</f>
        <v>27</v>
      </c>
      <c r="CJ217">
        <f>HYPERLINK("http://exon.niaid.nih.gov/transcriptome/Anopheles_sialome/links/cluster-b/anopheline-sialome-cds-pep-larger-orf85-50SimCLU1.txt", 1)</f>
        <v>1</v>
      </c>
      <c r="CK217">
        <f>HYPERLINK("http://exon.niaid.nih.gov/transcriptome/Anopheles_sialome/links/cluster-b/anopheline-sialome-cds-pep-larger-orf85-50SimCLTL1.txt", 27)</f>
        <v>27</v>
      </c>
      <c r="CL217">
        <f>HYPERLINK("http://exon.niaid.nih.gov/transcriptome/Anopheles_sialome/links/cluster-b/anopheline-sialome-cds-pep-larger-orf90-50SimCLU1.txt", 1)</f>
        <v>1</v>
      </c>
      <c r="CM217">
        <f>HYPERLINK("http://exon.niaid.nih.gov/transcriptome/Anopheles_sialome/links/cluster-b/anopheline-sialome-cds-pep-larger-orf90-50SimCLTL1.txt", 25)</f>
        <v>25</v>
      </c>
      <c r="CN217">
        <f>HYPERLINK("http://exon.niaid.nih.gov/transcriptome/Anopheles_sialome/links/cluster-b/anopheline-sialome-cds-pep-larger-orf95-50SimCLU1.txt", 1)</f>
        <v>1</v>
      </c>
      <c r="CO217">
        <f>HYPERLINK("http://exon.niaid.nih.gov/transcriptome/Anopheles_sialome/links/cluster-b/anopheline-sialome-cds-pep-larger-orf95-50SimCLTL1.txt", 23)</f>
        <v>23</v>
      </c>
    </row>
    <row r="218" spans="1:93">
      <c r="A218" s="2" t="str">
        <f>HYPERLINK("http://exon.niaid.nih.gov/transcriptome/Anopheles_sialome/links/cds/anoepi_Ag5r3-cds.txt","anoepi_Ag5r3")</f>
        <v>anoepi_Ag5r3</v>
      </c>
      <c r="B218">
        <v>783</v>
      </c>
      <c r="C218" t="s">
        <v>70</v>
      </c>
      <c r="D218" t="s">
        <v>4</v>
      </c>
      <c r="E218" t="s">
        <v>5</v>
      </c>
      <c r="F218" t="s">
        <v>1</v>
      </c>
      <c r="G218" t="str">
        <f>HYPERLINK("http://exon.niaid.nih.gov/transcriptome/Anopheles_sialome/links/pep/anoepi_Ag5r3-pep.txt","anoepi_Ag5r3")</f>
        <v>anoepi_Ag5r3</v>
      </c>
      <c r="H218">
        <v>260</v>
      </c>
      <c r="I218">
        <v>2</v>
      </c>
      <c r="J218" s="3" t="str">
        <f>HYPERLINK("http://exon.niaid.nih.gov/transcriptome/Anopheles_sialome/links/Sigp/anoepi_Ag5r3-SigP.txt","SIG")</f>
        <v>SIG</v>
      </c>
      <c r="K218" t="s">
        <v>787</v>
      </c>
      <c r="L218">
        <v>28.718</v>
      </c>
      <c r="M218">
        <v>7.04</v>
      </c>
      <c r="N218">
        <v>26.234999999999999</v>
      </c>
      <c r="O218">
        <v>6.46</v>
      </c>
      <c r="P218" t="s">
        <v>802</v>
      </c>
      <c r="Q218" s="3">
        <v>0</v>
      </c>
      <c r="R218" t="s">
        <v>128</v>
      </c>
      <c r="S218" t="s">
        <v>128</v>
      </c>
      <c r="T218" t="s">
        <v>128</v>
      </c>
      <c r="U218" t="s">
        <v>128</v>
      </c>
      <c r="V218" t="s">
        <v>128</v>
      </c>
      <c r="W218" s="3" t="str">
        <f>HYPERLINK("http://exon.niaid.nih.gov/transcriptome/Anopheles_sialome/links/netoglyc/anoepi_Ag5r3-netoglyc.txt","0")</f>
        <v>0</v>
      </c>
      <c r="X218">
        <v>12.3</v>
      </c>
      <c r="Y218">
        <v>6.9</v>
      </c>
      <c r="Z218">
        <v>5.8</v>
      </c>
      <c r="AA218" t="s">
        <v>654</v>
      </c>
      <c r="AB218" t="s">
        <v>128</v>
      </c>
      <c r="AC218" s="2" t="str">
        <f>HYPERLINK("http://exon.niaid.nih.gov/transcriptome/Anopheles_sialome/links/DIPTERA/anoepi_Ag5r3-DIPTERA.txt","AGAP003354-PA")</f>
        <v>AGAP003354-PA</v>
      </c>
      <c r="AD218" t="str">
        <f>HYPERLINK("http://www.ncbi.nlm.nih.gov/sutils/blink.cgi?pid=333469253","1E-153")</f>
        <v>1E-153</v>
      </c>
      <c r="AE218" t="str">
        <f t="shared" si="117"/>
        <v>gi|333469253</v>
      </c>
      <c r="AF218">
        <v>96</v>
      </c>
      <c r="AG218">
        <v>98</v>
      </c>
      <c r="AH218">
        <v>100</v>
      </c>
      <c r="AI218" t="s">
        <v>2285</v>
      </c>
      <c r="AJ218" s="2" t="str">
        <f>HYPERLINK("http://exon.niaid.nih.gov/transcriptome/Anopheles_sialome/links/CULICOMORPHA/anoepi_Ag5r3-CULICOMORPHA.txt","AGAP003354-PA")</f>
        <v>AGAP003354-PA</v>
      </c>
      <c r="AK218" t="str">
        <f>HYPERLINK("http://www.ncbi.nlm.nih.gov/sutils/blink.cgi?pid=333469253","1E-153")</f>
        <v>1E-153</v>
      </c>
      <c r="AL218" t="str">
        <f t="shared" si="118"/>
        <v>gi|333469253</v>
      </c>
      <c r="AM218">
        <v>96</v>
      </c>
      <c r="AN218">
        <v>98</v>
      </c>
      <c r="AO218">
        <v>100</v>
      </c>
      <c r="AP218" t="s">
        <v>2285</v>
      </c>
      <c r="AQ218" s="2" t="str">
        <f>HYPERLINK("http://exon.niaid.nih.gov/transcriptome/Anopheles_sialome/links/NR-LIGHT/anoepi_Ag5r3-NR-LIGHT.txt","AGAP003354-PA")</f>
        <v>AGAP003354-PA</v>
      </c>
      <c r="AR218" t="str">
        <f>HYPERLINK("http://www.ncbi.nlm.nih.gov/sutils/blink.cgi?pid=347969748","1E-152")</f>
        <v>1E-152</v>
      </c>
      <c r="AS218" t="str">
        <f t="shared" si="119"/>
        <v>gi|347969748</v>
      </c>
      <c r="AT218">
        <v>96</v>
      </c>
      <c r="AU218">
        <v>98</v>
      </c>
      <c r="AV218">
        <v>100</v>
      </c>
      <c r="AW218" t="s">
        <v>2285</v>
      </c>
      <c r="AX218" s="2" t="str">
        <f>HYPERLINK("http://exon.niaid.nih.gov/transcriptome/Anopheles_sialome/links/CDD/anoepi_Ag5r3-CDD.txt","SCP_euk")</f>
        <v>SCP_euk</v>
      </c>
      <c r="AY218" t="str">
        <f>HYPERLINK("http://www.ncbi.nlm.nih.gov/Structure/cdd/cddsrv.cgi?uid=cd05380&amp;version=v4.0","1E-036")</f>
        <v>1E-036</v>
      </c>
      <c r="AZ218" t="s">
        <v>2351</v>
      </c>
      <c r="BA218" s="2" t="str">
        <f>HYPERLINK("http://exon.niaid.nih.gov/transcriptome/Anopheles_sialome/links/KOG/anoepi_Ag5r3-KOG.txt","Defense-related protein containing SCP domain")</f>
        <v>Defense-related protein containing SCP domain</v>
      </c>
      <c r="BB218" t="str">
        <f>HYPERLINK("http://www.ncbi.nlm.nih.gov/Structure/cdd/cddsrv.cgi?uid=KOG3017","4E-031")</f>
        <v>4E-031</v>
      </c>
      <c r="BC218" t="s">
        <v>2304</v>
      </c>
      <c r="BD218" t="str">
        <f>HYPERLINK("http://exon.niaid.nih.gov/transcriptome/Anopheles_sialome/links/KOG/anoepi_Ag5r3-KOG.txt","KOG3017")</f>
        <v>KOG3017</v>
      </c>
      <c r="BE218" t="str">
        <f>HYPERLINK("http://exon.niaid.nih.gov/transcriptome/Anopheles_sialome/links/PFAM/anoepi_Ag5r3-PFAM.txt","CAP")</f>
        <v>CAP</v>
      </c>
      <c r="BF218" t="str">
        <f>HYPERLINK("http://pfam.sanger.ac.uk/family?acc=PF00188","2E-013")</f>
        <v>2E-013</v>
      </c>
      <c r="BG218" s="2" t="str">
        <f>HYPERLINK("http://exon.niaid.nih.gov/transcriptome/Anopheles_sialome/links/SMART/anoepi_Ag5r3-SMART.txt","SCP")</f>
        <v>SCP</v>
      </c>
      <c r="BH218" t="str">
        <f>HYPERLINK("http://smart.embl-heidelberg.de/smart/do_annotation.pl?DOMAIN=SCP&amp;BLAST=DUMMY","3E-028")</f>
        <v>3E-028</v>
      </c>
      <c r="BI218" t="s">
        <v>128</v>
      </c>
      <c r="BJ218" s="2" t="s">
        <v>128</v>
      </c>
      <c r="BK218" t="s">
        <v>801</v>
      </c>
      <c r="BL218">
        <f>HYPERLINK("http://exon.niaid.nih.gov/transcriptome/Anopheles_sialome/links/cluster-b/anopheline-sialome-cds-pep-larger-orf25-50SimCLU4.txt", 4)</f>
        <v>4</v>
      </c>
      <c r="BM218">
        <f>HYPERLINK("http://exon.niaid.nih.gov/transcriptome/Anopheles_sialome/links/cluster-b/anopheline-sialome-cds-pep-larger-orf25-50SimCLTL4.txt", 82)</f>
        <v>82</v>
      </c>
      <c r="BN218">
        <f>HYPERLINK("http://exon.niaid.nih.gov/transcriptome/Anopheles_sialome/links/cluster-b/anopheline-sialome-cds-pep-larger-orf30-50SimCLU4.txt", 4)</f>
        <v>4</v>
      </c>
      <c r="BO218">
        <f>HYPERLINK("http://exon.niaid.nih.gov/transcriptome/Anopheles_sialome/links/cluster-b/anopheline-sialome-cds-pep-larger-orf30-50SimCLTL4.txt", 82)</f>
        <v>82</v>
      </c>
      <c r="BP218">
        <f>HYPERLINK("http://exon.niaid.nih.gov/transcriptome/Anopheles_sialome/links/cluster-b/anopheline-sialome-cds-pep-larger-orf35-50SimCLU3.txt", 3)</f>
        <v>3</v>
      </c>
      <c r="BQ218">
        <f>HYPERLINK("http://exon.niaid.nih.gov/transcriptome/Anopheles_sialome/links/cluster-b/anopheline-sialome-cds-pep-larger-orf35-50SimCLTL3.txt", 82)</f>
        <v>82</v>
      </c>
      <c r="BR218">
        <f>HYPERLINK("http://exon.niaid.nih.gov/transcriptome/Anopheles_sialome/links/cluster-b/anopheline-sialome-cds-pep-larger-orf40-50SimCLU3.txt", 3)</f>
        <v>3</v>
      </c>
      <c r="BS218">
        <f>HYPERLINK("http://exon.niaid.nih.gov/transcriptome/Anopheles_sialome/links/cluster-b/anopheline-sialome-cds-pep-larger-orf40-50SimCLTL3.txt", 82)</f>
        <v>82</v>
      </c>
      <c r="BT218">
        <f>HYPERLINK("http://exon.niaid.nih.gov/transcriptome/Anopheles_sialome/links/cluster-b/anopheline-sialome-cds-pep-larger-orf45-50SimCLU2.txt", 2)</f>
        <v>2</v>
      </c>
      <c r="BU218">
        <f>HYPERLINK("http://exon.niaid.nih.gov/transcriptome/Anopheles_sialome/links/cluster-b/anopheline-sialome-cds-pep-larger-orf45-50SimCLTL2.txt", 82)</f>
        <v>82</v>
      </c>
      <c r="BV218">
        <f>HYPERLINK("http://exon.niaid.nih.gov/transcriptome/Anopheles_sialome/links/cluster-b/anopheline-sialome-cds-pep-larger-orf50-50SimCLU2.txt", 2)</f>
        <v>2</v>
      </c>
      <c r="BW218">
        <f>HYPERLINK("http://exon.niaid.nih.gov/transcriptome/Anopheles_sialome/links/cluster-b/anopheline-sialome-cds-pep-larger-orf50-50SimCLTL2.txt", 82)</f>
        <v>82</v>
      </c>
      <c r="BX218">
        <f>HYPERLINK("http://exon.niaid.nih.gov/transcriptome/Anopheles_sialome/links/cluster-b/anopheline-sialome-cds-pep-larger-orf55-50SimCLU9.txt", 9)</f>
        <v>9</v>
      </c>
      <c r="BY218">
        <f>HYPERLINK("http://exon.niaid.nih.gov/transcriptome/Anopheles_sialome/links/cluster-b/anopheline-sialome-cds-pep-larger-orf55-50SimCLTL9.txt", 27)</f>
        <v>27</v>
      </c>
      <c r="BZ218">
        <f>HYPERLINK("http://exon.niaid.nih.gov/transcriptome/Anopheles_sialome/links/cluster-b/anopheline-sialome-cds-pep-larger-orf60-50SimCLU7.txt", 7)</f>
        <v>7</v>
      </c>
      <c r="CA218">
        <f>HYPERLINK("http://exon.niaid.nih.gov/transcriptome/Anopheles_sialome/links/cluster-b/anopheline-sialome-cds-pep-larger-orf60-50SimCLTL7.txt", 27)</f>
        <v>27</v>
      </c>
      <c r="CB218">
        <f>HYPERLINK("http://exon.niaid.nih.gov/transcriptome/Anopheles_sialome/links/cluster-b/anopheline-sialome-cds-pep-larger-orf65-50SimCLU4.txt", 4)</f>
        <v>4</v>
      </c>
      <c r="CC218">
        <f>HYPERLINK("http://exon.niaid.nih.gov/transcriptome/Anopheles_sialome/links/cluster-b/anopheline-sialome-cds-pep-larger-orf65-50SimCLTL4.txt", 27)</f>
        <v>27</v>
      </c>
      <c r="CD218">
        <f>HYPERLINK("http://exon.niaid.nih.gov/transcriptome/Anopheles_sialome/links/cluster-b/anopheline-sialome-cds-pep-larger-orf70-50SimCLU3.txt", 3)</f>
        <v>3</v>
      </c>
      <c r="CE218">
        <f>HYPERLINK("http://exon.niaid.nih.gov/transcriptome/Anopheles_sialome/links/cluster-b/anopheline-sialome-cds-pep-larger-orf70-50SimCLTL3.txt", 27)</f>
        <v>27</v>
      </c>
      <c r="CF218">
        <f>HYPERLINK("http://exon.niaid.nih.gov/transcriptome/Anopheles_sialome/links/cluster-b/anopheline-sialome-cds-pep-larger-orf75-50SimCLU3.txt", 3)</f>
        <v>3</v>
      </c>
      <c r="CG218">
        <f>HYPERLINK("http://exon.niaid.nih.gov/transcriptome/Anopheles_sialome/links/cluster-b/anopheline-sialome-cds-pep-larger-orf75-50SimCLTL3.txt", 27)</f>
        <v>27</v>
      </c>
      <c r="CH218">
        <f>HYPERLINK("http://exon.niaid.nih.gov/transcriptome/Anopheles_sialome/links/cluster-b/anopheline-sialome-cds-pep-larger-orf80-50SimCLU2.txt", 2)</f>
        <v>2</v>
      </c>
      <c r="CI218">
        <f>HYPERLINK("http://exon.niaid.nih.gov/transcriptome/Anopheles_sialome/links/cluster-b/anopheline-sialome-cds-pep-larger-orf80-50SimCLTL2.txt", 27)</f>
        <v>27</v>
      </c>
      <c r="CJ218">
        <f>HYPERLINK("http://exon.niaid.nih.gov/transcriptome/Anopheles_sialome/links/cluster-b/anopheline-sialome-cds-pep-larger-orf85-50SimCLU1.txt", 1)</f>
        <v>1</v>
      </c>
      <c r="CK218">
        <f>HYPERLINK("http://exon.niaid.nih.gov/transcriptome/Anopheles_sialome/links/cluster-b/anopheline-sialome-cds-pep-larger-orf85-50SimCLTL1.txt", 27)</f>
        <v>27</v>
      </c>
      <c r="CL218">
        <f>HYPERLINK("http://exon.niaid.nih.gov/transcriptome/Anopheles_sialome/links/cluster-b/anopheline-sialome-cds-pep-larger-orf90-50SimCLU1.txt", 1)</f>
        <v>1</v>
      </c>
      <c r="CM218">
        <f>HYPERLINK("http://exon.niaid.nih.gov/transcriptome/Anopheles_sialome/links/cluster-b/anopheline-sialome-cds-pep-larger-orf90-50SimCLTL1.txt", 25)</f>
        <v>25</v>
      </c>
      <c r="CN218">
        <f>HYPERLINK("http://exon.niaid.nih.gov/transcriptome/Anopheles_sialome/links/cluster-b/anopheline-sialome-cds-pep-larger-orf95-50SimCLU1.txt", 1)</f>
        <v>1</v>
      </c>
      <c r="CO218">
        <f>HYPERLINK("http://exon.niaid.nih.gov/transcriptome/Anopheles_sialome/links/cluster-b/anopheline-sialome-cds-pep-larger-orf95-50SimCLTL1.txt", 23)</f>
        <v>23</v>
      </c>
    </row>
    <row r="219" spans="1:93">
      <c r="A219" s="2" t="str">
        <f>HYPERLINK("http://exon.niaid.nih.gov/transcriptome/Anopheles_sialome/links/cds/anofun_Ag5r3-cds.txt","anofun_Ag5r3")</f>
        <v>anofun_Ag5r3</v>
      </c>
      <c r="B219">
        <v>783</v>
      </c>
      <c r="C219" t="s">
        <v>71</v>
      </c>
      <c r="D219" t="s">
        <v>7</v>
      </c>
      <c r="E219" t="s">
        <v>5</v>
      </c>
      <c r="F219" t="s">
        <v>1</v>
      </c>
      <c r="G219" t="str">
        <f>HYPERLINK("http://exon.niaid.nih.gov/transcriptome/Anopheles_sialome/links/pep/anofun_Ag5r3-pep.txt","anofun_Ag5r3")</f>
        <v>anofun_Ag5r3</v>
      </c>
      <c r="H219">
        <v>260</v>
      </c>
      <c r="I219">
        <v>2</v>
      </c>
      <c r="J219" s="3" t="str">
        <f>HYPERLINK("http://exon.niaid.nih.gov/transcriptome/Anopheles_sialome/links/Sigp/anofun_Ag5r3-SigP.txt","SIG")</f>
        <v>SIG</v>
      </c>
      <c r="K219" t="s">
        <v>787</v>
      </c>
      <c r="L219">
        <v>28.635000000000002</v>
      </c>
      <c r="M219">
        <v>8.1999999999999993</v>
      </c>
      <c r="N219">
        <v>26.146000000000001</v>
      </c>
      <c r="O219">
        <v>7.16</v>
      </c>
      <c r="P219" t="s">
        <v>804</v>
      </c>
      <c r="Q219" s="3">
        <v>0</v>
      </c>
      <c r="R219" t="s">
        <v>128</v>
      </c>
      <c r="S219" t="s">
        <v>128</v>
      </c>
      <c r="T219" t="s">
        <v>128</v>
      </c>
      <c r="U219" t="s">
        <v>128</v>
      </c>
      <c r="V219" t="s">
        <v>128</v>
      </c>
      <c r="W219" s="3" t="str">
        <f>HYPERLINK("http://exon.niaid.nih.gov/transcriptome/Anopheles_sialome/links/netoglyc/anofun_Ag5r3-netoglyc.txt","0")</f>
        <v>0</v>
      </c>
      <c r="X219">
        <v>11.5</v>
      </c>
      <c r="Y219">
        <v>6.9</v>
      </c>
      <c r="Z219">
        <v>5.8</v>
      </c>
      <c r="AA219" t="s">
        <v>654</v>
      </c>
      <c r="AB219" t="s">
        <v>128</v>
      </c>
      <c r="AC219" s="2" t="str">
        <f>HYPERLINK("http://exon.niaid.nih.gov/transcriptome/Anopheles_sialome/links/DIPTERA/anofun_Ag5r3-DIPTERA.txt","AGAP003354-PA")</f>
        <v>AGAP003354-PA</v>
      </c>
      <c r="AD219" t="str">
        <f>HYPERLINK("http://www.ncbi.nlm.nih.gov/sutils/blink.cgi?pid=333469253","1E-151")</f>
        <v>1E-151</v>
      </c>
      <c r="AE219" t="str">
        <f t="shared" si="117"/>
        <v>gi|333469253</v>
      </c>
      <c r="AF219">
        <v>95</v>
      </c>
      <c r="AG219">
        <v>98</v>
      </c>
      <c r="AH219">
        <v>100</v>
      </c>
      <c r="AI219" t="s">
        <v>2285</v>
      </c>
      <c r="AJ219" s="2" t="str">
        <f>HYPERLINK("http://exon.niaid.nih.gov/transcriptome/Anopheles_sialome/links/CULICOMORPHA/anofun_Ag5r3-CULICOMORPHA.txt","AGAP003354-PA")</f>
        <v>AGAP003354-PA</v>
      </c>
      <c r="AK219" t="str">
        <f>HYPERLINK("http://www.ncbi.nlm.nih.gov/sutils/blink.cgi?pid=333469253","1E-151")</f>
        <v>1E-151</v>
      </c>
      <c r="AL219" t="str">
        <f t="shared" si="118"/>
        <v>gi|333469253</v>
      </c>
      <c r="AM219">
        <v>95</v>
      </c>
      <c r="AN219">
        <v>98</v>
      </c>
      <c r="AO219">
        <v>100</v>
      </c>
      <c r="AP219" t="s">
        <v>2285</v>
      </c>
      <c r="AQ219" s="2" t="str">
        <f>HYPERLINK("http://exon.niaid.nih.gov/transcriptome/Anopheles_sialome/links/NR-LIGHT/anofun_Ag5r3-NR-LIGHT.txt","AGAP003354-PA")</f>
        <v>AGAP003354-PA</v>
      </c>
      <c r="AR219" t="str">
        <f>HYPERLINK("http://www.ncbi.nlm.nih.gov/sutils/blink.cgi?pid=347969748","1E-150")</f>
        <v>1E-150</v>
      </c>
      <c r="AS219" t="str">
        <f t="shared" si="119"/>
        <v>gi|347969748</v>
      </c>
      <c r="AT219">
        <v>95</v>
      </c>
      <c r="AU219">
        <v>98</v>
      </c>
      <c r="AV219">
        <v>100</v>
      </c>
      <c r="AW219" t="s">
        <v>2285</v>
      </c>
      <c r="AX219" s="2" t="str">
        <f>HYPERLINK("http://exon.niaid.nih.gov/transcriptome/Anopheles_sialome/links/CDD/anofun_Ag5r3-CDD.txt","SCP_euk")</f>
        <v>SCP_euk</v>
      </c>
      <c r="AY219" t="str">
        <f>HYPERLINK("http://www.ncbi.nlm.nih.gov/Structure/cdd/cddsrv.cgi?uid=cd05380&amp;version=v4.0","8E-036")</f>
        <v>8E-036</v>
      </c>
      <c r="AZ219" t="s">
        <v>2352</v>
      </c>
      <c r="BA219" s="2" t="str">
        <f>HYPERLINK("http://exon.niaid.nih.gov/transcriptome/Anopheles_sialome/links/KOG/anofun_Ag5r3-KOG.txt","Defense-related protein containing SCP domain")</f>
        <v>Defense-related protein containing SCP domain</v>
      </c>
      <c r="BB219" t="str">
        <f>HYPERLINK("http://www.ncbi.nlm.nih.gov/Structure/cdd/cddsrv.cgi?uid=KOG3017","1E-030")</f>
        <v>1E-030</v>
      </c>
      <c r="BC219" t="s">
        <v>2304</v>
      </c>
      <c r="BD219" t="str">
        <f>HYPERLINK("http://exon.niaid.nih.gov/transcriptome/Anopheles_sialome/links/KOG/anofun_Ag5r3-KOG.txt","KOG3017")</f>
        <v>KOG3017</v>
      </c>
      <c r="BE219" t="str">
        <f>HYPERLINK("http://exon.niaid.nih.gov/transcriptome/Anopheles_sialome/links/PFAM/anofun_Ag5r3-PFAM.txt","CAP")</f>
        <v>CAP</v>
      </c>
      <c r="BF219" t="str">
        <f>HYPERLINK("http://pfam.sanger.ac.uk/family?acc=PF00188","2E-013")</f>
        <v>2E-013</v>
      </c>
      <c r="BG219" s="2" t="str">
        <f>HYPERLINK("http://exon.niaid.nih.gov/transcriptome/Anopheles_sialome/links/SMART/anofun_Ag5r3-SMART.txt","SCP")</f>
        <v>SCP</v>
      </c>
      <c r="BH219" t="str">
        <f>HYPERLINK("http://smart.embl-heidelberg.de/smart/do_annotation.pl?DOMAIN=SCP&amp;BLAST=DUMMY","4E-027")</f>
        <v>4E-027</v>
      </c>
      <c r="BI219" t="s">
        <v>128</v>
      </c>
      <c r="BJ219" s="2" t="s">
        <v>128</v>
      </c>
      <c r="BK219" t="s">
        <v>803</v>
      </c>
      <c r="BL219">
        <f>HYPERLINK("http://exon.niaid.nih.gov/transcriptome/Anopheles_sialome/links/cluster-b/anopheline-sialome-cds-pep-larger-orf25-50SimCLU4.txt", 4)</f>
        <v>4</v>
      </c>
      <c r="BM219">
        <f>HYPERLINK("http://exon.niaid.nih.gov/transcriptome/Anopheles_sialome/links/cluster-b/anopheline-sialome-cds-pep-larger-orf25-50SimCLTL4.txt", 82)</f>
        <v>82</v>
      </c>
      <c r="BN219">
        <f>HYPERLINK("http://exon.niaid.nih.gov/transcriptome/Anopheles_sialome/links/cluster-b/anopheline-sialome-cds-pep-larger-orf30-50SimCLU4.txt", 4)</f>
        <v>4</v>
      </c>
      <c r="BO219">
        <f>HYPERLINK("http://exon.niaid.nih.gov/transcriptome/Anopheles_sialome/links/cluster-b/anopheline-sialome-cds-pep-larger-orf30-50SimCLTL4.txt", 82)</f>
        <v>82</v>
      </c>
      <c r="BP219">
        <f>HYPERLINK("http://exon.niaid.nih.gov/transcriptome/Anopheles_sialome/links/cluster-b/anopheline-sialome-cds-pep-larger-orf35-50SimCLU3.txt", 3)</f>
        <v>3</v>
      </c>
      <c r="BQ219">
        <f>HYPERLINK("http://exon.niaid.nih.gov/transcriptome/Anopheles_sialome/links/cluster-b/anopheline-sialome-cds-pep-larger-orf35-50SimCLTL3.txt", 82)</f>
        <v>82</v>
      </c>
      <c r="BR219">
        <f>HYPERLINK("http://exon.niaid.nih.gov/transcriptome/Anopheles_sialome/links/cluster-b/anopheline-sialome-cds-pep-larger-orf40-50SimCLU3.txt", 3)</f>
        <v>3</v>
      </c>
      <c r="BS219">
        <f>HYPERLINK("http://exon.niaid.nih.gov/transcriptome/Anopheles_sialome/links/cluster-b/anopheline-sialome-cds-pep-larger-orf40-50SimCLTL3.txt", 82)</f>
        <v>82</v>
      </c>
      <c r="BT219">
        <f>HYPERLINK("http://exon.niaid.nih.gov/transcriptome/Anopheles_sialome/links/cluster-b/anopheline-sialome-cds-pep-larger-orf45-50SimCLU2.txt", 2)</f>
        <v>2</v>
      </c>
      <c r="BU219">
        <f>HYPERLINK("http://exon.niaid.nih.gov/transcriptome/Anopheles_sialome/links/cluster-b/anopheline-sialome-cds-pep-larger-orf45-50SimCLTL2.txt", 82)</f>
        <v>82</v>
      </c>
      <c r="BV219">
        <f>HYPERLINK("http://exon.niaid.nih.gov/transcriptome/Anopheles_sialome/links/cluster-b/anopheline-sialome-cds-pep-larger-orf50-50SimCLU2.txt", 2)</f>
        <v>2</v>
      </c>
      <c r="BW219">
        <f>HYPERLINK("http://exon.niaid.nih.gov/transcriptome/Anopheles_sialome/links/cluster-b/anopheline-sialome-cds-pep-larger-orf50-50SimCLTL2.txt", 82)</f>
        <v>82</v>
      </c>
      <c r="BX219">
        <f>HYPERLINK("http://exon.niaid.nih.gov/transcriptome/Anopheles_sialome/links/cluster-b/anopheline-sialome-cds-pep-larger-orf55-50SimCLU9.txt", 9)</f>
        <v>9</v>
      </c>
      <c r="BY219">
        <f>HYPERLINK("http://exon.niaid.nih.gov/transcriptome/Anopheles_sialome/links/cluster-b/anopheline-sialome-cds-pep-larger-orf55-50SimCLTL9.txt", 27)</f>
        <v>27</v>
      </c>
      <c r="BZ219">
        <f>HYPERLINK("http://exon.niaid.nih.gov/transcriptome/Anopheles_sialome/links/cluster-b/anopheline-sialome-cds-pep-larger-orf60-50SimCLU7.txt", 7)</f>
        <v>7</v>
      </c>
      <c r="CA219">
        <f>HYPERLINK("http://exon.niaid.nih.gov/transcriptome/Anopheles_sialome/links/cluster-b/anopheline-sialome-cds-pep-larger-orf60-50SimCLTL7.txt", 27)</f>
        <v>27</v>
      </c>
      <c r="CB219">
        <f>HYPERLINK("http://exon.niaid.nih.gov/transcriptome/Anopheles_sialome/links/cluster-b/anopheline-sialome-cds-pep-larger-orf65-50SimCLU4.txt", 4)</f>
        <v>4</v>
      </c>
      <c r="CC219">
        <f>HYPERLINK("http://exon.niaid.nih.gov/transcriptome/Anopheles_sialome/links/cluster-b/anopheline-sialome-cds-pep-larger-orf65-50SimCLTL4.txt", 27)</f>
        <v>27</v>
      </c>
      <c r="CD219">
        <f>HYPERLINK("http://exon.niaid.nih.gov/transcriptome/Anopheles_sialome/links/cluster-b/anopheline-sialome-cds-pep-larger-orf70-50SimCLU3.txt", 3)</f>
        <v>3</v>
      </c>
      <c r="CE219">
        <f>HYPERLINK("http://exon.niaid.nih.gov/transcriptome/Anopheles_sialome/links/cluster-b/anopheline-sialome-cds-pep-larger-orf70-50SimCLTL3.txt", 27)</f>
        <v>27</v>
      </c>
      <c r="CF219">
        <f>HYPERLINK("http://exon.niaid.nih.gov/transcriptome/Anopheles_sialome/links/cluster-b/anopheline-sialome-cds-pep-larger-orf75-50SimCLU3.txt", 3)</f>
        <v>3</v>
      </c>
      <c r="CG219">
        <f>HYPERLINK("http://exon.niaid.nih.gov/transcriptome/Anopheles_sialome/links/cluster-b/anopheline-sialome-cds-pep-larger-orf75-50SimCLTL3.txt", 27)</f>
        <v>27</v>
      </c>
      <c r="CH219">
        <f>HYPERLINK("http://exon.niaid.nih.gov/transcriptome/Anopheles_sialome/links/cluster-b/anopheline-sialome-cds-pep-larger-orf80-50SimCLU2.txt", 2)</f>
        <v>2</v>
      </c>
      <c r="CI219">
        <f>HYPERLINK("http://exon.niaid.nih.gov/transcriptome/Anopheles_sialome/links/cluster-b/anopheline-sialome-cds-pep-larger-orf80-50SimCLTL2.txt", 27)</f>
        <v>27</v>
      </c>
      <c r="CJ219">
        <f>HYPERLINK("http://exon.niaid.nih.gov/transcriptome/Anopheles_sialome/links/cluster-b/anopheline-sialome-cds-pep-larger-orf85-50SimCLU1.txt", 1)</f>
        <v>1</v>
      </c>
      <c r="CK219">
        <f>HYPERLINK("http://exon.niaid.nih.gov/transcriptome/Anopheles_sialome/links/cluster-b/anopheline-sialome-cds-pep-larger-orf85-50SimCLTL1.txt", 27)</f>
        <v>27</v>
      </c>
      <c r="CL219">
        <f>HYPERLINK("http://exon.niaid.nih.gov/transcriptome/Anopheles_sialome/links/cluster-b/anopheline-sialome-cds-pep-larger-orf90-50SimCLU1.txt", 1)</f>
        <v>1</v>
      </c>
      <c r="CM219">
        <f>HYPERLINK("http://exon.niaid.nih.gov/transcriptome/Anopheles_sialome/links/cluster-b/anopheline-sialome-cds-pep-larger-orf90-50SimCLTL1.txt", 25)</f>
        <v>25</v>
      </c>
      <c r="CN219">
        <f>HYPERLINK("http://exon.niaid.nih.gov/transcriptome/Anopheles_sialome/links/cluster-b/anopheline-sialome-cds-pep-larger-orf95-50SimCLU1.txt", 1)</f>
        <v>1</v>
      </c>
      <c r="CO219">
        <f>HYPERLINK("http://exon.niaid.nih.gov/transcriptome/Anopheles_sialome/links/cluster-b/anopheline-sialome-cds-pep-larger-orf95-50SimCLTL1.txt", 23)</f>
        <v>23</v>
      </c>
    </row>
    <row r="220" spans="1:93">
      <c r="A220" s="2" t="str">
        <f>HYPERLINK("http://exon.niaid.nih.gov/transcriptome/Anopheles_sialome/links/cds/anomin_Ag5r3-cds.txt","anomin_Ag5r3")</f>
        <v>anomin_Ag5r3</v>
      </c>
      <c r="B220">
        <v>783</v>
      </c>
      <c r="C220" t="s">
        <v>72</v>
      </c>
      <c r="D220" t="s">
        <v>7</v>
      </c>
      <c r="E220" t="s">
        <v>5</v>
      </c>
      <c r="F220" t="s">
        <v>1</v>
      </c>
      <c r="G220" t="str">
        <f>HYPERLINK("http://exon.niaid.nih.gov/transcriptome/Anopheles_sialome/links/pep/anomin_Ag5r3-pep.txt","anomin_Ag5r3")</f>
        <v>anomin_Ag5r3</v>
      </c>
      <c r="H220">
        <v>260</v>
      </c>
      <c r="I220">
        <v>2</v>
      </c>
      <c r="J220" s="3" t="str">
        <f>HYPERLINK("http://exon.niaid.nih.gov/transcriptome/Anopheles_sialome/links/Sigp/anomin_Ag5r3-SigP.txt","SIG")</f>
        <v>SIG</v>
      </c>
      <c r="K220" t="s">
        <v>787</v>
      </c>
      <c r="L220">
        <v>28.673999999999999</v>
      </c>
      <c r="M220">
        <v>7.51</v>
      </c>
      <c r="N220">
        <v>26.184999999999999</v>
      </c>
      <c r="O220">
        <v>6.46</v>
      </c>
      <c r="P220" t="s">
        <v>806</v>
      </c>
      <c r="Q220" s="3">
        <v>0</v>
      </c>
      <c r="R220" t="s">
        <v>128</v>
      </c>
      <c r="S220" t="s">
        <v>128</v>
      </c>
      <c r="T220" t="s">
        <v>128</v>
      </c>
      <c r="U220" t="s">
        <v>128</v>
      </c>
      <c r="V220" t="s">
        <v>128</v>
      </c>
      <c r="W220" s="3" t="str">
        <f>HYPERLINK("http://exon.niaid.nih.gov/transcriptome/Anopheles_sialome/links/netoglyc/anomin_Ag5r3-netoglyc.txt","0")</f>
        <v>0</v>
      </c>
      <c r="X220">
        <v>11.9</v>
      </c>
      <c r="Y220">
        <v>6.9</v>
      </c>
      <c r="Z220">
        <v>5.8</v>
      </c>
      <c r="AA220" t="s">
        <v>654</v>
      </c>
      <c r="AB220" t="s">
        <v>128</v>
      </c>
      <c r="AC220" s="2" t="str">
        <f>HYPERLINK("http://exon.niaid.nih.gov/transcriptome/Anopheles_sialome/links/DIPTERA/anomin_Ag5r3-DIPTERA.txt","AGAP003354-PA")</f>
        <v>AGAP003354-PA</v>
      </c>
      <c r="AD220" t="str">
        <f>HYPERLINK("http://www.ncbi.nlm.nih.gov/sutils/blink.cgi?pid=333469253","1E-153")</f>
        <v>1E-153</v>
      </c>
      <c r="AE220" t="str">
        <f t="shared" si="117"/>
        <v>gi|333469253</v>
      </c>
      <c r="AF220">
        <v>95</v>
      </c>
      <c r="AG220">
        <v>99</v>
      </c>
      <c r="AH220">
        <v>100</v>
      </c>
      <c r="AI220" t="s">
        <v>2285</v>
      </c>
      <c r="AJ220" s="2" t="str">
        <f>HYPERLINK("http://exon.niaid.nih.gov/transcriptome/Anopheles_sialome/links/CULICOMORPHA/anomin_Ag5r3-CULICOMORPHA.txt","AGAP003354-PA")</f>
        <v>AGAP003354-PA</v>
      </c>
      <c r="AK220" t="str">
        <f>HYPERLINK("http://www.ncbi.nlm.nih.gov/sutils/blink.cgi?pid=333469253","1E-153")</f>
        <v>1E-153</v>
      </c>
      <c r="AL220" t="str">
        <f t="shared" si="118"/>
        <v>gi|333469253</v>
      </c>
      <c r="AM220">
        <v>95</v>
      </c>
      <c r="AN220">
        <v>99</v>
      </c>
      <c r="AO220">
        <v>100</v>
      </c>
      <c r="AP220" t="s">
        <v>2285</v>
      </c>
      <c r="AQ220" s="2" t="str">
        <f>HYPERLINK("http://exon.niaid.nih.gov/transcriptome/Anopheles_sialome/links/NR-LIGHT/anomin_Ag5r3-NR-LIGHT.txt","AGAP003354-PA")</f>
        <v>AGAP003354-PA</v>
      </c>
      <c r="AR220" t="str">
        <f>HYPERLINK("http://www.ncbi.nlm.nih.gov/sutils/blink.cgi?pid=347969748","1E-152")</f>
        <v>1E-152</v>
      </c>
      <c r="AS220" t="str">
        <f t="shared" si="119"/>
        <v>gi|347969748</v>
      </c>
      <c r="AT220">
        <v>95</v>
      </c>
      <c r="AU220">
        <v>99</v>
      </c>
      <c r="AV220">
        <v>100</v>
      </c>
      <c r="AW220" t="s">
        <v>2285</v>
      </c>
      <c r="AX220" s="2" t="str">
        <f>HYPERLINK("http://exon.niaid.nih.gov/transcriptome/Anopheles_sialome/links/CDD/anomin_Ag5r3-CDD.txt","SCP_euk")</f>
        <v>SCP_euk</v>
      </c>
      <c r="AY220" t="str">
        <f>HYPERLINK("http://www.ncbi.nlm.nih.gov/Structure/cdd/cddsrv.cgi?uid=cd05380&amp;version=v4.0","2E-035")</f>
        <v>2E-035</v>
      </c>
      <c r="AZ220" t="s">
        <v>2353</v>
      </c>
      <c r="BA220" s="2" t="str">
        <f>HYPERLINK("http://exon.niaid.nih.gov/transcriptome/Anopheles_sialome/links/KOG/anomin_Ag5r3-KOG.txt","Defense-related protein containing SCP domain")</f>
        <v>Defense-related protein containing SCP domain</v>
      </c>
      <c r="BB220" t="str">
        <f>HYPERLINK("http://www.ncbi.nlm.nih.gov/Structure/cdd/cddsrv.cgi?uid=KOG3017","2E-030")</f>
        <v>2E-030</v>
      </c>
      <c r="BC220" t="s">
        <v>2304</v>
      </c>
      <c r="BD220" t="str">
        <f>HYPERLINK("http://exon.niaid.nih.gov/transcriptome/Anopheles_sialome/links/KOG/anomin_Ag5r3-KOG.txt","KOG3017")</f>
        <v>KOG3017</v>
      </c>
      <c r="BE220" t="str">
        <f>HYPERLINK("http://exon.niaid.nih.gov/transcriptome/Anopheles_sialome/links/PFAM/anomin_Ag5r3-PFAM.txt","CAP")</f>
        <v>CAP</v>
      </c>
      <c r="BF220" t="str">
        <f>HYPERLINK("http://pfam.sanger.ac.uk/family?acc=PF00188","1E-013")</f>
        <v>1E-013</v>
      </c>
      <c r="BG220" s="2" t="str">
        <f>HYPERLINK("http://exon.niaid.nih.gov/transcriptome/Anopheles_sialome/links/SMART/anomin_Ag5r3-SMART.txt","SCP")</f>
        <v>SCP</v>
      </c>
      <c r="BH220" t="str">
        <f>HYPERLINK("http://smart.embl-heidelberg.de/smart/do_annotation.pl?DOMAIN=SCP&amp;BLAST=DUMMY","5E-027")</f>
        <v>5E-027</v>
      </c>
      <c r="BI220" t="s">
        <v>128</v>
      </c>
      <c r="BJ220" s="2" t="s">
        <v>128</v>
      </c>
      <c r="BK220" t="s">
        <v>805</v>
      </c>
      <c r="BL220">
        <f>HYPERLINK("http://exon.niaid.nih.gov/transcriptome/Anopheles_sialome/links/cluster-b/anopheline-sialome-cds-pep-larger-orf25-50SimCLU4.txt", 4)</f>
        <v>4</v>
      </c>
      <c r="BM220">
        <f>HYPERLINK("http://exon.niaid.nih.gov/transcriptome/Anopheles_sialome/links/cluster-b/anopheline-sialome-cds-pep-larger-orf25-50SimCLTL4.txt", 82)</f>
        <v>82</v>
      </c>
      <c r="BN220">
        <f>HYPERLINK("http://exon.niaid.nih.gov/transcriptome/Anopheles_sialome/links/cluster-b/anopheline-sialome-cds-pep-larger-orf30-50SimCLU4.txt", 4)</f>
        <v>4</v>
      </c>
      <c r="BO220">
        <f>HYPERLINK("http://exon.niaid.nih.gov/transcriptome/Anopheles_sialome/links/cluster-b/anopheline-sialome-cds-pep-larger-orf30-50SimCLTL4.txt", 82)</f>
        <v>82</v>
      </c>
      <c r="BP220">
        <f>HYPERLINK("http://exon.niaid.nih.gov/transcriptome/Anopheles_sialome/links/cluster-b/anopheline-sialome-cds-pep-larger-orf35-50SimCLU3.txt", 3)</f>
        <v>3</v>
      </c>
      <c r="BQ220">
        <f>HYPERLINK("http://exon.niaid.nih.gov/transcriptome/Anopheles_sialome/links/cluster-b/anopheline-sialome-cds-pep-larger-orf35-50SimCLTL3.txt", 82)</f>
        <v>82</v>
      </c>
      <c r="BR220">
        <f>HYPERLINK("http://exon.niaid.nih.gov/transcriptome/Anopheles_sialome/links/cluster-b/anopheline-sialome-cds-pep-larger-orf40-50SimCLU3.txt", 3)</f>
        <v>3</v>
      </c>
      <c r="BS220">
        <f>HYPERLINK("http://exon.niaid.nih.gov/transcriptome/Anopheles_sialome/links/cluster-b/anopheline-sialome-cds-pep-larger-orf40-50SimCLTL3.txt", 82)</f>
        <v>82</v>
      </c>
      <c r="BT220">
        <f>HYPERLINK("http://exon.niaid.nih.gov/transcriptome/Anopheles_sialome/links/cluster-b/anopheline-sialome-cds-pep-larger-orf45-50SimCLU2.txt", 2)</f>
        <v>2</v>
      </c>
      <c r="BU220">
        <f>HYPERLINK("http://exon.niaid.nih.gov/transcriptome/Anopheles_sialome/links/cluster-b/anopheline-sialome-cds-pep-larger-orf45-50SimCLTL2.txt", 82)</f>
        <v>82</v>
      </c>
      <c r="BV220">
        <f>HYPERLINK("http://exon.niaid.nih.gov/transcriptome/Anopheles_sialome/links/cluster-b/anopheline-sialome-cds-pep-larger-orf50-50SimCLU2.txt", 2)</f>
        <v>2</v>
      </c>
      <c r="BW220">
        <f>HYPERLINK("http://exon.niaid.nih.gov/transcriptome/Anopheles_sialome/links/cluster-b/anopheline-sialome-cds-pep-larger-orf50-50SimCLTL2.txt", 82)</f>
        <v>82</v>
      </c>
      <c r="BX220">
        <f>HYPERLINK("http://exon.niaid.nih.gov/transcriptome/Anopheles_sialome/links/cluster-b/anopheline-sialome-cds-pep-larger-orf55-50SimCLU9.txt", 9)</f>
        <v>9</v>
      </c>
      <c r="BY220">
        <f>HYPERLINK("http://exon.niaid.nih.gov/transcriptome/Anopheles_sialome/links/cluster-b/anopheline-sialome-cds-pep-larger-orf55-50SimCLTL9.txt", 27)</f>
        <v>27</v>
      </c>
      <c r="BZ220">
        <f>HYPERLINK("http://exon.niaid.nih.gov/transcriptome/Anopheles_sialome/links/cluster-b/anopheline-sialome-cds-pep-larger-orf60-50SimCLU7.txt", 7)</f>
        <v>7</v>
      </c>
      <c r="CA220">
        <f>HYPERLINK("http://exon.niaid.nih.gov/transcriptome/Anopheles_sialome/links/cluster-b/anopheline-sialome-cds-pep-larger-orf60-50SimCLTL7.txt", 27)</f>
        <v>27</v>
      </c>
      <c r="CB220">
        <f>HYPERLINK("http://exon.niaid.nih.gov/transcriptome/Anopheles_sialome/links/cluster-b/anopheline-sialome-cds-pep-larger-orf65-50SimCLU4.txt", 4)</f>
        <v>4</v>
      </c>
      <c r="CC220">
        <f>HYPERLINK("http://exon.niaid.nih.gov/transcriptome/Anopheles_sialome/links/cluster-b/anopheline-sialome-cds-pep-larger-orf65-50SimCLTL4.txt", 27)</f>
        <v>27</v>
      </c>
      <c r="CD220">
        <f>HYPERLINK("http://exon.niaid.nih.gov/transcriptome/Anopheles_sialome/links/cluster-b/anopheline-sialome-cds-pep-larger-orf70-50SimCLU3.txt", 3)</f>
        <v>3</v>
      </c>
      <c r="CE220">
        <f>HYPERLINK("http://exon.niaid.nih.gov/transcriptome/Anopheles_sialome/links/cluster-b/anopheline-sialome-cds-pep-larger-orf70-50SimCLTL3.txt", 27)</f>
        <v>27</v>
      </c>
      <c r="CF220">
        <f>HYPERLINK("http://exon.niaid.nih.gov/transcriptome/Anopheles_sialome/links/cluster-b/anopheline-sialome-cds-pep-larger-orf75-50SimCLU3.txt", 3)</f>
        <v>3</v>
      </c>
      <c r="CG220">
        <f>HYPERLINK("http://exon.niaid.nih.gov/transcriptome/Anopheles_sialome/links/cluster-b/anopheline-sialome-cds-pep-larger-orf75-50SimCLTL3.txt", 27)</f>
        <v>27</v>
      </c>
      <c r="CH220">
        <f>HYPERLINK("http://exon.niaid.nih.gov/transcriptome/Anopheles_sialome/links/cluster-b/anopheline-sialome-cds-pep-larger-orf80-50SimCLU2.txt", 2)</f>
        <v>2</v>
      </c>
      <c r="CI220">
        <f>HYPERLINK("http://exon.niaid.nih.gov/transcriptome/Anopheles_sialome/links/cluster-b/anopheline-sialome-cds-pep-larger-orf80-50SimCLTL2.txt", 27)</f>
        <v>27</v>
      </c>
      <c r="CJ220">
        <f>HYPERLINK("http://exon.niaid.nih.gov/transcriptome/Anopheles_sialome/links/cluster-b/anopheline-sialome-cds-pep-larger-orf85-50SimCLU1.txt", 1)</f>
        <v>1</v>
      </c>
      <c r="CK220">
        <f>HYPERLINK("http://exon.niaid.nih.gov/transcriptome/Anopheles_sialome/links/cluster-b/anopheline-sialome-cds-pep-larger-orf85-50SimCLTL1.txt", 27)</f>
        <v>27</v>
      </c>
      <c r="CL220">
        <f>HYPERLINK("http://exon.niaid.nih.gov/transcriptome/Anopheles_sialome/links/cluster-b/anopheline-sialome-cds-pep-larger-orf90-50SimCLU1.txt", 1)</f>
        <v>1</v>
      </c>
      <c r="CM220">
        <f>HYPERLINK("http://exon.niaid.nih.gov/transcriptome/Anopheles_sialome/links/cluster-b/anopheline-sialome-cds-pep-larger-orf90-50SimCLTL1.txt", 25)</f>
        <v>25</v>
      </c>
      <c r="CN220">
        <f>HYPERLINK("http://exon.niaid.nih.gov/transcriptome/Anopheles_sialome/links/cluster-b/anopheline-sialome-cds-pep-larger-orf95-50SimCLU1.txt", 1)</f>
        <v>1</v>
      </c>
      <c r="CO220">
        <f>HYPERLINK("http://exon.niaid.nih.gov/transcriptome/Anopheles_sialome/links/cluster-b/anopheline-sialome-cds-pep-larger-orf95-50SimCLTL1.txt", 23)</f>
        <v>23</v>
      </c>
    </row>
    <row r="221" spans="1:93">
      <c r="A221" s="2" t="str">
        <f>HYPERLINK("http://exon.niaid.nih.gov/transcriptome/Anopheles_sialome/links/cds/anocul_Ag5r3-cds.txt","anocul_Ag5r3")</f>
        <v>anocul_Ag5r3</v>
      </c>
      <c r="B221">
        <v>783</v>
      </c>
      <c r="C221" t="s">
        <v>73</v>
      </c>
      <c r="D221" t="s">
        <v>7</v>
      </c>
      <c r="E221" t="s">
        <v>5</v>
      </c>
      <c r="F221" t="s">
        <v>1</v>
      </c>
      <c r="G221" t="str">
        <f>HYPERLINK("http://exon.niaid.nih.gov/transcriptome/Anopheles_sialome/links/pep/anocul_Ag5r3-pep.txt","anocul_Ag5r3")</f>
        <v>anocul_Ag5r3</v>
      </c>
      <c r="H221">
        <v>260</v>
      </c>
      <c r="I221">
        <v>2</v>
      </c>
      <c r="J221" s="3" t="str">
        <f>HYPERLINK("http://exon.niaid.nih.gov/transcriptome/Anopheles_sialome/links/Sigp/anocul_Ag5r3-SigP.txt","SIG")</f>
        <v>SIG</v>
      </c>
      <c r="K221" t="s">
        <v>787</v>
      </c>
      <c r="L221">
        <v>28.568000000000001</v>
      </c>
      <c r="M221">
        <v>7.51</v>
      </c>
      <c r="N221">
        <v>26.045000000000002</v>
      </c>
      <c r="O221">
        <v>6.46</v>
      </c>
      <c r="P221" t="s">
        <v>808</v>
      </c>
      <c r="Q221" s="3">
        <v>0</v>
      </c>
      <c r="R221" t="s">
        <v>128</v>
      </c>
      <c r="S221" t="s">
        <v>128</v>
      </c>
      <c r="T221" t="s">
        <v>128</v>
      </c>
      <c r="U221" t="s">
        <v>128</v>
      </c>
      <c r="V221" t="s">
        <v>128</v>
      </c>
      <c r="W221" s="3" t="str">
        <f>HYPERLINK("http://exon.niaid.nih.gov/transcriptome/Anopheles_sialome/links/netoglyc/anocul_Ag5r3-netoglyc.txt","0")</f>
        <v>0</v>
      </c>
      <c r="X221">
        <v>11.2</v>
      </c>
      <c r="Y221">
        <v>6.9</v>
      </c>
      <c r="Z221">
        <v>5.8</v>
      </c>
      <c r="AA221" t="s">
        <v>654</v>
      </c>
      <c r="AB221" t="s">
        <v>128</v>
      </c>
      <c r="AC221" s="2" t="str">
        <f>HYPERLINK("http://exon.niaid.nih.gov/transcriptome/Anopheles_sialome/links/DIPTERA/anocul_Ag5r3-DIPTERA.txt","AGAP003354-PA")</f>
        <v>AGAP003354-PA</v>
      </c>
      <c r="AD221" t="str">
        <f>HYPERLINK("http://www.ncbi.nlm.nih.gov/sutils/blink.cgi?pid=333469253","1E-150")</f>
        <v>1E-150</v>
      </c>
      <c r="AE221" t="str">
        <f t="shared" si="117"/>
        <v>gi|333469253</v>
      </c>
      <c r="AF221">
        <v>93</v>
      </c>
      <c r="AG221">
        <v>98</v>
      </c>
      <c r="AH221">
        <v>100</v>
      </c>
      <c r="AI221" t="s">
        <v>2285</v>
      </c>
      <c r="AJ221" s="2" t="str">
        <f>HYPERLINK("http://exon.niaid.nih.gov/transcriptome/Anopheles_sialome/links/CULICOMORPHA/anocul_Ag5r3-CULICOMORPHA.txt","AGAP003354-PA")</f>
        <v>AGAP003354-PA</v>
      </c>
      <c r="AK221" t="str">
        <f>HYPERLINK("http://www.ncbi.nlm.nih.gov/sutils/blink.cgi?pid=333469253","1E-151")</f>
        <v>1E-151</v>
      </c>
      <c r="AL221" t="str">
        <f t="shared" si="118"/>
        <v>gi|333469253</v>
      </c>
      <c r="AM221">
        <v>93</v>
      </c>
      <c r="AN221">
        <v>98</v>
      </c>
      <c r="AO221">
        <v>100</v>
      </c>
      <c r="AP221" t="s">
        <v>2285</v>
      </c>
      <c r="AQ221" s="2" t="str">
        <f>HYPERLINK("http://exon.niaid.nih.gov/transcriptome/Anopheles_sialome/links/NR-LIGHT/anocul_Ag5r3-NR-LIGHT.txt","AGAP003354-PA")</f>
        <v>AGAP003354-PA</v>
      </c>
      <c r="AR221" t="str">
        <f>HYPERLINK("http://www.ncbi.nlm.nih.gov/sutils/blink.cgi?pid=347969748","1E-150")</f>
        <v>1E-150</v>
      </c>
      <c r="AS221" t="str">
        <f t="shared" si="119"/>
        <v>gi|347969748</v>
      </c>
      <c r="AT221">
        <v>93</v>
      </c>
      <c r="AU221">
        <v>98</v>
      </c>
      <c r="AV221">
        <v>100</v>
      </c>
      <c r="AW221" t="s">
        <v>2285</v>
      </c>
      <c r="AX221" s="2" t="str">
        <f>HYPERLINK("http://exon.niaid.nih.gov/transcriptome/Anopheles_sialome/links/CDD/anocul_Ag5r3-CDD.txt","SCP_euk")</f>
        <v>SCP_euk</v>
      </c>
      <c r="AY221" t="str">
        <f>HYPERLINK("http://www.ncbi.nlm.nih.gov/Structure/cdd/cddsrv.cgi?uid=cd05380&amp;version=v4.0","1E-035")</f>
        <v>1E-035</v>
      </c>
      <c r="AZ221" t="s">
        <v>2354</v>
      </c>
      <c r="BA221" s="2" t="str">
        <f>HYPERLINK("http://exon.niaid.nih.gov/transcriptome/Anopheles_sialome/links/KOG/anocul_Ag5r3-KOG.txt","Defense-related protein containing SCP domain")</f>
        <v>Defense-related protein containing SCP domain</v>
      </c>
      <c r="BB221" t="str">
        <f>HYPERLINK("http://www.ncbi.nlm.nih.gov/Structure/cdd/cddsrv.cgi?uid=KOG3017","9E-030")</f>
        <v>9E-030</v>
      </c>
      <c r="BC221" t="s">
        <v>2304</v>
      </c>
      <c r="BD221" t="str">
        <f>HYPERLINK("http://exon.niaid.nih.gov/transcriptome/Anopheles_sialome/links/KOG/anocul_Ag5r3-KOG.txt","KOG3017")</f>
        <v>KOG3017</v>
      </c>
      <c r="BE221" t="str">
        <f>HYPERLINK("http://exon.niaid.nih.gov/transcriptome/Anopheles_sialome/links/PFAM/anocul_Ag5r3-PFAM.txt","CAP")</f>
        <v>CAP</v>
      </c>
      <c r="BF221" t="str">
        <f>HYPERLINK("http://pfam.sanger.ac.uk/family?acc=PF00188","3E-013")</f>
        <v>3E-013</v>
      </c>
      <c r="BG221" s="2" t="str">
        <f>HYPERLINK("http://exon.niaid.nih.gov/transcriptome/Anopheles_sialome/links/SMART/anocul_Ag5r3-SMART.txt","SCP")</f>
        <v>SCP</v>
      </c>
      <c r="BH221" t="str">
        <f>HYPERLINK("http://smart.embl-heidelberg.de/smart/do_annotation.pl?DOMAIN=SCP&amp;BLAST=DUMMY","3E-026")</f>
        <v>3E-026</v>
      </c>
      <c r="BI221" t="s">
        <v>128</v>
      </c>
      <c r="BJ221" s="2" t="s">
        <v>128</v>
      </c>
      <c r="BK221" t="s">
        <v>807</v>
      </c>
      <c r="BL221">
        <f>HYPERLINK("http://exon.niaid.nih.gov/transcriptome/Anopheles_sialome/links/cluster-b/anopheline-sialome-cds-pep-larger-orf25-50SimCLU4.txt", 4)</f>
        <v>4</v>
      </c>
      <c r="BM221">
        <f>HYPERLINK("http://exon.niaid.nih.gov/transcriptome/Anopheles_sialome/links/cluster-b/anopheline-sialome-cds-pep-larger-orf25-50SimCLTL4.txt", 82)</f>
        <v>82</v>
      </c>
      <c r="BN221">
        <f>HYPERLINK("http://exon.niaid.nih.gov/transcriptome/Anopheles_sialome/links/cluster-b/anopheline-sialome-cds-pep-larger-orf30-50SimCLU4.txt", 4)</f>
        <v>4</v>
      </c>
      <c r="BO221">
        <f>HYPERLINK("http://exon.niaid.nih.gov/transcriptome/Anopheles_sialome/links/cluster-b/anopheline-sialome-cds-pep-larger-orf30-50SimCLTL4.txt", 82)</f>
        <v>82</v>
      </c>
      <c r="BP221">
        <f>HYPERLINK("http://exon.niaid.nih.gov/transcriptome/Anopheles_sialome/links/cluster-b/anopheline-sialome-cds-pep-larger-orf35-50SimCLU3.txt", 3)</f>
        <v>3</v>
      </c>
      <c r="BQ221">
        <f>HYPERLINK("http://exon.niaid.nih.gov/transcriptome/Anopheles_sialome/links/cluster-b/anopheline-sialome-cds-pep-larger-orf35-50SimCLTL3.txt", 82)</f>
        <v>82</v>
      </c>
      <c r="BR221">
        <f>HYPERLINK("http://exon.niaid.nih.gov/transcriptome/Anopheles_sialome/links/cluster-b/anopheline-sialome-cds-pep-larger-orf40-50SimCLU3.txt", 3)</f>
        <v>3</v>
      </c>
      <c r="BS221">
        <f>HYPERLINK("http://exon.niaid.nih.gov/transcriptome/Anopheles_sialome/links/cluster-b/anopheline-sialome-cds-pep-larger-orf40-50SimCLTL3.txt", 82)</f>
        <v>82</v>
      </c>
      <c r="BT221">
        <f>HYPERLINK("http://exon.niaid.nih.gov/transcriptome/Anopheles_sialome/links/cluster-b/anopheline-sialome-cds-pep-larger-orf45-50SimCLU2.txt", 2)</f>
        <v>2</v>
      </c>
      <c r="BU221">
        <f>HYPERLINK("http://exon.niaid.nih.gov/transcriptome/Anopheles_sialome/links/cluster-b/anopheline-sialome-cds-pep-larger-orf45-50SimCLTL2.txt", 82)</f>
        <v>82</v>
      </c>
      <c r="BV221">
        <f>HYPERLINK("http://exon.niaid.nih.gov/transcriptome/Anopheles_sialome/links/cluster-b/anopheline-sialome-cds-pep-larger-orf50-50SimCLU2.txt", 2)</f>
        <v>2</v>
      </c>
      <c r="BW221">
        <f>HYPERLINK("http://exon.niaid.nih.gov/transcriptome/Anopheles_sialome/links/cluster-b/anopheline-sialome-cds-pep-larger-orf50-50SimCLTL2.txt", 82)</f>
        <v>82</v>
      </c>
      <c r="BX221">
        <f>HYPERLINK("http://exon.niaid.nih.gov/transcriptome/Anopheles_sialome/links/cluster-b/anopheline-sialome-cds-pep-larger-orf55-50SimCLU9.txt", 9)</f>
        <v>9</v>
      </c>
      <c r="BY221">
        <f>HYPERLINK("http://exon.niaid.nih.gov/transcriptome/Anopheles_sialome/links/cluster-b/anopheline-sialome-cds-pep-larger-orf55-50SimCLTL9.txt", 27)</f>
        <v>27</v>
      </c>
      <c r="BZ221">
        <f>HYPERLINK("http://exon.niaid.nih.gov/transcriptome/Anopheles_sialome/links/cluster-b/anopheline-sialome-cds-pep-larger-orf60-50SimCLU7.txt", 7)</f>
        <v>7</v>
      </c>
      <c r="CA221">
        <f>HYPERLINK("http://exon.niaid.nih.gov/transcriptome/Anopheles_sialome/links/cluster-b/anopheline-sialome-cds-pep-larger-orf60-50SimCLTL7.txt", 27)</f>
        <v>27</v>
      </c>
      <c r="CB221">
        <f>HYPERLINK("http://exon.niaid.nih.gov/transcriptome/Anopheles_sialome/links/cluster-b/anopheline-sialome-cds-pep-larger-orf65-50SimCLU4.txt", 4)</f>
        <v>4</v>
      </c>
      <c r="CC221">
        <f>HYPERLINK("http://exon.niaid.nih.gov/transcriptome/Anopheles_sialome/links/cluster-b/anopheline-sialome-cds-pep-larger-orf65-50SimCLTL4.txt", 27)</f>
        <v>27</v>
      </c>
      <c r="CD221">
        <f>HYPERLINK("http://exon.niaid.nih.gov/transcriptome/Anopheles_sialome/links/cluster-b/anopheline-sialome-cds-pep-larger-orf70-50SimCLU3.txt", 3)</f>
        <v>3</v>
      </c>
      <c r="CE221">
        <f>HYPERLINK("http://exon.niaid.nih.gov/transcriptome/Anopheles_sialome/links/cluster-b/anopheline-sialome-cds-pep-larger-orf70-50SimCLTL3.txt", 27)</f>
        <v>27</v>
      </c>
      <c r="CF221">
        <f>HYPERLINK("http://exon.niaid.nih.gov/transcriptome/Anopheles_sialome/links/cluster-b/anopheline-sialome-cds-pep-larger-orf75-50SimCLU3.txt", 3)</f>
        <v>3</v>
      </c>
      <c r="CG221">
        <f>HYPERLINK("http://exon.niaid.nih.gov/transcriptome/Anopheles_sialome/links/cluster-b/anopheline-sialome-cds-pep-larger-orf75-50SimCLTL3.txt", 27)</f>
        <v>27</v>
      </c>
      <c r="CH221">
        <f>HYPERLINK("http://exon.niaid.nih.gov/transcriptome/Anopheles_sialome/links/cluster-b/anopheline-sialome-cds-pep-larger-orf80-50SimCLU2.txt", 2)</f>
        <v>2</v>
      </c>
      <c r="CI221">
        <f>HYPERLINK("http://exon.niaid.nih.gov/transcriptome/Anopheles_sialome/links/cluster-b/anopheline-sialome-cds-pep-larger-orf80-50SimCLTL2.txt", 27)</f>
        <v>27</v>
      </c>
      <c r="CJ221">
        <f>HYPERLINK("http://exon.niaid.nih.gov/transcriptome/Anopheles_sialome/links/cluster-b/anopheline-sialome-cds-pep-larger-orf85-50SimCLU1.txt", 1)</f>
        <v>1</v>
      </c>
      <c r="CK221">
        <f>HYPERLINK("http://exon.niaid.nih.gov/transcriptome/Anopheles_sialome/links/cluster-b/anopheline-sialome-cds-pep-larger-orf85-50SimCLTL1.txt", 27)</f>
        <v>27</v>
      </c>
      <c r="CL221">
        <f>HYPERLINK("http://exon.niaid.nih.gov/transcriptome/Anopheles_sialome/links/cluster-b/anopheline-sialome-cds-pep-larger-orf90-50SimCLU1.txt", 1)</f>
        <v>1</v>
      </c>
      <c r="CM221">
        <f>HYPERLINK("http://exon.niaid.nih.gov/transcriptome/Anopheles_sialome/links/cluster-b/anopheline-sialome-cds-pep-larger-orf90-50SimCLTL1.txt", 25)</f>
        <v>25</v>
      </c>
      <c r="CN221">
        <f>HYPERLINK("http://exon.niaid.nih.gov/transcriptome/Anopheles_sialome/links/cluster-b/anopheline-sialome-cds-pep-larger-orf95-50SimCLU1.txt", 1)</f>
        <v>1</v>
      </c>
      <c r="CO221">
        <f>HYPERLINK("http://exon.niaid.nih.gov/transcriptome/Anopheles_sialome/links/cluster-b/anopheline-sialome-cds-pep-larger-orf95-50SimCLTL1.txt", 23)</f>
        <v>23</v>
      </c>
    </row>
    <row r="222" spans="1:93">
      <c r="A222" s="2" t="str">
        <f>HYPERLINK("http://exon.niaid.nih.gov/transcriptome/Anopheles_sialome/links/cds/anofar_Ag5r3-cds.txt","anofar_Ag5r3")</f>
        <v>anofar_Ag5r3</v>
      </c>
      <c r="B222">
        <v>783</v>
      </c>
      <c r="C222" t="s">
        <v>74</v>
      </c>
      <c r="D222" t="s">
        <v>4</v>
      </c>
      <c r="E222" t="s">
        <v>5</v>
      </c>
      <c r="F222" t="s">
        <v>1</v>
      </c>
      <c r="G222" t="str">
        <f>HYPERLINK("http://exon.niaid.nih.gov/transcriptome/Anopheles_sialome/links/pep/anofar_Ag5r3-pep.txt","anofar_Ag5r3")</f>
        <v>anofar_Ag5r3</v>
      </c>
      <c r="H222">
        <v>260</v>
      </c>
      <c r="I222">
        <v>2</v>
      </c>
      <c r="J222" s="3" t="str">
        <f>HYPERLINK("http://exon.niaid.nih.gov/transcriptome/Anopheles_sialome/links/Sigp/anofar_Ag5r3-SigP.txt","SIG")</f>
        <v>SIG</v>
      </c>
      <c r="K222" t="s">
        <v>787</v>
      </c>
      <c r="L222">
        <v>28.626000000000001</v>
      </c>
      <c r="M222">
        <v>6.69</v>
      </c>
      <c r="N222">
        <v>26.036000000000001</v>
      </c>
      <c r="O222">
        <v>6.05</v>
      </c>
      <c r="P222" t="s">
        <v>810</v>
      </c>
      <c r="Q222" s="3">
        <v>0</v>
      </c>
      <c r="R222" t="s">
        <v>128</v>
      </c>
      <c r="S222" t="s">
        <v>128</v>
      </c>
      <c r="T222" t="s">
        <v>128</v>
      </c>
      <c r="U222" t="s">
        <v>128</v>
      </c>
      <c r="V222" t="s">
        <v>128</v>
      </c>
      <c r="W222" s="3" t="str">
        <f>HYPERLINK("http://exon.niaid.nih.gov/transcriptome/Anopheles_sialome/links/netoglyc/anofar_Ag5r3-netoglyc.txt","0")</f>
        <v>0</v>
      </c>
      <c r="X222">
        <v>12.7</v>
      </c>
      <c r="Y222">
        <v>6.5</v>
      </c>
      <c r="Z222">
        <v>5.8</v>
      </c>
      <c r="AA222" t="s">
        <v>654</v>
      </c>
      <c r="AB222" t="s">
        <v>128</v>
      </c>
      <c r="AC222" s="2" t="str">
        <f>HYPERLINK("http://exon.niaid.nih.gov/transcriptome/Anopheles_sialome/links/DIPTERA/anofar_Ag5r3-DIPTERA.txt","AGAP003354-PA")</f>
        <v>AGAP003354-PA</v>
      </c>
      <c r="AD222" t="str">
        <f>HYPERLINK("http://www.ncbi.nlm.nih.gov/sutils/blink.cgi?pid=333469253","1E-147")</f>
        <v>1E-147</v>
      </c>
      <c r="AE222" t="str">
        <f t="shared" si="117"/>
        <v>gi|333469253</v>
      </c>
      <c r="AF222">
        <v>93</v>
      </c>
      <c r="AG222">
        <v>96</v>
      </c>
      <c r="AH222">
        <v>100</v>
      </c>
      <c r="AI222" t="s">
        <v>2285</v>
      </c>
      <c r="AJ222" s="2" t="str">
        <f>HYPERLINK("http://exon.niaid.nih.gov/transcriptome/Anopheles_sialome/links/CULICOMORPHA/anofar_Ag5r3-CULICOMORPHA.txt","AGAP003354-PA")</f>
        <v>AGAP003354-PA</v>
      </c>
      <c r="AK222" t="str">
        <f>HYPERLINK("http://www.ncbi.nlm.nih.gov/sutils/blink.cgi?pid=333469253","1E-148")</f>
        <v>1E-148</v>
      </c>
      <c r="AL222" t="str">
        <f t="shared" si="118"/>
        <v>gi|333469253</v>
      </c>
      <c r="AM222">
        <v>93</v>
      </c>
      <c r="AN222">
        <v>96</v>
      </c>
      <c r="AO222">
        <v>100</v>
      </c>
      <c r="AP222" t="s">
        <v>2285</v>
      </c>
      <c r="AQ222" s="2" t="str">
        <f>HYPERLINK("http://exon.niaid.nih.gov/transcriptome/Anopheles_sialome/links/NR-LIGHT/anofar_Ag5r3-NR-LIGHT.txt","AGAP003354-PA")</f>
        <v>AGAP003354-PA</v>
      </c>
      <c r="AR222" t="str">
        <f>HYPERLINK("http://www.ncbi.nlm.nih.gov/sutils/blink.cgi?pid=347969748","1E-147")</f>
        <v>1E-147</v>
      </c>
      <c r="AS222" t="str">
        <f t="shared" si="119"/>
        <v>gi|347969748</v>
      </c>
      <c r="AT222">
        <v>93</v>
      </c>
      <c r="AU222">
        <v>96</v>
      </c>
      <c r="AV222">
        <v>100</v>
      </c>
      <c r="AW222" t="s">
        <v>2285</v>
      </c>
      <c r="AX222" s="2" t="str">
        <f>HYPERLINK("http://exon.niaid.nih.gov/transcriptome/Anopheles_sialome/links/CDD/anofar_Ag5r3-CDD.txt","SCP_euk")</f>
        <v>SCP_euk</v>
      </c>
      <c r="AY222" t="str">
        <f>HYPERLINK("http://www.ncbi.nlm.nih.gov/Structure/cdd/cddsrv.cgi?uid=cd05380&amp;version=v4.0","2E-034")</f>
        <v>2E-034</v>
      </c>
      <c r="AZ222" t="s">
        <v>2355</v>
      </c>
      <c r="BA222" s="2" t="str">
        <f>HYPERLINK("http://exon.niaid.nih.gov/transcriptome/Anopheles_sialome/links/KOG/anofar_Ag5r3-KOG.txt","Defense-related protein containing SCP domain")</f>
        <v>Defense-related protein containing SCP domain</v>
      </c>
      <c r="BB222" t="str">
        <f>HYPERLINK("http://www.ncbi.nlm.nih.gov/Structure/cdd/cddsrv.cgi?uid=KOG3017","1E-029")</f>
        <v>1E-029</v>
      </c>
      <c r="BC222" t="s">
        <v>2304</v>
      </c>
      <c r="BD222" t="str">
        <f>HYPERLINK("http://exon.niaid.nih.gov/transcriptome/Anopheles_sialome/links/KOG/anofar_Ag5r3-KOG.txt","KOG3017")</f>
        <v>KOG3017</v>
      </c>
      <c r="BE222" t="str">
        <f>HYPERLINK("http://exon.niaid.nih.gov/transcriptome/Anopheles_sialome/links/PFAM/anofar_Ag5r3-PFAM.txt","CAP")</f>
        <v>CAP</v>
      </c>
      <c r="BF222" t="str">
        <f>HYPERLINK("http://pfam.sanger.ac.uk/family?acc=PF00188","8E-013")</f>
        <v>8E-013</v>
      </c>
      <c r="BG222" s="2" t="str">
        <f>HYPERLINK("http://exon.niaid.nih.gov/transcriptome/Anopheles_sialome/links/SMART/anofar_Ag5r3-SMART.txt","SCP")</f>
        <v>SCP</v>
      </c>
      <c r="BH222" t="str">
        <f>HYPERLINK("http://smart.embl-heidelberg.de/smart/do_annotation.pl?DOMAIN=SCP&amp;BLAST=DUMMY","5E-026")</f>
        <v>5E-026</v>
      </c>
      <c r="BI222" t="s">
        <v>128</v>
      </c>
      <c r="BJ222" s="2" t="s">
        <v>128</v>
      </c>
      <c r="BK222" t="s">
        <v>809</v>
      </c>
      <c r="BL222">
        <f>HYPERLINK("http://exon.niaid.nih.gov/transcriptome/Anopheles_sialome/links/cluster-b/anopheline-sialome-cds-pep-larger-orf25-50SimCLU4.txt", 4)</f>
        <v>4</v>
      </c>
      <c r="BM222">
        <f>HYPERLINK("http://exon.niaid.nih.gov/transcriptome/Anopheles_sialome/links/cluster-b/anopheline-sialome-cds-pep-larger-orf25-50SimCLTL4.txt", 82)</f>
        <v>82</v>
      </c>
      <c r="BN222">
        <f>HYPERLINK("http://exon.niaid.nih.gov/transcriptome/Anopheles_sialome/links/cluster-b/anopheline-sialome-cds-pep-larger-orf30-50SimCLU4.txt", 4)</f>
        <v>4</v>
      </c>
      <c r="BO222">
        <f>HYPERLINK("http://exon.niaid.nih.gov/transcriptome/Anopheles_sialome/links/cluster-b/anopheline-sialome-cds-pep-larger-orf30-50SimCLTL4.txt", 82)</f>
        <v>82</v>
      </c>
      <c r="BP222">
        <f>HYPERLINK("http://exon.niaid.nih.gov/transcriptome/Anopheles_sialome/links/cluster-b/anopheline-sialome-cds-pep-larger-orf35-50SimCLU3.txt", 3)</f>
        <v>3</v>
      </c>
      <c r="BQ222">
        <f>HYPERLINK("http://exon.niaid.nih.gov/transcriptome/Anopheles_sialome/links/cluster-b/anopheline-sialome-cds-pep-larger-orf35-50SimCLTL3.txt", 82)</f>
        <v>82</v>
      </c>
      <c r="BR222">
        <f>HYPERLINK("http://exon.niaid.nih.gov/transcriptome/Anopheles_sialome/links/cluster-b/anopheline-sialome-cds-pep-larger-orf40-50SimCLU3.txt", 3)</f>
        <v>3</v>
      </c>
      <c r="BS222">
        <f>HYPERLINK("http://exon.niaid.nih.gov/transcriptome/Anopheles_sialome/links/cluster-b/anopheline-sialome-cds-pep-larger-orf40-50SimCLTL3.txt", 82)</f>
        <v>82</v>
      </c>
      <c r="BT222">
        <f>HYPERLINK("http://exon.niaid.nih.gov/transcriptome/Anopheles_sialome/links/cluster-b/anopheline-sialome-cds-pep-larger-orf45-50SimCLU2.txt", 2)</f>
        <v>2</v>
      </c>
      <c r="BU222">
        <f>HYPERLINK("http://exon.niaid.nih.gov/transcriptome/Anopheles_sialome/links/cluster-b/anopheline-sialome-cds-pep-larger-orf45-50SimCLTL2.txt", 82)</f>
        <v>82</v>
      </c>
      <c r="BV222">
        <f>HYPERLINK("http://exon.niaid.nih.gov/transcriptome/Anopheles_sialome/links/cluster-b/anopheline-sialome-cds-pep-larger-orf50-50SimCLU2.txt", 2)</f>
        <v>2</v>
      </c>
      <c r="BW222">
        <f>HYPERLINK("http://exon.niaid.nih.gov/transcriptome/Anopheles_sialome/links/cluster-b/anopheline-sialome-cds-pep-larger-orf50-50SimCLTL2.txt", 82)</f>
        <v>82</v>
      </c>
      <c r="BX222">
        <f>HYPERLINK("http://exon.niaid.nih.gov/transcriptome/Anopheles_sialome/links/cluster-b/anopheline-sialome-cds-pep-larger-orf55-50SimCLU9.txt", 9)</f>
        <v>9</v>
      </c>
      <c r="BY222">
        <f>HYPERLINK("http://exon.niaid.nih.gov/transcriptome/Anopheles_sialome/links/cluster-b/anopheline-sialome-cds-pep-larger-orf55-50SimCLTL9.txt", 27)</f>
        <v>27</v>
      </c>
      <c r="BZ222">
        <f>HYPERLINK("http://exon.niaid.nih.gov/transcriptome/Anopheles_sialome/links/cluster-b/anopheline-sialome-cds-pep-larger-orf60-50SimCLU7.txt", 7)</f>
        <v>7</v>
      </c>
      <c r="CA222">
        <f>HYPERLINK("http://exon.niaid.nih.gov/transcriptome/Anopheles_sialome/links/cluster-b/anopheline-sialome-cds-pep-larger-orf60-50SimCLTL7.txt", 27)</f>
        <v>27</v>
      </c>
      <c r="CB222">
        <f>HYPERLINK("http://exon.niaid.nih.gov/transcriptome/Anopheles_sialome/links/cluster-b/anopheline-sialome-cds-pep-larger-orf65-50SimCLU4.txt", 4)</f>
        <v>4</v>
      </c>
      <c r="CC222">
        <f>HYPERLINK("http://exon.niaid.nih.gov/transcriptome/Anopheles_sialome/links/cluster-b/anopheline-sialome-cds-pep-larger-orf65-50SimCLTL4.txt", 27)</f>
        <v>27</v>
      </c>
      <c r="CD222">
        <f>HYPERLINK("http://exon.niaid.nih.gov/transcriptome/Anopheles_sialome/links/cluster-b/anopheline-sialome-cds-pep-larger-orf70-50SimCLU3.txt", 3)</f>
        <v>3</v>
      </c>
      <c r="CE222">
        <f>HYPERLINK("http://exon.niaid.nih.gov/transcriptome/Anopheles_sialome/links/cluster-b/anopheline-sialome-cds-pep-larger-orf70-50SimCLTL3.txt", 27)</f>
        <v>27</v>
      </c>
      <c r="CF222">
        <f>HYPERLINK("http://exon.niaid.nih.gov/transcriptome/Anopheles_sialome/links/cluster-b/anopheline-sialome-cds-pep-larger-orf75-50SimCLU3.txt", 3)</f>
        <v>3</v>
      </c>
      <c r="CG222">
        <f>HYPERLINK("http://exon.niaid.nih.gov/transcriptome/Anopheles_sialome/links/cluster-b/anopheline-sialome-cds-pep-larger-orf75-50SimCLTL3.txt", 27)</f>
        <v>27</v>
      </c>
      <c r="CH222">
        <f>HYPERLINK("http://exon.niaid.nih.gov/transcriptome/Anopheles_sialome/links/cluster-b/anopheline-sialome-cds-pep-larger-orf80-50SimCLU2.txt", 2)</f>
        <v>2</v>
      </c>
      <c r="CI222">
        <f>HYPERLINK("http://exon.niaid.nih.gov/transcriptome/Anopheles_sialome/links/cluster-b/anopheline-sialome-cds-pep-larger-orf80-50SimCLTL2.txt", 27)</f>
        <v>27</v>
      </c>
      <c r="CJ222">
        <f>HYPERLINK("http://exon.niaid.nih.gov/transcriptome/Anopheles_sialome/links/cluster-b/anopheline-sialome-cds-pep-larger-orf85-50SimCLU1.txt", 1)</f>
        <v>1</v>
      </c>
      <c r="CK222">
        <f>HYPERLINK("http://exon.niaid.nih.gov/transcriptome/Anopheles_sialome/links/cluster-b/anopheline-sialome-cds-pep-larger-orf85-50SimCLTL1.txt", 27)</f>
        <v>27</v>
      </c>
      <c r="CL222">
        <f>HYPERLINK("http://exon.niaid.nih.gov/transcriptome/Anopheles_sialome/links/cluster-b/anopheline-sialome-cds-pep-larger-orf90-50SimCLU1.txt", 1)</f>
        <v>1</v>
      </c>
      <c r="CM222">
        <f>HYPERLINK("http://exon.niaid.nih.gov/transcriptome/Anopheles_sialome/links/cluster-b/anopheline-sialome-cds-pep-larger-orf90-50SimCLTL1.txt", 25)</f>
        <v>25</v>
      </c>
      <c r="CN222">
        <f>HYPERLINK("http://exon.niaid.nih.gov/transcriptome/Anopheles_sialome/links/cluster-b/anopheline-sialome-cds-pep-larger-orf95-50SimCLU1.txt", 1)</f>
        <v>1</v>
      </c>
      <c r="CO222">
        <f>HYPERLINK("http://exon.niaid.nih.gov/transcriptome/Anopheles_sialome/links/cluster-b/anopheline-sialome-cds-pep-larger-orf95-50SimCLTL1.txt", 23)</f>
        <v>23</v>
      </c>
    </row>
    <row r="223" spans="1:93">
      <c r="A223" s="2" t="str">
        <f>HYPERLINK("http://exon.niaid.nih.gov/transcriptome/Anopheles_sialome/links/cds/anodir_Ag5r3-cds.txt","anodir_Ag5r3")</f>
        <v>anodir_Ag5r3</v>
      </c>
      <c r="B223">
        <v>783</v>
      </c>
      <c r="C223" t="s">
        <v>75</v>
      </c>
      <c r="D223" t="s">
        <v>7</v>
      </c>
      <c r="E223" t="s">
        <v>5</v>
      </c>
      <c r="F223" t="s">
        <v>1</v>
      </c>
      <c r="G223" t="str">
        <f>HYPERLINK("http://exon.niaid.nih.gov/transcriptome/Anopheles_sialome/links/pep/anodir_Ag5r3-pep.txt","anodir_Ag5r3")</f>
        <v>anodir_Ag5r3</v>
      </c>
      <c r="H223">
        <v>260</v>
      </c>
      <c r="I223">
        <v>2</v>
      </c>
      <c r="J223" s="3" t="str">
        <f>HYPERLINK("http://exon.niaid.nih.gov/transcriptome/Anopheles_sialome/links/Sigp/anodir_Ag5r3-SigP.txt","SIG")</f>
        <v>SIG</v>
      </c>
      <c r="K223" t="s">
        <v>787</v>
      </c>
      <c r="L223">
        <v>28.699000000000002</v>
      </c>
      <c r="M223">
        <v>6.69</v>
      </c>
      <c r="N223">
        <v>26.126999999999999</v>
      </c>
      <c r="O223">
        <v>6.05</v>
      </c>
      <c r="P223" t="s">
        <v>812</v>
      </c>
      <c r="Q223" s="3">
        <v>0</v>
      </c>
      <c r="R223" t="s">
        <v>128</v>
      </c>
      <c r="S223" t="s">
        <v>128</v>
      </c>
      <c r="T223" t="s">
        <v>128</v>
      </c>
      <c r="U223" t="s">
        <v>128</v>
      </c>
      <c r="V223" t="s">
        <v>128</v>
      </c>
      <c r="W223" s="3" t="str">
        <f>HYPERLINK("http://exon.niaid.nih.gov/transcriptome/Anopheles_sialome/links/netoglyc/anodir_Ag5r3-netoglyc.txt","0")</f>
        <v>0</v>
      </c>
      <c r="X223">
        <v>11.9</v>
      </c>
      <c r="Y223">
        <v>6.5</v>
      </c>
      <c r="Z223">
        <v>5.8</v>
      </c>
      <c r="AA223" t="s">
        <v>654</v>
      </c>
      <c r="AB223" t="s">
        <v>128</v>
      </c>
      <c r="AC223" s="2" t="str">
        <f>HYPERLINK("http://exon.niaid.nih.gov/transcriptome/Anopheles_sialome/links/DIPTERA/anodir_Ag5r3-DIPTERA.txt","AGAP003354-PA")</f>
        <v>AGAP003354-PA</v>
      </c>
      <c r="AD223" t="str">
        <f>HYPERLINK("http://www.ncbi.nlm.nih.gov/sutils/blink.cgi?pid=333469253","1E-148")</f>
        <v>1E-148</v>
      </c>
      <c r="AE223" t="str">
        <f t="shared" si="117"/>
        <v>gi|333469253</v>
      </c>
      <c r="AF223">
        <v>93</v>
      </c>
      <c r="AG223">
        <v>98</v>
      </c>
      <c r="AH223">
        <v>100</v>
      </c>
      <c r="AI223" t="s">
        <v>2285</v>
      </c>
      <c r="AJ223" s="2" t="str">
        <f>HYPERLINK("http://exon.niaid.nih.gov/transcriptome/Anopheles_sialome/links/CULICOMORPHA/anodir_Ag5r3-CULICOMORPHA.txt","AGAP003354-PA")</f>
        <v>AGAP003354-PA</v>
      </c>
      <c r="AK223" t="str">
        <f>HYPERLINK("http://www.ncbi.nlm.nih.gov/sutils/blink.cgi?pid=333469253","1E-149")</f>
        <v>1E-149</v>
      </c>
      <c r="AL223" t="str">
        <f t="shared" si="118"/>
        <v>gi|333469253</v>
      </c>
      <c r="AM223">
        <v>93</v>
      </c>
      <c r="AN223">
        <v>98</v>
      </c>
      <c r="AO223">
        <v>100</v>
      </c>
      <c r="AP223" t="s">
        <v>2285</v>
      </c>
      <c r="AQ223" s="2" t="str">
        <f>HYPERLINK("http://exon.niaid.nih.gov/transcriptome/Anopheles_sialome/links/NR-LIGHT/anodir_Ag5r3-NR-LIGHT.txt","AGAP003354-PA")</f>
        <v>AGAP003354-PA</v>
      </c>
      <c r="AR223" t="str">
        <f>HYPERLINK("http://www.ncbi.nlm.nih.gov/sutils/blink.cgi?pid=347969748","1E-148")</f>
        <v>1E-148</v>
      </c>
      <c r="AS223" t="str">
        <f t="shared" si="119"/>
        <v>gi|347969748</v>
      </c>
      <c r="AT223">
        <v>93</v>
      </c>
      <c r="AU223">
        <v>98</v>
      </c>
      <c r="AV223">
        <v>100</v>
      </c>
      <c r="AW223" t="s">
        <v>2285</v>
      </c>
      <c r="AX223" s="2" t="str">
        <f>HYPERLINK("http://exon.niaid.nih.gov/transcriptome/Anopheles_sialome/links/CDD/anodir_Ag5r3-CDD.txt","SCP_euk")</f>
        <v>SCP_euk</v>
      </c>
      <c r="AY223" t="str">
        <f>HYPERLINK("http://www.ncbi.nlm.nih.gov/Structure/cdd/cddsrv.cgi?uid=cd05380&amp;version=v4.0","2E-036")</f>
        <v>2E-036</v>
      </c>
      <c r="AZ223" t="s">
        <v>2356</v>
      </c>
      <c r="BA223" s="2" t="str">
        <f>HYPERLINK("http://exon.niaid.nih.gov/transcriptome/Anopheles_sialome/links/KOG/anodir_Ag5r3-KOG.txt","Defense-related protein containing SCP domain")</f>
        <v>Defense-related protein containing SCP domain</v>
      </c>
      <c r="BB223" t="str">
        <f>HYPERLINK("http://www.ncbi.nlm.nih.gov/Structure/cdd/cddsrv.cgi?uid=KOG3017","9E-031")</f>
        <v>9E-031</v>
      </c>
      <c r="BC223" t="s">
        <v>2304</v>
      </c>
      <c r="BD223" t="str">
        <f>HYPERLINK("http://exon.niaid.nih.gov/transcriptome/Anopheles_sialome/links/KOG/anodir_Ag5r3-KOG.txt","KOG3017")</f>
        <v>KOG3017</v>
      </c>
      <c r="BE223" t="str">
        <f>HYPERLINK("http://exon.niaid.nih.gov/transcriptome/Anopheles_sialome/links/PFAM/anodir_Ag5r3-PFAM.txt","CAP")</f>
        <v>CAP</v>
      </c>
      <c r="BF223" t="str">
        <f>HYPERLINK("http://pfam.sanger.ac.uk/family?acc=PF00188","9E-013")</f>
        <v>9E-013</v>
      </c>
      <c r="BG223" s="2" t="str">
        <f>HYPERLINK("http://exon.niaid.nih.gov/transcriptome/Anopheles_sialome/links/SMART/anodir_Ag5r3-SMART.txt","SCP")</f>
        <v>SCP</v>
      </c>
      <c r="BH223" t="str">
        <f>HYPERLINK("http://smart.embl-heidelberg.de/smart/do_annotation.pl?DOMAIN=SCP&amp;BLAST=DUMMY","6E-028")</f>
        <v>6E-028</v>
      </c>
      <c r="BI223" t="s">
        <v>128</v>
      </c>
      <c r="BJ223" s="2" t="s">
        <v>128</v>
      </c>
      <c r="BK223" t="s">
        <v>811</v>
      </c>
      <c r="BL223">
        <f>HYPERLINK("http://exon.niaid.nih.gov/transcriptome/Anopheles_sialome/links/cluster-b/anopheline-sialome-cds-pep-larger-orf25-50SimCLU4.txt", 4)</f>
        <v>4</v>
      </c>
      <c r="BM223">
        <f>HYPERLINK("http://exon.niaid.nih.gov/transcriptome/Anopheles_sialome/links/cluster-b/anopheline-sialome-cds-pep-larger-orf25-50SimCLTL4.txt", 82)</f>
        <v>82</v>
      </c>
      <c r="BN223">
        <f>HYPERLINK("http://exon.niaid.nih.gov/transcriptome/Anopheles_sialome/links/cluster-b/anopheline-sialome-cds-pep-larger-orf30-50SimCLU4.txt", 4)</f>
        <v>4</v>
      </c>
      <c r="BO223">
        <f>HYPERLINK("http://exon.niaid.nih.gov/transcriptome/Anopheles_sialome/links/cluster-b/anopheline-sialome-cds-pep-larger-orf30-50SimCLTL4.txt", 82)</f>
        <v>82</v>
      </c>
      <c r="BP223">
        <f>HYPERLINK("http://exon.niaid.nih.gov/transcriptome/Anopheles_sialome/links/cluster-b/anopheline-sialome-cds-pep-larger-orf35-50SimCLU3.txt", 3)</f>
        <v>3</v>
      </c>
      <c r="BQ223">
        <f>HYPERLINK("http://exon.niaid.nih.gov/transcriptome/Anopheles_sialome/links/cluster-b/anopheline-sialome-cds-pep-larger-orf35-50SimCLTL3.txt", 82)</f>
        <v>82</v>
      </c>
      <c r="BR223">
        <f>HYPERLINK("http://exon.niaid.nih.gov/transcriptome/Anopheles_sialome/links/cluster-b/anopheline-sialome-cds-pep-larger-orf40-50SimCLU3.txt", 3)</f>
        <v>3</v>
      </c>
      <c r="BS223">
        <f>HYPERLINK("http://exon.niaid.nih.gov/transcriptome/Anopheles_sialome/links/cluster-b/anopheline-sialome-cds-pep-larger-orf40-50SimCLTL3.txt", 82)</f>
        <v>82</v>
      </c>
      <c r="BT223">
        <f>HYPERLINK("http://exon.niaid.nih.gov/transcriptome/Anopheles_sialome/links/cluster-b/anopheline-sialome-cds-pep-larger-orf45-50SimCLU2.txt", 2)</f>
        <v>2</v>
      </c>
      <c r="BU223">
        <f>HYPERLINK("http://exon.niaid.nih.gov/transcriptome/Anopheles_sialome/links/cluster-b/anopheline-sialome-cds-pep-larger-orf45-50SimCLTL2.txt", 82)</f>
        <v>82</v>
      </c>
      <c r="BV223">
        <f>HYPERLINK("http://exon.niaid.nih.gov/transcriptome/Anopheles_sialome/links/cluster-b/anopheline-sialome-cds-pep-larger-orf50-50SimCLU2.txt", 2)</f>
        <v>2</v>
      </c>
      <c r="BW223">
        <f>HYPERLINK("http://exon.niaid.nih.gov/transcriptome/Anopheles_sialome/links/cluster-b/anopheline-sialome-cds-pep-larger-orf50-50SimCLTL2.txt", 82)</f>
        <v>82</v>
      </c>
      <c r="BX223">
        <f>HYPERLINK("http://exon.niaid.nih.gov/transcriptome/Anopheles_sialome/links/cluster-b/anopheline-sialome-cds-pep-larger-orf55-50SimCLU9.txt", 9)</f>
        <v>9</v>
      </c>
      <c r="BY223">
        <f>HYPERLINK("http://exon.niaid.nih.gov/transcriptome/Anopheles_sialome/links/cluster-b/anopheline-sialome-cds-pep-larger-orf55-50SimCLTL9.txt", 27)</f>
        <v>27</v>
      </c>
      <c r="BZ223">
        <f>HYPERLINK("http://exon.niaid.nih.gov/transcriptome/Anopheles_sialome/links/cluster-b/anopheline-sialome-cds-pep-larger-orf60-50SimCLU7.txt", 7)</f>
        <v>7</v>
      </c>
      <c r="CA223">
        <f>HYPERLINK("http://exon.niaid.nih.gov/transcriptome/Anopheles_sialome/links/cluster-b/anopheline-sialome-cds-pep-larger-orf60-50SimCLTL7.txt", 27)</f>
        <v>27</v>
      </c>
      <c r="CB223">
        <f>HYPERLINK("http://exon.niaid.nih.gov/transcriptome/Anopheles_sialome/links/cluster-b/anopheline-sialome-cds-pep-larger-orf65-50SimCLU4.txt", 4)</f>
        <v>4</v>
      </c>
      <c r="CC223">
        <f>HYPERLINK("http://exon.niaid.nih.gov/transcriptome/Anopheles_sialome/links/cluster-b/anopheline-sialome-cds-pep-larger-orf65-50SimCLTL4.txt", 27)</f>
        <v>27</v>
      </c>
      <c r="CD223">
        <f>HYPERLINK("http://exon.niaid.nih.gov/transcriptome/Anopheles_sialome/links/cluster-b/anopheline-sialome-cds-pep-larger-orf70-50SimCLU3.txt", 3)</f>
        <v>3</v>
      </c>
      <c r="CE223">
        <f>HYPERLINK("http://exon.niaid.nih.gov/transcriptome/Anopheles_sialome/links/cluster-b/anopheline-sialome-cds-pep-larger-orf70-50SimCLTL3.txt", 27)</f>
        <v>27</v>
      </c>
      <c r="CF223">
        <f>HYPERLINK("http://exon.niaid.nih.gov/transcriptome/Anopheles_sialome/links/cluster-b/anopheline-sialome-cds-pep-larger-orf75-50SimCLU3.txt", 3)</f>
        <v>3</v>
      </c>
      <c r="CG223">
        <f>HYPERLINK("http://exon.niaid.nih.gov/transcriptome/Anopheles_sialome/links/cluster-b/anopheline-sialome-cds-pep-larger-orf75-50SimCLTL3.txt", 27)</f>
        <v>27</v>
      </c>
      <c r="CH223">
        <f>HYPERLINK("http://exon.niaid.nih.gov/transcriptome/Anopheles_sialome/links/cluster-b/anopheline-sialome-cds-pep-larger-orf80-50SimCLU2.txt", 2)</f>
        <v>2</v>
      </c>
      <c r="CI223">
        <f>HYPERLINK("http://exon.niaid.nih.gov/transcriptome/Anopheles_sialome/links/cluster-b/anopheline-sialome-cds-pep-larger-orf80-50SimCLTL2.txt", 27)</f>
        <v>27</v>
      </c>
      <c r="CJ223">
        <f>HYPERLINK("http://exon.niaid.nih.gov/transcriptome/Anopheles_sialome/links/cluster-b/anopheline-sialome-cds-pep-larger-orf85-50SimCLU1.txt", 1)</f>
        <v>1</v>
      </c>
      <c r="CK223">
        <f>HYPERLINK("http://exon.niaid.nih.gov/transcriptome/Anopheles_sialome/links/cluster-b/anopheline-sialome-cds-pep-larger-orf85-50SimCLTL1.txt", 27)</f>
        <v>27</v>
      </c>
      <c r="CL223">
        <f>HYPERLINK("http://exon.niaid.nih.gov/transcriptome/Anopheles_sialome/links/cluster-b/anopheline-sialome-cds-pep-larger-orf90-50SimCLU1.txt", 1)</f>
        <v>1</v>
      </c>
      <c r="CM223">
        <f>HYPERLINK("http://exon.niaid.nih.gov/transcriptome/Anopheles_sialome/links/cluster-b/anopheline-sialome-cds-pep-larger-orf90-50SimCLTL1.txt", 25)</f>
        <v>25</v>
      </c>
      <c r="CN223">
        <f>HYPERLINK("http://exon.niaid.nih.gov/transcriptome/Anopheles_sialome/links/cluster-b/anopheline-sialome-cds-pep-larger-orf95-50SimCLU1.txt", 1)</f>
        <v>1</v>
      </c>
      <c r="CO223">
        <f>HYPERLINK("http://exon.niaid.nih.gov/transcriptome/Anopheles_sialome/links/cluster-b/anopheline-sialome-cds-pep-larger-orf95-50SimCLTL1.txt", 23)</f>
        <v>23</v>
      </c>
    </row>
    <row r="224" spans="1:93">
      <c r="A224" s="2" t="str">
        <f>HYPERLINK("http://exon.niaid.nih.gov/transcriptome/Anopheles_sialome/links/cds/anoatro_Ag5r3-cds.txt","anoatro_Ag5r3")</f>
        <v>anoatro_Ag5r3</v>
      </c>
      <c r="B224">
        <v>786</v>
      </c>
      <c r="C224" t="s">
        <v>76</v>
      </c>
      <c r="D224" t="s">
        <v>4</v>
      </c>
      <c r="E224" t="s">
        <v>5</v>
      </c>
      <c r="F224" t="s">
        <v>1</v>
      </c>
      <c r="G224" t="str">
        <f>HYPERLINK("http://exon.niaid.nih.gov/transcriptome/Anopheles_sialome/links/pep/anoatro_Ag5r3-pep.txt","anoatro_Ag5r3")</f>
        <v>anoatro_Ag5r3</v>
      </c>
      <c r="H224">
        <v>261</v>
      </c>
      <c r="I224">
        <v>2</v>
      </c>
      <c r="J224" s="3" t="str">
        <f>HYPERLINK("http://exon.niaid.nih.gov/transcriptome/Anopheles_sialome/links/Sigp/anoatro_Ag5r3-SigP.txt","SIG")</f>
        <v>SIG</v>
      </c>
      <c r="K224" t="s">
        <v>787</v>
      </c>
      <c r="L224">
        <v>29.012</v>
      </c>
      <c r="M224">
        <v>6.37</v>
      </c>
      <c r="N224">
        <v>26.413</v>
      </c>
      <c r="O224">
        <v>5.77</v>
      </c>
      <c r="P224" t="s">
        <v>814</v>
      </c>
      <c r="Q224" s="3">
        <v>0</v>
      </c>
      <c r="R224" t="s">
        <v>128</v>
      </c>
      <c r="S224" t="s">
        <v>128</v>
      </c>
      <c r="T224" t="s">
        <v>128</v>
      </c>
      <c r="U224" t="s">
        <v>128</v>
      </c>
      <c r="V224" t="s">
        <v>128</v>
      </c>
      <c r="W224" s="3" t="str">
        <f>HYPERLINK("http://exon.niaid.nih.gov/transcriptome/Anopheles_sialome/links/netoglyc/anoatro_Ag5r3-netoglyc.txt","1")</f>
        <v>1</v>
      </c>
      <c r="X224">
        <v>11.5</v>
      </c>
      <c r="Y224">
        <v>6.9</v>
      </c>
      <c r="Z224">
        <v>5.4</v>
      </c>
      <c r="AA224" t="s">
        <v>654</v>
      </c>
      <c r="AB224" t="s">
        <v>128</v>
      </c>
      <c r="AC224" s="2" t="str">
        <f>HYPERLINK("http://exon.niaid.nih.gov/transcriptome/Anopheles_sialome/links/DIPTERA/anoatro_Ag5r3-DIPTERA.txt","AGAP013192-PA")</f>
        <v>AGAP013192-PA</v>
      </c>
      <c r="AD224" t="str">
        <f>HYPERLINK("http://www.ncbi.nlm.nih.gov/sutils/blink.cgi?pid=333469254","1E-123")</f>
        <v>1E-123</v>
      </c>
      <c r="AE224" t="str">
        <f>HYPERLINK("http://www.ncbi.nlm.nih.gov/protein/333469254","gi|333469254")</f>
        <v>gi|333469254</v>
      </c>
      <c r="AF224">
        <v>77</v>
      </c>
      <c r="AG224">
        <v>88</v>
      </c>
      <c r="AH224">
        <v>101</v>
      </c>
      <c r="AI224" t="s">
        <v>2285</v>
      </c>
      <c r="AJ224" s="2" t="str">
        <f>HYPERLINK("http://exon.niaid.nih.gov/transcriptome/Anopheles_sialome/links/CULICOMORPHA/anoatro_Ag5r3-CULICOMORPHA.txt","AGAP013192-PA")</f>
        <v>AGAP013192-PA</v>
      </c>
      <c r="AK224" t="str">
        <f>HYPERLINK("http://www.ncbi.nlm.nih.gov/sutils/blink.cgi?pid=333469254","1E-124")</f>
        <v>1E-124</v>
      </c>
      <c r="AL224" t="str">
        <f>HYPERLINK("http://www.ncbi.nlm.nih.gov/protein/333469254","gi|333469254")</f>
        <v>gi|333469254</v>
      </c>
      <c r="AM224">
        <v>77</v>
      </c>
      <c r="AN224">
        <v>88</v>
      </c>
      <c r="AO224">
        <v>101</v>
      </c>
      <c r="AP224" t="s">
        <v>2285</v>
      </c>
      <c r="AQ224" s="2" t="str">
        <f>HYPERLINK("http://exon.niaid.nih.gov/transcriptome/Anopheles_sialome/links/NR-LIGHT/anoatro_Ag5r3-NR-LIGHT.txt","AGAP013192-PA")</f>
        <v>AGAP013192-PA</v>
      </c>
      <c r="AR224" t="str">
        <f>HYPERLINK("http://www.ncbi.nlm.nih.gov/sutils/blink.cgi?pid=347969750","1E-123")</f>
        <v>1E-123</v>
      </c>
      <c r="AS224" t="str">
        <f>HYPERLINK("http://www.ncbi.nlm.nih.gov/protein/347969750","gi|347969750")</f>
        <v>gi|347969750</v>
      </c>
      <c r="AT224">
        <v>77</v>
      </c>
      <c r="AU224">
        <v>88</v>
      </c>
      <c r="AV224">
        <v>101</v>
      </c>
      <c r="AW224" t="s">
        <v>2285</v>
      </c>
      <c r="AX224" s="2" t="str">
        <f>HYPERLINK("http://exon.niaid.nih.gov/transcriptome/Anopheles_sialome/links/CDD/anoatro_Ag5r3-CDD.txt","SCP_euk")</f>
        <v>SCP_euk</v>
      </c>
      <c r="AY224" t="str">
        <f>HYPERLINK("http://www.ncbi.nlm.nih.gov/Structure/cdd/cddsrv.cgi?uid=cd05380&amp;version=v4.0","3E-034")</f>
        <v>3E-034</v>
      </c>
      <c r="AZ224" t="s">
        <v>2357</v>
      </c>
      <c r="BA224" s="2" t="str">
        <f>HYPERLINK("http://exon.niaid.nih.gov/transcriptome/Anopheles_sialome/links/KOG/anoatro_Ag5r3-KOG.txt","Defense-related protein containing SCP domain")</f>
        <v>Defense-related protein containing SCP domain</v>
      </c>
      <c r="BB224" t="str">
        <f>HYPERLINK("http://www.ncbi.nlm.nih.gov/Structure/cdd/cddsrv.cgi?uid=KOG3017","7E-030")</f>
        <v>7E-030</v>
      </c>
      <c r="BC224" t="s">
        <v>2304</v>
      </c>
      <c r="BD224" t="str">
        <f>HYPERLINK("http://exon.niaid.nih.gov/transcriptome/Anopheles_sialome/links/KOG/anoatro_Ag5r3-KOG.txt","KOG3017")</f>
        <v>KOG3017</v>
      </c>
      <c r="BE224" t="str">
        <f>HYPERLINK("http://exon.niaid.nih.gov/transcriptome/Anopheles_sialome/links/PFAM/anoatro_Ag5r3-PFAM.txt","CAP")</f>
        <v>CAP</v>
      </c>
      <c r="BF224" t="str">
        <f>HYPERLINK("http://pfam.sanger.ac.uk/family?acc=PF00188","3E-014")</f>
        <v>3E-014</v>
      </c>
      <c r="BG224" s="2" t="str">
        <f>HYPERLINK("http://exon.niaid.nih.gov/transcriptome/Anopheles_sialome/links/SMART/anoatro_Ag5r3-SMART.txt","SCP")</f>
        <v>SCP</v>
      </c>
      <c r="BH224" t="str">
        <f>HYPERLINK("http://smart.embl-heidelberg.de/smart/do_annotation.pl?DOMAIN=SCP&amp;BLAST=DUMMY","8E-027")</f>
        <v>8E-027</v>
      </c>
      <c r="BI224" t="s">
        <v>128</v>
      </c>
      <c r="BJ224" s="2" t="s">
        <v>128</v>
      </c>
      <c r="BK224" t="s">
        <v>813</v>
      </c>
      <c r="BL224">
        <f>HYPERLINK("http://exon.niaid.nih.gov/transcriptome/Anopheles_sialome/links/cluster-b/anopheline-sialome-cds-pep-larger-orf25-50SimCLU4.txt", 4)</f>
        <v>4</v>
      </c>
      <c r="BM224">
        <f>HYPERLINK("http://exon.niaid.nih.gov/transcriptome/Anopheles_sialome/links/cluster-b/anopheline-sialome-cds-pep-larger-orf25-50SimCLTL4.txt", 82)</f>
        <v>82</v>
      </c>
      <c r="BN224">
        <f>HYPERLINK("http://exon.niaid.nih.gov/transcriptome/Anopheles_sialome/links/cluster-b/anopheline-sialome-cds-pep-larger-orf30-50SimCLU4.txt", 4)</f>
        <v>4</v>
      </c>
      <c r="BO224">
        <f>HYPERLINK("http://exon.niaid.nih.gov/transcriptome/Anopheles_sialome/links/cluster-b/anopheline-sialome-cds-pep-larger-orf30-50SimCLTL4.txt", 82)</f>
        <v>82</v>
      </c>
      <c r="BP224">
        <f>HYPERLINK("http://exon.niaid.nih.gov/transcriptome/Anopheles_sialome/links/cluster-b/anopheline-sialome-cds-pep-larger-orf35-50SimCLU3.txt", 3)</f>
        <v>3</v>
      </c>
      <c r="BQ224">
        <f>HYPERLINK("http://exon.niaid.nih.gov/transcriptome/Anopheles_sialome/links/cluster-b/anopheline-sialome-cds-pep-larger-orf35-50SimCLTL3.txt", 82)</f>
        <v>82</v>
      </c>
      <c r="BR224">
        <f>HYPERLINK("http://exon.niaid.nih.gov/transcriptome/Anopheles_sialome/links/cluster-b/anopheline-sialome-cds-pep-larger-orf40-50SimCLU3.txt", 3)</f>
        <v>3</v>
      </c>
      <c r="BS224">
        <f>HYPERLINK("http://exon.niaid.nih.gov/transcriptome/Anopheles_sialome/links/cluster-b/anopheline-sialome-cds-pep-larger-orf40-50SimCLTL3.txt", 82)</f>
        <v>82</v>
      </c>
      <c r="BT224">
        <f>HYPERLINK("http://exon.niaid.nih.gov/transcriptome/Anopheles_sialome/links/cluster-b/anopheline-sialome-cds-pep-larger-orf45-50SimCLU2.txt", 2)</f>
        <v>2</v>
      </c>
      <c r="BU224">
        <f>HYPERLINK("http://exon.niaid.nih.gov/transcriptome/Anopheles_sialome/links/cluster-b/anopheline-sialome-cds-pep-larger-orf45-50SimCLTL2.txt", 82)</f>
        <v>82</v>
      </c>
      <c r="BV224">
        <f>HYPERLINK("http://exon.niaid.nih.gov/transcriptome/Anopheles_sialome/links/cluster-b/anopheline-sialome-cds-pep-larger-orf50-50SimCLU2.txt", 2)</f>
        <v>2</v>
      </c>
      <c r="BW224">
        <f>HYPERLINK("http://exon.niaid.nih.gov/transcriptome/Anopheles_sialome/links/cluster-b/anopheline-sialome-cds-pep-larger-orf50-50SimCLTL2.txt", 82)</f>
        <v>82</v>
      </c>
      <c r="BX224">
        <f>HYPERLINK("http://exon.niaid.nih.gov/transcriptome/Anopheles_sialome/links/cluster-b/anopheline-sialome-cds-pep-larger-orf55-50SimCLU9.txt", 9)</f>
        <v>9</v>
      </c>
      <c r="BY224">
        <f>HYPERLINK("http://exon.niaid.nih.gov/transcriptome/Anopheles_sialome/links/cluster-b/anopheline-sialome-cds-pep-larger-orf55-50SimCLTL9.txt", 27)</f>
        <v>27</v>
      </c>
      <c r="BZ224">
        <f>HYPERLINK("http://exon.niaid.nih.gov/transcriptome/Anopheles_sialome/links/cluster-b/anopheline-sialome-cds-pep-larger-orf60-50SimCLU7.txt", 7)</f>
        <v>7</v>
      </c>
      <c r="CA224">
        <f>HYPERLINK("http://exon.niaid.nih.gov/transcriptome/Anopheles_sialome/links/cluster-b/anopheline-sialome-cds-pep-larger-orf60-50SimCLTL7.txt", 27)</f>
        <v>27</v>
      </c>
      <c r="CB224">
        <f>HYPERLINK("http://exon.niaid.nih.gov/transcriptome/Anopheles_sialome/links/cluster-b/anopheline-sialome-cds-pep-larger-orf65-50SimCLU4.txt", 4)</f>
        <v>4</v>
      </c>
      <c r="CC224">
        <f>HYPERLINK("http://exon.niaid.nih.gov/transcriptome/Anopheles_sialome/links/cluster-b/anopheline-sialome-cds-pep-larger-orf65-50SimCLTL4.txt", 27)</f>
        <v>27</v>
      </c>
      <c r="CD224">
        <f>HYPERLINK("http://exon.niaid.nih.gov/transcriptome/Anopheles_sialome/links/cluster-b/anopheline-sialome-cds-pep-larger-orf70-50SimCLU3.txt", 3)</f>
        <v>3</v>
      </c>
      <c r="CE224">
        <f>HYPERLINK("http://exon.niaid.nih.gov/transcriptome/Anopheles_sialome/links/cluster-b/anopheline-sialome-cds-pep-larger-orf70-50SimCLTL3.txt", 27)</f>
        <v>27</v>
      </c>
      <c r="CF224">
        <f>HYPERLINK("http://exon.niaid.nih.gov/transcriptome/Anopheles_sialome/links/cluster-b/anopheline-sialome-cds-pep-larger-orf75-50SimCLU3.txt", 3)</f>
        <v>3</v>
      </c>
      <c r="CG224">
        <f>HYPERLINK("http://exon.niaid.nih.gov/transcriptome/Anopheles_sialome/links/cluster-b/anopheline-sialome-cds-pep-larger-orf75-50SimCLTL3.txt", 27)</f>
        <v>27</v>
      </c>
      <c r="CH224">
        <f>HYPERLINK("http://exon.niaid.nih.gov/transcriptome/Anopheles_sialome/links/cluster-b/anopheline-sialome-cds-pep-larger-orf80-50SimCLU2.txt", 2)</f>
        <v>2</v>
      </c>
      <c r="CI224">
        <f>HYPERLINK("http://exon.niaid.nih.gov/transcriptome/Anopheles_sialome/links/cluster-b/anopheline-sialome-cds-pep-larger-orf80-50SimCLTL2.txt", 27)</f>
        <v>27</v>
      </c>
      <c r="CJ224">
        <f>HYPERLINK("http://exon.niaid.nih.gov/transcriptome/Anopheles_sialome/links/cluster-b/anopheline-sialome-cds-pep-larger-orf85-50SimCLU1.txt", 1)</f>
        <v>1</v>
      </c>
      <c r="CK224">
        <f>HYPERLINK("http://exon.niaid.nih.gov/transcriptome/Anopheles_sialome/links/cluster-b/anopheline-sialome-cds-pep-larger-orf85-50SimCLTL1.txt", 27)</f>
        <v>27</v>
      </c>
      <c r="CL224">
        <f>HYPERLINK("http://exon.niaid.nih.gov/transcriptome/Anopheles_sialome/links/cluster-b/anopheline-sialome-cds-pep-larger-orf90-50SimCLU61.txt", 61)</f>
        <v>61</v>
      </c>
      <c r="CM224">
        <f>HYPERLINK("http://exon.niaid.nih.gov/transcriptome/Anopheles_sialome/links/cluster-b/anopheline-sialome-cds-pep-larger-orf90-50SimCLTL61.txt", 2)</f>
        <v>2</v>
      </c>
      <c r="CN224">
        <f>HYPERLINK("http://exon.niaid.nih.gov/transcriptome/Anopheles_sialome/links/cluster-b/anopheline-sialome-cds-pep-larger-orf95-50SimCLU55.txt", 55)</f>
        <v>55</v>
      </c>
      <c r="CO224">
        <f>HYPERLINK("http://exon.niaid.nih.gov/transcriptome/Anopheles_sialome/links/cluster-b/anopheline-sialome-cds-pep-larger-orf95-50SimCLTL55.txt", 2)</f>
        <v>2</v>
      </c>
    </row>
    <row r="225" spans="1:93">
      <c r="A225" s="2" t="str">
        <f>HYPERLINK("http://exon.niaid.nih.gov/transcriptome/Anopheles_sialome/links/cds/anosin_Ag5r3-cds.txt","anosin_Ag5r3")</f>
        <v>anosin_Ag5r3</v>
      </c>
      <c r="B225">
        <v>786</v>
      </c>
      <c r="C225" t="s">
        <v>77</v>
      </c>
      <c r="D225" t="s">
        <v>4</v>
      </c>
      <c r="E225" t="s">
        <v>5</v>
      </c>
      <c r="F225" t="s">
        <v>1</v>
      </c>
      <c r="G225" t="str">
        <f>HYPERLINK("http://exon.niaid.nih.gov/transcriptome/Anopheles_sialome/links/pep/anosin_Ag5r3-pep.txt","anosin_Ag5r3")</f>
        <v>anosin_Ag5r3</v>
      </c>
      <c r="H225">
        <v>261</v>
      </c>
      <c r="I225">
        <v>3</v>
      </c>
      <c r="J225" s="3" t="str">
        <f>HYPERLINK("http://exon.niaid.nih.gov/transcriptome/Anopheles_sialome/links/Sigp/anosin_Ag5r3-SigP.txt","SIG")</f>
        <v>SIG</v>
      </c>
      <c r="K225" t="s">
        <v>787</v>
      </c>
      <c r="L225">
        <v>28.978999999999999</v>
      </c>
      <c r="M225">
        <v>5.96</v>
      </c>
      <c r="N225">
        <v>26.408999999999999</v>
      </c>
      <c r="O225">
        <v>5.61</v>
      </c>
      <c r="P225" t="s">
        <v>816</v>
      </c>
      <c r="Q225" s="3">
        <v>0</v>
      </c>
      <c r="R225" t="s">
        <v>128</v>
      </c>
      <c r="S225" t="s">
        <v>128</v>
      </c>
      <c r="T225" t="s">
        <v>128</v>
      </c>
      <c r="U225" t="s">
        <v>128</v>
      </c>
      <c r="V225" t="s">
        <v>128</v>
      </c>
      <c r="W225" s="3" t="str">
        <f>HYPERLINK("http://exon.niaid.nih.gov/transcriptome/Anopheles_sialome/links/netoglyc/anosin_Ag5r3-netoglyc.txt","0")</f>
        <v>0</v>
      </c>
      <c r="X225">
        <v>10.3</v>
      </c>
      <c r="Y225">
        <v>7.7</v>
      </c>
      <c r="Z225">
        <v>4.5999999999999996</v>
      </c>
      <c r="AA225" t="s">
        <v>654</v>
      </c>
      <c r="AB225" t="s">
        <v>128</v>
      </c>
      <c r="AC225" s="2" t="str">
        <f>HYPERLINK("http://exon.niaid.nih.gov/transcriptome/Anopheles_sialome/links/DIPTERA/anosin_Ag5r3-DIPTERA.txt","AGAP003354-PA")</f>
        <v>AGAP003354-PA</v>
      </c>
      <c r="AD225" t="str">
        <f>HYPERLINK("http://www.ncbi.nlm.nih.gov/sutils/blink.cgi?pid=333469253","1E-123")</f>
        <v>1E-123</v>
      </c>
      <c r="AE225" t="str">
        <f>HYPERLINK("http://www.ncbi.nlm.nih.gov/protein/333469253","gi|333469253")</f>
        <v>gi|333469253</v>
      </c>
      <c r="AF225">
        <v>79</v>
      </c>
      <c r="AG225">
        <v>87</v>
      </c>
      <c r="AH225">
        <v>101</v>
      </c>
      <c r="AI225" t="s">
        <v>2285</v>
      </c>
      <c r="AJ225" s="2" t="str">
        <f>HYPERLINK("http://exon.niaid.nih.gov/transcriptome/Anopheles_sialome/links/CULICOMORPHA/anosin_Ag5r3-CULICOMORPHA.txt","AGAP003354-PA")</f>
        <v>AGAP003354-PA</v>
      </c>
      <c r="AK225" t="str">
        <f>HYPERLINK("http://www.ncbi.nlm.nih.gov/sutils/blink.cgi?pid=333469253","1E-124")</f>
        <v>1E-124</v>
      </c>
      <c r="AL225" t="str">
        <f>HYPERLINK("http://www.ncbi.nlm.nih.gov/protein/333469253","gi|333469253")</f>
        <v>gi|333469253</v>
      </c>
      <c r="AM225">
        <v>79</v>
      </c>
      <c r="AN225">
        <v>87</v>
      </c>
      <c r="AO225">
        <v>101</v>
      </c>
      <c r="AP225" t="s">
        <v>2285</v>
      </c>
      <c r="AQ225" s="2" t="str">
        <f>HYPERLINK("http://exon.niaid.nih.gov/transcriptome/Anopheles_sialome/links/NR-LIGHT/anosin_Ag5r3-NR-LIGHT.txt","AGAP003354-PA")</f>
        <v>AGAP003354-PA</v>
      </c>
      <c r="AR225" t="str">
        <f>HYPERLINK("http://www.ncbi.nlm.nih.gov/sutils/blink.cgi?pid=347969748","1E-123")</f>
        <v>1E-123</v>
      </c>
      <c r="AS225" t="str">
        <f>HYPERLINK("http://www.ncbi.nlm.nih.gov/protein/347969748","gi|347969748")</f>
        <v>gi|347969748</v>
      </c>
      <c r="AT225">
        <v>79</v>
      </c>
      <c r="AU225">
        <v>87</v>
      </c>
      <c r="AV225">
        <v>101</v>
      </c>
      <c r="AW225" t="s">
        <v>2285</v>
      </c>
      <c r="AX225" s="2" t="str">
        <f>HYPERLINK("http://exon.niaid.nih.gov/transcriptome/Anopheles_sialome/links/CDD/anosin_Ag5r3-CDD.txt","SCP_euk")</f>
        <v>SCP_euk</v>
      </c>
      <c r="AY225" t="str">
        <f>HYPERLINK("http://www.ncbi.nlm.nih.gov/Structure/cdd/cddsrv.cgi?uid=cd05380&amp;version=v4.0","4E-035")</f>
        <v>4E-035</v>
      </c>
      <c r="AZ225" t="s">
        <v>2358</v>
      </c>
      <c r="BA225" s="2" t="str">
        <f>HYPERLINK("http://exon.niaid.nih.gov/transcriptome/Anopheles_sialome/links/KOG/anosin_Ag5r3-KOG.txt","Defense-related protein containing SCP domain")</f>
        <v>Defense-related protein containing SCP domain</v>
      </c>
      <c r="BB225" t="str">
        <f>HYPERLINK("http://www.ncbi.nlm.nih.gov/Structure/cdd/cddsrv.cgi?uid=KOG3017","3E-029")</f>
        <v>3E-029</v>
      </c>
      <c r="BC225" t="s">
        <v>2304</v>
      </c>
      <c r="BD225" t="str">
        <f>HYPERLINK("http://exon.niaid.nih.gov/transcriptome/Anopheles_sialome/links/KOG/anosin_Ag5r3-KOG.txt","KOG3017")</f>
        <v>KOG3017</v>
      </c>
      <c r="BE225" t="str">
        <f>HYPERLINK("http://exon.niaid.nih.gov/transcriptome/Anopheles_sialome/links/PFAM/anosin_Ag5r3-PFAM.txt","CAP")</f>
        <v>CAP</v>
      </c>
      <c r="BF225" t="str">
        <f>HYPERLINK("http://pfam.sanger.ac.uk/family?acc=PF00188","3E-014")</f>
        <v>3E-014</v>
      </c>
      <c r="BG225" s="2" t="str">
        <f>HYPERLINK("http://exon.niaid.nih.gov/transcriptome/Anopheles_sialome/links/SMART/anosin_Ag5r3-SMART.txt","SCP")</f>
        <v>SCP</v>
      </c>
      <c r="BH225" t="str">
        <f>HYPERLINK("http://smart.embl-heidelberg.de/smart/do_annotation.pl?DOMAIN=SCP&amp;BLAST=DUMMY","9E-028")</f>
        <v>9E-028</v>
      </c>
      <c r="BI225" t="s">
        <v>128</v>
      </c>
      <c r="BJ225" s="2" t="s">
        <v>128</v>
      </c>
      <c r="BK225" t="s">
        <v>815</v>
      </c>
      <c r="BL225">
        <f>HYPERLINK("http://exon.niaid.nih.gov/transcriptome/Anopheles_sialome/links/cluster-b/anopheline-sialome-cds-pep-larger-orf25-50SimCLU4.txt", 4)</f>
        <v>4</v>
      </c>
      <c r="BM225">
        <f>HYPERLINK("http://exon.niaid.nih.gov/transcriptome/Anopheles_sialome/links/cluster-b/anopheline-sialome-cds-pep-larger-orf25-50SimCLTL4.txt", 82)</f>
        <v>82</v>
      </c>
      <c r="BN225">
        <f>HYPERLINK("http://exon.niaid.nih.gov/transcriptome/Anopheles_sialome/links/cluster-b/anopheline-sialome-cds-pep-larger-orf30-50SimCLU4.txt", 4)</f>
        <v>4</v>
      </c>
      <c r="BO225">
        <f>HYPERLINK("http://exon.niaid.nih.gov/transcriptome/Anopheles_sialome/links/cluster-b/anopheline-sialome-cds-pep-larger-orf30-50SimCLTL4.txt", 82)</f>
        <v>82</v>
      </c>
      <c r="BP225">
        <f>HYPERLINK("http://exon.niaid.nih.gov/transcriptome/Anopheles_sialome/links/cluster-b/anopheline-sialome-cds-pep-larger-orf35-50SimCLU3.txt", 3)</f>
        <v>3</v>
      </c>
      <c r="BQ225">
        <f>HYPERLINK("http://exon.niaid.nih.gov/transcriptome/Anopheles_sialome/links/cluster-b/anopheline-sialome-cds-pep-larger-orf35-50SimCLTL3.txt", 82)</f>
        <v>82</v>
      </c>
      <c r="BR225">
        <f>HYPERLINK("http://exon.niaid.nih.gov/transcriptome/Anopheles_sialome/links/cluster-b/anopheline-sialome-cds-pep-larger-orf40-50SimCLU3.txt", 3)</f>
        <v>3</v>
      </c>
      <c r="BS225">
        <f>HYPERLINK("http://exon.niaid.nih.gov/transcriptome/Anopheles_sialome/links/cluster-b/anopheline-sialome-cds-pep-larger-orf40-50SimCLTL3.txt", 82)</f>
        <v>82</v>
      </c>
      <c r="BT225">
        <f>HYPERLINK("http://exon.niaid.nih.gov/transcriptome/Anopheles_sialome/links/cluster-b/anopheline-sialome-cds-pep-larger-orf45-50SimCLU2.txt", 2)</f>
        <v>2</v>
      </c>
      <c r="BU225">
        <f>HYPERLINK("http://exon.niaid.nih.gov/transcriptome/Anopheles_sialome/links/cluster-b/anopheline-sialome-cds-pep-larger-orf45-50SimCLTL2.txt", 82)</f>
        <v>82</v>
      </c>
      <c r="BV225">
        <f>HYPERLINK("http://exon.niaid.nih.gov/transcriptome/Anopheles_sialome/links/cluster-b/anopheline-sialome-cds-pep-larger-orf50-50SimCLU2.txt", 2)</f>
        <v>2</v>
      </c>
      <c r="BW225">
        <f>HYPERLINK("http://exon.niaid.nih.gov/transcriptome/Anopheles_sialome/links/cluster-b/anopheline-sialome-cds-pep-larger-orf50-50SimCLTL2.txt", 82)</f>
        <v>82</v>
      </c>
      <c r="BX225">
        <f>HYPERLINK("http://exon.niaid.nih.gov/transcriptome/Anopheles_sialome/links/cluster-b/anopheline-sialome-cds-pep-larger-orf55-50SimCLU9.txt", 9)</f>
        <v>9</v>
      </c>
      <c r="BY225">
        <f>HYPERLINK("http://exon.niaid.nih.gov/transcriptome/Anopheles_sialome/links/cluster-b/anopheline-sialome-cds-pep-larger-orf55-50SimCLTL9.txt", 27)</f>
        <v>27</v>
      </c>
      <c r="BZ225">
        <f>HYPERLINK("http://exon.niaid.nih.gov/transcriptome/Anopheles_sialome/links/cluster-b/anopheline-sialome-cds-pep-larger-orf60-50SimCLU7.txt", 7)</f>
        <v>7</v>
      </c>
      <c r="CA225">
        <f>HYPERLINK("http://exon.niaid.nih.gov/transcriptome/Anopheles_sialome/links/cluster-b/anopheline-sialome-cds-pep-larger-orf60-50SimCLTL7.txt", 27)</f>
        <v>27</v>
      </c>
      <c r="CB225">
        <f>HYPERLINK("http://exon.niaid.nih.gov/transcriptome/Anopheles_sialome/links/cluster-b/anopheline-sialome-cds-pep-larger-orf65-50SimCLU4.txt", 4)</f>
        <v>4</v>
      </c>
      <c r="CC225">
        <f>HYPERLINK("http://exon.niaid.nih.gov/transcriptome/Anopheles_sialome/links/cluster-b/anopheline-sialome-cds-pep-larger-orf65-50SimCLTL4.txt", 27)</f>
        <v>27</v>
      </c>
      <c r="CD225">
        <f>HYPERLINK("http://exon.niaid.nih.gov/transcriptome/Anopheles_sialome/links/cluster-b/anopheline-sialome-cds-pep-larger-orf70-50SimCLU3.txt", 3)</f>
        <v>3</v>
      </c>
      <c r="CE225">
        <f>HYPERLINK("http://exon.niaid.nih.gov/transcriptome/Anopheles_sialome/links/cluster-b/anopheline-sialome-cds-pep-larger-orf70-50SimCLTL3.txt", 27)</f>
        <v>27</v>
      </c>
      <c r="CF225">
        <f>HYPERLINK("http://exon.niaid.nih.gov/transcriptome/Anopheles_sialome/links/cluster-b/anopheline-sialome-cds-pep-larger-orf75-50SimCLU3.txt", 3)</f>
        <v>3</v>
      </c>
      <c r="CG225">
        <f>HYPERLINK("http://exon.niaid.nih.gov/transcriptome/Anopheles_sialome/links/cluster-b/anopheline-sialome-cds-pep-larger-orf75-50SimCLTL3.txt", 27)</f>
        <v>27</v>
      </c>
      <c r="CH225">
        <f>HYPERLINK("http://exon.niaid.nih.gov/transcriptome/Anopheles_sialome/links/cluster-b/anopheline-sialome-cds-pep-larger-orf80-50SimCLU2.txt", 2)</f>
        <v>2</v>
      </c>
      <c r="CI225">
        <f>HYPERLINK("http://exon.niaid.nih.gov/transcriptome/Anopheles_sialome/links/cluster-b/anopheline-sialome-cds-pep-larger-orf80-50SimCLTL2.txt", 27)</f>
        <v>27</v>
      </c>
      <c r="CJ225">
        <f>HYPERLINK("http://exon.niaid.nih.gov/transcriptome/Anopheles_sialome/links/cluster-b/anopheline-sialome-cds-pep-larger-orf85-50SimCLU1.txt", 1)</f>
        <v>1</v>
      </c>
      <c r="CK225">
        <f>HYPERLINK("http://exon.niaid.nih.gov/transcriptome/Anopheles_sialome/links/cluster-b/anopheline-sialome-cds-pep-larger-orf85-50SimCLTL1.txt", 27)</f>
        <v>27</v>
      </c>
      <c r="CL225">
        <f>HYPERLINK("http://exon.niaid.nih.gov/transcriptome/Anopheles_sialome/links/cluster-b/anopheline-sialome-cds-pep-larger-orf90-50SimCLU61.txt", 61)</f>
        <v>61</v>
      </c>
      <c r="CM225">
        <f>HYPERLINK("http://exon.niaid.nih.gov/transcriptome/Anopheles_sialome/links/cluster-b/anopheline-sialome-cds-pep-larger-orf90-50SimCLTL61.txt", 2)</f>
        <v>2</v>
      </c>
      <c r="CN225">
        <f>HYPERLINK("http://exon.niaid.nih.gov/transcriptome/Anopheles_sialome/links/cluster-b/anopheline-sialome-cds-pep-larger-orf95-50SimCLU55.txt", 55)</f>
        <v>55</v>
      </c>
      <c r="CO225">
        <f>HYPERLINK("http://exon.niaid.nih.gov/transcriptome/Anopheles_sialome/links/cluster-b/anopheline-sialome-cds-pep-larger-orf95-50SimCLTL55.txt", 2)</f>
        <v>2</v>
      </c>
    </row>
    <row r="226" spans="1:93">
      <c r="A226" s="2" t="str">
        <f>HYPERLINK("http://exon.niaid.nih.gov/transcriptome/Anopheles_sialome/links/cds/anoalb_Ag5r3-cds.txt","anoalb_Ag5r3")</f>
        <v>anoalb_Ag5r3</v>
      </c>
      <c r="B226">
        <v>774</v>
      </c>
      <c r="C226" t="s">
        <v>78</v>
      </c>
      <c r="D226" t="s">
        <v>4</v>
      </c>
      <c r="E226" t="s">
        <v>5</v>
      </c>
      <c r="F226" t="s">
        <v>1</v>
      </c>
      <c r="G226" t="str">
        <f>HYPERLINK("http://exon.niaid.nih.gov/transcriptome/Anopheles_sialome/links/pep/anoalb_Ag5r3-pep.txt","anoalb_Ag5r3")</f>
        <v>anoalb_Ag5r3</v>
      </c>
      <c r="H226">
        <v>257</v>
      </c>
      <c r="I226">
        <v>4</v>
      </c>
      <c r="J226" s="3" t="str">
        <f>HYPERLINK("http://exon.niaid.nih.gov/transcriptome/Anopheles_sialome/links/Sigp/anoalb_Ag5r3-SigP.txt","SIG")</f>
        <v>SIG</v>
      </c>
      <c r="K226" t="s">
        <v>708</v>
      </c>
      <c r="L226">
        <v>28.266999999999999</v>
      </c>
      <c r="M226">
        <v>6.04</v>
      </c>
      <c r="N226">
        <v>25.879000000000001</v>
      </c>
      <c r="O226">
        <v>5.7</v>
      </c>
      <c r="P226" t="s">
        <v>818</v>
      </c>
      <c r="Q226" s="3">
        <v>0</v>
      </c>
      <c r="R226" t="s">
        <v>128</v>
      </c>
      <c r="S226" t="s">
        <v>128</v>
      </c>
      <c r="T226" t="s">
        <v>128</v>
      </c>
      <c r="U226" t="s">
        <v>128</v>
      </c>
      <c r="V226" t="s">
        <v>128</v>
      </c>
      <c r="W226" s="3" t="str">
        <f>HYPERLINK("http://exon.niaid.nih.gov/transcriptome/Anopheles_sialome/links/netoglyc/anoalb_Ag5r3-netoglyc.txt","0")</f>
        <v>0</v>
      </c>
      <c r="X226">
        <v>11.3</v>
      </c>
      <c r="Y226">
        <v>6.2</v>
      </c>
      <c r="Z226">
        <v>5.8</v>
      </c>
      <c r="AA226" t="s">
        <v>654</v>
      </c>
      <c r="AB226" t="s">
        <v>128</v>
      </c>
      <c r="AC226" s="2" t="str">
        <f>HYPERLINK("http://exon.niaid.nih.gov/transcriptome/Anopheles_sialome/links/DIPTERA/anoalb_Ag5r3-DIPTERA.txt","venom allergen 5")</f>
        <v>venom allergen 5</v>
      </c>
      <c r="AD226" t="str">
        <f>HYPERLINK("http://www.ncbi.nlm.nih.gov/sutils/blink.cgi?pid=568252935","1E-151")</f>
        <v>1E-151</v>
      </c>
      <c r="AE226" t="str">
        <f>HYPERLINK("http://www.ncbi.nlm.nih.gov/protein/568252935","gi|568252935")</f>
        <v>gi|568252935</v>
      </c>
      <c r="AF226">
        <v>97</v>
      </c>
      <c r="AG226">
        <v>98</v>
      </c>
      <c r="AH226">
        <v>100</v>
      </c>
      <c r="AI226" t="s">
        <v>2283</v>
      </c>
      <c r="AJ226" s="2" t="str">
        <f>HYPERLINK("http://exon.niaid.nih.gov/transcriptome/Anopheles_sialome/links/CULICOMORPHA/anoalb_Ag5r3-CULICOMORPHA.txt","venom allergen 5")</f>
        <v>venom allergen 5</v>
      </c>
      <c r="AK226" t="str">
        <f>HYPERLINK("http://www.ncbi.nlm.nih.gov/sutils/blink.cgi?pid=568252935","1E-152")</f>
        <v>1E-152</v>
      </c>
      <c r="AL226" t="str">
        <f>HYPERLINK("http://www.ncbi.nlm.nih.gov/protein/568252935","gi|568252935")</f>
        <v>gi|568252935</v>
      </c>
      <c r="AM226">
        <v>97</v>
      </c>
      <c r="AN226">
        <v>98</v>
      </c>
      <c r="AO226">
        <v>100</v>
      </c>
      <c r="AP226" t="s">
        <v>2283</v>
      </c>
      <c r="AQ226" s="2" t="str">
        <f>HYPERLINK("http://exon.niaid.nih.gov/transcriptome/Anopheles_sialome/links/NR-LIGHT/anoalb_Ag5r3-NR-LIGHT.txt","venom allergen 5")</f>
        <v>venom allergen 5</v>
      </c>
      <c r="AR226" t="str">
        <f>HYPERLINK("http://www.ncbi.nlm.nih.gov/sutils/blink.cgi?pid=568252935","1E-151")</f>
        <v>1E-151</v>
      </c>
      <c r="AS226" t="str">
        <f>HYPERLINK("http://www.ncbi.nlm.nih.gov/protein/568252935","gi|568252935")</f>
        <v>gi|568252935</v>
      </c>
      <c r="AT226">
        <v>97</v>
      </c>
      <c r="AU226">
        <v>98</v>
      </c>
      <c r="AV226">
        <v>100</v>
      </c>
      <c r="AW226" t="s">
        <v>2283</v>
      </c>
      <c r="AX226" s="2" t="str">
        <f>HYPERLINK("http://exon.niaid.nih.gov/transcriptome/Anopheles_sialome/links/CDD/anoalb_Ag5r3-CDD.txt","SCP_euk")</f>
        <v>SCP_euk</v>
      </c>
      <c r="AY226" t="str">
        <f>HYPERLINK("http://www.ncbi.nlm.nih.gov/Structure/cdd/cddsrv.cgi?uid=cd05380&amp;version=v4.0","1E-035")</f>
        <v>1E-035</v>
      </c>
      <c r="AZ226" t="s">
        <v>2359</v>
      </c>
      <c r="BA226" s="2" t="str">
        <f>HYPERLINK("http://exon.niaid.nih.gov/transcriptome/Anopheles_sialome/links/KOG/anoalb_Ag5r3-KOG.txt","Defense-related protein containing SCP domain")</f>
        <v>Defense-related protein containing SCP domain</v>
      </c>
      <c r="BB226" t="str">
        <f>HYPERLINK("http://www.ncbi.nlm.nih.gov/Structure/cdd/cddsrv.cgi?uid=KOG3017","2E-031")</f>
        <v>2E-031</v>
      </c>
      <c r="BC226" t="s">
        <v>2304</v>
      </c>
      <c r="BD226" t="str">
        <f>HYPERLINK("http://exon.niaid.nih.gov/transcriptome/Anopheles_sialome/links/KOG/anoalb_Ag5r3-KOG.txt","KOG3017")</f>
        <v>KOG3017</v>
      </c>
      <c r="BE226" t="str">
        <f>HYPERLINK("http://exon.niaid.nih.gov/transcriptome/Anopheles_sialome/links/PFAM/anoalb_Ag5r3-PFAM.txt","CAP")</f>
        <v>CAP</v>
      </c>
      <c r="BF226" t="str">
        <f>HYPERLINK("http://pfam.sanger.ac.uk/family?acc=PF00188","6E-013")</f>
        <v>6E-013</v>
      </c>
      <c r="BG226" s="2" t="str">
        <f>HYPERLINK("http://exon.niaid.nih.gov/transcriptome/Anopheles_sialome/links/SMART/anoalb_Ag5r3-SMART.txt","SCP")</f>
        <v>SCP</v>
      </c>
      <c r="BH226" t="str">
        <f>HYPERLINK("http://smart.embl-heidelberg.de/smart/do_annotation.pl?DOMAIN=SCP&amp;BLAST=DUMMY","3E-027")</f>
        <v>3E-027</v>
      </c>
      <c r="BI226" t="s">
        <v>128</v>
      </c>
      <c r="BJ226" s="2" t="s">
        <v>128</v>
      </c>
      <c r="BK226" t="s">
        <v>817</v>
      </c>
      <c r="BL226">
        <f>HYPERLINK("http://exon.niaid.nih.gov/transcriptome/Anopheles_sialome/links/cluster-b/anopheline-sialome-cds-pep-larger-orf25-50SimCLU4.txt", 4)</f>
        <v>4</v>
      </c>
      <c r="BM226">
        <f>HYPERLINK("http://exon.niaid.nih.gov/transcriptome/Anopheles_sialome/links/cluster-b/anopheline-sialome-cds-pep-larger-orf25-50SimCLTL4.txt", 82)</f>
        <v>82</v>
      </c>
      <c r="BN226">
        <f>HYPERLINK("http://exon.niaid.nih.gov/transcriptome/Anopheles_sialome/links/cluster-b/anopheline-sialome-cds-pep-larger-orf30-50SimCLU4.txt", 4)</f>
        <v>4</v>
      </c>
      <c r="BO226">
        <f>HYPERLINK("http://exon.niaid.nih.gov/transcriptome/Anopheles_sialome/links/cluster-b/anopheline-sialome-cds-pep-larger-orf30-50SimCLTL4.txt", 82)</f>
        <v>82</v>
      </c>
      <c r="BP226">
        <f>HYPERLINK("http://exon.niaid.nih.gov/transcriptome/Anopheles_sialome/links/cluster-b/anopheline-sialome-cds-pep-larger-orf35-50SimCLU3.txt", 3)</f>
        <v>3</v>
      </c>
      <c r="BQ226">
        <f>HYPERLINK("http://exon.niaid.nih.gov/transcriptome/Anopheles_sialome/links/cluster-b/anopheline-sialome-cds-pep-larger-orf35-50SimCLTL3.txt", 82)</f>
        <v>82</v>
      </c>
      <c r="BR226">
        <f>HYPERLINK("http://exon.niaid.nih.gov/transcriptome/Anopheles_sialome/links/cluster-b/anopheline-sialome-cds-pep-larger-orf40-50SimCLU3.txt", 3)</f>
        <v>3</v>
      </c>
      <c r="BS226">
        <f>HYPERLINK("http://exon.niaid.nih.gov/transcriptome/Anopheles_sialome/links/cluster-b/anopheline-sialome-cds-pep-larger-orf40-50SimCLTL3.txt", 82)</f>
        <v>82</v>
      </c>
      <c r="BT226">
        <f>HYPERLINK("http://exon.niaid.nih.gov/transcriptome/Anopheles_sialome/links/cluster-b/anopheline-sialome-cds-pep-larger-orf45-50SimCLU2.txt", 2)</f>
        <v>2</v>
      </c>
      <c r="BU226">
        <f>HYPERLINK("http://exon.niaid.nih.gov/transcriptome/Anopheles_sialome/links/cluster-b/anopheline-sialome-cds-pep-larger-orf45-50SimCLTL2.txt", 82)</f>
        <v>82</v>
      </c>
      <c r="BV226">
        <f>HYPERLINK("http://exon.niaid.nih.gov/transcriptome/Anopheles_sialome/links/cluster-b/anopheline-sialome-cds-pep-larger-orf50-50SimCLU2.txt", 2)</f>
        <v>2</v>
      </c>
      <c r="BW226">
        <f>HYPERLINK("http://exon.niaid.nih.gov/transcriptome/Anopheles_sialome/links/cluster-b/anopheline-sialome-cds-pep-larger-orf50-50SimCLTL2.txt", 82)</f>
        <v>82</v>
      </c>
      <c r="BX226">
        <f>HYPERLINK("http://exon.niaid.nih.gov/transcriptome/Anopheles_sialome/links/cluster-b/anopheline-sialome-cds-pep-larger-orf55-50SimCLU9.txt", 9)</f>
        <v>9</v>
      </c>
      <c r="BY226">
        <f>HYPERLINK("http://exon.niaid.nih.gov/transcriptome/Anopheles_sialome/links/cluster-b/anopheline-sialome-cds-pep-larger-orf55-50SimCLTL9.txt", 27)</f>
        <v>27</v>
      </c>
      <c r="BZ226">
        <f>HYPERLINK("http://exon.niaid.nih.gov/transcriptome/Anopheles_sialome/links/cluster-b/anopheline-sialome-cds-pep-larger-orf60-50SimCLU7.txt", 7)</f>
        <v>7</v>
      </c>
      <c r="CA226">
        <f>HYPERLINK("http://exon.niaid.nih.gov/transcriptome/Anopheles_sialome/links/cluster-b/anopheline-sialome-cds-pep-larger-orf60-50SimCLTL7.txt", 27)</f>
        <v>27</v>
      </c>
      <c r="CB226">
        <f>HYPERLINK("http://exon.niaid.nih.gov/transcriptome/Anopheles_sialome/links/cluster-b/anopheline-sialome-cds-pep-larger-orf65-50SimCLU4.txt", 4)</f>
        <v>4</v>
      </c>
      <c r="CC226">
        <f>HYPERLINK("http://exon.niaid.nih.gov/transcriptome/Anopheles_sialome/links/cluster-b/anopheline-sialome-cds-pep-larger-orf65-50SimCLTL4.txt", 27)</f>
        <v>27</v>
      </c>
      <c r="CD226">
        <f>HYPERLINK("http://exon.niaid.nih.gov/transcriptome/Anopheles_sialome/links/cluster-b/anopheline-sialome-cds-pep-larger-orf70-50SimCLU3.txt", 3)</f>
        <v>3</v>
      </c>
      <c r="CE226">
        <f>HYPERLINK("http://exon.niaid.nih.gov/transcriptome/Anopheles_sialome/links/cluster-b/anopheline-sialome-cds-pep-larger-orf70-50SimCLTL3.txt", 27)</f>
        <v>27</v>
      </c>
      <c r="CF226">
        <f>HYPERLINK("http://exon.niaid.nih.gov/transcriptome/Anopheles_sialome/links/cluster-b/anopheline-sialome-cds-pep-larger-orf75-50SimCLU3.txt", 3)</f>
        <v>3</v>
      </c>
      <c r="CG226">
        <f>HYPERLINK("http://exon.niaid.nih.gov/transcriptome/Anopheles_sialome/links/cluster-b/anopheline-sialome-cds-pep-larger-orf75-50SimCLTL3.txt", 27)</f>
        <v>27</v>
      </c>
      <c r="CH226">
        <f>HYPERLINK("http://exon.niaid.nih.gov/transcriptome/Anopheles_sialome/links/cluster-b/anopheline-sialome-cds-pep-larger-orf80-50SimCLU2.txt", 2)</f>
        <v>2</v>
      </c>
      <c r="CI226">
        <f>HYPERLINK("http://exon.niaid.nih.gov/transcriptome/Anopheles_sialome/links/cluster-b/anopheline-sialome-cds-pep-larger-orf80-50SimCLTL2.txt", 27)</f>
        <v>27</v>
      </c>
      <c r="CJ226">
        <f>HYPERLINK("http://exon.niaid.nih.gov/transcriptome/Anopheles_sialome/links/cluster-b/anopheline-sialome-cds-pep-larger-orf85-50SimCLU1.txt", 1)</f>
        <v>1</v>
      </c>
      <c r="CK226">
        <f>HYPERLINK("http://exon.niaid.nih.gov/transcriptome/Anopheles_sialome/links/cluster-b/anopheline-sialome-cds-pep-larger-orf85-50SimCLTL1.txt", 27)</f>
        <v>27</v>
      </c>
      <c r="CL226">
        <f>HYPERLINK("http://exon.niaid.nih.gov/transcriptome/Anopheles_sialome/links/cluster-b/anopheline-sialome-cds-pep-larger-orf90-50SimCLU1.txt", 1)</f>
        <v>1</v>
      </c>
      <c r="CM226">
        <f>HYPERLINK("http://exon.niaid.nih.gov/transcriptome/Anopheles_sialome/links/cluster-b/anopheline-sialome-cds-pep-larger-orf90-50SimCLTL1.txt", 25)</f>
        <v>25</v>
      </c>
      <c r="CN226">
        <f>HYPERLINK("http://exon.niaid.nih.gov/transcriptome/Anopheles_sialome/links/cluster-b/anopheline-sialome-cds-pep-larger-orf95-50SimCLU56.txt", 56)</f>
        <v>56</v>
      </c>
      <c r="CO226">
        <f>HYPERLINK("http://exon.niaid.nih.gov/transcriptome/Anopheles_sialome/links/cluster-b/anopheline-sialome-cds-pep-larger-orf95-50SimCLTL56.txt", 2)</f>
        <v>2</v>
      </c>
    </row>
    <row r="227" spans="1:93">
      <c r="A227" s="2" t="str">
        <f>HYPERLINK("http://exon.niaid.nih.gov/transcriptome/Anopheles_sialome/links/cds/anodar_Ag5r3-cds.txt","anodar_Ag5r3")</f>
        <v>anodar_Ag5r3</v>
      </c>
      <c r="B227">
        <v>777</v>
      </c>
      <c r="C227" t="s">
        <v>79</v>
      </c>
      <c r="D227" t="s">
        <v>4</v>
      </c>
      <c r="E227" t="s">
        <v>5</v>
      </c>
      <c r="F227" t="s">
        <v>1</v>
      </c>
      <c r="G227" t="str">
        <f>HYPERLINK("http://exon.niaid.nih.gov/transcriptome/Anopheles_sialome/links/pep/anodar_Ag5r3-pep.txt","anodar_Ag5r3")</f>
        <v>anodar_Ag5r3</v>
      </c>
      <c r="H227">
        <v>258</v>
      </c>
      <c r="I227">
        <v>4</v>
      </c>
      <c r="J227" s="3" t="str">
        <f>HYPERLINK("http://exon.niaid.nih.gov/transcriptome/Anopheles_sialome/links/Sigp/anodar_Ag5r3-SigP.txt","SIG")</f>
        <v>SIG</v>
      </c>
      <c r="K227" t="s">
        <v>715</v>
      </c>
      <c r="L227">
        <v>28.324999999999999</v>
      </c>
      <c r="M227">
        <v>5.88</v>
      </c>
      <c r="N227">
        <v>25.866</v>
      </c>
      <c r="O227">
        <v>5.55</v>
      </c>
      <c r="P227" t="s">
        <v>820</v>
      </c>
      <c r="Q227" s="3">
        <v>0</v>
      </c>
      <c r="R227" t="s">
        <v>128</v>
      </c>
      <c r="S227" t="s">
        <v>128</v>
      </c>
      <c r="T227" t="s">
        <v>128</v>
      </c>
      <c r="U227" t="s">
        <v>128</v>
      </c>
      <c r="V227" t="s">
        <v>128</v>
      </c>
      <c r="W227" s="3" t="str">
        <f>HYPERLINK("http://exon.niaid.nih.gov/transcriptome/Anopheles_sialome/links/netoglyc/anodar_Ag5r3-netoglyc.txt","0")</f>
        <v>0</v>
      </c>
      <c r="X227">
        <v>12.4</v>
      </c>
      <c r="Y227">
        <v>6.2</v>
      </c>
      <c r="Z227">
        <v>5.8</v>
      </c>
      <c r="AA227" t="s">
        <v>654</v>
      </c>
      <c r="AB227" t="s">
        <v>128</v>
      </c>
      <c r="AC227" s="2" t="str">
        <f>HYPERLINK("http://exon.niaid.nih.gov/transcriptome/Anopheles_sialome/links/DIPTERA/anodar_Ag5r3-DIPTERA.txt","venom allergen 5")</f>
        <v>venom allergen 5</v>
      </c>
      <c r="AD227" t="str">
        <f>HYPERLINK("http://www.ncbi.nlm.nih.gov/sutils/blink.cgi?pid=568252935","1E-155")</f>
        <v>1E-155</v>
      </c>
      <c r="AE227" t="str">
        <f>HYPERLINK("http://www.ncbi.nlm.nih.gov/protein/568252935","gi|568252935")</f>
        <v>gi|568252935</v>
      </c>
      <c r="AF227">
        <v>100</v>
      </c>
      <c r="AG227">
        <v>100</v>
      </c>
      <c r="AH227">
        <v>100</v>
      </c>
      <c r="AI227" t="s">
        <v>2283</v>
      </c>
      <c r="AJ227" s="2" t="str">
        <f>HYPERLINK("http://exon.niaid.nih.gov/transcriptome/Anopheles_sialome/links/CULICOMORPHA/anodar_Ag5r3-CULICOMORPHA.txt","venom allergen 5")</f>
        <v>venom allergen 5</v>
      </c>
      <c r="AK227" t="str">
        <f>HYPERLINK("http://www.ncbi.nlm.nih.gov/sutils/blink.cgi?pid=568252935","1E-156")</f>
        <v>1E-156</v>
      </c>
      <c r="AL227" t="str">
        <f>HYPERLINK("http://www.ncbi.nlm.nih.gov/protein/568252935","gi|568252935")</f>
        <v>gi|568252935</v>
      </c>
      <c r="AM227">
        <v>100</v>
      </c>
      <c r="AN227">
        <v>100</v>
      </c>
      <c r="AO227">
        <v>100</v>
      </c>
      <c r="AP227" t="s">
        <v>2283</v>
      </c>
      <c r="AQ227" s="2" t="str">
        <f>HYPERLINK("http://exon.niaid.nih.gov/transcriptome/Anopheles_sialome/links/NR-LIGHT/anodar_Ag5r3-NR-LIGHT.txt","venom allergen 5")</f>
        <v>venom allergen 5</v>
      </c>
      <c r="AR227" t="str">
        <f>HYPERLINK("http://www.ncbi.nlm.nih.gov/sutils/blink.cgi?pid=568252935","1E-155")</f>
        <v>1E-155</v>
      </c>
      <c r="AS227" t="str">
        <f>HYPERLINK("http://www.ncbi.nlm.nih.gov/protein/568252935","gi|568252935")</f>
        <v>gi|568252935</v>
      </c>
      <c r="AT227">
        <v>100</v>
      </c>
      <c r="AU227">
        <v>100</v>
      </c>
      <c r="AV227">
        <v>100</v>
      </c>
      <c r="AW227" t="s">
        <v>2283</v>
      </c>
      <c r="AX227" s="2" t="str">
        <f>HYPERLINK("http://exon.niaid.nih.gov/transcriptome/Anopheles_sialome/links/CDD/anodar_Ag5r3-CDD.txt","SCP_euk")</f>
        <v>SCP_euk</v>
      </c>
      <c r="AY227" t="str">
        <f>HYPERLINK("http://www.ncbi.nlm.nih.gov/Structure/cdd/cddsrv.cgi?uid=cd05380&amp;version=v4.0","5E-036")</f>
        <v>5E-036</v>
      </c>
      <c r="AZ227" t="s">
        <v>2360</v>
      </c>
      <c r="BA227" s="2" t="str">
        <f>HYPERLINK("http://exon.niaid.nih.gov/transcriptome/Anopheles_sialome/links/KOG/anodar_Ag5r3-KOG.txt","Defense-related protein containing SCP domain")</f>
        <v>Defense-related protein containing SCP domain</v>
      </c>
      <c r="BB227" t="str">
        <f>HYPERLINK("http://www.ncbi.nlm.nih.gov/Structure/cdd/cddsrv.cgi?uid=KOG3017","4E-032")</f>
        <v>4E-032</v>
      </c>
      <c r="BC227" t="s">
        <v>2304</v>
      </c>
      <c r="BD227" t="str">
        <f>HYPERLINK("http://exon.niaid.nih.gov/transcriptome/Anopheles_sialome/links/KOG/anodar_Ag5r3-KOG.txt","KOG3017")</f>
        <v>KOG3017</v>
      </c>
      <c r="BE227" t="str">
        <f>HYPERLINK("http://exon.niaid.nih.gov/transcriptome/Anopheles_sialome/links/PFAM/anodar_Ag5r3-PFAM.txt","CAP")</f>
        <v>CAP</v>
      </c>
      <c r="BF227" t="str">
        <f>HYPERLINK("http://pfam.sanger.ac.uk/family?acc=PF00188","5E-013")</f>
        <v>5E-013</v>
      </c>
      <c r="BG227" s="2" t="str">
        <f>HYPERLINK("http://exon.niaid.nih.gov/transcriptome/Anopheles_sialome/links/SMART/anodar_Ag5r3-SMART.txt","SCP")</f>
        <v>SCP</v>
      </c>
      <c r="BH227" t="str">
        <f>HYPERLINK("http://smart.embl-heidelberg.de/smart/do_annotation.pl?DOMAIN=SCP&amp;BLAST=DUMMY","7E-028")</f>
        <v>7E-028</v>
      </c>
      <c r="BI227" t="s">
        <v>128</v>
      </c>
      <c r="BJ227" s="2" t="s">
        <v>128</v>
      </c>
      <c r="BK227" t="s">
        <v>819</v>
      </c>
      <c r="BL227">
        <f>HYPERLINK("http://exon.niaid.nih.gov/transcriptome/Anopheles_sialome/links/cluster-b/anopheline-sialome-cds-pep-larger-orf25-50SimCLU4.txt", 4)</f>
        <v>4</v>
      </c>
      <c r="BM227">
        <f>HYPERLINK("http://exon.niaid.nih.gov/transcriptome/Anopheles_sialome/links/cluster-b/anopheline-sialome-cds-pep-larger-orf25-50SimCLTL4.txt", 82)</f>
        <v>82</v>
      </c>
      <c r="BN227">
        <f>HYPERLINK("http://exon.niaid.nih.gov/transcriptome/Anopheles_sialome/links/cluster-b/anopheline-sialome-cds-pep-larger-orf30-50SimCLU4.txt", 4)</f>
        <v>4</v>
      </c>
      <c r="BO227">
        <f>HYPERLINK("http://exon.niaid.nih.gov/transcriptome/Anopheles_sialome/links/cluster-b/anopheline-sialome-cds-pep-larger-orf30-50SimCLTL4.txt", 82)</f>
        <v>82</v>
      </c>
      <c r="BP227">
        <f>HYPERLINK("http://exon.niaid.nih.gov/transcriptome/Anopheles_sialome/links/cluster-b/anopheline-sialome-cds-pep-larger-orf35-50SimCLU3.txt", 3)</f>
        <v>3</v>
      </c>
      <c r="BQ227">
        <f>HYPERLINK("http://exon.niaid.nih.gov/transcriptome/Anopheles_sialome/links/cluster-b/anopheline-sialome-cds-pep-larger-orf35-50SimCLTL3.txt", 82)</f>
        <v>82</v>
      </c>
      <c r="BR227">
        <f>HYPERLINK("http://exon.niaid.nih.gov/transcriptome/Anopheles_sialome/links/cluster-b/anopheline-sialome-cds-pep-larger-orf40-50SimCLU3.txt", 3)</f>
        <v>3</v>
      </c>
      <c r="BS227">
        <f>HYPERLINK("http://exon.niaid.nih.gov/transcriptome/Anopheles_sialome/links/cluster-b/anopheline-sialome-cds-pep-larger-orf40-50SimCLTL3.txt", 82)</f>
        <v>82</v>
      </c>
      <c r="BT227">
        <f>HYPERLINK("http://exon.niaid.nih.gov/transcriptome/Anopheles_sialome/links/cluster-b/anopheline-sialome-cds-pep-larger-orf45-50SimCLU2.txt", 2)</f>
        <v>2</v>
      </c>
      <c r="BU227">
        <f>HYPERLINK("http://exon.niaid.nih.gov/transcriptome/Anopheles_sialome/links/cluster-b/anopheline-sialome-cds-pep-larger-orf45-50SimCLTL2.txt", 82)</f>
        <v>82</v>
      </c>
      <c r="BV227">
        <f>HYPERLINK("http://exon.niaid.nih.gov/transcriptome/Anopheles_sialome/links/cluster-b/anopheline-sialome-cds-pep-larger-orf50-50SimCLU2.txt", 2)</f>
        <v>2</v>
      </c>
      <c r="BW227">
        <f>HYPERLINK("http://exon.niaid.nih.gov/transcriptome/Anopheles_sialome/links/cluster-b/anopheline-sialome-cds-pep-larger-orf50-50SimCLTL2.txt", 82)</f>
        <v>82</v>
      </c>
      <c r="BX227">
        <f>HYPERLINK("http://exon.niaid.nih.gov/transcriptome/Anopheles_sialome/links/cluster-b/anopheline-sialome-cds-pep-larger-orf55-50SimCLU9.txt", 9)</f>
        <v>9</v>
      </c>
      <c r="BY227">
        <f>HYPERLINK("http://exon.niaid.nih.gov/transcriptome/Anopheles_sialome/links/cluster-b/anopheline-sialome-cds-pep-larger-orf55-50SimCLTL9.txt", 27)</f>
        <v>27</v>
      </c>
      <c r="BZ227">
        <f>HYPERLINK("http://exon.niaid.nih.gov/transcriptome/Anopheles_sialome/links/cluster-b/anopheline-sialome-cds-pep-larger-orf60-50SimCLU7.txt", 7)</f>
        <v>7</v>
      </c>
      <c r="CA227">
        <f>HYPERLINK("http://exon.niaid.nih.gov/transcriptome/Anopheles_sialome/links/cluster-b/anopheline-sialome-cds-pep-larger-orf60-50SimCLTL7.txt", 27)</f>
        <v>27</v>
      </c>
      <c r="CB227">
        <f>HYPERLINK("http://exon.niaid.nih.gov/transcriptome/Anopheles_sialome/links/cluster-b/anopheline-sialome-cds-pep-larger-orf65-50SimCLU4.txt", 4)</f>
        <v>4</v>
      </c>
      <c r="CC227">
        <f>HYPERLINK("http://exon.niaid.nih.gov/transcriptome/Anopheles_sialome/links/cluster-b/anopheline-sialome-cds-pep-larger-orf65-50SimCLTL4.txt", 27)</f>
        <v>27</v>
      </c>
      <c r="CD227">
        <f>HYPERLINK("http://exon.niaid.nih.gov/transcriptome/Anopheles_sialome/links/cluster-b/anopheline-sialome-cds-pep-larger-orf70-50SimCLU3.txt", 3)</f>
        <v>3</v>
      </c>
      <c r="CE227">
        <f>HYPERLINK("http://exon.niaid.nih.gov/transcriptome/Anopheles_sialome/links/cluster-b/anopheline-sialome-cds-pep-larger-orf70-50SimCLTL3.txt", 27)</f>
        <v>27</v>
      </c>
      <c r="CF227">
        <f>HYPERLINK("http://exon.niaid.nih.gov/transcriptome/Anopheles_sialome/links/cluster-b/anopheline-sialome-cds-pep-larger-orf75-50SimCLU3.txt", 3)</f>
        <v>3</v>
      </c>
      <c r="CG227">
        <f>HYPERLINK("http://exon.niaid.nih.gov/transcriptome/Anopheles_sialome/links/cluster-b/anopheline-sialome-cds-pep-larger-orf75-50SimCLTL3.txt", 27)</f>
        <v>27</v>
      </c>
      <c r="CH227">
        <f>HYPERLINK("http://exon.niaid.nih.gov/transcriptome/Anopheles_sialome/links/cluster-b/anopheline-sialome-cds-pep-larger-orf80-50SimCLU2.txt", 2)</f>
        <v>2</v>
      </c>
      <c r="CI227">
        <f>HYPERLINK("http://exon.niaid.nih.gov/transcriptome/Anopheles_sialome/links/cluster-b/anopheline-sialome-cds-pep-larger-orf80-50SimCLTL2.txt", 27)</f>
        <v>27</v>
      </c>
      <c r="CJ227">
        <f>HYPERLINK("http://exon.niaid.nih.gov/transcriptome/Anopheles_sialome/links/cluster-b/anopheline-sialome-cds-pep-larger-orf85-50SimCLU1.txt", 1)</f>
        <v>1</v>
      </c>
      <c r="CK227">
        <f>HYPERLINK("http://exon.niaid.nih.gov/transcriptome/Anopheles_sialome/links/cluster-b/anopheline-sialome-cds-pep-larger-orf85-50SimCLTL1.txt", 27)</f>
        <v>27</v>
      </c>
      <c r="CL227">
        <f>HYPERLINK("http://exon.niaid.nih.gov/transcriptome/Anopheles_sialome/links/cluster-b/anopheline-sialome-cds-pep-larger-orf90-50SimCLU1.txt", 1)</f>
        <v>1</v>
      </c>
      <c r="CM227">
        <f>HYPERLINK("http://exon.niaid.nih.gov/transcriptome/Anopheles_sialome/links/cluster-b/anopheline-sialome-cds-pep-larger-orf90-50SimCLTL1.txt", 25)</f>
        <v>25</v>
      </c>
      <c r="CN227">
        <f>HYPERLINK("http://exon.niaid.nih.gov/transcriptome/Anopheles_sialome/links/cluster-b/anopheline-sialome-cds-pep-larger-orf95-50SimCLU56.txt", 56)</f>
        <v>56</v>
      </c>
      <c r="CO227">
        <f>HYPERLINK("http://exon.niaid.nih.gov/transcriptome/Anopheles_sialome/links/cluster-b/anopheline-sialome-cds-pep-larger-orf95-50SimCLTL56.txt", 2)</f>
        <v>2</v>
      </c>
    </row>
    <row r="228" spans="1:93">
      <c r="A228" s="2" t="str">
        <f>HYPERLINK("http://exon.niaid.nih.gov/transcriptome/Anopheles_sialome/links/cds/anodir_Ag5r3-cds.txt","anodir_Ag5r3")</f>
        <v>anodir_Ag5r3</v>
      </c>
      <c r="B228">
        <v>783</v>
      </c>
      <c r="C228" t="s">
        <v>75</v>
      </c>
      <c r="D228" t="s">
        <v>7</v>
      </c>
      <c r="E228" t="s">
        <v>5</v>
      </c>
      <c r="F228" t="s">
        <v>1</v>
      </c>
      <c r="G228" t="str">
        <f>HYPERLINK("http://exon.niaid.nih.gov/transcriptome/Anopheles_sialome/links/pep/anodir_Ag5r3-pep.txt","anodir_Ag5r3")</f>
        <v>anodir_Ag5r3</v>
      </c>
      <c r="H228">
        <v>260</v>
      </c>
      <c r="I228">
        <v>2</v>
      </c>
      <c r="J228" s="3" t="str">
        <f>HYPERLINK("http://exon.niaid.nih.gov/transcriptome/Anopheles_sialome/links/Sigp/anodir_Ag5r3-SigP.txt","SIG")</f>
        <v>SIG</v>
      </c>
      <c r="K228" t="s">
        <v>787</v>
      </c>
      <c r="L228">
        <v>28.699000000000002</v>
      </c>
      <c r="M228">
        <v>6.69</v>
      </c>
      <c r="N228">
        <v>26.126999999999999</v>
      </c>
      <c r="O228">
        <v>6.05</v>
      </c>
      <c r="P228" t="s">
        <v>812</v>
      </c>
      <c r="Q228" s="3">
        <v>0</v>
      </c>
      <c r="R228" t="s">
        <v>128</v>
      </c>
      <c r="S228" t="s">
        <v>128</v>
      </c>
      <c r="T228" t="s">
        <v>128</v>
      </c>
      <c r="U228" t="s">
        <v>128</v>
      </c>
      <c r="V228" t="s">
        <v>128</v>
      </c>
      <c r="W228" s="3" t="str">
        <f>HYPERLINK("http://exon.niaid.nih.gov/transcriptome/Anopheles_sialome/links/netoglyc/anodir_Ag5r3-netoglyc.txt","0")</f>
        <v>0</v>
      </c>
      <c r="X228">
        <v>11.9</v>
      </c>
      <c r="Y228">
        <v>6.5</v>
      </c>
      <c r="Z228">
        <v>5.8</v>
      </c>
      <c r="AA228" t="s">
        <v>654</v>
      </c>
      <c r="AB228" t="s">
        <v>128</v>
      </c>
      <c r="AC228" s="2" t="str">
        <f>HYPERLINK("http://exon.niaid.nih.gov/transcriptome/Anopheles_sialome/links/DIPTERA/anodir_Ag5r3-DIPTERA.txt","AGAP003354-PA")</f>
        <v>AGAP003354-PA</v>
      </c>
      <c r="AD228" t="str">
        <f>HYPERLINK("http://www.ncbi.nlm.nih.gov/sutils/blink.cgi?pid=333469253","1E-148")</f>
        <v>1E-148</v>
      </c>
      <c r="AE228" t="str">
        <f>HYPERLINK("http://www.ncbi.nlm.nih.gov/protein/333469253","gi|333469253")</f>
        <v>gi|333469253</v>
      </c>
      <c r="AF228">
        <v>93</v>
      </c>
      <c r="AG228">
        <v>98</v>
      </c>
      <c r="AH228">
        <v>100</v>
      </c>
      <c r="AI228" t="s">
        <v>2285</v>
      </c>
      <c r="AJ228" s="2" t="str">
        <f>HYPERLINK("http://exon.niaid.nih.gov/transcriptome/Anopheles_sialome/links/CULICOMORPHA/anodir_Ag5r3-CULICOMORPHA.txt","AGAP003354-PA")</f>
        <v>AGAP003354-PA</v>
      </c>
      <c r="AK228" t="str">
        <f>HYPERLINK("http://www.ncbi.nlm.nih.gov/sutils/blink.cgi?pid=333469253","1E-149")</f>
        <v>1E-149</v>
      </c>
      <c r="AL228" t="str">
        <f>HYPERLINK("http://www.ncbi.nlm.nih.gov/protein/333469253","gi|333469253")</f>
        <v>gi|333469253</v>
      </c>
      <c r="AM228">
        <v>93</v>
      </c>
      <c r="AN228">
        <v>98</v>
      </c>
      <c r="AO228">
        <v>100</v>
      </c>
      <c r="AP228" t="s">
        <v>2285</v>
      </c>
      <c r="AQ228" s="2" t="str">
        <f>HYPERLINK("http://exon.niaid.nih.gov/transcriptome/Anopheles_sialome/links/NR-LIGHT/anodir_Ag5r3-NR-LIGHT.txt","AGAP003354-PA")</f>
        <v>AGAP003354-PA</v>
      </c>
      <c r="AR228" t="str">
        <f>HYPERLINK("http://www.ncbi.nlm.nih.gov/sutils/blink.cgi?pid=347969748","1E-148")</f>
        <v>1E-148</v>
      </c>
      <c r="AS228" t="str">
        <f>HYPERLINK("http://www.ncbi.nlm.nih.gov/protein/347969748","gi|347969748")</f>
        <v>gi|347969748</v>
      </c>
      <c r="AT228">
        <v>93</v>
      </c>
      <c r="AU228">
        <v>98</v>
      </c>
      <c r="AV228">
        <v>100</v>
      </c>
      <c r="AW228" t="s">
        <v>2285</v>
      </c>
      <c r="AX228" s="2" t="str">
        <f>HYPERLINK("http://exon.niaid.nih.gov/transcriptome/Anopheles_sialome/links/CDD/anodir_Ag5r3-CDD.txt","SCP_euk")</f>
        <v>SCP_euk</v>
      </c>
      <c r="AY228" t="str">
        <f>HYPERLINK("http://www.ncbi.nlm.nih.gov/Structure/cdd/cddsrv.cgi?uid=cd05380&amp;version=v4.0","2E-036")</f>
        <v>2E-036</v>
      </c>
      <c r="AZ228" t="s">
        <v>2356</v>
      </c>
      <c r="BA228" s="2" t="str">
        <f>HYPERLINK("http://exon.niaid.nih.gov/transcriptome/Anopheles_sialome/links/KOG/anodir_Ag5r3-KOG.txt","Defense-related protein containing SCP domain")</f>
        <v>Defense-related protein containing SCP domain</v>
      </c>
      <c r="BB228" t="str">
        <f>HYPERLINK("http://www.ncbi.nlm.nih.gov/Structure/cdd/cddsrv.cgi?uid=KOG3017","9E-031")</f>
        <v>9E-031</v>
      </c>
      <c r="BC228" t="s">
        <v>2304</v>
      </c>
      <c r="BD228" t="str">
        <f>HYPERLINK("http://exon.niaid.nih.gov/transcriptome/Anopheles_sialome/links/KOG/anodir_Ag5r3-KOG.txt","KOG3017")</f>
        <v>KOG3017</v>
      </c>
      <c r="BE228" t="str">
        <f>HYPERLINK("http://exon.niaid.nih.gov/transcriptome/Anopheles_sialome/links/PFAM/anodir_Ag5r3-PFAM.txt","CAP")</f>
        <v>CAP</v>
      </c>
      <c r="BF228" t="str">
        <f>HYPERLINK("http://pfam.sanger.ac.uk/family?acc=PF00188","9E-013")</f>
        <v>9E-013</v>
      </c>
      <c r="BG228" s="2" t="str">
        <f>HYPERLINK("http://exon.niaid.nih.gov/transcriptome/Anopheles_sialome/links/SMART/anodir_Ag5r3-SMART.txt","SCP")</f>
        <v>SCP</v>
      </c>
      <c r="BH228" t="str">
        <f>HYPERLINK("http://smart.embl-heidelberg.de/smart/do_annotation.pl?DOMAIN=SCP&amp;BLAST=DUMMY","6E-028")</f>
        <v>6E-028</v>
      </c>
      <c r="BI228" t="s">
        <v>128</v>
      </c>
      <c r="BJ228" s="2" t="s">
        <v>128</v>
      </c>
      <c r="BK228" t="s">
        <v>811</v>
      </c>
      <c r="BL228">
        <f>HYPERLINK("http://exon.niaid.nih.gov/transcriptome/Anopheles_sialome/links/cluster-b/anopheline-sialome-cds-pep-larger-orf25-50SimCLU4.txt", 4)</f>
        <v>4</v>
      </c>
      <c r="BM228">
        <f>HYPERLINK("http://exon.niaid.nih.gov/transcriptome/Anopheles_sialome/links/cluster-b/anopheline-sialome-cds-pep-larger-orf25-50SimCLTL4.txt", 82)</f>
        <v>82</v>
      </c>
      <c r="BN228">
        <f>HYPERLINK("http://exon.niaid.nih.gov/transcriptome/Anopheles_sialome/links/cluster-b/anopheline-sialome-cds-pep-larger-orf30-50SimCLU4.txt", 4)</f>
        <v>4</v>
      </c>
      <c r="BO228">
        <f>HYPERLINK("http://exon.niaid.nih.gov/transcriptome/Anopheles_sialome/links/cluster-b/anopheline-sialome-cds-pep-larger-orf30-50SimCLTL4.txt", 82)</f>
        <v>82</v>
      </c>
      <c r="BP228">
        <f>HYPERLINK("http://exon.niaid.nih.gov/transcriptome/Anopheles_sialome/links/cluster-b/anopheline-sialome-cds-pep-larger-orf35-50SimCLU3.txt", 3)</f>
        <v>3</v>
      </c>
      <c r="BQ228">
        <f>HYPERLINK("http://exon.niaid.nih.gov/transcriptome/Anopheles_sialome/links/cluster-b/anopheline-sialome-cds-pep-larger-orf35-50SimCLTL3.txt", 82)</f>
        <v>82</v>
      </c>
      <c r="BR228">
        <f>HYPERLINK("http://exon.niaid.nih.gov/transcriptome/Anopheles_sialome/links/cluster-b/anopheline-sialome-cds-pep-larger-orf40-50SimCLU3.txt", 3)</f>
        <v>3</v>
      </c>
      <c r="BS228">
        <f>HYPERLINK("http://exon.niaid.nih.gov/transcriptome/Anopheles_sialome/links/cluster-b/anopheline-sialome-cds-pep-larger-orf40-50SimCLTL3.txt", 82)</f>
        <v>82</v>
      </c>
      <c r="BT228">
        <f>HYPERLINK("http://exon.niaid.nih.gov/transcriptome/Anopheles_sialome/links/cluster-b/anopheline-sialome-cds-pep-larger-orf45-50SimCLU2.txt", 2)</f>
        <v>2</v>
      </c>
      <c r="BU228">
        <f>HYPERLINK("http://exon.niaid.nih.gov/transcriptome/Anopheles_sialome/links/cluster-b/anopheline-sialome-cds-pep-larger-orf45-50SimCLTL2.txt", 82)</f>
        <v>82</v>
      </c>
      <c r="BV228">
        <f>HYPERLINK("http://exon.niaid.nih.gov/transcriptome/Anopheles_sialome/links/cluster-b/anopheline-sialome-cds-pep-larger-orf50-50SimCLU2.txt", 2)</f>
        <v>2</v>
      </c>
      <c r="BW228">
        <f>HYPERLINK("http://exon.niaid.nih.gov/transcriptome/Anopheles_sialome/links/cluster-b/anopheline-sialome-cds-pep-larger-orf50-50SimCLTL2.txt", 82)</f>
        <v>82</v>
      </c>
      <c r="BX228">
        <f>HYPERLINK("http://exon.niaid.nih.gov/transcriptome/Anopheles_sialome/links/cluster-b/anopheline-sialome-cds-pep-larger-orf55-50SimCLU9.txt", 9)</f>
        <v>9</v>
      </c>
      <c r="BY228">
        <f>HYPERLINK("http://exon.niaid.nih.gov/transcriptome/Anopheles_sialome/links/cluster-b/anopheline-sialome-cds-pep-larger-orf55-50SimCLTL9.txt", 27)</f>
        <v>27</v>
      </c>
      <c r="BZ228">
        <f>HYPERLINK("http://exon.niaid.nih.gov/transcriptome/Anopheles_sialome/links/cluster-b/anopheline-sialome-cds-pep-larger-orf60-50SimCLU7.txt", 7)</f>
        <v>7</v>
      </c>
      <c r="CA228">
        <f>HYPERLINK("http://exon.niaid.nih.gov/transcriptome/Anopheles_sialome/links/cluster-b/anopheline-sialome-cds-pep-larger-orf60-50SimCLTL7.txt", 27)</f>
        <v>27</v>
      </c>
      <c r="CB228">
        <f>HYPERLINK("http://exon.niaid.nih.gov/transcriptome/Anopheles_sialome/links/cluster-b/anopheline-sialome-cds-pep-larger-orf65-50SimCLU4.txt", 4)</f>
        <v>4</v>
      </c>
      <c r="CC228">
        <f>HYPERLINK("http://exon.niaid.nih.gov/transcriptome/Anopheles_sialome/links/cluster-b/anopheline-sialome-cds-pep-larger-orf65-50SimCLTL4.txt", 27)</f>
        <v>27</v>
      </c>
      <c r="CD228">
        <f>HYPERLINK("http://exon.niaid.nih.gov/transcriptome/Anopheles_sialome/links/cluster-b/anopheline-sialome-cds-pep-larger-orf70-50SimCLU3.txt", 3)</f>
        <v>3</v>
      </c>
      <c r="CE228">
        <f>HYPERLINK("http://exon.niaid.nih.gov/transcriptome/Anopheles_sialome/links/cluster-b/anopheline-sialome-cds-pep-larger-orf70-50SimCLTL3.txt", 27)</f>
        <v>27</v>
      </c>
      <c r="CF228">
        <f>HYPERLINK("http://exon.niaid.nih.gov/transcriptome/Anopheles_sialome/links/cluster-b/anopheline-sialome-cds-pep-larger-orf75-50SimCLU3.txt", 3)</f>
        <v>3</v>
      </c>
      <c r="CG228">
        <f>HYPERLINK("http://exon.niaid.nih.gov/transcriptome/Anopheles_sialome/links/cluster-b/anopheline-sialome-cds-pep-larger-orf75-50SimCLTL3.txt", 27)</f>
        <v>27</v>
      </c>
      <c r="CH228">
        <f>HYPERLINK("http://exon.niaid.nih.gov/transcriptome/Anopheles_sialome/links/cluster-b/anopheline-sialome-cds-pep-larger-orf80-50SimCLU2.txt", 2)</f>
        <v>2</v>
      </c>
      <c r="CI228">
        <f>HYPERLINK("http://exon.niaid.nih.gov/transcriptome/Anopheles_sialome/links/cluster-b/anopheline-sialome-cds-pep-larger-orf80-50SimCLTL2.txt", 27)</f>
        <v>27</v>
      </c>
      <c r="CJ228">
        <f>HYPERLINK("http://exon.niaid.nih.gov/transcriptome/Anopheles_sialome/links/cluster-b/anopheline-sialome-cds-pep-larger-orf85-50SimCLU1.txt", 1)</f>
        <v>1</v>
      </c>
      <c r="CK228">
        <f>HYPERLINK("http://exon.niaid.nih.gov/transcriptome/Anopheles_sialome/links/cluster-b/anopheline-sialome-cds-pep-larger-orf85-50SimCLTL1.txt", 27)</f>
        <v>27</v>
      </c>
      <c r="CL228">
        <f>HYPERLINK("http://exon.niaid.nih.gov/transcriptome/Anopheles_sialome/links/cluster-b/anopheline-sialome-cds-pep-larger-orf90-50SimCLU1.txt", 1)</f>
        <v>1</v>
      </c>
      <c r="CM228">
        <f>HYPERLINK("http://exon.niaid.nih.gov/transcriptome/Anopheles_sialome/links/cluster-b/anopheline-sialome-cds-pep-larger-orf90-50SimCLTL1.txt", 25)</f>
        <v>25</v>
      </c>
      <c r="CN228">
        <f>HYPERLINK("http://exon.niaid.nih.gov/transcriptome/Anopheles_sialome/links/cluster-b/anopheline-sialome-cds-pep-larger-orf95-50SimCLU1.txt", 1)</f>
        <v>1</v>
      </c>
      <c r="CO228">
        <f>HYPERLINK("http://exon.niaid.nih.gov/transcriptome/Anopheles_sialome/links/cluster-b/anopheline-sialome-cds-pep-larger-orf95-50SimCLTL1.txt", 23)</f>
        <v>23</v>
      </c>
    </row>
    <row r="229" spans="1:93">
      <c r="A229" s="5" t="s">
        <v>3194</v>
      </c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</row>
    <row r="230" spans="1:93">
      <c r="A230" s="2" t="str">
        <f>HYPERLINK("http://exon.niaid.nih.gov/transcriptome/Anopheles_sialome/links/cds/anoga_Ag5r4-cds.txt","anoga_Ag5r4")</f>
        <v>anoga_Ag5r4</v>
      </c>
      <c r="B230">
        <v>804</v>
      </c>
      <c r="C230" t="s">
        <v>80</v>
      </c>
      <c r="D230" t="s">
        <v>4</v>
      </c>
      <c r="E230" t="s">
        <v>5</v>
      </c>
      <c r="F230" t="s">
        <v>1</v>
      </c>
      <c r="G230" t="str">
        <f>HYPERLINK("http://exon.niaid.nih.gov/transcriptome/Anopheles_sialome/links/pep/anoga_Ag5r4-pep.txt","anoga_Ag5r4")</f>
        <v>anoga_Ag5r4</v>
      </c>
      <c r="H230">
        <v>267</v>
      </c>
      <c r="I230">
        <v>1</v>
      </c>
      <c r="J230" s="3" t="str">
        <f>HYPERLINK("http://exon.niaid.nih.gov/transcriptome/Anopheles_sialome/links/Sigp/anoga_Ag5r4-SigP.txt","SIG")</f>
        <v>SIG</v>
      </c>
      <c r="K230" t="s">
        <v>695</v>
      </c>
      <c r="L230">
        <v>29.942</v>
      </c>
      <c r="M230">
        <v>6.94</v>
      </c>
      <c r="N230">
        <v>27.489000000000001</v>
      </c>
      <c r="O230">
        <v>6.38</v>
      </c>
      <c r="P230" t="s">
        <v>822</v>
      </c>
      <c r="Q230" s="3">
        <v>0</v>
      </c>
      <c r="R230" t="s">
        <v>128</v>
      </c>
      <c r="S230" t="s">
        <v>128</v>
      </c>
      <c r="T230" t="s">
        <v>128</v>
      </c>
      <c r="U230" t="s">
        <v>128</v>
      </c>
      <c r="V230" t="s">
        <v>128</v>
      </c>
      <c r="W230" s="3" t="str">
        <f>HYPERLINK("http://exon.niaid.nih.gov/transcriptome/Anopheles_sialome/links/netoglyc/anoga_Ag5r4-netoglyc.txt","0")</f>
        <v>0</v>
      </c>
      <c r="X230">
        <v>12.7</v>
      </c>
      <c r="Y230">
        <v>6.4</v>
      </c>
      <c r="Z230">
        <v>5.6</v>
      </c>
      <c r="AA230" t="s">
        <v>654</v>
      </c>
      <c r="AB230" t="s">
        <v>128</v>
      </c>
      <c r="AC230" s="2" t="str">
        <f>HYPERLINK("http://exon.niaid.nih.gov/transcriptome/Anopheles_sialome/links/DIPTERA/anoga_Ag5r4-DIPTERA.txt","AGAP006420-PA")</f>
        <v>AGAP006420-PA</v>
      </c>
      <c r="AD230" t="str">
        <f>HYPERLINK("http://www.ncbi.nlm.nih.gov/sutils/blink.cgi?pid=55239188","1E-158")</f>
        <v>1E-158</v>
      </c>
      <c r="AE230" t="str">
        <f t="shared" ref="AE230:AE243" si="120">HYPERLINK("http://www.ncbi.nlm.nih.gov/protein/55239188","gi|55239188")</f>
        <v>gi|55239188</v>
      </c>
      <c r="AF230">
        <v>100</v>
      </c>
      <c r="AG230">
        <v>100</v>
      </c>
      <c r="AH230">
        <v>100</v>
      </c>
      <c r="AI230" t="s">
        <v>2285</v>
      </c>
      <c r="AJ230" s="2" t="str">
        <f>HYPERLINK("http://exon.niaid.nih.gov/transcriptome/Anopheles_sialome/links/CULICOMORPHA/anoga_Ag5r4-CULICOMORPHA.txt","AGAP006420-PA")</f>
        <v>AGAP006420-PA</v>
      </c>
      <c r="AK230" t="str">
        <f>HYPERLINK("http://www.ncbi.nlm.nih.gov/sutils/blink.cgi?pid=55239188","1E-159")</f>
        <v>1E-159</v>
      </c>
      <c r="AL230" t="str">
        <f t="shared" ref="AL230:AL243" si="121">HYPERLINK("http://www.ncbi.nlm.nih.gov/protein/55239188","gi|55239188")</f>
        <v>gi|55239188</v>
      </c>
      <c r="AM230">
        <v>100</v>
      </c>
      <c r="AN230">
        <v>100</v>
      </c>
      <c r="AO230">
        <v>100</v>
      </c>
      <c r="AP230" t="s">
        <v>2285</v>
      </c>
      <c r="AQ230" s="2" t="str">
        <f>HYPERLINK("http://exon.niaid.nih.gov/transcriptome/Anopheles_sialome/links/NR-LIGHT/anoga_Ag5r4-NR-LIGHT.txt","AGAP006420-PA")</f>
        <v>AGAP006420-PA</v>
      </c>
      <c r="AR230" t="str">
        <f>HYPERLINK("http://www.ncbi.nlm.nih.gov/sutils/blink.cgi?pid=58388673","1E-158")</f>
        <v>1E-158</v>
      </c>
      <c r="AS230" t="str">
        <f t="shared" ref="AS230:AS243" si="122">HYPERLINK("http://www.ncbi.nlm.nih.gov/protein/58388673","gi|58388673")</f>
        <v>gi|58388673</v>
      </c>
      <c r="AT230">
        <v>100</v>
      </c>
      <c r="AU230">
        <v>100</v>
      </c>
      <c r="AV230">
        <v>100</v>
      </c>
      <c r="AW230" t="s">
        <v>2285</v>
      </c>
      <c r="AX230" s="2" t="str">
        <f>HYPERLINK("http://exon.niaid.nih.gov/transcriptome/Anopheles_sialome/links/CDD/anoga_Ag5r4-CDD.txt","SCP_euk")</f>
        <v>SCP_euk</v>
      </c>
      <c r="AY230" t="str">
        <f>HYPERLINK("http://www.ncbi.nlm.nih.gov/Structure/cdd/cddsrv.cgi?uid=cd05380&amp;version=v4.0","5E-036")</f>
        <v>5E-036</v>
      </c>
      <c r="AZ230" t="s">
        <v>2361</v>
      </c>
      <c r="BA230" s="2" t="str">
        <f>HYPERLINK("http://exon.niaid.nih.gov/transcriptome/Anopheles_sialome/links/KOG/anoga_Ag5r4-KOG.txt","Defense-related protein containing SCP domain")</f>
        <v>Defense-related protein containing SCP domain</v>
      </c>
      <c r="BB230" t="str">
        <f>HYPERLINK("http://www.ncbi.nlm.nih.gov/Structure/cdd/cddsrv.cgi?uid=KOG3017","6E-028")</f>
        <v>6E-028</v>
      </c>
      <c r="BC230" t="s">
        <v>2304</v>
      </c>
      <c r="BD230" t="str">
        <f>HYPERLINK("http://exon.niaid.nih.gov/transcriptome/Anopheles_sialome/links/KOG/anoga_Ag5r4-KOG.txt","KOG3017")</f>
        <v>KOG3017</v>
      </c>
      <c r="BE230" t="str">
        <f>HYPERLINK("http://exon.niaid.nih.gov/transcriptome/Anopheles_sialome/links/PFAM/anoga_Ag5r4-PFAM.txt","CAP")</f>
        <v>CAP</v>
      </c>
      <c r="BF230" t="str">
        <f>HYPERLINK("http://pfam.sanger.ac.uk/family?acc=PF00188","4E-011")</f>
        <v>4E-011</v>
      </c>
      <c r="BG230" s="2" t="str">
        <f>HYPERLINK("http://exon.niaid.nih.gov/transcriptome/Anopheles_sialome/links/SMART/anoga_Ag5r4-SMART.txt","SCP")</f>
        <v>SCP</v>
      </c>
      <c r="BH230" t="str">
        <f>HYPERLINK("http://smart.embl-heidelberg.de/smart/do_annotation.pl?DOMAIN=SCP&amp;BLAST=DUMMY","9E-024")</f>
        <v>9E-024</v>
      </c>
      <c r="BI230" t="s">
        <v>128</v>
      </c>
      <c r="BJ230" s="2" t="s">
        <v>128</v>
      </c>
      <c r="BK230" t="s">
        <v>821</v>
      </c>
      <c r="BL230">
        <f>HYPERLINK("http://exon.niaid.nih.gov/transcriptome/Anopheles_sialome/links/cluster-b/anopheline-sialome-cds-pep-larger-orf25-50SimCLU4.txt", 4)</f>
        <v>4</v>
      </c>
      <c r="BM230">
        <f>HYPERLINK("http://exon.niaid.nih.gov/transcriptome/Anopheles_sialome/links/cluster-b/anopheline-sialome-cds-pep-larger-orf25-50SimCLTL4.txt", 82)</f>
        <v>82</v>
      </c>
      <c r="BN230">
        <f>HYPERLINK("http://exon.niaid.nih.gov/transcriptome/Anopheles_sialome/links/cluster-b/anopheline-sialome-cds-pep-larger-orf30-50SimCLU4.txt", 4)</f>
        <v>4</v>
      </c>
      <c r="BO230">
        <f>HYPERLINK("http://exon.niaid.nih.gov/transcriptome/Anopheles_sialome/links/cluster-b/anopheline-sialome-cds-pep-larger-orf30-50SimCLTL4.txt", 82)</f>
        <v>82</v>
      </c>
      <c r="BP230">
        <f>HYPERLINK("http://exon.niaid.nih.gov/transcriptome/Anopheles_sialome/links/cluster-b/anopheline-sialome-cds-pep-larger-orf35-50SimCLU3.txt", 3)</f>
        <v>3</v>
      </c>
      <c r="BQ230">
        <f>HYPERLINK("http://exon.niaid.nih.gov/transcriptome/Anopheles_sialome/links/cluster-b/anopheline-sialome-cds-pep-larger-orf35-50SimCLTL3.txt", 82)</f>
        <v>82</v>
      </c>
      <c r="BR230">
        <f>HYPERLINK("http://exon.niaid.nih.gov/transcriptome/Anopheles_sialome/links/cluster-b/anopheline-sialome-cds-pep-larger-orf40-50SimCLU3.txt", 3)</f>
        <v>3</v>
      </c>
      <c r="BS230">
        <f>HYPERLINK("http://exon.niaid.nih.gov/transcriptome/Anopheles_sialome/links/cluster-b/anopheline-sialome-cds-pep-larger-orf40-50SimCLTL3.txt", 82)</f>
        <v>82</v>
      </c>
      <c r="BT230">
        <f>HYPERLINK("http://exon.niaid.nih.gov/transcriptome/Anopheles_sialome/links/cluster-b/anopheline-sialome-cds-pep-larger-orf45-50SimCLU2.txt", 2)</f>
        <v>2</v>
      </c>
      <c r="BU230">
        <f>HYPERLINK("http://exon.niaid.nih.gov/transcriptome/Anopheles_sialome/links/cluster-b/anopheline-sialome-cds-pep-larger-orf45-50SimCLTL2.txt", 82)</f>
        <v>82</v>
      </c>
      <c r="BV230">
        <f>HYPERLINK("http://exon.niaid.nih.gov/transcriptome/Anopheles_sialome/links/cluster-b/anopheline-sialome-cds-pep-larger-orf50-50SimCLU2.txt", 2)</f>
        <v>2</v>
      </c>
      <c r="BW230">
        <f>HYPERLINK("http://exon.niaid.nih.gov/transcriptome/Anopheles_sialome/links/cluster-b/anopheline-sialome-cds-pep-larger-orf50-50SimCLTL2.txt", 82)</f>
        <v>82</v>
      </c>
      <c r="BX230">
        <f>HYPERLINK("http://exon.niaid.nih.gov/transcriptome/Anopheles_sialome/links/cluster-b/anopheline-sialome-cds-pep-larger-orf55-50SimCLU2.txt", 2)</f>
        <v>2</v>
      </c>
      <c r="BY230">
        <f>HYPERLINK("http://exon.niaid.nih.gov/transcriptome/Anopheles_sialome/links/cluster-b/anopheline-sialome-cds-pep-larger-orf55-50SimCLTL2.txt", 55)</f>
        <v>55</v>
      </c>
      <c r="BZ230">
        <f>HYPERLINK("http://exon.niaid.nih.gov/transcriptome/Anopheles_sialome/links/cluster-b/anopheline-sialome-cds-pep-larger-orf60-50SimCLU2.txt", 2)</f>
        <v>2</v>
      </c>
      <c r="CA230">
        <f>HYPERLINK("http://exon.niaid.nih.gov/transcriptome/Anopheles_sialome/links/cluster-b/anopheline-sialome-cds-pep-larger-orf60-50SimCLTL2.txt", 54)</f>
        <v>54</v>
      </c>
      <c r="CB230">
        <f>HYPERLINK("http://exon.niaid.nih.gov/transcriptome/Anopheles_sialome/links/cluster-b/anopheline-sialome-cds-pep-larger-orf65-50SimCLU26.txt", 26)</f>
        <v>26</v>
      </c>
      <c r="CC230">
        <f>HYPERLINK("http://exon.niaid.nih.gov/transcriptome/Anopheles_sialome/links/cluster-b/anopheline-sialome-cds-pep-larger-orf65-50SimCLTL26.txt", 15)</f>
        <v>15</v>
      </c>
      <c r="CD230">
        <f>HYPERLINK("http://exon.niaid.nih.gov/transcriptome/Anopheles_sialome/links/cluster-b/anopheline-sialome-cds-pep-larger-orf70-50SimCLU28.txt", 28)</f>
        <v>28</v>
      </c>
      <c r="CE230">
        <f>HYPERLINK("http://exon.niaid.nih.gov/transcriptome/Anopheles_sialome/links/cluster-b/anopheline-sialome-cds-pep-larger-orf70-50SimCLTL28.txt", 14)</f>
        <v>14</v>
      </c>
      <c r="CF230">
        <f>HYPERLINK("http://exon.niaid.nih.gov/transcriptome/Anopheles_sialome/links/cluster-b/anopheline-sialome-cds-pep-larger-orf75-50SimCLU28.txt", 28)</f>
        <v>28</v>
      </c>
      <c r="CG230">
        <f>HYPERLINK("http://exon.niaid.nih.gov/transcriptome/Anopheles_sialome/links/cluster-b/anopheline-sialome-cds-pep-larger-orf75-50SimCLTL28.txt", 12)</f>
        <v>12</v>
      </c>
      <c r="CH230">
        <f>HYPERLINK("http://exon.niaid.nih.gov/transcriptome/Anopheles_sialome/links/cluster-b/anopheline-sialome-cds-pep-larger-orf80-50SimCLU30.txt", 30)</f>
        <v>30</v>
      </c>
      <c r="CI230">
        <f>HYPERLINK("http://exon.niaid.nih.gov/transcriptome/Anopheles_sialome/links/cluster-b/anopheline-sialome-cds-pep-larger-orf80-50SimCLTL30.txt", 7)</f>
        <v>7</v>
      </c>
      <c r="CJ230">
        <f>HYPERLINK("http://exon.niaid.nih.gov/transcriptome/Anopheles_sialome/links/cluster-b/anopheline-sialome-cds-pep-larger-orf85-50SimCLU22.txt", 22)</f>
        <v>22</v>
      </c>
      <c r="CK230">
        <f>HYPERLINK("http://exon.niaid.nih.gov/transcriptome/Anopheles_sialome/links/cluster-b/anopheline-sialome-cds-pep-larger-orf85-50SimCLTL22.txt", 7)</f>
        <v>7</v>
      </c>
      <c r="CL230">
        <f>HYPERLINK("http://exon.niaid.nih.gov/transcriptome/Anopheles_sialome/links/cluster-b/anopheline-sialome-cds-pep-larger-orf90-50SimCLU17.txt", 17)</f>
        <v>17</v>
      </c>
      <c r="CM230">
        <f>HYPERLINK("http://exon.niaid.nih.gov/transcriptome/Anopheles_sialome/links/cluster-b/anopheline-sialome-cds-pep-larger-orf90-50SimCLTL17.txt", 6)</f>
        <v>6</v>
      </c>
      <c r="CN230">
        <f>HYPERLINK("http://exon.niaid.nih.gov/transcriptome/Anopheles_sialome/links/cluster-b/anopheline-sialome-cds-pep-larger-orf95-50SimCLU33.txt", 33)</f>
        <v>33</v>
      </c>
      <c r="CO230">
        <f>HYPERLINK("http://exon.niaid.nih.gov/transcriptome/Anopheles_sialome/links/cluster-b/anopheline-sialome-cds-pep-larger-orf95-50SimCLTL33.txt", 5)</f>
        <v>5</v>
      </c>
    </row>
    <row r="231" spans="1:93">
      <c r="A231" s="2" t="str">
        <f>HYPERLINK("http://exon.niaid.nih.gov/transcriptome/Anopheles_sialome/links/cds/anocol_Ag5r4-cds.txt","anocol_Ag5r4")</f>
        <v>anocol_Ag5r4</v>
      </c>
      <c r="B231">
        <v>759</v>
      </c>
      <c r="C231" t="s">
        <v>81</v>
      </c>
      <c r="D231" t="s">
        <v>4</v>
      </c>
      <c r="E231" t="s">
        <v>5</v>
      </c>
      <c r="F231" t="s">
        <v>1</v>
      </c>
      <c r="G231" t="str">
        <f>HYPERLINK("http://exon.niaid.nih.gov/transcriptome/Anopheles_sialome/links/pep/anocol_Ag5r4-pep.txt","anocol_Ag5r4")</f>
        <v>anocol_Ag5r4</v>
      </c>
      <c r="H231">
        <v>252</v>
      </c>
      <c r="I231">
        <v>1</v>
      </c>
      <c r="J231" s="3" t="str">
        <f>HYPERLINK("http://exon.niaid.nih.gov/transcriptome/Anopheles_sialome/links/Sigp/anocol_Ag5r4-SigP.txt","SIG")</f>
        <v>SIG</v>
      </c>
      <c r="K231" t="s">
        <v>695</v>
      </c>
      <c r="L231">
        <v>28.298999999999999</v>
      </c>
      <c r="M231">
        <v>6.59</v>
      </c>
      <c r="N231">
        <v>25.818000000000001</v>
      </c>
      <c r="O231">
        <v>6.13</v>
      </c>
      <c r="P231" t="s">
        <v>824</v>
      </c>
      <c r="Q231" s="3">
        <v>0</v>
      </c>
      <c r="R231" t="s">
        <v>128</v>
      </c>
      <c r="S231" t="s">
        <v>128</v>
      </c>
      <c r="T231" t="s">
        <v>128</v>
      </c>
      <c r="U231" t="s">
        <v>128</v>
      </c>
      <c r="V231" t="s">
        <v>128</v>
      </c>
      <c r="W231" s="3" t="str">
        <f>HYPERLINK("http://exon.niaid.nih.gov/transcriptome/Anopheles_sialome/links/netoglyc/anocol_Ag5r4-netoglyc.txt","0")</f>
        <v>0</v>
      </c>
      <c r="X231">
        <v>11.9</v>
      </c>
      <c r="Y231">
        <v>6.7</v>
      </c>
      <c r="Z231">
        <v>6</v>
      </c>
      <c r="AA231" t="s">
        <v>654</v>
      </c>
      <c r="AB231" t="s">
        <v>128</v>
      </c>
      <c r="AC231" s="2" t="str">
        <f>HYPERLINK("http://exon.niaid.nih.gov/transcriptome/Anopheles_sialome/links/DIPTERA/anocol_Ag5r4-DIPTERA.txt","AGAP006420-PA")</f>
        <v>AGAP006420-PA</v>
      </c>
      <c r="AD231" t="str">
        <f>HYPERLINK("http://www.ncbi.nlm.nih.gov/sutils/blink.cgi?pid=55239188","1E-148")</f>
        <v>1E-148</v>
      </c>
      <c r="AE231" t="str">
        <f t="shared" si="120"/>
        <v>gi|55239188</v>
      </c>
      <c r="AF231">
        <v>98</v>
      </c>
      <c r="AG231">
        <v>99</v>
      </c>
      <c r="AH231">
        <v>94</v>
      </c>
      <c r="AI231" t="s">
        <v>2285</v>
      </c>
      <c r="AJ231" s="2" t="str">
        <f>HYPERLINK("http://exon.niaid.nih.gov/transcriptome/Anopheles_sialome/links/CULICOMORPHA/anocol_Ag5r4-CULICOMORPHA.txt","AGAP006420-PA")</f>
        <v>AGAP006420-PA</v>
      </c>
      <c r="AK231" t="str">
        <f>HYPERLINK("http://www.ncbi.nlm.nih.gov/sutils/blink.cgi?pid=55239188","1E-148")</f>
        <v>1E-148</v>
      </c>
      <c r="AL231" t="str">
        <f t="shared" si="121"/>
        <v>gi|55239188</v>
      </c>
      <c r="AM231">
        <v>98</v>
      </c>
      <c r="AN231">
        <v>99</v>
      </c>
      <c r="AO231">
        <v>94</v>
      </c>
      <c r="AP231" t="s">
        <v>2285</v>
      </c>
      <c r="AQ231" s="2" t="str">
        <f>HYPERLINK("http://exon.niaid.nih.gov/transcriptome/Anopheles_sialome/links/NR-LIGHT/anocol_Ag5r4-NR-LIGHT.txt","AGAP006420-PA")</f>
        <v>AGAP006420-PA</v>
      </c>
      <c r="AR231" t="str">
        <f>HYPERLINK("http://www.ncbi.nlm.nih.gov/sutils/blink.cgi?pid=58388673","1E-147")</f>
        <v>1E-147</v>
      </c>
      <c r="AS231" t="str">
        <f t="shared" si="122"/>
        <v>gi|58388673</v>
      </c>
      <c r="AT231">
        <v>98</v>
      </c>
      <c r="AU231">
        <v>99</v>
      </c>
      <c r="AV231">
        <v>94</v>
      </c>
      <c r="AW231" t="s">
        <v>2285</v>
      </c>
      <c r="AX231" s="2" t="str">
        <f>HYPERLINK("http://exon.niaid.nih.gov/transcriptome/Anopheles_sialome/links/CDD/anocol_Ag5r4-CDD.txt","SCP_euk")</f>
        <v>SCP_euk</v>
      </c>
      <c r="AY231" t="str">
        <f>HYPERLINK("http://www.ncbi.nlm.nih.gov/Structure/cdd/cddsrv.cgi?uid=cd05380&amp;version=v4.0","3E-037")</f>
        <v>3E-037</v>
      </c>
      <c r="AZ231" t="s">
        <v>2362</v>
      </c>
      <c r="BA231" s="2" t="str">
        <f>HYPERLINK("http://exon.niaid.nih.gov/transcriptome/Anopheles_sialome/links/KOG/anocol_Ag5r4-KOG.txt","Defense-related protein containing SCP domain")</f>
        <v>Defense-related protein containing SCP domain</v>
      </c>
      <c r="BB231" t="str">
        <f>HYPERLINK("http://www.ncbi.nlm.nih.gov/Structure/cdd/cddsrv.cgi?uid=KOG3017","3E-028")</f>
        <v>3E-028</v>
      </c>
      <c r="BC231" t="s">
        <v>2304</v>
      </c>
      <c r="BD231" t="str">
        <f>HYPERLINK("http://exon.niaid.nih.gov/transcriptome/Anopheles_sialome/links/KOG/anocol_Ag5r4-KOG.txt","KOG3017")</f>
        <v>KOG3017</v>
      </c>
      <c r="BE231" t="str">
        <f>HYPERLINK("http://exon.niaid.nih.gov/transcriptome/Anopheles_sialome/links/PFAM/anocol_Ag5r4-PFAM.txt","CAP")</f>
        <v>CAP</v>
      </c>
      <c r="BF231" t="str">
        <f>HYPERLINK("http://pfam.sanger.ac.uk/family?acc=PF00188","2E-012")</f>
        <v>2E-012</v>
      </c>
      <c r="BG231" s="2" t="str">
        <f>HYPERLINK("http://exon.niaid.nih.gov/transcriptome/Anopheles_sialome/links/SMART/anocol_Ag5r4-SMART.txt","SCP")</f>
        <v>SCP</v>
      </c>
      <c r="BH231" t="str">
        <f>HYPERLINK("http://smart.embl-heidelberg.de/smart/do_annotation.pl?DOMAIN=SCP&amp;BLAST=DUMMY","6E-024")</f>
        <v>6E-024</v>
      </c>
      <c r="BI231" t="s">
        <v>128</v>
      </c>
      <c r="BJ231" s="2" t="s">
        <v>128</v>
      </c>
      <c r="BK231" t="s">
        <v>823</v>
      </c>
      <c r="BL231">
        <f>HYPERLINK("http://exon.niaid.nih.gov/transcriptome/Anopheles_sialome/links/cluster-b/anopheline-sialome-cds-pep-larger-orf25-50SimCLU4.txt", 4)</f>
        <v>4</v>
      </c>
      <c r="BM231">
        <f>HYPERLINK("http://exon.niaid.nih.gov/transcriptome/Anopheles_sialome/links/cluster-b/anopheline-sialome-cds-pep-larger-orf25-50SimCLTL4.txt", 82)</f>
        <v>82</v>
      </c>
      <c r="BN231">
        <f>HYPERLINK("http://exon.niaid.nih.gov/transcriptome/Anopheles_sialome/links/cluster-b/anopheline-sialome-cds-pep-larger-orf30-50SimCLU4.txt", 4)</f>
        <v>4</v>
      </c>
      <c r="BO231">
        <f>HYPERLINK("http://exon.niaid.nih.gov/transcriptome/Anopheles_sialome/links/cluster-b/anopheline-sialome-cds-pep-larger-orf30-50SimCLTL4.txt", 82)</f>
        <v>82</v>
      </c>
      <c r="BP231">
        <f>HYPERLINK("http://exon.niaid.nih.gov/transcriptome/Anopheles_sialome/links/cluster-b/anopheline-sialome-cds-pep-larger-orf35-50SimCLU3.txt", 3)</f>
        <v>3</v>
      </c>
      <c r="BQ231">
        <f>HYPERLINK("http://exon.niaid.nih.gov/transcriptome/Anopheles_sialome/links/cluster-b/anopheline-sialome-cds-pep-larger-orf35-50SimCLTL3.txt", 82)</f>
        <v>82</v>
      </c>
      <c r="BR231">
        <f>HYPERLINK("http://exon.niaid.nih.gov/transcriptome/Anopheles_sialome/links/cluster-b/anopheline-sialome-cds-pep-larger-orf40-50SimCLU3.txt", 3)</f>
        <v>3</v>
      </c>
      <c r="BS231">
        <f>HYPERLINK("http://exon.niaid.nih.gov/transcriptome/Anopheles_sialome/links/cluster-b/anopheline-sialome-cds-pep-larger-orf40-50SimCLTL3.txt", 82)</f>
        <v>82</v>
      </c>
      <c r="BT231">
        <f>HYPERLINK("http://exon.niaid.nih.gov/transcriptome/Anopheles_sialome/links/cluster-b/anopheline-sialome-cds-pep-larger-orf45-50SimCLU2.txt", 2)</f>
        <v>2</v>
      </c>
      <c r="BU231">
        <f>HYPERLINK("http://exon.niaid.nih.gov/transcriptome/Anopheles_sialome/links/cluster-b/anopheline-sialome-cds-pep-larger-orf45-50SimCLTL2.txt", 82)</f>
        <v>82</v>
      </c>
      <c r="BV231">
        <f>HYPERLINK("http://exon.niaid.nih.gov/transcriptome/Anopheles_sialome/links/cluster-b/anopheline-sialome-cds-pep-larger-orf50-50SimCLU2.txt", 2)</f>
        <v>2</v>
      </c>
      <c r="BW231">
        <f>HYPERLINK("http://exon.niaid.nih.gov/transcriptome/Anopheles_sialome/links/cluster-b/anopheline-sialome-cds-pep-larger-orf50-50SimCLTL2.txt", 82)</f>
        <v>82</v>
      </c>
      <c r="BX231">
        <f>HYPERLINK("http://exon.niaid.nih.gov/transcriptome/Anopheles_sialome/links/cluster-b/anopheline-sialome-cds-pep-larger-orf55-50SimCLU2.txt", 2)</f>
        <v>2</v>
      </c>
      <c r="BY231">
        <f>HYPERLINK("http://exon.niaid.nih.gov/transcriptome/Anopheles_sialome/links/cluster-b/anopheline-sialome-cds-pep-larger-orf55-50SimCLTL2.txt", 55)</f>
        <v>55</v>
      </c>
      <c r="BZ231">
        <f>HYPERLINK("http://exon.niaid.nih.gov/transcriptome/Anopheles_sialome/links/cluster-b/anopheline-sialome-cds-pep-larger-orf60-50SimCLU2.txt", 2)</f>
        <v>2</v>
      </c>
      <c r="CA231">
        <f>HYPERLINK("http://exon.niaid.nih.gov/transcriptome/Anopheles_sialome/links/cluster-b/anopheline-sialome-cds-pep-larger-orf60-50SimCLTL2.txt", 54)</f>
        <v>54</v>
      </c>
      <c r="CB231">
        <f>HYPERLINK("http://exon.niaid.nih.gov/transcriptome/Anopheles_sialome/links/cluster-b/anopheline-sialome-cds-pep-larger-orf65-50SimCLU26.txt", 26)</f>
        <v>26</v>
      </c>
      <c r="CC231">
        <f>HYPERLINK("http://exon.niaid.nih.gov/transcriptome/Anopheles_sialome/links/cluster-b/anopheline-sialome-cds-pep-larger-orf65-50SimCLTL26.txt", 15)</f>
        <v>15</v>
      </c>
      <c r="CD231">
        <f>HYPERLINK("http://exon.niaid.nih.gov/transcriptome/Anopheles_sialome/links/cluster-b/anopheline-sialome-cds-pep-larger-orf70-50SimCLU28.txt", 28)</f>
        <v>28</v>
      </c>
      <c r="CE231">
        <f>HYPERLINK("http://exon.niaid.nih.gov/transcriptome/Anopheles_sialome/links/cluster-b/anopheline-sialome-cds-pep-larger-orf70-50SimCLTL28.txt", 14)</f>
        <v>14</v>
      </c>
      <c r="CF231">
        <f>HYPERLINK("http://exon.niaid.nih.gov/transcriptome/Anopheles_sialome/links/cluster-b/anopheline-sialome-cds-pep-larger-orf75-50SimCLU28.txt", 28)</f>
        <v>28</v>
      </c>
      <c r="CG231">
        <f>HYPERLINK("http://exon.niaid.nih.gov/transcriptome/Anopheles_sialome/links/cluster-b/anopheline-sialome-cds-pep-larger-orf75-50SimCLTL28.txt", 12)</f>
        <v>12</v>
      </c>
      <c r="CH231">
        <f>HYPERLINK("http://exon.niaid.nih.gov/transcriptome/Anopheles_sialome/links/cluster-b/anopheline-sialome-cds-pep-larger-orf80-50SimCLU30.txt", 30)</f>
        <v>30</v>
      </c>
      <c r="CI231">
        <f>HYPERLINK("http://exon.niaid.nih.gov/transcriptome/Anopheles_sialome/links/cluster-b/anopheline-sialome-cds-pep-larger-orf80-50SimCLTL30.txt", 7)</f>
        <v>7</v>
      </c>
      <c r="CJ231">
        <f>HYPERLINK("http://exon.niaid.nih.gov/transcriptome/Anopheles_sialome/links/cluster-b/anopheline-sialome-cds-pep-larger-orf85-50SimCLU22.txt", 22)</f>
        <v>22</v>
      </c>
      <c r="CK231">
        <f>HYPERLINK("http://exon.niaid.nih.gov/transcriptome/Anopheles_sialome/links/cluster-b/anopheline-sialome-cds-pep-larger-orf85-50SimCLTL22.txt", 7)</f>
        <v>7</v>
      </c>
      <c r="CL231">
        <f>HYPERLINK("http://exon.niaid.nih.gov/transcriptome/Anopheles_sialome/links/cluster-b/anopheline-sialome-cds-pep-larger-orf90-50SimCLU17.txt", 17)</f>
        <v>17</v>
      </c>
      <c r="CM231">
        <f>HYPERLINK("http://exon.niaid.nih.gov/transcriptome/Anopheles_sialome/links/cluster-b/anopheline-sialome-cds-pep-larger-orf90-50SimCLTL17.txt", 6)</f>
        <v>6</v>
      </c>
      <c r="CN231">
        <v>108</v>
      </c>
      <c r="CO231">
        <v>1</v>
      </c>
    </row>
    <row r="232" spans="1:93">
      <c r="A232" s="2" t="str">
        <f>HYPERLINK("http://exon.niaid.nih.gov/transcriptome/Anopheles_sialome/links/cds/anoara_Ag5r4-cds.txt","anoara_Ag5r4")</f>
        <v>anoara_Ag5r4</v>
      </c>
      <c r="B232">
        <v>804</v>
      </c>
      <c r="C232" t="s">
        <v>42</v>
      </c>
      <c r="D232" t="s">
        <v>7</v>
      </c>
      <c r="E232" t="s">
        <v>5</v>
      </c>
      <c r="F232" t="s">
        <v>1</v>
      </c>
      <c r="G232" t="str">
        <f>HYPERLINK("http://exon.niaid.nih.gov/transcriptome/Anopheles_sialome/links/pep/anoara_Ag5r4-pep.txt","anoara_Ag5r4")</f>
        <v>anoara_Ag5r4</v>
      </c>
      <c r="H232">
        <v>267</v>
      </c>
      <c r="I232">
        <v>1</v>
      </c>
      <c r="J232" s="3" t="str">
        <f>HYPERLINK("http://exon.niaid.nih.gov/transcriptome/Anopheles_sialome/links/Sigp/anoara_Ag5r4-SigP.txt","SIG")</f>
        <v>SIG</v>
      </c>
      <c r="K232" t="s">
        <v>695</v>
      </c>
      <c r="L232">
        <v>29.863</v>
      </c>
      <c r="M232">
        <v>8.02</v>
      </c>
      <c r="N232">
        <v>27.382000000000001</v>
      </c>
      <c r="O232">
        <v>7.65</v>
      </c>
      <c r="P232" t="s">
        <v>826</v>
      </c>
      <c r="Q232" s="3">
        <v>0</v>
      </c>
      <c r="R232" t="s">
        <v>128</v>
      </c>
      <c r="S232" t="s">
        <v>128</v>
      </c>
      <c r="T232" t="s">
        <v>128</v>
      </c>
      <c r="U232" t="s">
        <v>128</v>
      </c>
      <c r="V232" t="s">
        <v>128</v>
      </c>
      <c r="W232" s="3" t="str">
        <f>HYPERLINK("http://exon.niaid.nih.gov/transcriptome/Anopheles_sialome/links/netoglyc/anoara_Ag5r4-netoglyc.txt","0")</f>
        <v>0</v>
      </c>
      <c r="X232">
        <v>12.7</v>
      </c>
      <c r="Y232">
        <v>7.1</v>
      </c>
      <c r="Z232">
        <v>5.6</v>
      </c>
      <c r="AA232" t="s">
        <v>654</v>
      </c>
      <c r="AB232" t="s">
        <v>128</v>
      </c>
      <c r="AC232" s="2" t="str">
        <f>HYPERLINK("http://exon.niaid.nih.gov/transcriptome/Anopheles_sialome/links/DIPTERA/anoara_Ag5r4-DIPTERA.txt","AGAP006420-PA")</f>
        <v>AGAP006420-PA</v>
      </c>
      <c r="AD232" t="str">
        <f>HYPERLINK("http://www.ncbi.nlm.nih.gov/sutils/blink.cgi?pid=55239188","1E-155")</f>
        <v>1E-155</v>
      </c>
      <c r="AE232" t="str">
        <f t="shared" si="120"/>
        <v>gi|55239188</v>
      </c>
      <c r="AF232">
        <v>98</v>
      </c>
      <c r="AG232">
        <v>98</v>
      </c>
      <c r="AH232">
        <v>100</v>
      </c>
      <c r="AI232" t="s">
        <v>2285</v>
      </c>
      <c r="AJ232" s="2" t="str">
        <f>HYPERLINK("http://exon.niaid.nih.gov/transcriptome/Anopheles_sialome/links/CULICOMORPHA/anoara_Ag5r4-CULICOMORPHA.txt","AGAP006420-PA")</f>
        <v>AGAP006420-PA</v>
      </c>
      <c r="AK232" t="str">
        <f>HYPERLINK("http://www.ncbi.nlm.nih.gov/sutils/blink.cgi?pid=55239188","1E-156")</f>
        <v>1E-156</v>
      </c>
      <c r="AL232" t="str">
        <f t="shared" si="121"/>
        <v>gi|55239188</v>
      </c>
      <c r="AM232">
        <v>98</v>
      </c>
      <c r="AN232">
        <v>98</v>
      </c>
      <c r="AO232">
        <v>100</v>
      </c>
      <c r="AP232" t="s">
        <v>2285</v>
      </c>
      <c r="AQ232" s="2" t="str">
        <f>HYPERLINK("http://exon.niaid.nih.gov/transcriptome/Anopheles_sialome/links/NR-LIGHT/anoara_Ag5r4-NR-LIGHT.txt","AGAP006420-PA")</f>
        <v>AGAP006420-PA</v>
      </c>
      <c r="AR232" t="str">
        <f>HYPERLINK("http://www.ncbi.nlm.nih.gov/sutils/blink.cgi?pid=58388673","1E-155")</f>
        <v>1E-155</v>
      </c>
      <c r="AS232" t="str">
        <f t="shared" si="122"/>
        <v>gi|58388673</v>
      </c>
      <c r="AT232">
        <v>98</v>
      </c>
      <c r="AU232">
        <v>98</v>
      </c>
      <c r="AV232">
        <v>100</v>
      </c>
      <c r="AW232" t="s">
        <v>2285</v>
      </c>
      <c r="AX232" s="2" t="str">
        <f>HYPERLINK("http://exon.niaid.nih.gov/transcriptome/Anopheles_sialome/links/CDD/anoara_Ag5r4-CDD.txt","SCP_euk")</f>
        <v>SCP_euk</v>
      </c>
      <c r="AY232" t="str">
        <f>HYPERLINK("http://www.ncbi.nlm.nih.gov/Structure/cdd/cddsrv.cgi?uid=cd05380&amp;version=v4.0","9E-038")</f>
        <v>9E-038</v>
      </c>
      <c r="AZ232" t="s">
        <v>2363</v>
      </c>
      <c r="BA232" s="2" t="str">
        <f>HYPERLINK("http://exon.niaid.nih.gov/transcriptome/Anopheles_sialome/links/KOG/anoara_Ag5r4-KOG.txt","Defense-related protein containing SCP domain")</f>
        <v>Defense-related protein containing SCP domain</v>
      </c>
      <c r="BB232" t="str">
        <f>HYPERLINK("http://www.ncbi.nlm.nih.gov/Structure/cdd/cddsrv.cgi?uid=KOG3017","9E-029")</f>
        <v>9E-029</v>
      </c>
      <c r="BC232" t="s">
        <v>2304</v>
      </c>
      <c r="BD232" t="str">
        <f>HYPERLINK("http://exon.niaid.nih.gov/transcriptome/Anopheles_sialome/links/KOG/anoara_Ag5r4-KOG.txt","KOG3017")</f>
        <v>KOG3017</v>
      </c>
      <c r="BE232" t="str">
        <f>HYPERLINK("http://exon.niaid.nih.gov/transcriptome/Anopheles_sialome/links/PFAM/anoara_Ag5r4-PFAM.txt","CAP")</f>
        <v>CAP</v>
      </c>
      <c r="BF232" t="str">
        <f>HYPERLINK("http://pfam.sanger.ac.uk/family?acc=PF00188","2E-012")</f>
        <v>2E-012</v>
      </c>
      <c r="BG232" s="2" t="str">
        <f>HYPERLINK("http://exon.niaid.nih.gov/transcriptome/Anopheles_sialome/links/SMART/anoara_Ag5r4-SMART.txt","SCP")</f>
        <v>SCP</v>
      </c>
      <c r="BH232" t="str">
        <f>HYPERLINK("http://smart.embl-heidelberg.de/smart/do_annotation.pl?DOMAIN=SCP&amp;BLAST=DUMMY","1E-024")</f>
        <v>1E-024</v>
      </c>
      <c r="BI232" t="s">
        <v>128</v>
      </c>
      <c r="BJ232" s="2" t="s">
        <v>128</v>
      </c>
      <c r="BK232" t="s">
        <v>825</v>
      </c>
      <c r="BL232">
        <f>HYPERLINK("http://exon.niaid.nih.gov/transcriptome/Anopheles_sialome/links/cluster-b/anopheline-sialome-cds-pep-larger-orf25-50SimCLU4.txt", 4)</f>
        <v>4</v>
      </c>
      <c r="BM232">
        <f>HYPERLINK("http://exon.niaid.nih.gov/transcriptome/Anopheles_sialome/links/cluster-b/anopheline-sialome-cds-pep-larger-orf25-50SimCLTL4.txt", 82)</f>
        <v>82</v>
      </c>
      <c r="BN232">
        <f>HYPERLINK("http://exon.niaid.nih.gov/transcriptome/Anopheles_sialome/links/cluster-b/anopheline-sialome-cds-pep-larger-orf30-50SimCLU4.txt", 4)</f>
        <v>4</v>
      </c>
      <c r="BO232">
        <f>HYPERLINK("http://exon.niaid.nih.gov/transcriptome/Anopheles_sialome/links/cluster-b/anopheline-sialome-cds-pep-larger-orf30-50SimCLTL4.txt", 82)</f>
        <v>82</v>
      </c>
      <c r="BP232">
        <f>HYPERLINK("http://exon.niaid.nih.gov/transcriptome/Anopheles_sialome/links/cluster-b/anopheline-sialome-cds-pep-larger-orf35-50SimCLU3.txt", 3)</f>
        <v>3</v>
      </c>
      <c r="BQ232">
        <f>HYPERLINK("http://exon.niaid.nih.gov/transcriptome/Anopheles_sialome/links/cluster-b/anopheline-sialome-cds-pep-larger-orf35-50SimCLTL3.txt", 82)</f>
        <v>82</v>
      </c>
      <c r="BR232">
        <f>HYPERLINK("http://exon.niaid.nih.gov/transcriptome/Anopheles_sialome/links/cluster-b/anopheline-sialome-cds-pep-larger-orf40-50SimCLU3.txt", 3)</f>
        <v>3</v>
      </c>
      <c r="BS232">
        <f>HYPERLINK("http://exon.niaid.nih.gov/transcriptome/Anopheles_sialome/links/cluster-b/anopheline-sialome-cds-pep-larger-orf40-50SimCLTL3.txt", 82)</f>
        <v>82</v>
      </c>
      <c r="BT232">
        <f>HYPERLINK("http://exon.niaid.nih.gov/transcriptome/Anopheles_sialome/links/cluster-b/anopheline-sialome-cds-pep-larger-orf45-50SimCLU2.txt", 2)</f>
        <v>2</v>
      </c>
      <c r="BU232">
        <f>HYPERLINK("http://exon.niaid.nih.gov/transcriptome/Anopheles_sialome/links/cluster-b/anopheline-sialome-cds-pep-larger-orf45-50SimCLTL2.txt", 82)</f>
        <v>82</v>
      </c>
      <c r="BV232">
        <f>HYPERLINK("http://exon.niaid.nih.gov/transcriptome/Anopheles_sialome/links/cluster-b/anopheline-sialome-cds-pep-larger-orf50-50SimCLU2.txt", 2)</f>
        <v>2</v>
      </c>
      <c r="BW232">
        <f>HYPERLINK("http://exon.niaid.nih.gov/transcriptome/Anopheles_sialome/links/cluster-b/anopheline-sialome-cds-pep-larger-orf50-50SimCLTL2.txt", 82)</f>
        <v>82</v>
      </c>
      <c r="BX232">
        <f>HYPERLINK("http://exon.niaid.nih.gov/transcriptome/Anopheles_sialome/links/cluster-b/anopheline-sialome-cds-pep-larger-orf55-50SimCLU2.txt", 2)</f>
        <v>2</v>
      </c>
      <c r="BY232">
        <f>HYPERLINK("http://exon.niaid.nih.gov/transcriptome/Anopheles_sialome/links/cluster-b/anopheline-sialome-cds-pep-larger-orf55-50SimCLTL2.txt", 55)</f>
        <v>55</v>
      </c>
      <c r="BZ232">
        <f>HYPERLINK("http://exon.niaid.nih.gov/transcriptome/Anopheles_sialome/links/cluster-b/anopheline-sialome-cds-pep-larger-orf60-50SimCLU2.txt", 2)</f>
        <v>2</v>
      </c>
      <c r="CA232">
        <f>HYPERLINK("http://exon.niaid.nih.gov/transcriptome/Anopheles_sialome/links/cluster-b/anopheline-sialome-cds-pep-larger-orf60-50SimCLTL2.txt", 54)</f>
        <v>54</v>
      </c>
      <c r="CB232">
        <f>HYPERLINK("http://exon.niaid.nih.gov/transcriptome/Anopheles_sialome/links/cluster-b/anopheline-sialome-cds-pep-larger-orf65-50SimCLU26.txt", 26)</f>
        <v>26</v>
      </c>
      <c r="CC232">
        <f>HYPERLINK("http://exon.niaid.nih.gov/transcriptome/Anopheles_sialome/links/cluster-b/anopheline-sialome-cds-pep-larger-orf65-50SimCLTL26.txt", 15)</f>
        <v>15</v>
      </c>
      <c r="CD232">
        <f>HYPERLINK("http://exon.niaid.nih.gov/transcriptome/Anopheles_sialome/links/cluster-b/anopheline-sialome-cds-pep-larger-orf70-50SimCLU28.txt", 28)</f>
        <v>28</v>
      </c>
      <c r="CE232">
        <f>HYPERLINK("http://exon.niaid.nih.gov/transcriptome/Anopheles_sialome/links/cluster-b/anopheline-sialome-cds-pep-larger-orf70-50SimCLTL28.txt", 14)</f>
        <v>14</v>
      </c>
      <c r="CF232">
        <f>HYPERLINK("http://exon.niaid.nih.gov/transcriptome/Anopheles_sialome/links/cluster-b/anopheline-sialome-cds-pep-larger-orf75-50SimCLU28.txt", 28)</f>
        <v>28</v>
      </c>
      <c r="CG232">
        <f>HYPERLINK("http://exon.niaid.nih.gov/transcriptome/Anopheles_sialome/links/cluster-b/anopheline-sialome-cds-pep-larger-orf75-50SimCLTL28.txt", 12)</f>
        <v>12</v>
      </c>
      <c r="CH232">
        <f>HYPERLINK("http://exon.niaid.nih.gov/transcriptome/Anopheles_sialome/links/cluster-b/anopheline-sialome-cds-pep-larger-orf80-50SimCLU30.txt", 30)</f>
        <v>30</v>
      </c>
      <c r="CI232">
        <f>HYPERLINK("http://exon.niaid.nih.gov/transcriptome/Anopheles_sialome/links/cluster-b/anopheline-sialome-cds-pep-larger-orf80-50SimCLTL30.txt", 7)</f>
        <v>7</v>
      </c>
      <c r="CJ232">
        <f>HYPERLINK("http://exon.niaid.nih.gov/transcriptome/Anopheles_sialome/links/cluster-b/anopheline-sialome-cds-pep-larger-orf85-50SimCLU22.txt", 22)</f>
        <v>22</v>
      </c>
      <c r="CK232">
        <f>HYPERLINK("http://exon.niaid.nih.gov/transcriptome/Anopheles_sialome/links/cluster-b/anopheline-sialome-cds-pep-larger-orf85-50SimCLTL22.txt", 7)</f>
        <v>7</v>
      </c>
      <c r="CL232">
        <f>HYPERLINK("http://exon.niaid.nih.gov/transcriptome/Anopheles_sialome/links/cluster-b/anopheline-sialome-cds-pep-larger-orf90-50SimCLU17.txt", 17)</f>
        <v>17</v>
      </c>
      <c r="CM232">
        <f>HYPERLINK("http://exon.niaid.nih.gov/transcriptome/Anopheles_sialome/links/cluster-b/anopheline-sialome-cds-pep-larger-orf90-50SimCLTL17.txt", 6)</f>
        <v>6</v>
      </c>
      <c r="CN232">
        <f>HYPERLINK("http://exon.niaid.nih.gov/transcriptome/Anopheles_sialome/links/cluster-b/anopheline-sialome-cds-pep-larger-orf95-50SimCLU33.txt", 33)</f>
        <v>33</v>
      </c>
      <c r="CO232">
        <f>HYPERLINK("http://exon.niaid.nih.gov/transcriptome/Anopheles_sialome/links/cluster-b/anopheline-sialome-cds-pep-larger-orf95-50SimCLTL33.txt", 5)</f>
        <v>5</v>
      </c>
    </row>
    <row r="233" spans="1:93">
      <c r="A233" s="2" t="str">
        <f>HYPERLINK("http://exon.niaid.nih.gov/transcriptome/Anopheles_sialome/links/cds/anoqua_Ag5r4-cds.txt","anoqua_Ag5r4")</f>
        <v>anoqua_Ag5r4</v>
      </c>
      <c r="B233">
        <v>804</v>
      </c>
      <c r="C233" t="s">
        <v>43</v>
      </c>
      <c r="D233" t="s">
        <v>7</v>
      </c>
      <c r="E233" t="s">
        <v>5</v>
      </c>
      <c r="F233" t="s">
        <v>1</v>
      </c>
      <c r="G233" t="str">
        <f>HYPERLINK("http://exon.niaid.nih.gov/transcriptome/Anopheles_sialome/links/pep/anoqua_Ag5r4-pep.txt","anoqua_Ag5r4")</f>
        <v>anoqua_Ag5r4</v>
      </c>
      <c r="H233">
        <v>267</v>
      </c>
      <c r="I233">
        <v>1</v>
      </c>
      <c r="J233" s="3" t="str">
        <f>HYPERLINK("http://exon.niaid.nih.gov/transcriptome/Anopheles_sialome/links/Sigp/anoqua_Ag5r4-SigP.txt","SIG")</f>
        <v>SIG</v>
      </c>
      <c r="K233" t="s">
        <v>695</v>
      </c>
      <c r="L233">
        <v>29.957999999999998</v>
      </c>
      <c r="M233">
        <v>6.98</v>
      </c>
      <c r="N233">
        <v>27.503</v>
      </c>
      <c r="O233">
        <v>6.49</v>
      </c>
      <c r="P233" t="s">
        <v>822</v>
      </c>
      <c r="Q233" s="3">
        <v>0</v>
      </c>
      <c r="R233" t="s">
        <v>128</v>
      </c>
      <c r="S233" t="s">
        <v>128</v>
      </c>
      <c r="T233" t="s">
        <v>128</v>
      </c>
      <c r="U233" t="s">
        <v>128</v>
      </c>
      <c r="V233" t="s">
        <v>128</v>
      </c>
      <c r="W233" s="3" t="str">
        <f>HYPERLINK("http://exon.niaid.nih.gov/transcriptome/Anopheles_sialome/links/netoglyc/anoqua_Ag5r4-netoglyc.txt","0")</f>
        <v>0</v>
      </c>
      <c r="X233">
        <v>13.1</v>
      </c>
      <c r="Y233">
        <v>6.4</v>
      </c>
      <c r="Z233">
        <v>5.6</v>
      </c>
      <c r="AA233" t="s">
        <v>654</v>
      </c>
      <c r="AB233" t="s">
        <v>128</v>
      </c>
      <c r="AC233" s="2" t="str">
        <f>HYPERLINK("http://exon.niaid.nih.gov/transcriptome/Anopheles_sialome/links/DIPTERA/anoqua_Ag5r4-DIPTERA.txt","AGAP006420-PA")</f>
        <v>AGAP006420-PA</v>
      </c>
      <c r="AD233" t="str">
        <f>HYPERLINK("http://www.ncbi.nlm.nih.gov/sutils/blink.cgi?pid=55239188","1E-157")</f>
        <v>1E-157</v>
      </c>
      <c r="AE233" t="str">
        <f t="shared" si="120"/>
        <v>gi|55239188</v>
      </c>
      <c r="AF233">
        <v>98</v>
      </c>
      <c r="AG233">
        <v>100</v>
      </c>
      <c r="AH233">
        <v>100</v>
      </c>
      <c r="AI233" t="s">
        <v>2285</v>
      </c>
      <c r="AJ233" s="2" t="str">
        <f>HYPERLINK("http://exon.niaid.nih.gov/transcriptome/Anopheles_sialome/links/CULICOMORPHA/anoqua_Ag5r4-CULICOMORPHA.txt","AGAP006420-PA")</f>
        <v>AGAP006420-PA</v>
      </c>
      <c r="AK233" t="str">
        <f>HYPERLINK("http://www.ncbi.nlm.nih.gov/sutils/blink.cgi?pid=55239188","1E-157")</f>
        <v>1E-157</v>
      </c>
      <c r="AL233" t="str">
        <f t="shared" si="121"/>
        <v>gi|55239188</v>
      </c>
      <c r="AM233">
        <v>98</v>
      </c>
      <c r="AN233">
        <v>100</v>
      </c>
      <c r="AO233">
        <v>100</v>
      </c>
      <c r="AP233" t="s">
        <v>2285</v>
      </c>
      <c r="AQ233" s="2" t="str">
        <f>HYPERLINK("http://exon.niaid.nih.gov/transcriptome/Anopheles_sialome/links/NR-LIGHT/anoqua_Ag5r4-NR-LIGHT.txt","AGAP006420-PA")</f>
        <v>AGAP006420-PA</v>
      </c>
      <c r="AR233" t="str">
        <f>HYPERLINK("http://www.ncbi.nlm.nih.gov/sutils/blink.cgi?pid=58388673","1E-156")</f>
        <v>1E-156</v>
      </c>
      <c r="AS233" t="str">
        <f t="shared" si="122"/>
        <v>gi|58388673</v>
      </c>
      <c r="AT233">
        <v>98</v>
      </c>
      <c r="AU233">
        <v>100</v>
      </c>
      <c r="AV233">
        <v>100</v>
      </c>
      <c r="AW233" t="s">
        <v>2285</v>
      </c>
      <c r="AX233" s="2" t="str">
        <f>HYPERLINK("http://exon.niaid.nih.gov/transcriptome/Anopheles_sialome/links/CDD/anoqua_Ag5r4-CDD.txt","SCP_euk")</f>
        <v>SCP_euk</v>
      </c>
      <c r="AY233" t="str">
        <f>HYPERLINK("http://www.ncbi.nlm.nih.gov/Structure/cdd/cddsrv.cgi?uid=cd05380&amp;version=v4.0","2E-037")</f>
        <v>2E-037</v>
      </c>
      <c r="AZ233" t="s">
        <v>2364</v>
      </c>
      <c r="BA233" s="2" t="str">
        <f>HYPERLINK("http://exon.niaid.nih.gov/transcriptome/Anopheles_sialome/links/KOG/anoqua_Ag5r4-KOG.txt","Defense-related protein containing SCP domain")</f>
        <v>Defense-related protein containing SCP domain</v>
      </c>
      <c r="BB233" t="str">
        <f>HYPERLINK("http://www.ncbi.nlm.nih.gov/Structure/cdd/cddsrv.cgi?uid=KOG3017","1E-028")</f>
        <v>1E-028</v>
      </c>
      <c r="BC233" t="s">
        <v>2304</v>
      </c>
      <c r="BD233" t="str">
        <f>HYPERLINK("http://exon.niaid.nih.gov/transcriptome/Anopheles_sialome/links/KOG/anoqua_Ag5r4-KOG.txt","KOG3017")</f>
        <v>KOG3017</v>
      </c>
      <c r="BE233" t="str">
        <f>HYPERLINK("http://exon.niaid.nih.gov/transcriptome/Anopheles_sialome/links/PFAM/anoqua_Ag5r4-PFAM.txt","CAP")</f>
        <v>CAP</v>
      </c>
      <c r="BF233" t="str">
        <f>HYPERLINK("http://pfam.sanger.ac.uk/family?acc=PF00188","4E-012")</f>
        <v>4E-012</v>
      </c>
      <c r="BG233" s="2" t="str">
        <f>HYPERLINK("http://exon.niaid.nih.gov/transcriptome/Anopheles_sialome/links/SMART/anoqua_Ag5r4-SMART.txt","SCP")</f>
        <v>SCP</v>
      </c>
      <c r="BH233" t="str">
        <f>HYPERLINK("http://smart.embl-heidelberg.de/smart/do_annotation.pl?DOMAIN=SCP&amp;BLAST=DUMMY","1E-024")</f>
        <v>1E-024</v>
      </c>
      <c r="BI233" t="s">
        <v>128</v>
      </c>
      <c r="BJ233" s="2" t="s">
        <v>128</v>
      </c>
      <c r="BK233" t="s">
        <v>827</v>
      </c>
      <c r="BL233">
        <f>HYPERLINK("http://exon.niaid.nih.gov/transcriptome/Anopheles_sialome/links/cluster-b/anopheline-sialome-cds-pep-larger-orf25-50SimCLU4.txt", 4)</f>
        <v>4</v>
      </c>
      <c r="BM233">
        <f>HYPERLINK("http://exon.niaid.nih.gov/transcriptome/Anopheles_sialome/links/cluster-b/anopheline-sialome-cds-pep-larger-orf25-50SimCLTL4.txt", 82)</f>
        <v>82</v>
      </c>
      <c r="BN233">
        <f>HYPERLINK("http://exon.niaid.nih.gov/transcriptome/Anopheles_sialome/links/cluster-b/anopheline-sialome-cds-pep-larger-orf30-50SimCLU4.txt", 4)</f>
        <v>4</v>
      </c>
      <c r="BO233">
        <f>HYPERLINK("http://exon.niaid.nih.gov/transcriptome/Anopheles_sialome/links/cluster-b/anopheline-sialome-cds-pep-larger-orf30-50SimCLTL4.txt", 82)</f>
        <v>82</v>
      </c>
      <c r="BP233">
        <f>HYPERLINK("http://exon.niaid.nih.gov/transcriptome/Anopheles_sialome/links/cluster-b/anopheline-sialome-cds-pep-larger-orf35-50SimCLU3.txt", 3)</f>
        <v>3</v>
      </c>
      <c r="BQ233">
        <f>HYPERLINK("http://exon.niaid.nih.gov/transcriptome/Anopheles_sialome/links/cluster-b/anopheline-sialome-cds-pep-larger-orf35-50SimCLTL3.txt", 82)</f>
        <v>82</v>
      </c>
      <c r="BR233">
        <f>HYPERLINK("http://exon.niaid.nih.gov/transcriptome/Anopheles_sialome/links/cluster-b/anopheline-sialome-cds-pep-larger-orf40-50SimCLU3.txt", 3)</f>
        <v>3</v>
      </c>
      <c r="BS233">
        <f>HYPERLINK("http://exon.niaid.nih.gov/transcriptome/Anopheles_sialome/links/cluster-b/anopheline-sialome-cds-pep-larger-orf40-50SimCLTL3.txt", 82)</f>
        <v>82</v>
      </c>
      <c r="BT233">
        <f>HYPERLINK("http://exon.niaid.nih.gov/transcriptome/Anopheles_sialome/links/cluster-b/anopheline-sialome-cds-pep-larger-orf45-50SimCLU2.txt", 2)</f>
        <v>2</v>
      </c>
      <c r="BU233">
        <f>HYPERLINK("http://exon.niaid.nih.gov/transcriptome/Anopheles_sialome/links/cluster-b/anopheline-sialome-cds-pep-larger-orf45-50SimCLTL2.txt", 82)</f>
        <v>82</v>
      </c>
      <c r="BV233">
        <f>HYPERLINK("http://exon.niaid.nih.gov/transcriptome/Anopheles_sialome/links/cluster-b/anopheline-sialome-cds-pep-larger-orf50-50SimCLU2.txt", 2)</f>
        <v>2</v>
      </c>
      <c r="BW233">
        <f>HYPERLINK("http://exon.niaid.nih.gov/transcriptome/Anopheles_sialome/links/cluster-b/anopheline-sialome-cds-pep-larger-orf50-50SimCLTL2.txt", 82)</f>
        <v>82</v>
      </c>
      <c r="BX233">
        <f>HYPERLINK("http://exon.niaid.nih.gov/transcriptome/Anopheles_sialome/links/cluster-b/anopheline-sialome-cds-pep-larger-orf55-50SimCLU2.txt", 2)</f>
        <v>2</v>
      </c>
      <c r="BY233">
        <f>HYPERLINK("http://exon.niaid.nih.gov/transcriptome/Anopheles_sialome/links/cluster-b/anopheline-sialome-cds-pep-larger-orf55-50SimCLTL2.txt", 55)</f>
        <v>55</v>
      </c>
      <c r="BZ233">
        <f>HYPERLINK("http://exon.niaid.nih.gov/transcriptome/Anopheles_sialome/links/cluster-b/anopheline-sialome-cds-pep-larger-orf60-50SimCLU2.txt", 2)</f>
        <v>2</v>
      </c>
      <c r="CA233">
        <f>HYPERLINK("http://exon.niaid.nih.gov/transcriptome/Anopheles_sialome/links/cluster-b/anopheline-sialome-cds-pep-larger-orf60-50SimCLTL2.txt", 54)</f>
        <v>54</v>
      </c>
      <c r="CB233">
        <f>HYPERLINK("http://exon.niaid.nih.gov/transcriptome/Anopheles_sialome/links/cluster-b/anopheline-sialome-cds-pep-larger-orf65-50SimCLU26.txt", 26)</f>
        <v>26</v>
      </c>
      <c r="CC233">
        <f>HYPERLINK("http://exon.niaid.nih.gov/transcriptome/Anopheles_sialome/links/cluster-b/anopheline-sialome-cds-pep-larger-orf65-50SimCLTL26.txt", 15)</f>
        <v>15</v>
      </c>
      <c r="CD233">
        <f>HYPERLINK("http://exon.niaid.nih.gov/transcriptome/Anopheles_sialome/links/cluster-b/anopheline-sialome-cds-pep-larger-orf70-50SimCLU28.txt", 28)</f>
        <v>28</v>
      </c>
      <c r="CE233">
        <f>HYPERLINK("http://exon.niaid.nih.gov/transcriptome/Anopheles_sialome/links/cluster-b/anopheline-sialome-cds-pep-larger-orf70-50SimCLTL28.txt", 14)</f>
        <v>14</v>
      </c>
      <c r="CF233">
        <f>HYPERLINK("http://exon.niaid.nih.gov/transcriptome/Anopheles_sialome/links/cluster-b/anopheline-sialome-cds-pep-larger-orf75-50SimCLU28.txt", 28)</f>
        <v>28</v>
      </c>
      <c r="CG233">
        <f>HYPERLINK("http://exon.niaid.nih.gov/transcriptome/Anopheles_sialome/links/cluster-b/anopheline-sialome-cds-pep-larger-orf75-50SimCLTL28.txt", 12)</f>
        <v>12</v>
      </c>
      <c r="CH233">
        <f>HYPERLINK("http://exon.niaid.nih.gov/transcriptome/Anopheles_sialome/links/cluster-b/anopheline-sialome-cds-pep-larger-orf80-50SimCLU30.txt", 30)</f>
        <v>30</v>
      </c>
      <c r="CI233">
        <f>HYPERLINK("http://exon.niaid.nih.gov/transcriptome/Anopheles_sialome/links/cluster-b/anopheline-sialome-cds-pep-larger-orf80-50SimCLTL30.txt", 7)</f>
        <v>7</v>
      </c>
      <c r="CJ233">
        <f>HYPERLINK("http://exon.niaid.nih.gov/transcriptome/Anopheles_sialome/links/cluster-b/anopheline-sialome-cds-pep-larger-orf85-50SimCLU22.txt", 22)</f>
        <v>22</v>
      </c>
      <c r="CK233">
        <f>HYPERLINK("http://exon.niaid.nih.gov/transcriptome/Anopheles_sialome/links/cluster-b/anopheline-sialome-cds-pep-larger-orf85-50SimCLTL22.txt", 7)</f>
        <v>7</v>
      </c>
      <c r="CL233">
        <f>HYPERLINK("http://exon.niaid.nih.gov/transcriptome/Anopheles_sialome/links/cluster-b/anopheline-sialome-cds-pep-larger-orf90-50SimCLU17.txt", 17)</f>
        <v>17</v>
      </c>
      <c r="CM233">
        <f>HYPERLINK("http://exon.niaid.nih.gov/transcriptome/Anopheles_sialome/links/cluster-b/anopheline-sialome-cds-pep-larger-orf90-50SimCLTL17.txt", 6)</f>
        <v>6</v>
      </c>
      <c r="CN233">
        <f>HYPERLINK("http://exon.niaid.nih.gov/transcriptome/Anopheles_sialome/links/cluster-b/anopheline-sialome-cds-pep-larger-orf95-50SimCLU33.txt", 33)</f>
        <v>33</v>
      </c>
      <c r="CO233">
        <f>HYPERLINK("http://exon.niaid.nih.gov/transcriptome/Anopheles_sialome/links/cluster-b/anopheline-sialome-cds-pep-larger-orf95-50SimCLTL33.txt", 5)</f>
        <v>5</v>
      </c>
    </row>
    <row r="234" spans="1:93">
      <c r="A234" s="2" t="str">
        <f>HYPERLINK("http://exon.niaid.nih.gov/transcriptome/Anopheles_sialome/links/cds/anomer_Ag5r4-cds.txt","anomer_Ag5r4")</f>
        <v>anomer_Ag5r4</v>
      </c>
      <c r="B234">
        <v>804</v>
      </c>
      <c r="C234" t="s">
        <v>82</v>
      </c>
      <c r="D234" t="s">
        <v>4</v>
      </c>
      <c r="E234" t="s">
        <v>5</v>
      </c>
      <c r="F234" t="s">
        <v>1</v>
      </c>
      <c r="G234" t="str">
        <f>HYPERLINK("http://exon.niaid.nih.gov/transcriptome/Anopheles_sialome/links/pep/anomer_Ag5r4-pep.txt","anomer_Ag5r4")</f>
        <v>anomer_Ag5r4</v>
      </c>
      <c r="H234">
        <v>267</v>
      </c>
      <c r="I234">
        <v>1</v>
      </c>
      <c r="J234" s="3" t="str">
        <f>HYPERLINK("http://exon.niaid.nih.gov/transcriptome/Anopheles_sialome/links/Sigp/anomer_Ag5r4-SigP.txt","SIG")</f>
        <v>SIG</v>
      </c>
      <c r="K234" t="s">
        <v>695</v>
      </c>
      <c r="L234">
        <v>29.949000000000002</v>
      </c>
      <c r="M234">
        <v>6.98</v>
      </c>
      <c r="N234">
        <v>27.494</v>
      </c>
      <c r="O234">
        <v>6.49</v>
      </c>
      <c r="P234" t="s">
        <v>822</v>
      </c>
      <c r="Q234" s="3">
        <v>0</v>
      </c>
      <c r="R234" t="s">
        <v>128</v>
      </c>
      <c r="S234" t="s">
        <v>128</v>
      </c>
      <c r="T234" t="s">
        <v>128</v>
      </c>
      <c r="U234" t="s">
        <v>128</v>
      </c>
      <c r="V234" t="s">
        <v>128</v>
      </c>
      <c r="W234" s="3" t="str">
        <f>HYPERLINK("http://exon.niaid.nih.gov/transcriptome/Anopheles_sialome/links/netoglyc/anomer_Ag5r4-netoglyc.txt","0")</f>
        <v>0</v>
      </c>
      <c r="X234">
        <v>12</v>
      </c>
      <c r="Y234">
        <v>6.7</v>
      </c>
      <c r="Z234">
        <v>5.6</v>
      </c>
      <c r="AA234" t="s">
        <v>654</v>
      </c>
      <c r="AB234" t="s">
        <v>128</v>
      </c>
      <c r="AC234" s="2" t="str">
        <f>HYPERLINK("http://exon.niaid.nih.gov/transcriptome/Anopheles_sialome/links/DIPTERA/anomer_Ag5r4-DIPTERA.txt","AGAP006420-PA")</f>
        <v>AGAP006420-PA</v>
      </c>
      <c r="AD234" t="str">
        <f>HYPERLINK("http://www.ncbi.nlm.nih.gov/sutils/blink.cgi?pid=55239188","1E-156")</f>
        <v>1E-156</v>
      </c>
      <c r="AE234" t="str">
        <f t="shared" si="120"/>
        <v>gi|55239188</v>
      </c>
      <c r="AF234">
        <v>98</v>
      </c>
      <c r="AG234">
        <v>99</v>
      </c>
      <c r="AH234">
        <v>100</v>
      </c>
      <c r="AI234" t="s">
        <v>2285</v>
      </c>
      <c r="AJ234" s="2" t="str">
        <f>HYPERLINK("http://exon.niaid.nih.gov/transcriptome/Anopheles_sialome/links/CULICOMORPHA/anomer_Ag5r4-CULICOMORPHA.txt","AGAP006420-PA")</f>
        <v>AGAP006420-PA</v>
      </c>
      <c r="AK234" t="str">
        <f>HYPERLINK("http://www.ncbi.nlm.nih.gov/sutils/blink.cgi?pid=55239188","1E-157")</f>
        <v>1E-157</v>
      </c>
      <c r="AL234" t="str">
        <f t="shared" si="121"/>
        <v>gi|55239188</v>
      </c>
      <c r="AM234">
        <v>98</v>
      </c>
      <c r="AN234">
        <v>99</v>
      </c>
      <c r="AO234">
        <v>100</v>
      </c>
      <c r="AP234" t="s">
        <v>2285</v>
      </c>
      <c r="AQ234" s="2" t="str">
        <f>HYPERLINK("http://exon.niaid.nih.gov/transcriptome/Anopheles_sialome/links/NR-LIGHT/anomer_Ag5r4-NR-LIGHT.txt","AGAP006420-PA")</f>
        <v>AGAP006420-PA</v>
      </c>
      <c r="AR234" t="str">
        <f>HYPERLINK("http://www.ncbi.nlm.nih.gov/sutils/blink.cgi?pid=58388673","1E-156")</f>
        <v>1E-156</v>
      </c>
      <c r="AS234" t="str">
        <f t="shared" si="122"/>
        <v>gi|58388673</v>
      </c>
      <c r="AT234">
        <v>98</v>
      </c>
      <c r="AU234">
        <v>99</v>
      </c>
      <c r="AV234">
        <v>100</v>
      </c>
      <c r="AW234" t="s">
        <v>2285</v>
      </c>
      <c r="AX234" s="2" t="str">
        <f>HYPERLINK("http://exon.niaid.nih.gov/transcriptome/Anopheles_sialome/links/CDD/anomer_Ag5r4-CDD.txt","SCP_euk")</f>
        <v>SCP_euk</v>
      </c>
      <c r="AY234" t="str">
        <f>HYPERLINK("http://www.ncbi.nlm.nih.gov/Structure/cdd/cddsrv.cgi?uid=cd05380&amp;version=v4.0","3E-037")</f>
        <v>3E-037</v>
      </c>
      <c r="AZ234" t="s">
        <v>2365</v>
      </c>
      <c r="BA234" s="2" t="str">
        <f>HYPERLINK("http://exon.niaid.nih.gov/transcriptome/Anopheles_sialome/links/KOG/anomer_Ag5r4-KOG.txt","Defense-related protein containing SCP domain")</f>
        <v>Defense-related protein containing SCP domain</v>
      </c>
      <c r="BB234" t="str">
        <f>HYPERLINK("http://www.ncbi.nlm.nih.gov/Structure/cdd/cddsrv.cgi?uid=KOG3017","6E-028")</f>
        <v>6E-028</v>
      </c>
      <c r="BC234" t="s">
        <v>2304</v>
      </c>
      <c r="BD234" t="str">
        <f>HYPERLINK("http://exon.niaid.nih.gov/transcriptome/Anopheles_sialome/links/KOG/anomer_Ag5r4-KOG.txt","KOG3017")</f>
        <v>KOG3017</v>
      </c>
      <c r="BE234" t="str">
        <f>HYPERLINK("http://exon.niaid.nih.gov/transcriptome/Anopheles_sialome/links/PFAM/anomer_Ag5r4-PFAM.txt","CAP")</f>
        <v>CAP</v>
      </c>
      <c r="BF234" t="str">
        <f>HYPERLINK("http://pfam.sanger.ac.uk/family?acc=PF00188","9E-012")</f>
        <v>9E-012</v>
      </c>
      <c r="BG234" s="2" t="str">
        <f>HYPERLINK("http://exon.niaid.nih.gov/transcriptome/Anopheles_sialome/links/SMART/anomer_Ag5r4-SMART.txt","SCP")</f>
        <v>SCP</v>
      </c>
      <c r="BH234" t="str">
        <f>HYPERLINK("http://smart.embl-heidelberg.de/smart/do_annotation.pl?DOMAIN=SCP&amp;BLAST=DUMMY","8E-024")</f>
        <v>8E-024</v>
      </c>
      <c r="BI234" t="s">
        <v>128</v>
      </c>
      <c r="BJ234" s="2" t="s">
        <v>128</v>
      </c>
      <c r="BK234" t="s">
        <v>828</v>
      </c>
      <c r="BL234">
        <f>HYPERLINK("http://exon.niaid.nih.gov/transcriptome/Anopheles_sialome/links/cluster-b/anopheline-sialome-cds-pep-larger-orf25-50SimCLU4.txt", 4)</f>
        <v>4</v>
      </c>
      <c r="BM234">
        <f>HYPERLINK("http://exon.niaid.nih.gov/transcriptome/Anopheles_sialome/links/cluster-b/anopheline-sialome-cds-pep-larger-orf25-50SimCLTL4.txt", 82)</f>
        <v>82</v>
      </c>
      <c r="BN234">
        <f>HYPERLINK("http://exon.niaid.nih.gov/transcriptome/Anopheles_sialome/links/cluster-b/anopheline-sialome-cds-pep-larger-orf30-50SimCLU4.txt", 4)</f>
        <v>4</v>
      </c>
      <c r="BO234">
        <f>HYPERLINK("http://exon.niaid.nih.gov/transcriptome/Anopheles_sialome/links/cluster-b/anopheline-sialome-cds-pep-larger-orf30-50SimCLTL4.txt", 82)</f>
        <v>82</v>
      </c>
      <c r="BP234">
        <f>HYPERLINK("http://exon.niaid.nih.gov/transcriptome/Anopheles_sialome/links/cluster-b/anopheline-sialome-cds-pep-larger-orf35-50SimCLU3.txt", 3)</f>
        <v>3</v>
      </c>
      <c r="BQ234">
        <f>HYPERLINK("http://exon.niaid.nih.gov/transcriptome/Anopheles_sialome/links/cluster-b/anopheline-sialome-cds-pep-larger-orf35-50SimCLTL3.txt", 82)</f>
        <v>82</v>
      </c>
      <c r="BR234">
        <f>HYPERLINK("http://exon.niaid.nih.gov/transcriptome/Anopheles_sialome/links/cluster-b/anopheline-sialome-cds-pep-larger-orf40-50SimCLU3.txt", 3)</f>
        <v>3</v>
      </c>
      <c r="BS234">
        <f>HYPERLINK("http://exon.niaid.nih.gov/transcriptome/Anopheles_sialome/links/cluster-b/anopheline-sialome-cds-pep-larger-orf40-50SimCLTL3.txt", 82)</f>
        <v>82</v>
      </c>
      <c r="BT234">
        <f>HYPERLINK("http://exon.niaid.nih.gov/transcriptome/Anopheles_sialome/links/cluster-b/anopheline-sialome-cds-pep-larger-orf45-50SimCLU2.txt", 2)</f>
        <v>2</v>
      </c>
      <c r="BU234">
        <f>HYPERLINK("http://exon.niaid.nih.gov/transcriptome/Anopheles_sialome/links/cluster-b/anopheline-sialome-cds-pep-larger-orf45-50SimCLTL2.txt", 82)</f>
        <v>82</v>
      </c>
      <c r="BV234">
        <f>HYPERLINK("http://exon.niaid.nih.gov/transcriptome/Anopheles_sialome/links/cluster-b/anopheline-sialome-cds-pep-larger-orf50-50SimCLU2.txt", 2)</f>
        <v>2</v>
      </c>
      <c r="BW234">
        <f>HYPERLINK("http://exon.niaid.nih.gov/transcriptome/Anopheles_sialome/links/cluster-b/anopheline-sialome-cds-pep-larger-orf50-50SimCLTL2.txt", 82)</f>
        <v>82</v>
      </c>
      <c r="BX234">
        <f>HYPERLINK("http://exon.niaid.nih.gov/transcriptome/Anopheles_sialome/links/cluster-b/anopheline-sialome-cds-pep-larger-orf55-50SimCLU2.txt", 2)</f>
        <v>2</v>
      </c>
      <c r="BY234">
        <f>HYPERLINK("http://exon.niaid.nih.gov/transcriptome/Anopheles_sialome/links/cluster-b/anopheline-sialome-cds-pep-larger-orf55-50SimCLTL2.txt", 55)</f>
        <v>55</v>
      </c>
      <c r="BZ234">
        <f>HYPERLINK("http://exon.niaid.nih.gov/transcriptome/Anopheles_sialome/links/cluster-b/anopheline-sialome-cds-pep-larger-orf60-50SimCLU2.txt", 2)</f>
        <v>2</v>
      </c>
      <c r="CA234">
        <f>HYPERLINK("http://exon.niaid.nih.gov/transcriptome/Anopheles_sialome/links/cluster-b/anopheline-sialome-cds-pep-larger-orf60-50SimCLTL2.txt", 54)</f>
        <v>54</v>
      </c>
      <c r="CB234">
        <f>HYPERLINK("http://exon.niaid.nih.gov/transcriptome/Anopheles_sialome/links/cluster-b/anopheline-sialome-cds-pep-larger-orf65-50SimCLU26.txt", 26)</f>
        <v>26</v>
      </c>
      <c r="CC234">
        <f>HYPERLINK("http://exon.niaid.nih.gov/transcriptome/Anopheles_sialome/links/cluster-b/anopheline-sialome-cds-pep-larger-orf65-50SimCLTL26.txt", 15)</f>
        <v>15</v>
      </c>
      <c r="CD234">
        <f>HYPERLINK("http://exon.niaid.nih.gov/transcriptome/Anopheles_sialome/links/cluster-b/anopheline-sialome-cds-pep-larger-orf70-50SimCLU28.txt", 28)</f>
        <v>28</v>
      </c>
      <c r="CE234">
        <f>HYPERLINK("http://exon.niaid.nih.gov/transcriptome/Anopheles_sialome/links/cluster-b/anopheline-sialome-cds-pep-larger-orf70-50SimCLTL28.txt", 14)</f>
        <v>14</v>
      </c>
      <c r="CF234">
        <f>HYPERLINK("http://exon.niaid.nih.gov/transcriptome/Anopheles_sialome/links/cluster-b/anopheline-sialome-cds-pep-larger-orf75-50SimCLU28.txt", 28)</f>
        <v>28</v>
      </c>
      <c r="CG234">
        <f>HYPERLINK("http://exon.niaid.nih.gov/transcriptome/Anopheles_sialome/links/cluster-b/anopheline-sialome-cds-pep-larger-orf75-50SimCLTL28.txt", 12)</f>
        <v>12</v>
      </c>
      <c r="CH234">
        <f>HYPERLINK("http://exon.niaid.nih.gov/transcriptome/Anopheles_sialome/links/cluster-b/anopheline-sialome-cds-pep-larger-orf80-50SimCLU30.txt", 30)</f>
        <v>30</v>
      </c>
      <c r="CI234">
        <f>HYPERLINK("http://exon.niaid.nih.gov/transcriptome/Anopheles_sialome/links/cluster-b/anopheline-sialome-cds-pep-larger-orf80-50SimCLTL30.txt", 7)</f>
        <v>7</v>
      </c>
      <c r="CJ234">
        <f>HYPERLINK("http://exon.niaid.nih.gov/transcriptome/Anopheles_sialome/links/cluster-b/anopheline-sialome-cds-pep-larger-orf85-50SimCLU22.txt", 22)</f>
        <v>22</v>
      </c>
      <c r="CK234">
        <f>HYPERLINK("http://exon.niaid.nih.gov/transcriptome/Anopheles_sialome/links/cluster-b/anopheline-sialome-cds-pep-larger-orf85-50SimCLTL22.txt", 7)</f>
        <v>7</v>
      </c>
      <c r="CL234">
        <f>HYPERLINK("http://exon.niaid.nih.gov/transcriptome/Anopheles_sialome/links/cluster-b/anopheline-sialome-cds-pep-larger-orf90-50SimCLU17.txt", 17)</f>
        <v>17</v>
      </c>
      <c r="CM234">
        <f>HYPERLINK("http://exon.niaid.nih.gov/transcriptome/Anopheles_sialome/links/cluster-b/anopheline-sialome-cds-pep-larger-orf90-50SimCLTL17.txt", 6)</f>
        <v>6</v>
      </c>
      <c r="CN234">
        <f>HYPERLINK("http://exon.niaid.nih.gov/transcriptome/Anopheles_sialome/links/cluster-b/anopheline-sialome-cds-pep-larger-orf95-50SimCLU33.txt", 33)</f>
        <v>33</v>
      </c>
      <c r="CO234">
        <f>HYPERLINK("http://exon.niaid.nih.gov/transcriptome/Anopheles_sialome/links/cluster-b/anopheline-sialome-cds-pep-larger-orf95-50SimCLTL33.txt", 5)</f>
        <v>5</v>
      </c>
    </row>
    <row r="235" spans="1:93">
      <c r="A235" s="2" t="str">
        <f>HYPERLINK("http://exon.niaid.nih.gov/transcriptome/Anopheles_sialome/links/cds/anomel_Ag5r4-cds.txt","anomel_Ag5r4")</f>
        <v>anomel_Ag5r4</v>
      </c>
      <c r="B235">
        <v>804</v>
      </c>
      <c r="C235" t="s">
        <v>45</v>
      </c>
      <c r="D235" t="s">
        <v>7</v>
      </c>
      <c r="E235" t="s">
        <v>5</v>
      </c>
      <c r="F235" t="s">
        <v>1</v>
      </c>
      <c r="G235" t="str">
        <f>HYPERLINK("http://exon.niaid.nih.gov/transcriptome/Anopheles_sialome/links/pep/anomel_Ag5r4-pep.txt","anomel_Ag5r4")</f>
        <v>anomel_Ag5r4</v>
      </c>
      <c r="H235">
        <v>267</v>
      </c>
      <c r="I235">
        <v>1</v>
      </c>
      <c r="J235" s="3" t="str">
        <f>HYPERLINK("http://exon.niaid.nih.gov/transcriptome/Anopheles_sialome/links/Sigp/anomel_Ag5r4-SigP.txt","SIG")</f>
        <v>SIG</v>
      </c>
      <c r="K235" t="s">
        <v>695</v>
      </c>
      <c r="L235">
        <v>30.106999999999999</v>
      </c>
      <c r="M235">
        <v>8.02</v>
      </c>
      <c r="N235">
        <v>27.623999999999999</v>
      </c>
      <c r="O235">
        <v>7.66</v>
      </c>
      <c r="P235" t="s">
        <v>830</v>
      </c>
      <c r="Q235" s="3">
        <v>0</v>
      </c>
      <c r="R235" t="s">
        <v>128</v>
      </c>
      <c r="S235" t="s">
        <v>128</v>
      </c>
      <c r="T235" t="s">
        <v>128</v>
      </c>
      <c r="U235" t="s">
        <v>128</v>
      </c>
      <c r="V235" t="s">
        <v>128</v>
      </c>
      <c r="W235" s="3" t="str">
        <f>HYPERLINK("http://exon.niaid.nih.gov/transcriptome/Anopheles_sialome/links/netoglyc/anomel_Ag5r4-netoglyc.txt","0")</f>
        <v>0</v>
      </c>
      <c r="X235">
        <v>13.1</v>
      </c>
      <c r="Y235">
        <v>6.4</v>
      </c>
      <c r="Z235">
        <v>6</v>
      </c>
      <c r="AA235" t="s">
        <v>654</v>
      </c>
      <c r="AB235" t="s">
        <v>128</v>
      </c>
      <c r="AC235" s="2" t="str">
        <f>HYPERLINK("http://exon.niaid.nih.gov/transcriptome/Anopheles_sialome/links/DIPTERA/anomel_Ag5r4-DIPTERA.txt","AGAP006420-PA")</f>
        <v>AGAP006420-PA</v>
      </c>
      <c r="AD235" t="str">
        <f>HYPERLINK("http://www.ncbi.nlm.nih.gov/sutils/blink.cgi?pid=55239188","1E-153")</f>
        <v>1E-153</v>
      </c>
      <c r="AE235" t="str">
        <f t="shared" si="120"/>
        <v>gi|55239188</v>
      </c>
      <c r="AF235">
        <v>97</v>
      </c>
      <c r="AG235">
        <v>98</v>
      </c>
      <c r="AH235">
        <v>100</v>
      </c>
      <c r="AI235" t="s">
        <v>2285</v>
      </c>
      <c r="AJ235" s="2" t="str">
        <f>HYPERLINK("http://exon.niaid.nih.gov/transcriptome/Anopheles_sialome/links/CULICOMORPHA/anomel_Ag5r4-CULICOMORPHA.txt","AGAP006420-PA")</f>
        <v>AGAP006420-PA</v>
      </c>
      <c r="AK235" t="str">
        <f>HYPERLINK("http://www.ncbi.nlm.nih.gov/sutils/blink.cgi?pid=55239188","1E-154")</f>
        <v>1E-154</v>
      </c>
      <c r="AL235" t="str">
        <f t="shared" si="121"/>
        <v>gi|55239188</v>
      </c>
      <c r="AM235">
        <v>97</v>
      </c>
      <c r="AN235">
        <v>98</v>
      </c>
      <c r="AO235">
        <v>100</v>
      </c>
      <c r="AP235" t="s">
        <v>2285</v>
      </c>
      <c r="AQ235" s="2" t="str">
        <f>HYPERLINK("http://exon.niaid.nih.gov/transcriptome/Anopheles_sialome/links/NR-LIGHT/anomel_Ag5r4-NR-LIGHT.txt","AGAP006420-PA")</f>
        <v>AGAP006420-PA</v>
      </c>
      <c r="AR235" t="str">
        <f>HYPERLINK("http://www.ncbi.nlm.nih.gov/sutils/blink.cgi?pid=58388673","1E-153")</f>
        <v>1E-153</v>
      </c>
      <c r="AS235" t="str">
        <f t="shared" si="122"/>
        <v>gi|58388673</v>
      </c>
      <c r="AT235">
        <v>97</v>
      </c>
      <c r="AU235">
        <v>98</v>
      </c>
      <c r="AV235">
        <v>100</v>
      </c>
      <c r="AW235" t="s">
        <v>2285</v>
      </c>
      <c r="AX235" s="2" t="str">
        <f>HYPERLINK("http://exon.niaid.nih.gov/transcriptome/Anopheles_sialome/links/CDD/anomel_Ag5r4-CDD.txt","SCP_euk")</f>
        <v>SCP_euk</v>
      </c>
      <c r="AY235" t="str">
        <f>HYPERLINK("http://www.ncbi.nlm.nih.gov/Structure/cdd/cddsrv.cgi?uid=cd05380&amp;version=v4.0","9E-038")</f>
        <v>9E-038</v>
      </c>
      <c r="AZ235" t="s">
        <v>2366</v>
      </c>
      <c r="BA235" s="2" t="str">
        <f>HYPERLINK("http://exon.niaid.nih.gov/transcriptome/Anopheles_sialome/links/KOG/anomel_Ag5r4-KOG.txt","Defense-related protein containing SCP domain")</f>
        <v>Defense-related protein containing SCP domain</v>
      </c>
      <c r="BB235" t="str">
        <f>HYPERLINK("http://www.ncbi.nlm.nih.gov/Structure/cdd/cddsrv.cgi?uid=KOG3017","4E-029")</f>
        <v>4E-029</v>
      </c>
      <c r="BC235" t="s">
        <v>2304</v>
      </c>
      <c r="BD235" t="str">
        <f>HYPERLINK("http://exon.niaid.nih.gov/transcriptome/Anopheles_sialome/links/KOG/anomel_Ag5r4-KOG.txt","KOG3017")</f>
        <v>KOG3017</v>
      </c>
      <c r="BE235" t="str">
        <f>HYPERLINK("http://exon.niaid.nih.gov/transcriptome/Anopheles_sialome/links/PFAM/anomel_Ag5r4-PFAM.txt","CAP")</f>
        <v>CAP</v>
      </c>
      <c r="BF235" t="str">
        <f>HYPERLINK("http://pfam.sanger.ac.uk/family?acc=PF00188","2E-012")</f>
        <v>2E-012</v>
      </c>
      <c r="BG235" s="2" t="str">
        <f>HYPERLINK("http://exon.niaid.nih.gov/transcriptome/Anopheles_sialome/links/SMART/anomel_Ag5r4-SMART.txt","SCP")</f>
        <v>SCP</v>
      </c>
      <c r="BH235" t="str">
        <f>HYPERLINK("http://smart.embl-heidelberg.de/smart/do_annotation.pl?DOMAIN=SCP&amp;BLAST=DUMMY","2E-023")</f>
        <v>2E-023</v>
      </c>
      <c r="BI235" t="s">
        <v>128</v>
      </c>
      <c r="BJ235" s="2" t="s">
        <v>128</v>
      </c>
      <c r="BK235" t="s">
        <v>829</v>
      </c>
      <c r="BL235">
        <f>HYPERLINK("http://exon.niaid.nih.gov/transcriptome/Anopheles_sialome/links/cluster-b/anopheline-sialome-cds-pep-larger-orf25-50SimCLU4.txt", 4)</f>
        <v>4</v>
      </c>
      <c r="BM235">
        <f>HYPERLINK("http://exon.niaid.nih.gov/transcriptome/Anopheles_sialome/links/cluster-b/anopheline-sialome-cds-pep-larger-orf25-50SimCLTL4.txt", 82)</f>
        <v>82</v>
      </c>
      <c r="BN235">
        <f>HYPERLINK("http://exon.niaid.nih.gov/transcriptome/Anopheles_sialome/links/cluster-b/anopheline-sialome-cds-pep-larger-orf30-50SimCLU4.txt", 4)</f>
        <v>4</v>
      </c>
      <c r="BO235">
        <f>HYPERLINK("http://exon.niaid.nih.gov/transcriptome/Anopheles_sialome/links/cluster-b/anopheline-sialome-cds-pep-larger-orf30-50SimCLTL4.txt", 82)</f>
        <v>82</v>
      </c>
      <c r="BP235">
        <f>HYPERLINK("http://exon.niaid.nih.gov/transcriptome/Anopheles_sialome/links/cluster-b/anopheline-sialome-cds-pep-larger-orf35-50SimCLU3.txt", 3)</f>
        <v>3</v>
      </c>
      <c r="BQ235">
        <f>HYPERLINK("http://exon.niaid.nih.gov/transcriptome/Anopheles_sialome/links/cluster-b/anopheline-sialome-cds-pep-larger-orf35-50SimCLTL3.txt", 82)</f>
        <v>82</v>
      </c>
      <c r="BR235">
        <f>HYPERLINK("http://exon.niaid.nih.gov/transcriptome/Anopheles_sialome/links/cluster-b/anopheline-sialome-cds-pep-larger-orf40-50SimCLU3.txt", 3)</f>
        <v>3</v>
      </c>
      <c r="BS235">
        <f>HYPERLINK("http://exon.niaid.nih.gov/transcriptome/Anopheles_sialome/links/cluster-b/anopheline-sialome-cds-pep-larger-orf40-50SimCLTL3.txt", 82)</f>
        <v>82</v>
      </c>
      <c r="BT235">
        <f>HYPERLINK("http://exon.niaid.nih.gov/transcriptome/Anopheles_sialome/links/cluster-b/anopheline-sialome-cds-pep-larger-orf45-50SimCLU2.txt", 2)</f>
        <v>2</v>
      </c>
      <c r="BU235">
        <f>HYPERLINK("http://exon.niaid.nih.gov/transcriptome/Anopheles_sialome/links/cluster-b/anopheline-sialome-cds-pep-larger-orf45-50SimCLTL2.txt", 82)</f>
        <v>82</v>
      </c>
      <c r="BV235">
        <f>HYPERLINK("http://exon.niaid.nih.gov/transcriptome/Anopheles_sialome/links/cluster-b/anopheline-sialome-cds-pep-larger-orf50-50SimCLU2.txt", 2)</f>
        <v>2</v>
      </c>
      <c r="BW235">
        <f>HYPERLINK("http://exon.niaid.nih.gov/transcriptome/Anopheles_sialome/links/cluster-b/anopheline-sialome-cds-pep-larger-orf50-50SimCLTL2.txt", 82)</f>
        <v>82</v>
      </c>
      <c r="BX235">
        <f>HYPERLINK("http://exon.niaid.nih.gov/transcriptome/Anopheles_sialome/links/cluster-b/anopheline-sialome-cds-pep-larger-orf55-50SimCLU2.txt", 2)</f>
        <v>2</v>
      </c>
      <c r="BY235">
        <f>HYPERLINK("http://exon.niaid.nih.gov/transcriptome/Anopheles_sialome/links/cluster-b/anopheline-sialome-cds-pep-larger-orf55-50SimCLTL2.txt", 55)</f>
        <v>55</v>
      </c>
      <c r="BZ235">
        <f>HYPERLINK("http://exon.niaid.nih.gov/transcriptome/Anopheles_sialome/links/cluster-b/anopheline-sialome-cds-pep-larger-orf60-50SimCLU2.txt", 2)</f>
        <v>2</v>
      </c>
      <c r="CA235">
        <f>HYPERLINK("http://exon.niaid.nih.gov/transcriptome/Anopheles_sialome/links/cluster-b/anopheline-sialome-cds-pep-larger-orf60-50SimCLTL2.txt", 54)</f>
        <v>54</v>
      </c>
      <c r="CB235">
        <f>HYPERLINK("http://exon.niaid.nih.gov/transcriptome/Anopheles_sialome/links/cluster-b/anopheline-sialome-cds-pep-larger-orf65-50SimCLU26.txt", 26)</f>
        <v>26</v>
      </c>
      <c r="CC235">
        <f>HYPERLINK("http://exon.niaid.nih.gov/transcriptome/Anopheles_sialome/links/cluster-b/anopheline-sialome-cds-pep-larger-orf65-50SimCLTL26.txt", 15)</f>
        <v>15</v>
      </c>
      <c r="CD235">
        <f>HYPERLINK("http://exon.niaid.nih.gov/transcriptome/Anopheles_sialome/links/cluster-b/anopheline-sialome-cds-pep-larger-orf70-50SimCLU28.txt", 28)</f>
        <v>28</v>
      </c>
      <c r="CE235">
        <f>HYPERLINK("http://exon.niaid.nih.gov/transcriptome/Anopheles_sialome/links/cluster-b/anopheline-sialome-cds-pep-larger-orf70-50SimCLTL28.txt", 14)</f>
        <v>14</v>
      </c>
      <c r="CF235">
        <f>HYPERLINK("http://exon.niaid.nih.gov/transcriptome/Anopheles_sialome/links/cluster-b/anopheline-sialome-cds-pep-larger-orf75-50SimCLU28.txt", 28)</f>
        <v>28</v>
      </c>
      <c r="CG235">
        <f>HYPERLINK("http://exon.niaid.nih.gov/transcriptome/Anopheles_sialome/links/cluster-b/anopheline-sialome-cds-pep-larger-orf75-50SimCLTL28.txt", 12)</f>
        <v>12</v>
      </c>
      <c r="CH235">
        <f>HYPERLINK("http://exon.niaid.nih.gov/transcriptome/Anopheles_sialome/links/cluster-b/anopheline-sialome-cds-pep-larger-orf80-50SimCLU30.txt", 30)</f>
        <v>30</v>
      </c>
      <c r="CI235">
        <f>HYPERLINK("http://exon.niaid.nih.gov/transcriptome/Anopheles_sialome/links/cluster-b/anopheline-sialome-cds-pep-larger-orf80-50SimCLTL30.txt", 7)</f>
        <v>7</v>
      </c>
      <c r="CJ235">
        <f>HYPERLINK("http://exon.niaid.nih.gov/transcriptome/Anopheles_sialome/links/cluster-b/anopheline-sialome-cds-pep-larger-orf85-50SimCLU22.txt", 22)</f>
        <v>22</v>
      </c>
      <c r="CK235">
        <f>HYPERLINK("http://exon.niaid.nih.gov/transcriptome/Anopheles_sialome/links/cluster-b/anopheline-sialome-cds-pep-larger-orf85-50SimCLTL22.txt", 7)</f>
        <v>7</v>
      </c>
      <c r="CL235">
        <f>HYPERLINK("http://exon.niaid.nih.gov/transcriptome/Anopheles_sialome/links/cluster-b/anopheline-sialome-cds-pep-larger-orf90-50SimCLU17.txt", 17)</f>
        <v>17</v>
      </c>
      <c r="CM235">
        <f>HYPERLINK("http://exon.niaid.nih.gov/transcriptome/Anopheles_sialome/links/cluster-b/anopheline-sialome-cds-pep-larger-orf90-50SimCLTL17.txt", 6)</f>
        <v>6</v>
      </c>
      <c r="CN235">
        <f>HYPERLINK("http://exon.niaid.nih.gov/transcriptome/Anopheles_sialome/links/cluster-b/anopheline-sialome-cds-pep-larger-orf95-50SimCLU33.txt", 33)</f>
        <v>33</v>
      </c>
      <c r="CO235">
        <f>HYPERLINK("http://exon.niaid.nih.gov/transcriptome/Anopheles_sialome/links/cluster-b/anopheline-sialome-cds-pep-larger-orf95-50SimCLTL33.txt", 5)</f>
        <v>5</v>
      </c>
    </row>
    <row r="236" spans="1:93">
      <c r="A236" s="2" t="str">
        <f>HYPERLINK("http://exon.niaid.nih.gov/transcriptome/Anopheles_sialome/links/cds/anochris_Ag5r4-cds.txt","anochris_Ag5r4")</f>
        <v>anochris_Ag5r4</v>
      </c>
      <c r="B236">
        <v>798</v>
      </c>
      <c r="C236" t="s">
        <v>46</v>
      </c>
      <c r="D236" t="s">
        <v>7</v>
      </c>
      <c r="E236" t="s">
        <v>5</v>
      </c>
      <c r="F236" t="s">
        <v>1</v>
      </c>
      <c r="G236" t="str">
        <f>HYPERLINK("http://exon.niaid.nih.gov/transcriptome/Anopheles_sialome/links/pep/anochris_Ag5r4-pep.txt","anochris_Ag5r4")</f>
        <v>anochris_Ag5r4</v>
      </c>
      <c r="H236">
        <v>265</v>
      </c>
      <c r="I236">
        <v>0</v>
      </c>
      <c r="J236" s="3" t="str">
        <f>HYPERLINK("http://exon.niaid.nih.gov/transcriptome/Anopheles_sialome/links/Sigp/anochris_Ag5r4-SigP.txt","SIG")</f>
        <v>SIG</v>
      </c>
      <c r="K236" t="s">
        <v>689</v>
      </c>
      <c r="L236">
        <v>29.64</v>
      </c>
      <c r="M236">
        <v>6.74</v>
      </c>
      <c r="N236">
        <v>27.164000000000001</v>
      </c>
      <c r="O236">
        <v>6.71</v>
      </c>
      <c r="P236" t="s">
        <v>832</v>
      </c>
      <c r="Q236" s="3">
        <v>0</v>
      </c>
      <c r="R236" t="s">
        <v>128</v>
      </c>
      <c r="S236" t="s">
        <v>128</v>
      </c>
      <c r="T236" t="s">
        <v>128</v>
      </c>
      <c r="U236" t="s">
        <v>128</v>
      </c>
      <c r="V236" t="s">
        <v>128</v>
      </c>
      <c r="W236" s="3" t="str">
        <f>HYPERLINK("http://exon.niaid.nih.gov/transcriptome/Anopheles_sialome/links/netoglyc/anochris_Ag5r4-netoglyc.txt","1")</f>
        <v>1</v>
      </c>
      <c r="X236">
        <v>12.5</v>
      </c>
      <c r="Y236">
        <v>7.2</v>
      </c>
      <c r="Z236">
        <v>6</v>
      </c>
      <c r="AA236" t="s">
        <v>654</v>
      </c>
      <c r="AB236" t="s">
        <v>128</v>
      </c>
      <c r="AC236" s="2" t="str">
        <f>HYPERLINK("http://exon.niaid.nih.gov/transcriptome/Anopheles_sialome/links/DIPTERA/anochris_Ag5r4-DIPTERA.txt","AGAP006420-PA")</f>
        <v>AGAP006420-PA</v>
      </c>
      <c r="AD236" t="str">
        <f>HYPERLINK("http://www.ncbi.nlm.nih.gov/sutils/blink.cgi?pid=55239188","1E-121")</f>
        <v>1E-121</v>
      </c>
      <c r="AE236" t="str">
        <f t="shared" si="120"/>
        <v>gi|55239188</v>
      </c>
      <c r="AF236">
        <v>77</v>
      </c>
      <c r="AG236">
        <v>85</v>
      </c>
      <c r="AH236">
        <v>100</v>
      </c>
      <c r="AI236" t="s">
        <v>2285</v>
      </c>
      <c r="AJ236" s="2" t="str">
        <f>HYPERLINK("http://exon.niaid.nih.gov/transcriptome/Anopheles_sialome/links/CULICOMORPHA/anochris_Ag5r4-CULICOMORPHA.txt","AGAP006420-PA")</f>
        <v>AGAP006420-PA</v>
      </c>
      <c r="AK236" t="str">
        <f>HYPERLINK("http://www.ncbi.nlm.nih.gov/sutils/blink.cgi?pid=55239188","1E-122")</f>
        <v>1E-122</v>
      </c>
      <c r="AL236" t="str">
        <f t="shared" si="121"/>
        <v>gi|55239188</v>
      </c>
      <c r="AM236">
        <v>77</v>
      </c>
      <c r="AN236">
        <v>85</v>
      </c>
      <c r="AO236">
        <v>100</v>
      </c>
      <c r="AP236" t="s">
        <v>2285</v>
      </c>
      <c r="AQ236" s="2" t="str">
        <f>HYPERLINK("http://exon.niaid.nih.gov/transcriptome/Anopheles_sialome/links/NR-LIGHT/anochris_Ag5r4-NR-LIGHT.txt","AGAP006420-PA")</f>
        <v>AGAP006420-PA</v>
      </c>
      <c r="AR236" t="str">
        <f>HYPERLINK("http://www.ncbi.nlm.nih.gov/sutils/blink.cgi?pid=58388673","1E-120")</f>
        <v>1E-120</v>
      </c>
      <c r="AS236" t="str">
        <f t="shared" si="122"/>
        <v>gi|58388673</v>
      </c>
      <c r="AT236">
        <v>77</v>
      </c>
      <c r="AU236">
        <v>85</v>
      </c>
      <c r="AV236">
        <v>100</v>
      </c>
      <c r="AW236" t="s">
        <v>2285</v>
      </c>
      <c r="AX236" s="2" t="str">
        <f>HYPERLINK("http://exon.niaid.nih.gov/transcriptome/Anopheles_sialome/links/CDD/anochris_Ag5r4-CDD.txt","SCP_euk")</f>
        <v>SCP_euk</v>
      </c>
      <c r="AY236" t="str">
        <f>HYPERLINK("http://www.ncbi.nlm.nih.gov/Structure/cdd/cddsrv.cgi?uid=cd05380&amp;version=v4.0","4E-036")</f>
        <v>4E-036</v>
      </c>
      <c r="AZ236" t="s">
        <v>2367</v>
      </c>
      <c r="BA236" s="2" t="str">
        <f>HYPERLINK("http://exon.niaid.nih.gov/transcriptome/Anopheles_sialome/links/KOG/anochris_Ag5r4-KOG.txt","Defense-related protein containing SCP domain")</f>
        <v>Defense-related protein containing SCP domain</v>
      </c>
      <c r="BB236" t="str">
        <f>HYPERLINK("http://www.ncbi.nlm.nih.gov/Structure/cdd/cddsrv.cgi?uid=KOG3017","1E-028")</f>
        <v>1E-028</v>
      </c>
      <c r="BC236" t="s">
        <v>2304</v>
      </c>
      <c r="BD236" t="str">
        <f>HYPERLINK("http://exon.niaid.nih.gov/transcriptome/Anopheles_sialome/links/KOG/anochris_Ag5r4-KOG.txt","KOG3017")</f>
        <v>KOG3017</v>
      </c>
      <c r="BE236" t="str">
        <f>HYPERLINK("http://exon.niaid.nih.gov/transcriptome/Anopheles_sialome/links/PFAM/anochris_Ag5r4-PFAM.txt","CAP")</f>
        <v>CAP</v>
      </c>
      <c r="BF236" t="str">
        <f>HYPERLINK("http://pfam.sanger.ac.uk/family?acc=PF00188","1E-011")</f>
        <v>1E-011</v>
      </c>
      <c r="BG236" s="2" t="str">
        <f>HYPERLINK("http://exon.niaid.nih.gov/transcriptome/Anopheles_sialome/links/SMART/anochris_Ag5r4-SMART.txt","SCP")</f>
        <v>SCP</v>
      </c>
      <c r="BH236" t="str">
        <f>HYPERLINK("http://smart.embl-heidelberg.de/smart/do_annotation.pl?DOMAIN=SCP&amp;BLAST=DUMMY","9E-026")</f>
        <v>9E-026</v>
      </c>
      <c r="BI236" t="s">
        <v>128</v>
      </c>
      <c r="BJ236" s="2" t="s">
        <v>128</v>
      </c>
      <c r="BK236" t="s">
        <v>831</v>
      </c>
      <c r="BL236">
        <f>HYPERLINK("http://exon.niaid.nih.gov/transcriptome/Anopheles_sialome/links/cluster-b/anopheline-sialome-cds-pep-larger-orf25-50SimCLU4.txt", 4)</f>
        <v>4</v>
      </c>
      <c r="BM236">
        <f>HYPERLINK("http://exon.niaid.nih.gov/transcriptome/Anopheles_sialome/links/cluster-b/anopheline-sialome-cds-pep-larger-orf25-50SimCLTL4.txt", 82)</f>
        <v>82</v>
      </c>
      <c r="BN236">
        <f>HYPERLINK("http://exon.niaid.nih.gov/transcriptome/Anopheles_sialome/links/cluster-b/anopheline-sialome-cds-pep-larger-orf30-50SimCLU4.txt", 4)</f>
        <v>4</v>
      </c>
      <c r="BO236">
        <f>HYPERLINK("http://exon.niaid.nih.gov/transcriptome/Anopheles_sialome/links/cluster-b/anopheline-sialome-cds-pep-larger-orf30-50SimCLTL4.txt", 82)</f>
        <v>82</v>
      </c>
      <c r="BP236">
        <f>HYPERLINK("http://exon.niaid.nih.gov/transcriptome/Anopheles_sialome/links/cluster-b/anopheline-sialome-cds-pep-larger-orf35-50SimCLU3.txt", 3)</f>
        <v>3</v>
      </c>
      <c r="BQ236">
        <f>HYPERLINK("http://exon.niaid.nih.gov/transcriptome/Anopheles_sialome/links/cluster-b/anopheline-sialome-cds-pep-larger-orf35-50SimCLTL3.txt", 82)</f>
        <v>82</v>
      </c>
      <c r="BR236">
        <f>HYPERLINK("http://exon.niaid.nih.gov/transcriptome/Anopheles_sialome/links/cluster-b/anopheline-sialome-cds-pep-larger-orf40-50SimCLU3.txt", 3)</f>
        <v>3</v>
      </c>
      <c r="BS236">
        <f>HYPERLINK("http://exon.niaid.nih.gov/transcriptome/Anopheles_sialome/links/cluster-b/anopheline-sialome-cds-pep-larger-orf40-50SimCLTL3.txt", 82)</f>
        <v>82</v>
      </c>
      <c r="BT236">
        <f>HYPERLINK("http://exon.niaid.nih.gov/transcriptome/Anopheles_sialome/links/cluster-b/anopheline-sialome-cds-pep-larger-orf45-50SimCLU2.txt", 2)</f>
        <v>2</v>
      </c>
      <c r="BU236">
        <f>HYPERLINK("http://exon.niaid.nih.gov/transcriptome/Anopheles_sialome/links/cluster-b/anopheline-sialome-cds-pep-larger-orf45-50SimCLTL2.txt", 82)</f>
        <v>82</v>
      </c>
      <c r="BV236">
        <f>HYPERLINK("http://exon.niaid.nih.gov/transcriptome/Anopheles_sialome/links/cluster-b/anopheline-sialome-cds-pep-larger-orf50-50SimCLU2.txt", 2)</f>
        <v>2</v>
      </c>
      <c r="BW236">
        <f>HYPERLINK("http://exon.niaid.nih.gov/transcriptome/Anopheles_sialome/links/cluster-b/anopheline-sialome-cds-pep-larger-orf50-50SimCLTL2.txt", 82)</f>
        <v>82</v>
      </c>
      <c r="BX236">
        <f>HYPERLINK("http://exon.niaid.nih.gov/transcriptome/Anopheles_sialome/links/cluster-b/anopheline-sialome-cds-pep-larger-orf55-50SimCLU2.txt", 2)</f>
        <v>2</v>
      </c>
      <c r="BY236">
        <f>HYPERLINK("http://exon.niaid.nih.gov/transcriptome/Anopheles_sialome/links/cluster-b/anopheline-sialome-cds-pep-larger-orf55-50SimCLTL2.txt", 55)</f>
        <v>55</v>
      </c>
      <c r="BZ236">
        <f>HYPERLINK("http://exon.niaid.nih.gov/transcriptome/Anopheles_sialome/links/cluster-b/anopheline-sialome-cds-pep-larger-orf60-50SimCLU2.txt", 2)</f>
        <v>2</v>
      </c>
      <c r="CA236">
        <f>HYPERLINK("http://exon.niaid.nih.gov/transcriptome/Anopheles_sialome/links/cluster-b/anopheline-sialome-cds-pep-larger-orf60-50SimCLTL2.txt", 54)</f>
        <v>54</v>
      </c>
      <c r="CB236">
        <f>HYPERLINK("http://exon.niaid.nih.gov/transcriptome/Anopheles_sialome/links/cluster-b/anopheline-sialome-cds-pep-larger-orf65-50SimCLU26.txt", 26)</f>
        <v>26</v>
      </c>
      <c r="CC236">
        <f>HYPERLINK("http://exon.niaid.nih.gov/transcriptome/Anopheles_sialome/links/cluster-b/anopheline-sialome-cds-pep-larger-orf65-50SimCLTL26.txt", 15)</f>
        <v>15</v>
      </c>
      <c r="CD236">
        <f>HYPERLINK("http://exon.niaid.nih.gov/transcriptome/Anopheles_sialome/links/cluster-b/anopheline-sialome-cds-pep-larger-orf70-50SimCLU28.txt", 28)</f>
        <v>28</v>
      </c>
      <c r="CE236">
        <f>HYPERLINK("http://exon.niaid.nih.gov/transcriptome/Anopheles_sialome/links/cluster-b/anopheline-sialome-cds-pep-larger-orf70-50SimCLTL28.txt", 14)</f>
        <v>14</v>
      </c>
      <c r="CF236">
        <f>HYPERLINK("http://exon.niaid.nih.gov/transcriptome/Anopheles_sialome/links/cluster-b/anopheline-sialome-cds-pep-larger-orf75-50SimCLU28.txt", 28)</f>
        <v>28</v>
      </c>
      <c r="CG236">
        <f>HYPERLINK("http://exon.niaid.nih.gov/transcriptome/Anopheles_sialome/links/cluster-b/anopheline-sialome-cds-pep-larger-orf75-50SimCLTL28.txt", 12)</f>
        <v>12</v>
      </c>
      <c r="CH236">
        <f>HYPERLINK("http://exon.niaid.nih.gov/transcriptome/Anopheles_sialome/links/cluster-b/anopheline-sialome-cds-pep-larger-orf80-50SimCLU30.txt", 30)</f>
        <v>30</v>
      </c>
      <c r="CI236">
        <f>HYPERLINK("http://exon.niaid.nih.gov/transcriptome/Anopheles_sialome/links/cluster-b/anopheline-sialome-cds-pep-larger-orf80-50SimCLTL30.txt", 7)</f>
        <v>7</v>
      </c>
      <c r="CJ236">
        <f>HYPERLINK("http://exon.niaid.nih.gov/transcriptome/Anopheles_sialome/links/cluster-b/anopheline-sialome-cds-pep-larger-orf85-50SimCLU22.txt", 22)</f>
        <v>22</v>
      </c>
      <c r="CK236">
        <f>HYPERLINK("http://exon.niaid.nih.gov/transcriptome/Anopheles_sialome/links/cluster-b/anopheline-sialome-cds-pep-larger-orf85-50SimCLTL22.txt", 7)</f>
        <v>7</v>
      </c>
      <c r="CL236">
        <v>127</v>
      </c>
      <c r="CM236">
        <v>1</v>
      </c>
      <c r="CN236">
        <v>109</v>
      </c>
      <c r="CO236">
        <v>1</v>
      </c>
    </row>
    <row r="237" spans="1:93">
      <c r="A237" s="2" t="str">
        <f>HYPERLINK("http://exon.niaid.nih.gov/transcriptome/Anopheles_sialome/links/cds/anofun_Ag5r4a-cds.txt","anofun_Ag5r4a")</f>
        <v>anofun_Ag5r4a</v>
      </c>
      <c r="B237">
        <v>819</v>
      </c>
      <c r="C237" t="s">
        <v>48</v>
      </c>
      <c r="D237" t="s">
        <v>7</v>
      </c>
      <c r="E237" t="s">
        <v>5</v>
      </c>
      <c r="F237" t="s">
        <v>1</v>
      </c>
      <c r="G237" t="str">
        <f>HYPERLINK("http://exon.niaid.nih.gov/transcriptome/Anopheles_sialome/links/pep/anofun_Ag5r4a-pep.txt","anofun_Ag5r4a")</f>
        <v>anofun_Ag5r4a</v>
      </c>
      <c r="H237">
        <v>272</v>
      </c>
      <c r="I237">
        <v>0</v>
      </c>
      <c r="J237" s="3" t="str">
        <f>HYPERLINK("http://exon.niaid.nih.gov/transcriptome/Anopheles_sialome/links/Sigp/anofun_Ag5r4a-SigP.txt","SIG")</f>
        <v>SIG</v>
      </c>
      <c r="K237" t="s">
        <v>834</v>
      </c>
      <c r="L237">
        <v>30.658999999999999</v>
      </c>
      <c r="M237">
        <v>7.11</v>
      </c>
      <c r="N237">
        <v>27.751999999999999</v>
      </c>
      <c r="O237">
        <v>6.71</v>
      </c>
      <c r="P237" t="s">
        <v>835</v>
      </c>
      <c r="Q237" s="3" t="str">
        <f>HYPERLINK("http://exon.niaid.nih.gov/transcriptome/Anopheles_sialome/links/tmhmm/anofun_Ag5r4a-tmhmm.txt","1")</f>
        <v>1</v>
      </c>
      <c r="R237">
        <v>6.3</v>
      </c>
      <c r="S237">
        <v>91.2</v>
      </c>
      <c r="T237">
        <v>2.6</v>
      </c>
      <c r="U237" t="s">
        <v>128</v>
      </c>
      <c r="V237">
        <v>248</v>
      </c>
      <c r="W237" s="3" t="str">
        <f>HYPERLINK("http://exon.niaid.nih.gov/transcriptome/Anopheles_sialome/links/netoglyc/anofun_Ag5r4a-netoglyc.txt","0")</f>
        <v>0</v>
      </c>
      <c r="X237">
        <v>11</v>
      </c>
      <c r="Y237">
        <v>7</v>
      </c>
      <c r="Z237">
        <v>5.5</v>
      </c>
      <c r="AA237" t="s">
        <v>654</v>
      </c>
      <c r="AB237" t="s">
        <v>128</v>
      </c>
      <c r="AC237" s="2" t="str">
        <f>HYPERLINK("http://exon.niaid.nih.gov/transcriptome/Anopheles_sialome/links/DIPTERA/anofun_Ag5r4a-DIPTERA.txt","AGAP006420-PA")</f>
        <v>AGAP006420-PA</v>
      </c>
      <c r="AD237" t="str">
        <f>HYPERLINK("http://www.ncbi.nlm.nih.gov/sutils/blink.cgi?pid=55239188","3E-097")</f>
        <v>3E-097</v>
      </c>
      <c r="AE237" t="str">
        <f t="shared" si="120"/>
        <v>gi|55239188</v>
      </c>
      <c r="AF237">
        <v>62</v>
      </c>
      <c r="AG237">
        <v>76</v>
      </c>
      <c r="AH237">
        <v>99</v>
      </c>
      <c r="AI237" t="s">
        <v>2285</v>
      </c>
      <c r="AJ237" s="2" t="str">
        <f>HYPERLINK("http://exon.niaid.nih.gov/transcriptome/Anopheles_sialome/links/CULICOMORPHA/anofun_Ag5r4a-CULICOMORPHA.txt","AGAP006420-PA")</f>
        <v>AGAP006420-PA</v>
      </c>
      <c r="AK237" t="str">
        <f>HYPERLINK("http://www.ncbi.nlm.nih.gov/sutils/blink.cgi?pid=55239188","5E-098")</f>
        <v>5E-098</v>
      </c>
      <c r="AL237" t="str">
        <f t="shared" si="121"/>
        <v>gi|55239188</v>
      </c>
      <c r="AM237">
        <v>62</v>
      </c>
      <c r="AN237">
        <v>76</v>
      </c>
      <c r="AO237">
        <v>99</v>
      </c>
      <c r="AP237" t="s">
        <v>2285</v>
      </c>
      <c r="AQ237" s="2" t="str">
        <f>HYPERLINK("http://exon.niaid.nih.gov/transcriptome/Anopheles_sialome/links/NR-LIGHT/anofun_Ag5r4a-NR-LIGHT.txt","AGAP006420-PA")</f>
        <v>AGAP006420-PA</v>
      </c>
      <c r="AR237" t="str">
        <f>HYPERLINK("http://www.ncbi.nlm.nih.gov/sutils/blink.cgi?pid=58388673","7E-097")</f>
        <v>7E-097</v>
      </c>
      <c r="AS237" t="str">
        <f t="shared" si="122"/>
        <v>gi|58388673</v>
      </c>
      <c r="AT237">
        <v>62</v>
      </c>
      <c r="AU237">
        <v>76</v>
      </c>
      <c r="AV237">
        <v>99</v>
      </c>
      <c r="AW237" t="s">
        <v>2285</v>
      </c>
      <c r="AX237" s="2" t="str">
        <f>HYPERLINK("http://exon.niaid.nih.gov/transcriptome/Anopheles_sialome/links/CDD/anofun_Ag5r4a-CDD.txt","SCP_euk")</f>
        <v>SCP_euk</v>
      </c>
      <c r="AY237" t="str">
        <f>HYPERLINK("http://www.ncbi.nlm.nih.gov/Structure/cdd/cddsrv.cgi?uid=cd05380&amp;version=v4.0","5E-036")</f>
        <v>5E-036</v>
      </c>
      <c r="AZ237" t="s">
        <v>2368</v>
      </c>
      <c r="BA237" s="2" t="str">
        <f>HYPERLINK("http://exon.niaid.nih.gov/transcriptome/Anopheles_sialome/links/KOG/anofun_Ag5r4a-KOG.txt","Defense-related protein containing SCP domain")</f>
        <v>Defense-related protein containing SCP domain</v>
      </c>
      <c r="BB237" t="str">
        <f>HYPERLINK("http://www.ncbi.nlm.nih.gov/Structure/cdd/cddsrv.cgi?uid=KOG3017","2E-026")</f>
        <v>2E-026</v>
      </c>
      <c r="BC237" t="s">
        <v>2304</v>
      </c>
      <c r="BD237" t="str">
        <f>HYPERLINK("http://exon.niaid.nih.gov/transcriptome/Anopheles_sialome/links/KOG/anofun_Ag5r4a-KOG.txt","KOG3017")</f>
        <v>KOG3017</v>
      </c>
      <c r="BE237" t="str">
        <f>HYPERLINK("http://exon.niaid.nih.gov/transcriptome/Anopheles_sialome/links/PFAM/anofun_Ag5r4a-PFAM.txt","CAP")</f>
        <v>CAP</v>
      </c>
      <c r="BF237" t="str">
        <f>HYPERLINK("http://pfam.sanger.ac.uk/family?acc=PF00188","1E-011")</f>
        <v>1E-011</v>
      </c>
      <c r="BG237" s="2" t="str">
        <f>HYPERLINK("http://exon.niaid.nih.gov/transcriptome/Anopheles_sialome/links/SMART/anofun_Ag5r4a-SMART.txt","SCP")</f>
        <v>SCP</v>
      </c>
      <c r="BH237" t="str">
        <f>HYPERLINK("http://smart.embl-heidelberg.de/smart/do_annotation.pl?DOMAIN=SCP&amp;BLAST=DUMMY","4E-023")</f>
        <v>4E-023</v>
      </c>
      <c r="BI237" t="s">
        <v>128</v>
      </c>
      <c r="BJ237" s="2" t="s">
        <v>128</v>
      </c>
      <c r="BK237" t="s">
        <v>833</v>
      </c>
      <c r="BL237">
        <f>HYPERLINK("http://exon.niaid.nih.gov/transcriptome/Anopheles_sialome/links/cluster-b/anopheline-sialome-cds-pep-larger-orf25-50SimCLU4.txt", 4)</f>
        <v>4</v>
      </c>
      <c r="BM237">
        <f>HYPERLINK("http://exon.niaid.nih.gov/transcriptome/Anopheles_sialome/links/cluster-b/anopheline-sialome-cds-pep-larger-orf25-50SimCLTL4.txt", 82)</f>
        <v>82</v>
      </c>
      <c r="BN237">
        <f>HYPERLINK("http://exon.niaid.nih.gov/transcriptome/Anopheles_sialome/links/cluster-b/anopheline-sialome-cds-pep-larger-orf30-50SimCLU4.txt", 4)</f>
        <v>4</v>
      </c>
      <c r="BO237">
        <f>HYPERLINK("http://exon.niaid.nih.gov/transcriptome/Anopheles_sialome/links/cluster-b/anopheline-sialome-cds-pep-larger-orf30-50SimCLTL4.txt", 82)</f>
        <v>82</v>
      </c>
      <c r="BP237">
        <f>HYPERLINK("http://exon.niaid.nih.gov/transcriptome/Anopheles_sialome/links/cluster-b/anopheline-sialome-cds-pep-larger-orf35-50SimCLU3.txt", 3)</f>
        <v>3</v>
      </c>
      <c r="BQ237">
        <f>HYPERLINK("http://exon.niaid.nih.gov/transcriptome/Anopheles_sialome/links/cluster-b/anopheline-sialome-cds-pep-larger-orf35-50SimCLTL3.txt", 82)</f>
        <v>82</v>
      </c>
      <c r="BR237">
        <f>HYPERLINK("http://exon.niaid.nih.gov/transcriptome/Anopheles_sialome/links/cluster-b/anopheline-sialome-cds-pep-larger-orf40-50SimCLU3.txt", 3)</f>
        <v>3</v>
      </c>
      <c r="BS237">
        <f>HYPERLINK("http://exon.niaid.nih.gov/transcriptome/Anopheles_sialome/links/cluster-b/anopheline-sialome-cds-pep-larger-orf40-50SimCLTL3.txt", 82)</f>
        <v>82</v>
      </c>
      <c r="BT237">
        <f>HYPERLINK("http://exon.niaid.nih.gov/transcriptome/Anopheles_sialome/links/cluster-b/anopheline-sialome-cds-pep-larger-orf45-50SimCLU2.txt", 2)</f>
        <v>2</v>
      </c>
      <c r="BU237">
        <f>HYPERLINK("http://exon.niaid.nih.gov/transcriptome/Anopheles_sialome/links/cluster-b/anopheline-sialome-cds-pep-larger-orf45-50SimCLTL2.txt", 82)</f>
        <v>82</v>
      </c>
      <c r="BV237">
        <f>HYPERLINK("http://exon.niaid.nih.gov/transcriptome/Anopheles_sialome/links/cluster-b/anopheline-sialome-cds-pep-larger-orf50-50SimCLU2.txt", 2)</f>
        <v>2</v>
      </c>
      <c r="BW237">
        <f>HYPERLINK("http://exon.niaid.nih.gov/transcriptome/Anopheles_sialome/links/cluster-b/anopheline-sialome-cds-pep-larger-orf50-50SimCLTL2.txt", 82)</f>
        <v>82</v>
      </c>
      <c r="BX237">
        <f>HYPERLINK("http://exon.niaid.nih.gov/transcriptome/Anopheles_sialome/links/cluster-b/anopheline-sialome-cds-pep-larger-orf55-50SimCLU2.txt", 2)</f>
        <v>2</v>
      </c>
      <c r="BY237">
        <f>HYPERLINK("http://exon.niaid.nih.gov/transcriptome/Anopheles_sialome/links/cluster-b/anopheline-sialome-cds-pep-larger-orf55-50SimCLTL2.txt", 55)</f>
        <v>55</v>
      </c>
      <c r="BZ237">
        <f>HYPERLINK("http://exon.niaid.nih.gov/transcriptome/Anopheles_sialome/links/cluster-b/anopheline-sialome-cds-pep-larger-orf60-50SimCLU2.txt", 2)</f>
        <v>2</v>
      </c>
      <c r="CA237">
        <f>HYPERLINK("http://exon.niaid.nih.gov/transcriptome/Anopheles_sialome/links/cluster-b/anopheline-sialome-cds-pep-larger-orf60-50SimCLTL2.txt", 54)</f>
        <v>54</v>
      </c>
      <c r="CB237">
        <f>HYPERLINK("http://exon.niaid.nih.gov/transcriptome/Anopheles_sialome/links/cluster-b/anopheline-sialome-cds-pep-larger-orf65-50SimCLU26.txt", 26)</f>
        <v>26</v>
      </c>
      <c r="CC237">
        <f>HYPERLINK("http://exon.niaid.nih.gov/transcriptome/Anopheles_sialome/links/cluster-b/anopheline-sialome-cds-pep-larger-orf65-50SimCLTL26.txt", 15)</f>
        <v>15</v>
      </c>
      <c r="CD237">
        <f>HYPERLINK("http://exon.niaid.nih.gov/transcriptome/Anopheles_sialome/links/cluster-b/anopheline-sialome-cds-pep-larger-orf70-50SimCLU28.txt", 28)</f>
        <v>28</v>
      </c>
      <c r="CE237">
        <f>HYPERLINK("http://exon.niaid.nih.gov/transcriptome/Anopheles_sialome/links/cluster-b/anopheline-sialome-cds-pep-larger-orf70-50SimCLTL28.txt", 14)</f>
        <v>14</v>
      </c>
      <c r="CF237">
        <f>HYPERLINK("http://exon.niaid.nih.gov/transcriptome/Anopheles_sialome/links/cluster-b/anopheline-sialome-cds-pep-larger-orf75-50SimCLU28.txt", 28)</f>
        <v>28</v>
      </c>
      <c r="CG237">
        <f>HYPERLINK("http://exon.niaid.nih.gov/transcriptome/Anopheles_sialome/links/cluster-b/anopheline-sialome-cds-pep-larger-orf75-50SimCLTL28.txt", 12)</f>
        <v>12</v>
      </c>
      <c r="CH237">
        <f>HYPERLINK("http://exon.niaid.nih.gov/transcriptome/Anopheles_sialome/links/cluster-b/anopheline-sialome-cds-pep-larger-orf80-50SimCLU45.txt", 45)</f>
        <v>45</v>
      </c>
      <c r="CI237">
        <f>HYPERLINK("http://exon.niaid.nih.gov/transcriptome/Anopheles_sialome/links/cluster-b/anopheline-sialome-cds-pep-larger-orf80-50SimCLTL45.txt", 5)</f>
        <v>5</v>
      </c>
      <c r="CJ237">
        <f>HYPERLINK("http://exon.niaid.nih.gov/transcriptome/Anopheles_sialome/links/cluster-b/anopheline-sialome-cds-pep-larger-orf85-50SimCLU63.txt", 63)</f>
        <v>63</v>
      </c>
      <c r="CK237">
        <f>HYPERLINK("http://exon.niaid.nih.gov/transcriptome/Anopheles_sialome/links/cluster-b/anopheline-sialome-cds-pep-larger-orf85-50SimCLTL63.txt", 2)</f>
        <v>2</v>
      </c>
      <c r="CL237">
        <f>HYPERLINK("http://exon.niaid.nih.gov/transcriptome/Anopheles_sialome/links/cluster-b/anopheline-sialome-cds-pep-larger-orf90-50SimCLU62.txt", 62)</f>
        <v>62</v>
      </c>
      <c r="CM237">
        <f>HYPERLINK("http://exon.niaid.nih.gov/transcriptome/Anopheles_sialome/links/cluster-b/anopheline-sialome-cds-pep-larger-orf90-50SimCLTL62.txt", 2)</f>
        <v>2</v>
      </c>
      <c r="CN237">
        <f>HYPERLINK("http://exon.niaid.nih.gov/transcriptome/Anopheles_sialome/links/cluster-b/anopheline-sialome-cds-pep-larger-orf95-50SimCLU57.txt", 57)</f>
        <v>57</v>
      </c>
      <c r="CO237">
        <f>HYPERLINK("http://exon.niaid.nih.gov/transcriptome/Anopheles_sialome/links/cluster-b/anopheline-sialome-cds-pep-larger-orf95-50SimCLTL57.txt", 2)</f>
        <v>2</v>
      </c>
    </row>
    <row r="238" spans="1:93">
      <c r="A238" s="2" t="str">
        <f>HYPERLINK("http://exon.niaid.nih.gov/transcriptome/Anopheles_sialome/links/cds/anofun_Ag5r4b-cds.txt","anofun_Ag5r4b")</f>
        <v>anofun_Ag5r4b</v>
      </c>
      <c r="B238">
        <v>819</v>
      </c>
      <c r="C238" t="s">
        <v>48</v>
      </c>
      <c r="D238" t="s">
        <v>7</v>
      </c>
      <c r="E238" t="s">
        <v>5</v>
      </c>
      <c r="F238" t="s">
        <v>1</v>
      </c>
      <c r="G238" t="str">
        <f>HYPERLINK("http://exon.niaid.nih.gov/transcriptome/Anopheles_sialome/links/pep/anofun_Ag5r4b-pep.txt","anofun_Ag5r4b")</f>
        <v>anofun_Ag5r4b</v>
      </c>
      <c r="H238">
        <v>272</v>
      </c>
      <c r="I238">
        <v>0</v>
      </c>
      <c r="J238" s="3" t="str">
        <f>HYPERLINK("http://exon.niaid.nih.gov/transcriptome/Anopheles_sialome/links/Sigp/anofun_Ag5r4b-SigP.txt","SIG")</f>
        <v>SIG</v>
      </c>
      <c r="K238" t="s">
        <v>834</v>
      </c>
      <c r="L238">
        <v>30.747</v>
      </c>
      <c r="M238">
        <v>6.54</v>
      </c>
      <c r="N238">
        <v>27.782</v>
      </c>
      <c r="O238">
        <v>6.47</v>
      </c>
      <c r="P238" t="s">
        <v>837</v>
      </c>
      <c r="Q238" s="3">
        <v>0</v>
      </c>
      <c r="R238" t="s">
        <v>128</v>
      </c>
      <c r="S238" t="s">
        <v>128</v>
      </c>
      <c r="T238" t="s">
        <v>128</v>
      </c>
      <c r="U238" t="s">
        <v>128</v>
      </c>
      <c r="V238" t="s">
        <v>128</v>
      </c>
      <c r="W238" s="3" t="str">
        <f>HYPERLINK("http://exon.niaid.nih.gov/transcriptome/Anopheles_sialome/links/netoglyc/anofun_Ag5r4b-netoglyc.txt","0")</f>
        <v>0</v>
      </c>
      <c r="X238">
        <v>11.4</v>
      </c>
      <c r="Y238">
        <v>6.3</v>
      </c>
      <c r="Z238">
        <v>5.5</v>
      </c>
      <c r="AA238" t="s">
        <v>654</v>
      </c>
      <c r="AB238" t="s">
        <v>128</v>
      </c>
      <c r="AC238" s="2" t="str">
        <f>HYPERLINK("http://exon.niaid.nih.gov/transcriptome/Anopheles_sialome/links/DIPTERA/anofun_Ag5r4b-DIPTERA.txt","AGAP006420-PA")</f>
        <v>AGAP006420-PA</v>
      </c>
      <c r="AD238" t="str">
        <f>HYPERLINK("http://www.ncbi.nlm.nih.gov/sutils/blink.cgi?pid=55239188","2E-097")</f>
        <v>2E-097</v>
      </c>
      <c r="AE238" t="str">
        <f t="shared" si="120"/>
        <v>gi|55239188</v>
      </c>
      <c r="AF238">
        <v>62</v>
      </c>
      <c r="AG238">
        <v>76</v>
      </c>
      <c r="AH238">
        <v>99</v>
      </c>
      <c r="AI238" t="s">
        <v>2285</v>
      </c>
      <c r="AJ238" s="2" t="str">
        <f>HYPERLINK("http://exon.niaid.nih.gov/transcriptome/Anopheles_sialome/links/CULICOMORPHA/anofun_Ag5r4b-CULICOMORPHA.txt","AGAP006420-PA")</f>
        <v>AGAP006420-PA</v>
      </c>
      <c r="AK238" t="str">
        <f>HYPERLINK("http://www.ncbi.nlm.nih.gov/sutils/blink.cgi?pid=55239188","3E-098")</f>
        <v>3E-098</v>
      </c>
      <c r="AL238" t="str">
        <f t="shared" si="121"/>
        <v>gi|55239188</v>
      </c>
      <c r="AM238">
        <v>62</v>
      </c>
      <c r="AN238">
        <v>76</v>
      </c>
      <c r="AO238">
        <v>99</v>
      </c>
      <c r="AP238" t="s">
        <v>2285</v>
      </c>
      <c r="AQ238" s="2" t="str">
        <f>HYPERLINK("http://exon.niaid.nih.gov/transcriptome/Anopheles_sialome/links/NR-LIGHT/anofun_Ag5r4b-NR-LIGHT.txt","AGAP006420-PA")</f>
        <v>AGAP006420-PA</v>
      </c>
      <c r="AR238" t="str">
        <f>HYPERLINK("http://www.ncbi.nlm.nih.gov/sutils/blink.cgi?pid=58388673","4E-097")</f>
        <v>4E-097</v>
      </c>
      <c r="AS238" t="str">
        <f t="shared" si="122"/>
        <v>gi|58388673</v>
      </c>
      <c r="AT238">
        <v>62</v>
      </c>
      <c r="AU238">
        <v>76</v>
      </c>
      <c r="AV238">
        <v>99</v>
      </c>
      <c r="AW238" t="s">
        <v>2285</v>
      </c>
      <c r="AX238" s="2" t="str">
        <f>HYPERLINK("http://exon.niaid.nih.gov/transcriptome/Anopheles_sialome/links/CDD/anofun_Ag5r4b-CDD.txt","SCP_euk")</f>
        <v>SCP_euk</v>
      </c>
      <c r="AY238" t="str">
        <f>HYPERLINK("http://www.ncbi.nlm.nih.gov/Structure/cdd/cddsrv.cgi?uid=cd05380&amp;version=v4.0","9E-036")</f>
        <v>9E-036</v>
      </c>
      <c r="AZ238" t="s">
        <v>2369</v>
      </c>
      <c r="BA238" s="2" t="str">
        <f>HYPERLINK("http://exon.niaid.nih.gov/transcriptome/Anopheles_sialome/links/KOG/anofun_Ag5r4b-KOG.txt","Defense-related protein containing SCP domain")</f>
        <v>Defense-related protein containing SCP domain</v>
      </c>
      <c r="BB238" t="str">
        <f>HYPERLINK("http://www.ncbi.nlm.nih.gov/Structure/cdd/cddsrv.cgi?uid=KOG3017","2E-026")</f>
        <v>2E-026</v>
      </c>
      <c r="BC238" t="s">
        <v>2304</v>
      </c>
      <c r="BD238" t="str">
        <f>HYPERLINK("http://exon.niaid.nih.gov/transcriptome/Anopheles_sialome/links/KOG/anofun_Ag5r4b-KOG.txt","KOG3017")</f>
        <v>KOG3017</v>
      </c>
      <c r="BE238" t="str">
        <f>HYPERLINK("http://exon.niaid.nih.gov/transcriptome/Anopheles_sialome/links/PFAM/anofun_Ag5r4b-PFAM.txt","CAP")</f>
        <v>CAP</v>
      </c>
      <c r="BF238" t="str">
        <f>HYPERLINK("http://pfam.sanger.ac.uk/family?acc=PF00188","2E-011")</f>
        <v>2E-011</v>
      </c>
      <c r="BG238" s="2" t="str">
        <f>HYPERLINK("http://exon.niaid.nih.gov/transcriptome/Anopheles_sialome/links/SMART/anofun_Ag5r4b-SMART.txt","SCP")</f>
        <v>SCP</v>
      </c>
      <c r="BH238" t="str">
        <f>HYPERLINK("http://smart.embl-heidelberg.de/smart/do_annotation.pl?DOMAIN=SCP&amp;BLAST=DUMMY","3E-022")</f>
        <v>3E-022</v>
      </c>
      <c r="BI238" t="s">
        <v>128</v>
      </c>
      <c r="BJ238" s="2" t="s">
        <v>128</v>
      </c>
      <c r="BK238" t="s">
        <v>836</v>
      </c>
      <c r="BL238">
        <f>HYPERLINK("http://exon.niaid.nih.gov/transcriptome/Anopheles_sialome/links/cluster-b/anopheline-sialome-cds-pep-larger-orf25-50SimCLU4.txt", 4)</f>
        <v>4</v>
      </c>
      <c r="BM238">
        <f>HYPERLINK("http://exon.niaid.nih.gov/transcriptome/Anopheles_sialome/links/cluster-b/anopheline-sialome-cds-pep-larger-orf25-50SimCLTL4.txt", 82)</f>
        <v>82</v>
      </c>
      <c r="BN238">
        <f>HYPERLINK("http://exon.niaid.nih.gov/transcriptome/Anopheles_sialome/links/cluster-b/anopheline-sialome-cds-pep-larger-orf30-50SimCLU4.txt", 4)</f>
        <v>4</v>
      </c>
      <c r="BO238">
        <f>HYPERLINK("http://exon.niaid.nih.gov/transcriptome/Anopheles_sialome/links/cluster-b/anopheline-sialome-cds-pep-larger-orf30-50SimCLTL4.txt", 82)</f>
        <v>82</v>
      </c>
      <c r="BP238">
        <f>HYPERLINK("http://exon.niaid.nih.gov/transcriptome/Anopheles_sialome/links/cluster-b/anopheline-sialome-cds-pep-larger-orf35-50SimCLU3.txt", 3)</f>
        <v>3</v>
      </c>
      <c r="BQ238">
        <f>HYPERLINK("http://exon.niaid.nih.gov/transcriptome/Anopheles_sialome/links/cluster-b/anopheline-sialome-cds-pep-larger-orf35-50SimCLTL3.txt", 82)</f>
        <v>82</v>
      </c>
      <c r="BR238">
        <f>HYPERLINK("http://exon.niaid.nih.gov/transcriptome/Anopheles_sialome/links/cluster-b/anopheline-sialome-cds-pep-larger-orf40-50SimCLU3.txt", 3)</f>
        <v>3</v>
      </c>
      <c r="BS238">
        <f>HYPERLINK("http://exon.niaid.nih.gov/transcriptome/Anopheles_sialome/links/cluster-b/anopheline-sialome-cds-pep-larger-orf40-50SimCLTL3.txt", 82)</f>
        <v>82</v>
      </c>
      <c r="BT238">
        <f>HYPERLINK("http://exon.niaid.nih.gov/transcriptome/Anopheles_sialome/links/cluster-b/anopheline-sialome-cds-pep-larger-orf45-50SimCLU2.txt", 2)</f>
        <v>2</v>
      </c>
      <c r="BU238">
        <f>HYPERLINK("http://exon.niaid.nih.gov/transcriptome/Anopheles_sialome/links/cluster-b/anopheline-sialome-cds-pep-larger-orf45-50SimCLTL2.txt", 82)</f>
        <v>82</v>
      </c>
      <c r="BV238">
        <f>HYPERLINK("http://exon.niaid.nih.gov/transcriptome/Anopheles_sialome/links/cluster-b/anopheline-sialome-cds-pep-larger-orf50-50SimCLU2.txt", 2)</f>
        <v>2</v>
      </c>
      <c r="BW238">
        <f>HYPERLINK("http://exon.niaid.nih.gov/transcriptome/Anopheles_sialome/links/cluster-b/anopheline-sialome-cds-pep-larger-orf50-50SimCLTL2.txt", 82)</f>
        <v>82</v>
      </c>
      <c r="BX238">
        <f>HYPERLINK("http://exon.niaid.nih.gov/transcriptome/Anopheles_sialome/links/cluster-b/anopheline-sialome-cds-pep-larger-orf55-50SimCLU2.txt", 2)</f>
        <v>2</v>
      </c>
      <c r="BY238">
        <f>HYPERLINK("http://exon.niaid.nih.gov/transcriptome/Anopheles_sialome/links/cluster-b/anopheline-sialome-cds-pep-larger-orf55-50SimCLTL2.txt", 55)</f>
        <v>55</v>
      </c>
      <c r="BZ238">
        <f>HYPERLINK("http://exon.niaid.nih.gov/transcriptome/Anopheles_sialome/links/cluster-b/anopheline-sialome-cds-pep-larger-orf60-50SimCLU2.txt", 2)</f>
        <v>2</v>
      </c>
      <c r="CA238">
        <f>HYPERLINK("http://exon.niaid.nih.gov/transcriptome/Anopheles_sialome/links/cluster-b/anopheline-sialome-cds-pep-larger-orf60-50SimCLTL2.txt", 54)</f>
        <v>54</v>
      </c>
      <c r="CB238">
        <f>HYPERLINK("http://exon.niaid.nih.gov/transcriptome/Anopheles_sialome/links/cluster-b/anopheline-sialome-cds-pep-larger-orf65-50SimCLU26.txt", 26)</f>
        <v>26</v>
      </c>
      <c r="CC238">
        <f>HYPERLINK("http://exon.niaid.nih.gov/transcriptome/Anopheles_sialome/links/cluster-b/anopheline-sialome-cds-pep-larger-orf65-50SimCLTL26.txt", 15)</f>
        <v>15</v>
      </c>
      <c r="CD238">
        <f>HYPERLINK("http://exon.niaid.nih.gov/transcriptome/Anopheles_sialome/links/cluster-b/anopheline-sialome-cds-pep-larger-orf70-50SimCLU28.txt", 28)</f>
        <v>28</v>
      </c>
      <c r="CE238">
        <f>HYPERLINK("http://exon.niaid.nih.gov/transcriptome/Anopheles_sialome/links/cluster-b/anopheline-sialome-cds-pep-larger-orf70-50SimCLTL28.txt", 14)</f>
        <v>14</v>
      </c>
      <c r="CF238">
        <f>HYPERLINK("http://exon.niaid.nih.gov/transcriptome/Anopheles_sialome/links/cluster-b/anopheline-sialome-cds-pep-larger-orf75-50SimCLU28.txt", 28)</f>
        <v>28</v>
      </c>
      <c r="CG238">
        <f>HYPERLINK("http://exon.niaid.nih.gov/transcriptome/Anopheles_sialome/links/cluster-b/anopheline-sialome-cds-pep-larger-orf75-50SimCLTL28.txt", 12)</f>
        <v>12</v>
      </c>
      <c r="CH238">
        <f>HYPERLINK("http://exon.niaid.nih.gov/transcriptome/Anopheles_sialome/links/cluster-b/anopheline-sialome-cds-pep-larger-orf80-50SimCLU45.txt", 45)</f>
        <v>45</v>
      </c>
      <c r="CI238">
        <f>HYPERLINK("http://exon.niaid.nih.gov/transcriptome/Anopheles_sialome/links/cluster-b/anopheline-sialome-cds-pep-larger-orf80-50SimCLTL45.txt", 5)</f>
        <v>5</v>
      </c>
      <c r="CJ238">
        <f>HYPERLINK("http://exon.niaid.nih.gov/transcriptome/Anopheles_sialome/links/cluster-b/anopheline-sialome-cds-pep-larger-orf85-50SimCLU63.txt", 63)</f>
        <v>63</v>
      </c>
      <c r="CK238">
        <f>HYPERLINK("http://exon.niaid.nih.gov/transcriptome/Anopheles_sialome/links/cluster-b/anopheline-sialome-cds-pep-larger-orf85-50SimCLTL63.txt", 2)</f>
        <v>2</v>
      </c>
      <c r="CL238">
        <f>HYPERLINK("http://exon.niaid.nih.gov/transcriptome/Anopheles_sialome/links/cluster-b/anopheline-sialome-cds-pep-larger-orf90-50SimCLU62.txt", 62)</f>
        <v>62</v>
      </c>
      <c r="CM238">
        <f>HYPERLINK("http://exon.niaid.nih.gov/transcriptome/Anopheles_sialome/links/cluster-b/anopheline-sialome-cds-pep-larger-orf90-50SimCLTL62.txt", 2)</f>
        <v>2</v>
      </c>
      <c r="CN238">
        <f>HYPERLINK("http://exon.niaid.nih.gov/transcriptome/Anopheles_sialome/links/cluster-b/anopheline-sialome-cds-pep-larger-orf95-50SimCLU57.txt", 57)</f>
        <v>57</v>
      </c>
      <c r="CO238">
        <f>HYPERLINK("http://exon.niaid.nih.gov/transcriptome/Anopheles_sialome/links/cluster-b/anopheline-sialome-cds-pep-larger-orf95-50SimCLTL57.txt", 2)</f>
        <v>2</v>
      </c>
    </row>
    <row r="239" spans="1:93">
      <c r="A239" s="2" t="str">
        <f>HYPERLINK("http://exon.niaid.nih.gov/transcriptome/Anopheles_sialome/links/cds/anomin_Ag5r4-cds.txt","anomin_Ag5r4")</f>
        <v>anomin_Ag5r4</v>
      </c>
      <c r="B239">
        <v>864</v>
      </c>
      <c r="C239" t="s">
        <v>49</v>
      </c>
      <c r="D239" t="s">
        <v>7</v>
      </c>
      <c r="E239" t="s">
        <v>5</v>
      </c>
      <c r="F239" t="s">
        <v>1</v>
      </c>
      <c r="G239" t="str">
        <f>HYPERLINK("http://exon.niaid.nih.gov/transcriptome/Anopheles_sialome/links/pep/anomin_Ag5r4-pep.txt","anomin_Ag5r4")</f>
        <v>anomin_Ag5r4</v>
      </c>
      <c r="H239">
        <v>287</v>
      </c>
      <c r="I239">
        <v>0</v>
      </c>
      <c r="J239" s="3" t="str">
        <f>HYPERLINK("http://exon.niaid.nih.gov/transcriptome/Anopheles_sialome/links/Sigp/anomin_Ag5r4-SigP.txt","CYT")</f>
        <v>CYT</v>
      </c>
      <c r="K239" t="s">
        <v>128</v>
      </c>
      <c r="L239">
        <v>32.512999999999998</v>
      </c>
      <c r="M239">
        <v>6.37</v>
      </c>
      <c r="N239" t="s">
        <v>128</v>
      </c>
      <c r="O239" t="s">
        <v>128</v>
      </c>
      <c r="P239" t="s">
        <v>839</v>
      </c>
      <c r="Q239" s="3">
        <v>0</v>
      </c>
      <c r="R239" t="s">
        <v>128</v>
      </c>
      <c r="S239" t="s">
        <v>128</v>
      </c>
      <c r="T239" t="s">
        <v>128</v>
      </c>
      <c r="U239" t="s">
        <v>128</v>
      </c>
      <c r="V239" t="s">
        <v>128</v>
      </c>
      <c r="W239" s="3" t="str">
        <f>HYPERLINK("http://exon.niaid.nih.gov/transcriptome/Anopheles_sialome/links/netoglyc/anomin_Ag5r4-netoglyc.txt","1")</f>
        <v>1</v>
      </c>
      <c r="X239">
        <v>11.8</v>
      </c>
      <c r="Y239">
        <v>7</v>
      </c>
      <c r="Z239">
        <v>4.5</v>
      </c>
      <c r="AA239" t="s">
        <v>654</v>
      </c>
      <c r="AB239" t="s">
        <v>128</v>
      </c>
      <c r="AC239" s="2" t="str">
        <f>HYPERLINK("http://exon.niaid.nih.gov/transcriptome/Anopheles_sialome/links/DIPTERA/anomin_Ag5r4-DIPTERA.txt","AGAP006420-PA")</f>
        <v>AGAP006420-PA</v>
      </c>
      <c r="AD239" t="str">
        <f>HYPERLINK("http://www.ncbi.nlm.nih.gov/sutils/blink.cgi?pid=55239188","4E-094")</f>
        <v>4E-094</v>
      </c>
      <c r="AE239" t="str">
        <f t="shared" si="120"/>
        <v>gi|55239188</v>
      </c>
      <c r="AF239">
        <v>64</v>
      </c>
      <c r="AG239">
        <v>74</v>
      </c>
      <c r="AH239">
        <v>96</v>
      </c>
      <c r="AI239" t="s">
        <v>2285</v>
      </c>
      <c r="AJ239" s="2" t="str">
        <f>HYPERLINK("http://exon.niaid.nih.gov/transcriptome/Anopheles_sialome/links/CULICOMORPHA/anomin_Ag5r4-CULICOMORPHA.txt","AGAP006420-PA")</f>
        <v>AGAP006420-PA</v>
      </c>
      <c r="AK239" t="str">
        <f>HYPERLINK("http://www.ncbi.nlm.nih.gov/sutils/blink.cgi?pid=55239188","7E-095")</f>
        <v>7E-095</v>
      </c>
      <c r="AL239" t="str">
        <f t="shared" si="121"/>
        <v>gi|55239188</v>
      </c>
      <c r="AM239">
        <v>64</v>
      </c>
      <c r="AN239">
        <v>74</v>
      </c>
      <c r="AO239">
        <v>96</v>
      </c>
      <c r="AP239" t="s">
        <v>2285</v>
      </c>
      <c r="AQ239" s="2" t="str">
        <f>HYPERLINK("http://exon.niaid.nih.gov/transcriptome/Anopheles_sialome/links/NR-LIGHT/anomin_Ag5r4-NR-LIGHT.txt","AGAP006420-PA")</f>
        <v>AGAP006420-PA</v>
      </c>
      <c r="AR239" t="str">
        <f>HYPERLINK("http://www.ncbi.nlm.nih.gov/sutils/blink.cgi?pid=58388673","1E-093")</f>
        <v>1E-093</v>
      </c>
      <c r="AS239" t="str">
        <f t="shared" si="122"/>
        <v>gi|58388673</v>
      </c>
      <c r="AT239">
        <v>64</v>
      </c>
      <c r="AU239">
        <v>74</v>
      </c>
      <c r="AV239">
        <v>96</v>
      </c>
      <c r="AW239" t="s">
        <v>2285</v>
      </c>
      <c r="AX239" s="2" t="str">
        <f>HYPERLINK("http://exon.niaid.nih.gov/transcriptome/Anopheles_sialome/links/CDD/anomin_Ag5r4-CDD.txt","SCP_euk")</f>
        <v>SCP_euk</v>
      </c>
      <c r="AY239" t="str">
        <f>HYPERLINK("http://www.ncbi.nlm.nih.gov/Structure/cdd/cddsrv.cgi?uid=cd05380&amp;version=v4.0","6E-036")</f>
        <v>6E-036</v>
      </c>
      <c r="AZ239" t="s">
        <v>2370</v>
      </c>
      <c r="BA239" s="2" t="str">
        <f>HYPERLINK("http://exon.niaid.nih.gov/transcriptome/Anopheles_sialome/links/KOG/anomin_Ag5r4-KOG.txt","Defense-related protein containing SCP domain")</f>
        <v>Defense-related protein containing SCP domain</v>
      </c>
      <c r="BB239" t="str">
        <f>HYPERLINK("http://www.ncbi.nlm.nih.gov/Structure/cdd/cddsrv.cgi?uid=KOG3017","3E-028")</f>
        <v>3E-028</v>
      </c>
      <c r="BC239" t="s">
        <v>2304</v>
      </c>
      <c r="BD239" t="str">
        <f>HYPERLINK("http://exon.niaid.nih.gov/transcriptome/Anopheles_sialome/links/KOG/anomin_Ag5r4-KOG.txt","KOG3017")</f>
        <v>KOG3017</v>
      </c>
      <c r="BE239" t="str">
        <f>HYPERLINK("http://exon.niaid.nih.gov/transcriptome/Anopheles_sialome/links/PFAM/anomin_Ag5r4-PFAM.txt","CAP")</f>
        <v>CAP</v>
      </c>
      <c r="BF239" t="str">
        <f>HYPERLINK("http://pfam.sanger.ac.uk/family?acc=PF00188","5E-011")</f>
        <v>5E-011</v>
      </c>
      <c r="BG239" s="2" t="str">
        <f>HYPERLINK("http://exon.niaid.nih.gov/transcriptome/Anopheles_sialome/links/SMART/anomin_Ag5r4-SMART.txt","SCP")</f>
        <v>SCP</v>
      </c>
      <c r="BH239" t="str">
        <f>HYPERLINK("http://smart.embl-heidelberg.de/smart/do_annotation.pl?DOMAIN=SCP&amp;BLAST=DUMMY","3E-024")</f>
        <v>3E-024</v>
      </c>
      <c r="BI239" t="str">
        <f>HYPERLINK("http://exon.niaid.nih.gov/transcriptome/Anopheles_sialome/links/TICK-BLOCKS/anomin_Ag5r4-TICK-BLOCKS.txt","OneOfEach_stringent_pattern |")</f>
        <v>OneOfEach_stringent_pattern |</v>
      </c>
      <c r="BJ239" s="2" t="s">
        <v>2371</v>
      </c>
      <c r="BK239" t="s">
        <v>838</v>
      </c>
      <c r="BL239">
        <f>HYPERLINK("http://exon.niaid.nih.gov/transcriptome/Anopheles_sialome/links/cluster-b/anopheline-sialome-cds-pep-larger-orf25-50SimCLU4.txt", 4)</f>
        <v>4</v>
      </c>
      <c r="BM239">
        <f>HYPERLINK("http://exon.niaid.nih.gov/transcriptome/Anopheles_sialome/links/cluster-b/anopheline-sialome-cds-pep-larger-orf25-50SimCLTL4.txt", 82)</f>
        <v>82</v>
      </c>
      <c r="BN239">
        <f>HYPERLINK("http://exon.niaid.nih.gov/transcriptome/Anopheles_sialome/links/cluster-b/anopheline-sialome-cds-pep-larger-orf30-50SimCLU4.txt", 4)</f>
        <v>4</v>
      </c>
      <c r="BO239">
        <f>HYPERLINK("http://exon.niaid.nih.gov/transcriptome/Anopheles_sialome/links/cluster-b/anopheline-sialome-cds-pep-larger-orf30-50SimCLTL4.txt", 82)</f>
        <v>82</v>
      </c>
      <c r="BP239">
        <f>HYPERLINK("http://exon.niaid.nih.gov/transcriptome/Anopheles_sialome/links/cluster-b/anopheline-sialome-cds-pep-larger-orf35-50SimCLU3.txt", 3)</f>
        <v>3</v>
      </c>
      <c r="BQ239">
        <f>HYPERLINK("http://exon.niaid.nih.gov/transcriptome/Anopheles_sialome/links/cluster-b/anopheline-sialome-cds-pep-larger-orf35-50SimCLTL3.txt", 82)</f>
        <v>82</v>
      </c>
      <c r="BR239">
        <f>HYPERLINK("http://exon.niaid.nih.gov/transcriptome/Anopheles_sialome/links/cluster-b/anopheline-sialome-cds-pep-larger-orf40-50SimCLU3.txt", 3)</f>
        <v>3</v>
      </c>
      <c r="BS239">
        <f>HYPERLINK("http://exon.niaid.nih.gov/transcriptome/Anopheles_sialome/links/cluster-b/anopheline-sialome-cds-pep-larger-orf40-50SimCLTL3.txt", 82)</f>
        <v>82</v>
      </c>
      <c r="BT239">
        <f>HYPERLINK("http://exon.niaid.nih.gov/transcriptome/Anopheles_sialome/links/cluster-b/anopheline-sialome-cds-pep-larger-orf45-50SimCLU2.txt", 2)</f>
        <v>2</v>
      </c>
      <c r="BU239">
        <f>HYPERLINK("http://exon.niaid.nih.gov/transcriptome/Anopheles_sialome/links/cluster-b/anopheline-sialome-cds-pep-larger-orf45-50SimCLTL2.txt", 82)</f>
        <v>82</v>
      </c>
      <c r="BV239">
        <f>HYPERLINK("http://exon.niaid.nih.gov/transcriptome/Anopheles_sialome/links/cluster-b/anopheline-sialome-cds-pep-larger-orf50-50SimCLU2.txt", 2)</f>
        <v>2</v>
      </c>
      <c r="BW239">
        <f>HYPERLINK("http://exon.niaid.nih.gov/transcriptome/Anopheles_sialome/links/cluster-b/anopheline-sialome-cds-pep-larger-orf50-50SimCLTL2.txt", 82)</f>
        <v>82</v>
      </c>
      <c r="BX239">
        <f>HYPERLINK("http://exon.niaid.nih.gov/transcriptome/Anopheles_sialome/links/cluster-b/anopheline-sialome-cds-pep-larger-orf55-50SimCLU2.txt", 2)</f>
        <v>2</v>
      </c>
      <c r="BY239">
        <f>HYPERLINK("http://exon.niaid.nih.gov/transcriptome/Anopheles_sialome/links/cluster-b/anopheline-sialome-cds-pep-larger-orf55-50SimCLTL2.txt", 55)</f>
        <v>55</v>
      </c>
      <c r="BZ239">
        <f>HYPERLINK("http://exon.niaid.nih.gov/transcriptome/Anopheles_sialome/links/cluster-b/anopheline-sialome-cds-pep-larger-orf60-50SimCLU2.txt", 2)</f>
        <v>2</v>
      </c>
      <c r="CA239">
        <f>HYPERLINK("http://exon.niaid.nih.gov/transcriptome/Anopheles_sialome/links/cluster-b/anopheline-sialome-cds-pep-larger-orf60-50SimCLTL2.txt", 54)</f>
        <v>54</v>
      </c>
      <c r="CB239">
        <f>HYPERLINK("http://exon.niaid.nih.gov/transcriptome/Anopheles_sialome/links/cluster-b/anopheline-sialome-cds-pep-larger-orf65-50SimCLU26.txt", 26)</f>
        <v>26</v>
      </c>
      <c r="CC239">
        <f>HYPERLINK("http://exon.niaid.nih.gov/transcriptome/Anopheles_sialome/links/cluster-b/anopheline-sialome-cds-pep-larger-orf65-50SimCLTL26.txt", 15)</f>
        <v>15</v>
      </c>
      <c r="CD239">
        <f>HYPERLINK("http://exon.niaid.nih.gov/transcriptome/Anopheles_sialome/links/cluster-b/anopheline-sialome-cds-pep-larger-orf70-50SimCLU28.txt", 28)</f>
        <v>28</v>
      </c>
      <c r="CE239">
        <f>HYPERLINK("http://exon.niaid.nih.gov/transcriptome/Anopheles_sialome/links/cluster-b/anopheline-sialome-cds-pep-larger-orf70-50SimCLTL28.txt", 14)</f>
        <v>14</v>
      </c>
      <c r="CF239">
        <f>HYPERLINK("http://exon.niaid.nih.gov/transcriptome/Anopheles_sialome/links/cluster-b/anopheline-sialome-cds-pep-larger-orf75-50SimCLU28.txt", 28)</f>
        <v>28</v>
      </c>
      <c r="CG239">
        <f>HYPERLINK("http://exon.niaid.nih.gov/transcriptome/Anopheles_sialome/links/cluster-b/anopheline-sialome-cds-pep-larger-orf75-50SimCLTL28.txt", 12)</f>
        <v>12</v>
      </c>
      <c r="CH239">
        <f>HYPERLINK("http://exon.niaid.nih.gov/transcriptome/Anopheles_sialome/links/cluster-b/anopheline-sialome-cds-pep-larger-orf80-50SimCLU45.txt", 45)</f>
        <v>45</v>
      </c>
      <c r="CI239">
        <f>HYPERLINK("http://exon.niaid.nih.gov/transcriptome/Anopheles_sialome/links/cluster-b/anopheline-sialome-cds-pep-larger-orf80-50SimCLTL45.txt", 5)</f>
        <v>5</v>
      </c>
      <c r="CJ239">
        <v>123</v>
      </c>
      <c r="CK239">
        <v>1</v>
      </c>
      <c r="CL239">
        <v>128</v>
      </c>
      <c r="CM239">
        <v>1</v>
      </c>
      <c r="CN239">
        <v>110</v>
      </c>
      <c r="CO239">
        <v>1</v>
      </c>
    </row>
    <row r="240" spans="1:93">
      <c r="A240" s="2" t="str">
        <f>HYPERLINK("http://exon.niaid.nih.gov/transcriptome/Anopheles_sialome/links/cds/anocul_Ag5r4-cds.txt","anocul_Ag5r4")</f>
        <v>anocul_Ag5r4</v>
      </c>
      <c r="B240">
        <v>801</v>
      </c>
      <c r="C240" t="s">
        <v>83</v>
      </c>
      <c r="D240" t="s">
        <v>7</v>
      </c>
      <c r="E240" t="s">
        <v>5</v>
      </c>
      <c r="F240" t="s">
        <v>1</v>
      </c>
      <c r="G240" t="str">
        <f>HYPERLINK("http://exon.niaid.nih.gov/transcriptome/Anopheles_sialome/links/pep/anocul_Ag5r4-pep.txt","anocul_Ag5r4")</f>
        <v>anocul_Ag5r4</v>
      </c>
      <c r="H240">
        <v>266</v>
      </c>
      <c r="I240">
        <v>0</v>
      </c>
      <c r="J240" s="3" t="str">
        <f>HYPERLINK("http://exon.niaid.nih.gov/transcriptome/Anopheles_sialome/links/Sigp/anocul_Ag5r4-SigP.txt","SIG")</f>
        <v>SIG</v>
      </c>
      <c r="K240" t="s">
        <v>692</v>
      </c>
      <c r="L240">
        <v>29.806000000000001</v>
      </c>
      <c r="M240">
        <v>6.64</v>
      </c>
      <c r="N240">
        <v>27.393000000000001</v>
      </c>
      <c r="O240">
        <v>6.71</v>
      </c>
      <c r="P240" t="s">
        <v>841</v>
      </c>
      <c r="Q240" s="3">
        <v>0</v>
      </c>
      <c r="R240" t="s">
        <v>128</v>
      </c>
      <c r="S240" t="s">
        <v>128</v>
      </c>
      <c r="T240" t="s">
        <v>128</v>
      </c>
      <c r="U240" t="s">
        <v>128</v>
      </c>
      <c r="V240" t="s">
        <v>128</v>
      </c>
      <c r="W240" s="3" t="str">
        <f>HYPERLINK("http://exon.niaid.nih.gov/transcriptome/Anopheles_sialome/links/netoglyc/anocul_Ag5r4-netoglyc.txt","0")</f>
        <v>0</v>
      </c>
      <c r="X240">
        <v>13.2</v>
      </c>
      <c r="Y240">
        <v>7.5</v>
      </c>
      <c r="Z240">
        <v>4.9000000000000004</v>
      </c>
      <c r="AA240" t="s">
        <v>654</v>
      </c>
      <c r="AB240" t="s">
        <v>128</v>
      </c>
      <c r="AC240" s="2" t="str">
        <f>HYPERLINK("http://exon.niaid.nih.gov/transcriptome/Anopheles_sialome/links/DIPTERA/anocul_Ag5r4-DIPTERA.txt","AGAP006420-PA")</f>
        <v>AGAP006420-PA</v>
      </c>
      <c r="AD240" t="str">
        <f>HYPERLINK("http://www.ncbi.nlm.nih.gov/sutils/blink.cgi?pid=55239188","2E-090")</f>
        <v>2E-090</v>
      </c>
      <c r="AE240" t="str">
        <f t="shared" si="120"/>
        <v>gi|55239188</v>
      </c>
      <c r="AF240">
        <v>61</v>
      </c>
      <c r="AG240">
        <v>72</v>
      </c>
      <c r="AH240">
        <v>100</v>
      </c>
      <c r="AI240" t="s">
        <v>2285</v>
      </c>
      <c r="AJ240" s="2" t="str">
        <f>HYPERLINK("http://exon.niaid.nih.gov/transcriptome/Anopheles_sialome/links/CULICOMORPHA/anocul_Ag5r4-CULICOMORPHA.txt","AGAP006420-PA")</f>
        <v>AGAP006420-PA</v>
      </c>
      <c r="AK240" t="str">
        <f>HYPERLINK("http://www.ncbi.nlm.nih.gov/sutils/blink.cgi?pid=55239188","3E-091")</f>
        <v>3E-091</v>
      </c>
      <c r="AL240" t="str">
        <f t="shared" si="121"/>
        <v>gi|55239188</v>
      </c>
      <c r="AM240">
        <v>61</v>
      </c>
      <c r="AN240">
        <v>72</v>
      </c>
      <c r="AO240">
        <v>100</v>
      </c>
      <c r="AP240" t="s">
        <v>2285</v>
      </c>
      <c r="AQ240" s="2" t="str">
        <f>HYPERLINK("http://exon.niaid.nih.gov/transcriptome/Anopheles_sialome/links/NR-LIGHT/anocul_Ag5r4-NR-LIGHT.txt","AGAP006420-PA")</f>
        <v>AGAP006420-PA</v>
      </c>
      <c r="AR240" t="str">
        <f>HYPERLINK("http://www.ncbi.nlm.nih.gov/sutils/blink.cgi?pid=58388673","5E-090")</f>
        <v>5E-090</v>
      </c>
      <c r="AS240" t="str">
        <f t="shared" si="122"/>
        <v>gi|58388673</v>
      </c>
      <c r="AT240">
        <v>61</v>
      </c>
      <c r="AU240">
        <v>72</v>
      </c>
      <c r="AV240">
        <v>100</v>
      </c>
      <c r="AW240" t="s">
        <v>2285</v>
      </c>
      <c r="AX240" s="2" t="str">
        <f>HYPERLINK("http://exon.niaid.nih.gov/transcriptome/Anopheles_sialome/links/CDD/anocul_Ag5r4-CDD.txt","SCP_euk")</f>
        <v>SCP_euk</v>
      </c>
      <c r="AY240" t="str">
        <f>HYPERLINK("http://www.ncbi.nlm.nih.gov/Structure/cdd/cddsrv.cgi?uid=cd05380&amp;version=v4.0","4E-034")</f>
        <v>4E-034</v>
      </c>
      <c r="AZ240" t="s">
        <v>2372</v>
      </c>
      <c r="BA240" s="2" t="str">
        <f>HYPERLINK("http://exon.niaid.nih.gov/transcriptome/Anopheles_sialome/links/KOG/anocul_Ag5r4-KOG.txt","Defense-related protein containing SCP domain")</f>
        <v>Defense-related protein containing SCP domain</v>
      </c>
      <c r="BB240" t="str">
        <f>HYPERLINK("http://www.ncbi.nlm.nih.gov/Structure/cdd/cddsrv.cgi?uid=KOG3017","8E-028")</f>
        <v>8E-028</v>
      </c>
      <c r="BC240" t="s">
        <v>2304</v>
      </c>
      <c r="BD240" t="str">
        <f>HYPERLINK("http://exon.niaid.nih.gov/transcriptome/Anopheles_sialome/links/KOG/anocul_Ag5r4-KOG.txt","KOG3017")</f>
        <v>KOG3017</v>
      </c>
      <c r="BE240" t="str">
        <f>HYPERLINK("http://exon.niaid.nih.gov/transcriptome/Anopheles_sialome/links/PFAM/anocul_Ag5r4-PFAM.txt","CAP")</f>
        <v>CAP</v>
      </c>
      <c r="BF240" t="str">
        <f>HYPERLINK("http://pfam.sanger.ac.uk/family?acc=PF00188","4E-011")</f>
        <v>4E-011</v>
      </c>
      <c r="BG240" s="2" t="str">
        <f>HYPERLINK("http://exon.niaid.nih.gov/transcriptome/Anopheles_sialome/links/SMART/anocul_Ag5r4-SMART.txt","SCP")</f>
        <v>SCP</v>
      </c>
      <c r="BH240" t="str">
        <f>HYPERLINK("http://smart.embl-heidelberg.de/smart/do_annotation.pl?DOMAIN=SCP&amp;BLAST=DUMMY","2E-020")</f>
        <v>2E-020</v>
      </c>
      <c r="BI240" t="s">
        <v>128</v>
      </c>
      <c r="BJ240" s="2" t="s">
        <v>128</v>
      </c>
      <c r="BK240" t="s">
        <v>840</v>
      </c>
      <c r="BL240">
        <f>HYPERLINK("http://exon.niaid.nih.gov/transcriptome/Anopheles_sialome/links/cluster-b/anopheline-sialome-cds-pep-larger-orf25-50SimCLU4.txt", 4)</f>
        <v>4</v>
      </c>
      <c r="BM240">
        <f>HYPERLINK("http://exon.niaid.nih.gov/transcriptome/Anopheles_sialome/links/cluster-b/anopheline-sialome-cds-pep-larger-orf25-50SimCLTL4.txt", 82)</f>
        <v>82</v>
      </c>
      <c r="BN240">
        <f>HYPERLINK("http://exon.niaid.nih.gov/transcriptome/Anopheles_sialome/links/cluster-b/anopheline-sialome-cds-pep-larger-orf30-50SimCLU4.txt", 4)</f>
        <v>4</v>
      </c>
      <c r="BO240">
        <f>HYPERLINK("http://exon.niaid.nih.gov/transcriptome/Anopheles_sialome/links/cluster-b/anopheline-sialome-cds-pep-larger-orf30-50SimCLTL4.txt", 82)</f>
        <v>82</v>
      </c>
      <c r="BP240">
        <f>HYPERLINK("http://exon.niaid.nih.gov/transcriptome/Anopheles_sialome/links/cluster-b/anopheline-sialome-cds-pep-larger-orf35-50SimCLU3.txt", 3)</f>
        <v>3</v>
      </c>
      <c r="BQ240">
        <f>HYPERLINK("http://exon.niaid.nih.gov/transcriptome/Anopheles_sialome/links/cluster-b/anopheline-sialome-cds-pep-larger-orf35-50SimCLTL3.txt", 82)</f>
        <v>82</v>
      </c>
      <c r="BR240">
        <f>HYPERLINK("http://exon.niaid.nih.gov/transcriptome/Anopheles_sialome/links/cluster-b/anopheline-sialome-cds-pep-larger-orf40-50SimCLU3.txt", 3)</f>
        <v>3</v>
      </c>
      <c r="BS240">
        <f>HYPERLINK("http://exon.niaid.nih.gov/transcriptome/Anopheles_sialome/links/cluster-b/anopheline-sialome-cds-pep-larger-orf40-50SimCLTL3.txt", 82)</f>
        <v>82</v>
      </c>
      <c r="BT240">
        <f>HYPERLINK("http://exon.niaid.nih.gov/transcriptome/Anopheles_sialome/links/cluster-b/anopheline-sialome-cds-pep-larger-orf45-50SimCLU2.txt", 2)</f>
        <v>2</v>
      </c>
      <c r="BU240">
        <f>HYPERLINK("http://exon.niaid.nih.gov/transcriptome/Anopheles_sialome/links/cluster-b/anopheline-sialome-cds-pep-larger-orf45-50SimCLTL2.txt", 82)</f>
        <v>82</v>
      </c>
      <c r="BV240">
        <f>HYPERLINK("http://exon.niaid.nih.gov/transcriptome/Anopheles_sialome/links/cluster-b/anopheline-sialome-cds-pep-larger-orf50-50SimCLU2.txt", 2)</f>
        <v>2</v>
      </c>
      <c r="BW240">
        <f>HYPERLINK("http://exon.niaid.nih.gov/transcriptome/Anopheles_sialome/links/cluster-b/anopheline-sialome-cds-pep-larger-orf50-50SimCLTL2.txt", 82)</f>
        <v>82</v>
      </c>
      <c r="BX240">
        <f>HYPERLINK("http://exon.niaid.nih.gov/transcriptome/Anopheles_sialome/links/cluster-b/anopheline-sialome-cds-pep-larger-orf55-50SimCLU2.txt", 2)</f>
        <v>2</v>
      </c>
      <c r="BY240">
        <f>HYPERLINK("http://exon.niaid.nih.gov/transcriptome/Anopheles_sialome/links/cluster-b/anopheline-sialome-cds-pep-larger-orf55-50SimCLTL2.txt", 55)</f>
        <v>55</v>
      </c>
      <c r="BZ240">
        <f>HYPERLINK("http://exon.niaid.nih.gov/transcriptome/Anopheles_sialome/links/cluster-b/anopheline-sialome-cds-pep-larger-orf60-50SimCLU2.txt", 2)</f>
        <v>2</v>
      </c>
      <c r="CA240">
        <f>HYPERLINK("http://exon.niaid.nih.gov/transcriptome/Anopheles_sialome/links/cluster-b/anopheline-sialome-cds-pep-larger-orf60-50SimCLTL2.txt", 54)</f>
        <v>54</v>
      </c>
      <c r="CB240">
        <f>HYPERLINK("http://exon.niaid.nih.gov/transcriptome/Anopheles_sialome/links/cluster-b/anopheline-sialome-cds-pep-larger-orf65-50SimCLU26.txt", 26)</f>
        <v>26</v>
      </c>
      <c r="CC240">
        <f>HYPERLINK("http://exon.niaid.nih.gov/transcriptome/Anopheles_sialome/links/cluster-b/anopheline-sialome-cds-pep-larger-orf65-50SimCLTL26.txt", 15)</f>
        <v>15</v>
      </c>
      <c r="CD240">
        <f>HYPERLINK("http://exon.niaid.nih.gov/transcriptome/Anopheles_sialome/links/cluster-b/anopheline-sialome-cds-pep-larger-orf70-50SimCLU28.txt", 28)</f>
        <v>28</v>
      </c>
      <c r="CE240">
        <f>HYPERLINK("http://exon.niaid.nih.gov/transcriptome/Anopheles_sialome/links/cluster-b/anopheline-sialome-cds-pep-larger-orf70-50SimCLTL28.txt", 14)</f>
        <v>14</v>
      </c>
      <c r="CF240">
        <f>HYPERLINK("http://exon.niaid.nih.gov/transcriptome/Anopheles_sialome/links/cluster-b/anopheline-sialome-cds-pep-larger-orf75-50SimCLU28.txt", 28)</f>
        <v>28</v>
      </c>
      <c r="CG240">
        <f>HYPERLINK("http://exon.niaid.nih.gov/transcriptome/Anopheles_sialome/links/cluster-b/anopheline-sialome-cds-pep-larger-orf75-50SimCLTL28.txt", 12)</f>
        <v>12</v>
      </c>
      <c r="CH240">
        <f>HYPERLINK("http://exon.niaid.nih.gov/transcriptome/Anopheles_sialome/links/cluster-b/anopheline-sialome-cds-pep-larger-orf80-50SimCLU45.txt", 45)</f>
        <v>45</v>
      </c>
      <c r="CI240">
        <f>HYPERLINK("http://exon.niaid.nih.gov/transcriptome/Anopheles_sialome/links/cluster-b/anopheline-sialome-cds-pep-larger-orf80-50SimCLTL45.txt", 5)</f>
        <v>5</v>
      </c>
      <c r="CJ240">
        <v>124</v>
      </c>
      <c r="CK240">
        <v>1</v>
      </c>
      <c r="CL240">
        <v>129</v>
      </c>
      <c r="CM240">
        <v>1</v>
      </c>
      <c r="CN240">
        <v>111</v>
      </c>
      <c r="CO240">
        <v>1</v>
      </c>
    </row>
    <row r="241" spans="1:93">
      <c r="A241" s="2" t="str">
        <f>HYPERLINK("http://exon.niaid.nih.gov/transcriptome/Anopheles_sialome/links/cds/anoste_Ag5r4-cds.txt","anoste_Ag5r4")</f>
        <v>anoste_Ag5r4</v>
      </c>
      <c r="B241">
        <v>795</v>
      </c>
      <c r="C241" t="s">
        <v>51</v>
      </c>
      <c r="D241" t="s">
        <v>7</v>
      </c>
      <c r="E241" t="s">
        <v>5</v>
      </c>
      <c r="F241" t="s">
        <v>1</v>
      </c>
      <c r="G241" t="str">
        <f>HYPERLINK("http://exon.niaid.nih.gov/transcriptome/Anopheles_sialome/links/pep/anoste_Ag5r4-pep.txt","anoste_Ag5r4")</f>
        <v>anoste_Ag5r4</v>
      </c>
      <c r="H241">
        <v>264</v>
      </c>
      <c r="I241">
        <v>0</v>
      </c>
      <c r="J241" s="3" t="str">
        <f>HYPERLINK("http://exon.niaid.nih.gov/transcriptome/Anopheles_sialome/links/Sigp/anoste_Ag5r4-SigP.txt","SIG")</f>
        <v>SIG</v>
      </c>
      <c r="K241" t="s">
        <v>692</v>
      </c>
      <c r="L241">
        <v>29.762</v>
      </c>
      <c r="M241">
        <v>6.24</v>
      </c>
      <c r="N241">
        <v>27.577000000000002</v>
      </c>
      <c r="O241">
        <v>6.26</v>
      </c>
      <c r="P241" t="s">
        <v>843</v>
      </c>
      <c r="Q241" s="3">
        <v>0</v>
      </c>
      <c r="R241" t="s">
        <v>128</v>
      </c>
      <c r="S241" t="s">
        <v>128</v>
      </c>
      <c r="T241" t="s">
        <v>128</v>
      </c>
      <c r="U241" t="s">
        <v>128</v>
      </c>
      <c r="V241" t="s">
        <v>128</v>
      </c>
      <c r="W241" s="3" t="str">
        <f>HYPERLINK("http://exon.niaid.nih.gov/transcriptome/Anopheles_sialome/links/netoglyc/anoste_Ag5r4-netoglyc.txt","2")</f>
        <v>2</v>
      </c>
      <c r="X241">
        <v>12.9</v>
      </c>
      <c r="Y241">
        <v>7.6</v>
      </c>
      <c r="Z241">
        <v>5.7</v>
      </c>
      <c r="AA241" t="s">
        <v>654</v>
      </c>
      <c r="AB241" t="s">
        <v>128</v>
      </c>
      <c r="AC241" s="2" t="str">
        <f>HYPERLINK("http://exon.niaid.nih.gov/transcriptome/Anopheles_sialome/links/DIPTERA/anoste_Ag5r4-DIPTERA.txt","AGAP006420-PA")</f>
        <v>AGAP006420-PA</v>
      </c>
      <c r="AD241" t="str">
        <f>HYPERLINK("http://www.ncbi.nlm.nih.gov/sutils/blink.cgi?pid=55239188","5E-098")</f>
        <v>5E-098</v>
      </c>
      <c r="AE241" t="str">
        <f t="shared" si="120"/>
        <v>gi|55239188</v>
      </c>
      <c r="AF241">
        <v>64</v>
      </c>
      <c r="AG241">
        <v>77</v>
      </c>
      <c r="AH241">
        <v>98</v>
      </c>
      <c r="AI241" t="s">
        <v>2285</v>
      </c>
      <c r="AJ241" s="2" t="str">
        <f>HYPERLINK("http://exon.niaid.nih.gov/transcriptome/Anopheles_sialome/links/CULICOMORPHA/anoste_Ag5r4-CULICOMORPHA.txt","AGAP006420-PA")</f>
        <v>AGAP006420-PA</v>
      </c>
      <c r="AK241" t="str">
        <f>HYPERLINK("http://www.ncbi.nlm.nih.gov/sutils/blink.cgi?pid=55239188","9E-099")</f>
        <v>9E-099</v>
      </c>
      <c r="AL241" t="str">
        <f t="shared" si="121"/>
        <v>gi|55239188</v>
      </c>
      <c r="AM241">
        <v>64</v>
      </c>
      <c r="AN241">
        <v>77</v>
      </c>
      <c r="AO241">
        <v>98</v>
      </c>
      <c r="AP241" t="s">
        <v>2285</v>
      </c>
      <c r="AQ241" s="2" t="str">
        <f>HYPERLINK("http://exon.niaid.nih.gov/transcriptome/Anopheles_sialome/links/NR-LIGHT/anoste_Ag5r4-NR-LIGHT.txt","AGAP006420-PA")</f>
        <v>AGAP006420-PA</v>
      </c>
      <c r="AR241" t="str">
        <f>HYPERLINK("http://www.ncbi.nlm.nih.gov/sutils/blink.cgi?pid=58388673","1E-097")</f>
        <v>1E-097</v>
      </c>
      <c r="AS241" t="str">
        <f t="shared" si="122"/>
        <v>gi|58388673</v>
      </c>
      <c r="AT241">
        <v>64</v>
      </c>
      <c r="AU241">
        <v>77</v>
      </c>
      <c r="AV241">
        <v>98</v>
      </c>
      <c r="AW241" t="s">
        <v>2285</v>
      </c>
      <c r="AX241" s="2" t="str">
        <f>HYPERLINK("http://exon.niaid.nih.gov/transcriptome/Anopheles_sialome/links/CDD/anoste_Ag5r4-CDD.txt","SCP_euk")</f>
        <v>SCP_euk</v>
      </c>
      <c r="AY241" t="str">
        <f>HYPERLINK("http://www.ncbi.nlm.nih.gov/Structure/cdd/cddsrv.cgi?uid=cd05380&amp;version=v4.0","3E-036")</f>
        <v>3E-036</v>
      </c>
      <c r="AZ241" t="s">
        <v>2373</v>
      </c>
      <c r="BA241" s="2" t="str">
        <f>HYPERLINK("http://exon.niaid.nih.gov/transcriptome/Anopheles_sialome/links/KOG/anoste_Ag5r4-KOG.txt","Defense-related protein containing SCP domain")</f>
        <v>Defense-related protein containing SCP domain</v>
      </c>
      <c r="BB241" t="str">
        <f>HYPERLINK("http://www.ncbi.nlm.nih.gov/Structure/cdd/cddsrv.cgi?uid=KOG3017","3E-030")</f>
        <v>3E-030</v>
      </c>
      <c r="BC241" t="s">
        <v>2304</v>
      </c>
      <c r="BD241" t="str">
        <f>HYPERLINK("http://exon.niaid.nih.gov/transcriptome/Anopheles_sialome/links/KOG/anoste_Ag5r4-KOG.txt","KOG3017")</f>
        <v>KOG3017</v>
      </c>
      <c r="BE241" t="str">
        <f>HYPERLINK("http://exon.niaid.nih.gov/transcriptome/Anopheles_sialome/links/PFAM/anoste_Ag5r4-PFAM.txt","CAP")</f>
        <v>CAP</v>
      </c>
      <c r="BF241" t="str">
        <f>HYPERLINK("http://pfam.sanger.ac.uk/family?acc=PF00188","6E-012")</f>
        <v>6E-012</v>
      </c>
      <c r="BG241" s="2" t="str">
        <f>HYPERLINK("http://exon.niaid.nih.gov/transcriptome/Anopheles_sialome/links/SMART/anoste_Ag5r4-SMART.txt","SCP")</f>
        <v>SCP</v>
      </c>
      <c r="BH241" t="str">
        <f>HYPERLINK("http://smart.embl-heidelberg.de/smart/do_annotation.pl?DOMAIN=SCP&amp;BLAST=DUMMY","8E-025")</f>
        <v>8E-025</v>
      </c>
      <c r="BI241" t="s">
        <v>128</v>
      </c>
      <c r="BJ241" s="2" t="s">
        <v>128</v>
      </c>
      <c r="BK241" t="s">
        <v>842</v>
      </c>
      <c r="BL241">
        <f>HYPERLINK("http://exon.niaid.nih.gov/transcriptome/Anopheles_sialome/links/cluster-b/anopheline-sialome-cds-pep-larger-orf25-50SimCLU4.txt", 4)</f>
        <v>4</v>
      </c>
      <c r="BM241">
        <f>HYPERLINK("http://exon.niaid.nih.gov/transcriptome/Anopheles_sialome/links/cluster-b/anopheline-sialome-cds-pep-larger-orf25-50SimCLTL4.txt", 82)</f>
        <v>82</v>
      </c>
      <c r="BN241">
        <f>HYPERLINK("http://exon.niaid.nih.gov/transcriptome/Anopheles_sialome/links/cluster-b/anopheline-sialome-cds-pep-larger-orf30-50SimCLU4.txt", 4)</f>
        <v>4</v>
      </c>
      <c r="BO241">
        <f>HYPERLINK("http://exon.niaid.nih.gov/transcriptome/Anopheles_sialome/links/cluster-b/anopheline-sialome-cds-pep-larger-orf30-50SimCLTL4.txt", 82)</f>
        <v>82</v>
      </c>
      <c r="BP241">
        <f>HYPERLINK("http://exon.niaid.nih.gov/transcriptome/Anopheles_sialome/links/cluster-b/anopheline-sialome-cds-pep-larger-orf35-50SimCLU3.txt", 3)</f>
        <v>3</v>
      </c>
      <c r="BQ241">
        <f>HYPERLINK("http://exon.niaid.nih.gov/transcriptome/Anopheles_sialome/links/cluster-b/anopheline-sialome-cds-pep-larger-orf35-50SimCLTL3.txt", 82)</f>
        <v>82</v>
      </c>
      <c r="BR241">
        <f>HYPERLINK("http://exon.niaid.nih.gov/transcriptome/Anopheles_sialome/links/cluster-b/anopheline-sialome-cds-pep-larger-orf40-50SimCLU3.txt", 3)</f>
        <v>3</v>
      </c>
      <c r="BS241">
        <f>HYPERLINK("http://exon.niaid.nih.gov/transcriptome/Anopheles_sialome/links/cluster-b/anopheline-sialome-cds-pep-larger-orf40-50SimCLTL3.txt", 82)</f>
        <v>82</v>
      </c>
      <c r="BT241">
        <f>HYPERLINK("http://exon.niaid.nih.gov/transcriptome/Anopheles_sialome/links/cluster-b/anopheline-sialome-cds-pep-larger-orf45-50SimCLU2.txt", 2)</f>
        <v>2</v>
      </c>
      <c r="BU241">
        <f>HYPERLINK("http://exon.niaid.nih.gov/transcriptome/Anopheles_sialome/links/cluster-b/anopheline-sialome-cds-pep-larger-orf45-50SimCLTL2.txt", 82)</f>
        <v>82</v>
      </c>
      <c r="BV241">
        <f>HYPERLINK("http://exon.niaid.nih.gov/transcriptome/Anopheles_sialome/links/cluster-b/anopheline-sialome-cds-pep-larger-orf50-50SimCLU2.txt", 2)</f>
        <v>2</v>
      </c>
      <c r="BW241">
        <f>HYPERLINK("http://exon.niaid.nih.gov/transcriptome/Anopheles_sialome/links/cluster-b/anopheline-sialome-cds-pep-larger-orf50-50SimCLTL2.txt", 82)</f>
        <v>82</v>
      </c>
      <c r="BX241">
        <f>HYPERLINK("http://exon.niaid.nih.gov/transcriptome/Anopheles_sialome/links/cluster-b/anopheline-sialome-cds-pep-larger-orf55-50SimCLU2.txt", 2)</f>
        <v>2</v>
      </c>
      <c r="BY241">
        <f>HYPERLINK("http://exon.niaid.nih.gov/transcriptome/Anopheles_sialome/links/cluster-b/anopheline-sialome-cds-pep-larger-orf55-50SimCLTL2.txt", 55)</f>
        <v>55</v>
      </c>
      <c r="BZ241">
        <f>HYPERLINK("http://exon.niaid.nih.gov/transcriptome/Anopheles_sialome/links/cluster-b/anopheline-sialome-cds-pep-larger-orf60-50SimCLU2.txt", 2)</f>
        <v>2</v>
      </c>
      <c r="CA241">
        <f>HYPERLINK("http://exon.niaid.nih.gov/transcriptome/Anopheles_sialome/links/cluster-b/anopheline-sialome-cds-pep-larger-orf60-50SimCLTL2.txt", 54)</f>
        <v>54</v>
      </c>
      <c r="CB241">
        <f>HYPERLINK("http://exon.niaid.nih.gov/transcriptome/Anopheles_sialome/links/cluster-b/anopheline-sialome-cds-pep-larger-orf65-50SimCLU26.txt", 26)</f>
        <v>26</v>
      </c>
      <c r="CC241">
        <f>HYPERLINK("http://exon.niaid.nih.gov/transcriptome/Anopheles_sialome/links/cluster-b/anopheline-sialome-cds-pep-larger-orf65-50SimCLTL26.txt", 15)</f>
        <v>15</v>
      </c>
      <c r="CD241">
        <f>HYPERLINK("http://exon.niaid.nih.gov/transcriptome/Anopheles_sialome/links/cluster-b/anopheline-sialome-cds-pep-larger-orf70-50SimCLU28.txt", 28)</f>
        <v>28</v>
      </c>
      <c r="CE241">
        <f>HYPERLINK("http://exon.niaid.nih.gov/transcriptome/Anopheles_sialome/links/cluster-b/anopheline-sialome-cds-pep-larger-orf70-50SimCLTL28.txt", 14)</f>
        <v>14</v>
      </c>
      <c r="CF241">
        <f>HYPERLINK("http://exon.niaid.nih.gov/transcriptome/Anopheles_sialome/links/cluster-b/anopheline-sialome-cds-pep-larger-orf75-50SimCLU28.txt", 28)</f>
        <v>28</v>
      </c>
      <c r="CG241">
        <f>HYPERLINK("http://exon.niaid.nih.gov/transcriptome/Anopheles_sialome/links/cluster-b/anopheline-sialome-cds-pep-larger-orf75-50SimCLTL28.txt", 12)</f>
        <v>12</v>
      </c>
      <c r="CH241">
        <f>HYPERLINK("http://exon.niaid.nih.gov/transcriptome/Anopheles_sialome/links/cluster-b/anopheline-sialome-cds-pep-larger-orf80-50SimCLU45.txt", 45)</f>
        <v>45</v>
      </c>
      <c r="CI241">
        <f>HYPERLINK("http://exon.niaid.nih.gov/transcriptome/Anopheles_sialome/links/cluster-b/anopheline-sialome-cds-pep-larger-orf80-50SimCLTL45.txt", 5)</f>
        <v>5</v>
      </c>
      <c r="CJ241">
        <v>125</v>
      </c>
      <c r="CK241">
        <v>1</v>
      </c>
      <c r="CL241">
        <v>130</v>
      </c>
      <c r="CM241">
        <v>1</v>
      </c>
      <c r="CN241">
        <v>112</v>
      </c>
      <c r="CO241">
        <v>1</v>
      </c>
    </row>
    <row r="242" spans="1:93">
      <c r="A242" s="2" t="str">
        <f>HYPERLINK("http://exon.niaid.nih.gov/transcriptome/Anopheles_sialome/links/cds/anofar_Ag5r4-cds.txt","anofar_Ag5r4")</f>
        <v>anofar_Ag5r4</v>
      </c>
      <c r="B242">
        <v>804</v>
      </c>
      <c r="C242" t="s">
        <v>84</v>
      </c>
      <c r="D242" t="s">
        <v>7</v>
      </c>
      <c r="E242" t="s">
        <v>5</v>
      </c>
      <c r="F242" t="s">
        <v>1</v>
      </c>
      <c r="G242" t="str">
        <f>HYPERLINK("http://exon.niaid.nih.gov/transcriptome/Anopheles_sialome/links/pep/anofar_Ag5r4-pep.txt","anofar_Ag5r4")</f>
        <v>anofar_Ag5r4</v>
      </c>
      <c r="H242">
        <v>267</v>
      </c>
      <c r="I242">
        <v>0</v>
      </c>
      <c r="J242" s="3" t="str">
        <f>HYPERLINK("http://exon.niaid.nih.gov/transcriptome/Anopheles_sialome/links/Sigp/anofar_Ag5r4-SigP.txt","SIG")</f>
        <v>SIG</v>
      </c>
      <c r="K242" t="s">
        <v>689</v>
      </c>
      <c r="L242">
        <v>29.869</v>
      </c>
      <c r="M242">
        <v>6.19</v>
      </c>
      <c r="N242">
        <v>27.631</v>
      </c>
      <c r="O242">
        <v>6.21</v>
      </c>
      <c r="P242" t="s">
        <v>845</v>
      </c>
      <c r="Q242" s="3">
        <v>0</v>
      </c>
      <c r="R242" t="s">
        <v>128</v>
      </c>
      <c r="S242" t="s">
        <v>128</v>
      </c>
      <c r="T242" t="s">
        <v>128</v>
      </c>
      <c r="U242" t="s">
        <v>128</v>
      </c>
      <c r="V242" t="s">
        <v>128</v>
      </c>
      <c r="W242" s="3" t="str">
        <f>HYPERLINK("http://exon.niaid.nih.gov/transcriptome/Anopheles_sialome/links/netoglyc/anofar_Ag5r4-netoglyc.txt","0")</f>
        <v>0</v>
      </c>
      <c r="X242">
        <v>15.7</v>
      </c>
      <c r="Y242">
        <v>6.7</v>
      </c>
      <c r="Z242">
        <v>5.6</v>
      </c>
      <c r="AA242" t="s">
        <v>654</v>
      </c>
      <c r="AB242" t="s">
        <v>128</v>
      </c>
      <c r="AC242" s="2" t="str">
        <f>HYPERLINK("http://exon.niaid.nih.gov/transcriptome/Anopheles_sialome/links/DIPTERA/anofar_Ag5r4-DIPTERA.txt","AGAP006420-PA")</f>
        <v>AGAP006420-PA</v>
      </c>
      <c r="AD242" t="str">
        <f>HYPERLINK("http://www.ncbi.nlm.nih.gov/sutils/blink.cgi?pid=55239188","9E-090")</f>
        <v>9E-090</v>
      </c>
      <c r="AE242" t="str">
        <f t="shared" si="120"/>
        <v>gi|55239188</v>
      </c>
      <c r="AF242">
        <v>61</v>
      </c>
      <c r="AG242">
        <v>70</v>
      </c>
      <c r="AH242">
        <v>102</v>
      </c>
      <c r="AI242" t="s">
        <v>2285</v>
      </c>
      <c r="AJ242" s="2" t="str">
        <f>HYPERLINK("http://exon.niaid.nih.gov/transcriptome/Anopheles_sialome/links/CULICOMORPHA/anofar_Ag5r4-CULICOMORPHA.txt","AGAP006420-PA")</f>
        <v>AGAP006420-PA</v>
      </c>
      <c r="AK242" t="str">
        <f>HYPERLINK("http://www.ncbi.nlm.nih.gov/sutils/blink.cgi?pid=55239188","2E-090")</f>
        <v>2E-090</v>
      </c>
      <c r="AL242" t="str">
        <f t="shared" si="121"/>
        <v>gi|55239188</v>
      </c>
      <c r="AM242">
        <v>61</v>
      </c>
      <c r="AN242">
        <v>70</v>
      </c>
      <c r="AO242">
        <v>102</v>
      </c>
      <c r="AP242" t="s">
        <v>2285</v>
      </c>
      <c r="AQ242" s="2" t="str">
        <f>HYPERLINK("http://exon.niaid.nih.gov/transcriptome/Anopheles_sialome/links/NR-LIGHT/anofar_Ag5r4-NR-LIGHT.txt","AGAP006420-PA")</f>
        <v>AGAP006420-PA</v>
      </c>
      <c r="AR242" t="str">
        <f>HYPERLINK("http://www.ncbi.nlm.nih.gov/sutils/blink.cgi?pid=58388673","2E-089")</f>
        <v>2E-089</v>
      </c>
      <c r="AS242" t="str">
        <f t="shared" si="122"/>
        <v>gi|58388673</v>
      </c>
      <c r="AT242">
        <v>61</v>
      </c>
      <c r="AU242">
        <v>70</v>
      </c>
      <c r="AV242">
        <v>102</v>
      </c>
      <c r="AW242" t="s">
        <v>2285</v>
      </c>
      <c r="AX242" s="2" t="str">
        <f>HYPERLINK("http://exon.niaid.nih.gov/transcriptome/Anopheles_sialome/links/CDD/anofar_Ag5r4-CDD.txt","SCP_euk")</f>
        <v>SCP_euk</v>
      </c>
      <c r="AY242" t="str">
        <f>HYPERLINK("http://www.ncbi.nlm.nih.gov/Structure/cdd/cddsrv.cgi?uid=cd05380&amp;version=v4.0","2E-037")</f>
        <v>2E-037</v>
      </c>
      <c r="AZ242" t="s">
        <v>2374</v>
      </c>
      <c r="BA242" s="2" t="str">
        <f>HYPERLINK("http://exon.niaid.nih.gov/transcriptome/Anopheles_sialome/links/KOG/anofar_Ag5r4-KOG.txt","Defense-related protein containing SCP domain")</f>
        <v>Defense-related protein containing SCP domain</v>
      </c>
      <c r="BB242" t="str">
        <f>HYPERLINK("http://www.ncbi.nlm.nih.gov/Structure/cdd/cddsrv.cgi?uid=KOG3017","5E-031")</f>
        <v>5E-031</v>
      </c>
      <c r="BC242" t="s">
        <v>2304</v>
      </c>
      <c r="BD242" t="str">
        <f>HYPERLINK("http://exon.niaid.nih.gov/transcriptome/Anopheles_sialome/links/KOG/anofar_Ag5r4-KOG.txt","KOG3017")</f>
        <v>KOG3017</v>
      </c>
      <c r="BE242" t="str">
        <f>HYPERLINK("http://exon.niaid.nih.gov/transcriptome/Anopheles_sialome/links/PFAM/anofar_Ag5r4-PFAM.txt","CAP")</f>
        <v>CAP</v>
      </c>
      <c r="BF242" t="str">
        <f>HYPERLINK("http://pfam.sanger.ac.uk/family?acc=PF00188","3E-013")</f>
        <v>3E-013</v>
      </c>
      <c r="BG242" s="2" t="str">
        <f>HYPERLINK("http://exon.niaid.nih.gov/transcriptome/Anopheles_sialome/links/SMART/anofar_Ag5r4-SMART.txt","SCP")</f>
        <v>SCP</v>
      </c>
      <c r="BH242" t="str">
        <f>HYPERLINK("http://smart.embl-heidelberg.de/smart/do_annotation.pl?DOMAIN=SCP&amp;BLAST=DUMMY","1E-028")</f>
        <v>1E-028</v>
      </c>
      <c r="BI242" t="s">
        <v>128</v>
      </c>
      <c r="BJ242" s="2" t="s">
        <v>128</v>
      </c>
      <c r="BK242" t="s">
        <v>844</v>
      </c>
      <c r="BL242">
        <f>HYPERLINK("http://exon.niaid.nih.gov/transcriptome/Anopheles_sialome/links/cluster-b/anopheline-sialome-cds-pep-larger-orf25-50SimCLU4.txt", 4)</f>
        <v>4</v>
      </c>
      <c r="BM242">
        <f>HYPERLINK("http://exon.niaid.nih.gov/transcriptome/Anopheles_sialome/links/cluster-b/anopheline-sialome-cds-pep-larger-orf25-50SimCLTL4.txt", 82)</f>
        <v>82</v>
      </c>
      <c r="BN242">
        <f>HYPERLINK("http://exon.niaid.nih.gov/transcriptome/Anopheles_sialome/links/cluster-b/anopheline-sialome-cds-pep-larger-orf30-50SimCLU4.txt", 4)</f>
        <v>4</v>
      </c>
      <c r="BO242">
        <f>HYPERLINK("http://exon.niaid.nih.gov/transcriptome/Anopheles_sialome/links/cluster-b/anopheline-sialome-cds-pep-larger-orf30-50SimCLTL4.txt", 82)</f>
        <v>82</v>
      </c>
      <c r="BP242">
        <f>HYPERLINK("http://exon.niaid.nih.gov/transcriptome/Anopheles_sialome/links/cluster-b/anopheline-sialome-cds-pep-larger-orf35-50SimCLU3.txt", 3)</f>
        <v>3</v>
      </c>
      <c r="BQ242">
        <f>HYPERLINK("http://exon.niaid.nih.gov/transcriptome/Anopheles_sialome/links/cluster-b/anopheline-sialome-cds-pep-larger-orf35-50SimCLTL3.txt", 82)</f>
        <v>82</v>
      </c>
      <c r="BR242">
        <f>HYPERLINK("http://exon.niaid.nih.gov/transcriptome/Anopheles_sialome/links/cluster-b/anopheline-sialome-cds-pep-larger-orf40-50SimCLU3.txt", 3)</f>
        <v>3</v>
      </c>
      <c r="BS242">
        <f>HYPERLINK("http://exon.niaid.nih.gov/transcriptome/Anopheles_sialome/links/cluster-b/anopheline-sialome-cds-pep-larger-orf40-50SimCLTL3.txt", 82)</f>
        <v>82</v>
      </c>
      <c r="BT242">
        <f>HYPERLINK("http://exon.niaid.nih.gov/transcriptome/Anopheles_sialome/links/cluster-b/anopheline-sialome-cds-pep-larger-orf45-50SimCLU2.txt", 2)</f>
        <v>2</v>
      </c>
      <c r="BU242">
        <f>HYPERLINK("http://exon.niaid.nih.gov/transcriptome/Anopheles_sialome/links/cluster-b/anopheline-sialome-cds-pep-larger-orf45-50SimCLTL2.txt", 82)</f>
        <v>82</v>
      </c>
      <c r="BV242">
        <f>HYPERLINK("http://exon.niaid.nih.gov/transcriptome/Anopheles_sialome/links/cluster-b/anopheline-sialome-cds-pep-larger-orf50-50SimCLU2.txt", 2)</f>
        <v>2</v>
      </c>
      <c r="BW242">
        <f>HYPERLINK("http://exon.niaid.nih.gov/transcriptome/Anopheles_sialome/links/cluster-b/anopheline-sialome-cds-pep-larger-orf50-50SimCLTL2.txt", 82)</f>
        <v>82</v>
      </c>
      <c r="BX242">
        <f>HYPERLINK("http://exon.niaid.nih.gov/transcriptome/Anopheles_sialome/links/cluster-b/anopheline-sialome-cds-pep-larger-orf55-50SimCLU2.txt", 2)</f>
        <v>2</v>
      </c>
      <c r="BY242">
        <f>HYPERLINK("http://exon.niaid.nih.gov/transcriptome/Anopheles_sialome/links/cluster-b/anopheline-sialome-cds-pep-larger-orf55-50SimCLTL2.txt", 55)</f>
        <v>55</v>
      </c>
      <c r="BZ242">
        <f>HYPERLINK("http://exon.niaid.nih.gov/transcriptome/Anopheles_sialome/links/cluster-b/anopheline-sialome-cds-pep-larger-orf60-50SimCLU2.txt", 2)</f>
        <v>2</v>
      </c>
      <c r="CA242">
        <f>HYPERLINK("http://exon.niaid.nih.gov/transcriptome/Anopheles_sialome/links/cluster-b/anopheline-sialome-cds-pep-larger-orf60-50SimCLTL2.txt", 54)</f>
        <v>54</v>
      </c>
      <c r="CB242">
        <f>HYPERLINK("http://exon.niaid.nih.gov/transcriptome/Anopheles_sialome/links/cluster-b/anopheline-sialome-cds-pep-larger-orf65-50SimCLU26.txt", 26)</f>
        <v>26</v>
      </c>
      <c r="CC242">
        <f>HYPERLINK("http://exon.niaid.nih.gov/transcriptome/Anopheles_sialome/links/cluster-b/anopheline-sialome-cds-pep-larger-orf65-50SimCLTL26.txt", 15)</f>
        <v>15</v>
      </c>
      <c r="CD242">
        <f>HYPERLINK("http://exon.niaid.nih.gov/transcriptome/Anopheles_sialome/links/cluster-b/anopheline-sialome-cds-pep-larger-orf70-50SimCLU28.txt", 28)</f>
        <v>28</v>
      </c>
      <c r="CE242">
        <f>HYPERLINK("http://exon.niaid.nih.gov/transcriptome/Anopheles_sialome/links/cluster-b/anopheline-sialome-cds-pep-larger-orf70-50SimCLTL28.txt", 14)</f>
        <v>14</v>
      </c>
      <c r="CF242">
        <f>HYPERLINK("http://exon.niaid.nih.gov/transcriptome/Anopheles_sialome/links/cluster-b/anopheline-sialome-cds-pep-larger-orf75-50SimCLU58.txt", 58)</f>
        <v>58</v>
      </c>
      <c r="CG242">
        <f>HYPERLINK("http://exon.niaid.nih.gov/transcriptome/Anopheles_sialome/links/cluster-b/anopheline-sialome-cds-pep-larger-orf75-50SimCLTL58.txt", 2)</f>
        <v>2</v>
      </c>
      <c r="CH242">
        <f>HYPERLINK("http://exon.niaid.nih.gov/transcriptome/Anopheles_sialome/links/cluster-b/anopheline-sialome-cds-pep-larger-orf80-50SimCLU65.txt", 65)</f>
        <v>65</v>
      </c>
      <c r="CI242">
        <f>HYPERLINK("http://exon.niaid.nih.gov/transcriptome/Anopheles_sialome/links/cluster-b/anopheline-sialome-cds-pep-larger-orf80-50SimCLTL65.txt", 2)</f>
        <v>2</v>
      </c>
      <c r="CJ242">
        <v>126</v>
      </c>
      <c r="CK242">
        <v>1</v>
      </c>
      <c r="CL242">
        <v>131</v>
      </c>
      <c r="CM242">
        <v>1</v>
      </c>
      <c r="CN242">
        <v>113</v>
      </c>
      <c r="CO242">
        <v>1</v>
      </c>
    </row>
    <row r="243" spans="1:93">
      <c r="A243" s="2" t="str">
        <f>HYPERLINK("http://exon.niaid.nih.gov/transcriptome/Anopheles_sialome/links/cds/anodir_Ag5r4-cds.txt","anodir_Ag5r4")</f>
        <v>anodir_Ag5r4</v>
      </c>
      <c r="B243">
        <v>798</v>
      </c>
      <c r="C243" t="s">
        <v>54</v>
      </c>
      <c r="D243" t="s">
        <v>7</v>
      </c>
      <c r="E243" t="s">
        <v>5</v>
      </c>
      <c r="F243" t="s">
        <v>1</v>
      </c>
      <c r="G243" t="str">
        <f>HYPERLINK("http://exon.niaid.nih.gov/transcriptome/Anopheles_sialome/links/pep/anodir_Ag5r4-pep.txt","anodir_Ag5r4")</f>
        <v>anodir_Ag5r4</v>
      </c>
      <c r="H243">
        <v>265</v>
      </c>
      <c r="I243">
        <v>0</v>
      </c>
      <c r="J243" s="3" t="str">
        <f>HYPERLINK("http://exon.niaid.nih.gov/transcriptome/Anopheles_sialome/links/Sigp/anodir_Ag5r4-SigP.txt","SIG")</f>
        <v>SIG</v>
      </c>
      <c r="K243" t="s">
        <v>689</v>
      </c>
      <c r="L243">
        <v>29.943000000000001</v>
      </c>
      <c r="M243">
        <v>5.92</v>
      </c>
      <c r="N243">
        <v>27.613</v>
      </c>
      <c r="O243">
        <v>5.8</v>
      </c>
      <c r="P243" t="s">
        <v>847</v>
      </c>
      <c r="Q243" s="3">
        <v>0</v>
      </c>
      <c r="R243" t="s">
        <v>128</v>
      </c>
      <c r="S243" t="s">
        <v>128</v>
      </c>
      <c r="T243" t="s">
        <v>128</v>
      </c>
      <c r="U243" t="s">
        <v>128</v>
      </c>
      <c r="V243" t="s">
        <v>128</v>
      </c>
      <c r="W243" s="3" t="str">
        <f>HYPERLINK("http://exon.niaid.nih.gov/transcriptome/Anopheles_sialome/links/netoglyc/anodir_Ag5r4-netoglyc.txt","0")</f>
        <v>0</v>
      </c>
      <c r="X243">
        <v>13.6</v>
      </c>
      <c r="Y243">
        <v>6.4</v>
      </c>
      <c r="Z243">
        <v>6</v>
      </c>
      <c r="AA243" t="s">
        <v>654</v>
      </c>
      <c r="AB243" t="s">
        <v>128</v>
      </c>
      <c r="AC243" s="2" t="str">
        <f>HYPERLINK("http://exon.niaid.nih.gov/transcriptome/Anopheles_sialome/links/DIPTERA/anodir_Ag5r4-DIPTERA.txt","AGAP006420-PA")</f>
        <v>AGAP006420-PA</v>
      </c>
      <c r="AD243" t="str">
        <f>HYPERLINK("http://www.ncbi.nlm.nih.gov/sutils/blink.cgi?pid=55239188","1E-086")</f>
        <v>1E-086</v>
      </c>
      <c r="AE243" t="str">
        <f t="shared" si="120"/>
        <v>gi|55239188</v>
      </c>
      <c r="AF243">
        <v>58</v>
      </c>
      <c r="AG243">
        <v>70</v>
      </c>
      <c r="AH243">
        <v>101</v>
      </c>
      <c r="AI243" t="s">
        <v>2285</v>
      </c>
      <c r="AJ243" s="2" t="str">
        <f>HYPERLINK("http://exon.niaid.nih.gov/transcriptome/Anopheles_sialome/links/CULICOMORPHA/anodir_Ag5r4-CULICOMORPHA.txt","AGAP006420-PA")</f>
        <v>AGAP006420-PA</v>
      </c>
      <c r="AK243" t="str">
        <f>HYPERLINK("http://www.ncbi.nlm.nih.gov/sutils/blink.cgi?pid=55239188","2E-087")</f>
        <v>2E-087</v>
      </c>
      <c r="AL243" t="str">
        <f t="shared" si="121"/>
        <v>gi|55239188</v>
      </c>
      <c r="AM243">
        <v>58</v>
      </c>
      <c r="AN243">
        <v>70</v>
      </c>
      <c r="AO243">
        <v>101</v>
      </c>
      <c r="AP243" t="s">
        <v>2285</v>
      </c>
      <c r="AQ243" s="2" t="str">
        <f>HYPERLINK("http://exon.niaid.nih.gov/transcriptome/Anopheles_sialome/links/NR-LIGHT/anodir_Ag5r4-NR-LIGHT.txt","AGAP006420-PA")</f>
        <v>AGAP006420-PA</v>
      </c>
      <c r="AR243" t="str">
        <f>HYPERLINK("http://www.ncbi.nlm.nih.gov/sutils/blink.cgi?pid=58388673","3E-086")</f>
        <v>3E-086</v>
      </c>
      <c r="AS243" t="str">
        <f t="shared" si="122"/>
        <v>gi|58388673</v>
      </c>
      <c r="AT243">
        <v>58</v>
      </c>
      <c r="AU243">
        <v>70</v>
      </c>
      <c r="AV243">
        <v>101</v>
      </c>
      <c r="AW243" t="s">
        <v>2285</v>
      </c>
      <c r="AX243" s="2" t="str">
        <f>HYPERLINK("http://exon.niaid.nih.gov/transcriptome/Anopheles_sialome/links/CDD/anodir_Ag5r4-CDD.txt","SCP_euk")</f>
        <v>SCP_euk</v>
      </c>
      <c r="AY243" t="str">
        <f>HYPERLINK("http://www.ncbi.nlm.nih.gov/Structure/cdd/cddsrv.cgi?uid=cd05380&amp;version=v4.0","1E-034")</f>
        <v>1E-034</v>
      </c>
      <c r="AZ243" t="s">
        <v>2375</v>
      </c>
      <c r="BA243" s="2" t="str">
        <f>HYPERLINK("http://exon.niaid.nih.gov/transcriptome/Anopheles_sialome/links/KOG/anodir_Ag5r4-KOG.txt","Defense-related protein containing SCP domain")</f>
        <v>Defense-related protein containing SCP domain</v>
      </c>
      <c r="BB243" t="str">
        <f>HYPERLINK("http://www.ncbi.nlm.nih.gov/Structure/cdd/cddsrv.cgi?uid=KOG3017","8E-027")</f>
        <v>8E-027</v>
      </c>
      <c r="BC243" t="s">
        <v>2304</v>
      </c>
      <c r="BD243" t="str">
        <f>HYPERLINK("http://exon.niaid.nih.gov/transcriptome/Anopheles_sialome/links/KOG/anodir_Ag5r4-KOG.txt","KOG3017")</f>
        <v>KOG3017</v>
      </c>
      <c r="BE243" t="str">
        <f>HYPERLINK("http://exon.niaid.nih.gov/transcriptome/Anopheles_sialome/links/PFAM/anodir_Ag5r4-PFAM.txt","CAP")</f>
        <v>CAP</v>
      </c>
      <c r="BF243" t="str">
        <f>HYPERLINK("http://pfam.sanger.ac.uk/family?acc=PF00188","1E-010")</f>
        <v>1E-010</v>
      </c>
      <c r="BG243" s="2" t="str">
        <f>HYPERLINK("http://exon.niaid.nih.gov/transcriptome/Anopheles_sialome/links/SMART/anodir_Ag5r4-SMART.txt","SCP")</f>
        <v>SCP</v>
      </c>
      <c r="BH243" t="str">
        <f>HYPERLINK("http://smart.embl-heidelberg.de/smart/do_annotation.pl?DOMAIN=SCP&amp;BLAST=DUMMY","3E-024")</f>
        <v>3E-024</v>
      </c>
      <c r="BI243" t="s">
        <v>128</v>
      </c>
      <c r="BJ243" s="2" t="s">
        <v>128</v>
      </c>
      <c r="BK243" t="s">
        <v>846</v>
      </c>
      <c r="BL243">
        <f>HYPERLINK("http://exon.niaid.nih.gov/transcriptome/Anopheles_sialome/links/cluster-b/anopheline-sialome-cds-pep-larger-orf25-50SimCLU4.txt", 4)</f>
        <v>4</v>
      </c>
      <c r="BM243">
        <f>HYPERLINK("http://exon.niaid.nih.gov/transcriptome/Anopheles_sialome/links/cluster-b/anopheline-sialome-cds-pep-larger-orf25-50SimCLTL4.txt", 82)</f>
        <v>82</v>
      </c>
      <c r="BN243">
        <f>HYPERLINK("http://exon.niaid.nih.gov/transcriptome/Anopheles_sialome/links/cluster-b/anopheline-sialome-cds-pep-larger-orf30-50SimCLU4.txt", 4)</f>
        <v>4</v>
      </c>
      <c r="BO243">
        <f>HYPERLINK("http://exon.niaid.nih.gov/transcriptome/Anopheles_sialome/links/cluster-b/anopheline-sialome-cds-pep-larger-orf30-50SimCLTL4.txt", 82)</f>
        <v>82</v>
      </c>
      <c r="BP243">
        <f>HYPERLINK("http://exon.niaid.nih.gov/transcriptome/Anopheles_sialome/links/cluster-b/anopheline-sialome-cds-pep-larger-orf35-50SimCLU3.txt", 3)</f>
        <v>3</v>
      </c>
      <c r="BQ243">
        <f>HYPERLINK("http://exon.niaid.nih.gov/transcriptome/Anopheles_sialome/links/cluster-b/anopheline-sialome-cds-pep-larger-orf35-50SimCLTL3.txt", 82)</f>
        <v>82</v>
      </c>
      <c r="BR243">
        <f>HYPERLINK("http://exon.niaid.nih.gov/transcriptome/Anopheles_sialome/links/cluster-b/anopheline-sialome-cds-pep-larger-orf40-50SimCLU3.txt", 3)</f>
        <v>3</v>
      </c>
      <c r="BS243">
        <f>HYPERLINK("http://exon.niaid.nih.gov/transcriptome/Anopheles_sialome/links/cluster-b/anopheline-sialome-cds-pep-larger-orf40-50SimCLTL3.txt", 82)</f>
        <v>82</v>
      </c>
      <c r="BT243">
        <f>HYPERLINK("http://exon.niaid.nih.gov/transcriptome/Anopheles_sialome/links/cluster-b/anopheline-sialome-cds-pep-larger-orf45-50SimCLU2.txt", 2)</f>
        <v>2</v>
      </c>
      <c r="BU243">
        <f>HYPERLINK("http://exon.niaid.nih.gov/transcriptome/Anopheles_sialome/links/cluster-b/anopheline-sialome-cds-pep-larger-orf45-50SimCLTL2.txt", 82)</f>
        <v>82</v>
      </c>
      <c r="BV243">
        <f>HYPERLINK("http://exon.niaid.nih.gov/transcriptome/Anopheles_sialome/links/cluster-b/anopheline-sialome-cds-pep-larger-orf50-50SimCLU2.txt", 2)</f>
        <v>2</v>
      </c>
      <c r="BW243">
        <f>HYPERLINK("http://exon.niaid.nih.gov/transcriptome/Anopheles_sialome/links/cluster-b/anopheline-sialome-cds-pep-larger-orf50-50SimCLTL2.txt", 82)</f>
        <v>82</v>
      </c>
      <c r="BX243">
        <f>HYPERLINK("http://exon.niaid.nih.gov/transcriptome/Anopheles_sialome/links/cluster-b/anopheline-sialome-cds-pep-larger-orf55-50SimCLU2.txt", 2)</f>
        <v>2</v>
      </c>
      <c r="BY243">
        <f>HYPERLINK("http://exon.niaid.nih.gov/transcriptome/Anopheles_sialome/links/cluster-b/anopheline-sialome-cds-pep-larger-orf55-50SimCLTL2.txt", 55)</f>
        <v>55</v>
      </c>
      <c r="BZ243">
        <f>HYPERLINK("http://exon.niaid.nih.gov/transcriptome/Anopheles_sialome/links/cluster-b/anopheline-sialome-cds-pep-larger-orf60-50SimCLU2.txt", 2)</f>
        <v>2</v>
      </c>
      <c r="CA243">
        <f>HYPERLINK("http://exon.niaid.nih.gov/transcriptome/Anopheles_sialome/links/cluster-b/anopheline-sialome-cds-pep-larger-orf60-50SimCLTL2.txt", 54)</f>
        <v>54</v>
      </c>
      <c r="CB243">
        <f>HYPERLINK("http://exon.niaid.nih.gov/transcriptome/Anopheles_sialome/links/cluster-b/anopheline-sialome-cds-pep-larger-orf65-50SimCLU26.txt", 26)</f>
        <v>26</v>
      </c>
      <c r="CC243">
        <f>HYPERLINK("http://exon.niaid.nih.gov/transcriptome/Anopheles_sialome/links/cluster-b/anopheline-sialome-cds-pep-larger-orf65-50SimCLTL26.txt", 15)</f>
        <v>15</v>
      </c>
      <c r="CD243">
        <f>HYPERLINK("http://exon.niaid.nih.gov/transcriptome/Anopheles_sialome/links/cluster-b/anopheline-sialome-cds-pep-larger-orf70-50SimCLU28.txt", 28)</f>
        <v>28</v>
      </c>
      <c r="CE243">
        <f>HYPERLINK("http://exon.niaid.nih.gov/transcriptome/Anopheles_sialome/links/cluster-b/anopheline-sialome-cds-pep-larger-orf70-50SimCLTL28.txt", 14)</f>
        <v>14</v>
      </c>
      <c r="CF243">
        <f>HYPERLINK("http://exon.niaid.nih.gov/transcriptome/Anopheles_sialome/links/cluster-b/anopheline-sialome-cds-pep-larger-orf75-50SimCLU58.txt", 58)</f>
        <v>58</v>
      </c>
      <c r="CG243">
        <f>HYPERLINK("http://exon.niaid.nih.gov/transcriptome/Anopheles_sialome/links/cluster-b/anopheline-sialome-cds-pep-larger-orf75-50SimCLTL58.txt", 2)</f>
        <v>2</v>
      </c>
      <c r="CH243">
        <f>HYPERLINK("http://exon.niaid.nih.gov/transcriptome/Anopheles_sialome/links/cluster-b/anopheline-sialome-cds-pep-larger-orf80-50SimCLU65.txt", 65)</f>
        <v>65</v>
      </c>
      <c r="CI243">
        <f>HYPERLINK("http://exon.niaid.nih.gov/transcriptome/Anopheles_sialome/links/cluster-b/anopheline-sialome-cds-pep-larger-orf80-50SimCLTL65.txt", 2)</f>
        <v>2</v>
      </c>
      <c r="CJ243">
        <v>127</v>
      </c>
      <c r="CK243">
        <v>1</v>
      </c>
      <c r="CL243">
        <v>132</v>
      </c>
      <c r="CM243">
        <v>1</v>
      </c>
      <c r="CN243">
        <v>114</v>
      </c>
      <c r="CO243">
        <v>1</v>
      </c>
    </row>
    <row r="244" spans="1:93">
      <c r="A244" s="2" t="str">
        <f>HYPERLINK("http://exon.niaid.nih.gov/transcriptome/Anopheles_sialome/links/cds/anosin_Ag5r4-cds.txt","anosin_Ag5r4")</f>
        <v>anosin_Ag5r4</v>
      </c>
      <c r="B244">
        <v>789</v>
      </c>
      <c r="C244" t="s">
        <v>85</v>
      </c>
      <c r="D244" t="s">
        <v>7</v>
      </c>
      <c r="E244" t="s">
        <v>5</v>
      </c>
      <c r="F244" t="s">
        <v>1</v>
      </c>
      <c r="G244" t="str">
        <f>HYPERLINK("http://exon.niaid.nih.gov/transcriptome/Anopheles_sialome/links/pep/anosin_Ag5r4-pep.txt","anosin_Ag5r4")</f>
        <v>anosin_Ag5r4</v>
      </c>
      <c r="H244">
        <v>262</v>
      </c>
      <c r="I244">
        <v>0</v>
      </c>
      <c r="J244" s="3" t="str">
        <f>HYPERLINK("http://exon.niaid.nih.gov/transcriptome/Anopheles_sialome/links/Sigp/anosin_Ag5r4-SigP.txt","SIG")</f>
        <v>SIG</v>
      </c>
      <c r="K244" t="s">
        <v>652</v>
      </c>
      <c r="L244">
        <v>29.436</v>
      </c>
      <c r="M244">
        <v>7.55</v>
      </c>
      <c r="N244">
        <v>27.526</v>
      </c>
      <c r="O244">
        <v>7.69</v>
      </c>
      <c r="P244" t="s">
        <v>849</v>
      </c>
      <c r="Q244" s="3">
        <v>0</v>
      </c>
      <c r="R244" t="s">
        <v>128</v>
      </c>
      <c r="S244" t="s">
        <v>128</v>
      </c>
      <c r="T244" t="s">
        <v>128</v>
      </c>
      <c r="U244" t="s">
        <v>128</v>
      </c>
      <c r="V244" t="s">
        <v>128</v>
      </c>
      <c r="W244" s="3" t="str">
        <f>HYPERLINK("http://exon.niaid.nih.gov/transcriptome/Anopheles_sialome/links/netoglyc/anosin_Ag5r4-netoglyc.txt","2")</f>
        <v>2</v>
      </c>
      <c r="X244">
        <v>13</v>
      </c>
      <c r="Y244">
        <v>6.9</v>
      </c>
      <c r="Z244">
        <v>5</v>
      </c>
      <c r="AA244" t="s">
        <v>654</v>
      </c>
      <c r="AB244" t="s">
        <v>128</v>
      </c>
      <c r="AC244" s="2" t="str">
        <f>HYPERLINK("http://exon.niaid.nih.gov/transcriptome/Anopheles_sialome/links/DIPTERA/anosin_Ag5r4-DIPTERA.txt","AGAP006420-PA-like protein")</f>
        <v>AGAP006420-PA-like protein</v>
      </c>
      <c r="AD244" t="str">
        <f>HYPERLINK("http://www.ncbi.nlm.nih.gov/sutils/blink.cgi?pid=668445333","1E-097")</f>
        <v>1E-097</v>
      </c>
      <c r="AE244" t="str">
        <f>HYPERLINK("http://www.ncbi.nlm.nih.gov/protein/668445333","gi|668445333")</f>
        <v>gi|668445333</v>
      </c>
      <c r="AF244">
        <v>97</v>
      </c>
      <c r="AG244">
        <v>98</v>
      </c>
      <c r="AH244">
        <v>100</v>
      </c>
      <c r="AI244" t="s">
        <v>2277</v>
      </c>
      <c r="AJ244" s="2" t="str">
        <f>HYPERLINK("http://exon.niaid.nih.gov/transcriptome/Anopheles_sialome/links/CULICOMORPHA/anosin_Ag5r4-CULICOMORPHA.txt","AGAP006420-PA-like protein")</f>
        <v>AGAP006420-PA-like protein</v>
      </c>
      <c r="AK244" t="str">
        <f>HYPERLINK("http://www.ncbi.nlm.nih.gov/sutils/blink.cgi?pid=668445333","3E-098")</f>
        <v>3E-098</v>
      </c>
      <c r="AL244" t="str">
        <f>HYPERLINK("http://www.ncbi.nlm.nih.gov/protein/668445333","gi|668445333")</f>
        <v>gi|668445333</v>
      </c>
      <c r="AM244">
        <v>97</v>
      </c>
      <c r="AN244">
        <v>98</v>
      </c>
      <c r="AO244">
        <v>100</v>
      </c>
      <c r="AP244" t="s">
        <v>2277</v>
      </c>
      <c r="AQ244" s="2" t="str">
        <f>HYPERLINK("http://exon.niaid.nih.gov/transcriptome/Anopheles_sialome/links/NR-LIGHT/anosin_Ag5r4-NR-LIGHT.txt","AGAP006420-PA-like protein")</f>
        <v>AGAP006420-PA-like protein</v>
      </c>
      <c r="AR244" t="str">
        <f>HYPERLINK("http://www.ncbi.nlm.nih.gov/sutils/blink.cgi?pid=668445333","4E-097")</f>
        <v>4E-097</v>
      </c>
      <c r="AS244" t="str">
        <f>HYPERLINK("http://www.ncbi.nlm.nih.gov/protein/668445333","gi|668445333")</f>
        <v>gi|668445333</v>
      </c>
      <c r="AT244">
        <v>97</v>
      </c>
      <c r="AU244">
        <v>98</v>
      </c>
      <c r="AV244">
        <v>100</v>
      </c>
      <c r="AW244" t="s">
        <v>2277</v>
      </c>
      <c r="AX244" s="2" t="str">
        <f>HYPERLINK("http://exon.niaid.nih.gov/transcriptome/Anopheles_sialome/links/CDD/anosin_Ag5r4-CDD.txt","SCP_euk")</f>
        <v>SCP_euk</v>
      </c>
      <c r="AY244" t="str">
        <f>HYPERLINK("http://www.ncbi.nlm.nih.gov/Structure/cdd/cddsrv.cgi?uid=cd05380&amp;version=v4.0","2E-035")</f>
        <v>2E-035</v>
      </c>
      <c r="AZ244" t="s">
        <v>2376</v>
      </c>
      <c r="BA244" s="2" t="str">
        <f>HYPERLINK("http://exon.niaid.nih.gov/transcriptome/Anopheles_sialome/links/KOG/anosin_Ag5r4-KOG.txt","Defense-related protein containing SCP domain")</f>
        <v>Defense-related protein containing SCP domain</v>
      </c>
      <c r="BB244" t="str">
        <f>HYPERLINK("http://www.ncbi.nlm.nih.gov/Structure/cdd/cddsrv.cgi?uid=KOG3017","4E-031")</f>
        <v>4E-031</v>
      </c>
      <c r="BC244" t="s">
        <v>2304</v>
      </c>
      <c r="BD244" t="str">
        <f>HYPERLINK("http://exon.niaid.nih.gov/transcriptome/Anopheles_sialome/links/KOG/anosin_Ag5r4-KOG.txt","KOG3017")</f>
        <v>KOG3017</v>
      </c>
      <c r="BE244" t="str">
        <f>HYPERLINK("http://exon.niaid.nih.gov/transcriptome/Anopheles_sialome/links/PFAM/anosin_Ag5r4-PFAM.txt","CAP")</f>
        <v>CAP</v>
      </c>
      <c r="BF244" t="str">
        <f>HYPERLINK("http://pfam.sanger.ac.uk/family?acc=PF00188","5E-012")</f>
        <v>5E-012</v>
      </c>
      <c r="BG244" s="2" t="str">
        <f>HYPERLINK("http://exon.niaid.nih.gov/transcriptome/Anopheles_sialome/links/SMART/anosin_Ag5r4-SMART.txt","SCP")</f>
        <v>SCP</v>
      </c>
      <c r="BH244" t="str">
        <f>HYPERLINK("http://smart.embl-heidelberg.de/smart/do_annotation.pl?DOMAIN=SCP&amp;BLAST=DUMMY","1E-024")</f>
        <v>1E-024</v>
      </c>
      <c r="BI244" t="s">
        <v>128</v>
      </c>
      <c r="BJ244" s="2" t="s">
        <v>128</v>
      </c>
      <c r="BK244" t="s">
        <v>848</v>
      </c>
      <c r="BL244">
        <f>HYPERLINK("http://exon.niaid.nih.gov/transcriptome/Anopheles_sialome/links/cluster-b/anopheline-sialome-cds-pep-larger-orf25-50SimCLU4.txt", 4)</f>
        <v>4</v>
      </c>
      <c r="BM244">
        <f>HYPERLINK("http://exon.niaid.nih.gov/transcriptome/Anopheles_sialome/links/cluster-b/anopheline-sialome-cds-pep-larger-orf25-50SimCLTL4.txt", 82)</f>
        <v>82</v>
      </c>
      <c r="BN244">
        <f>HYPERLINK("http://exon.niaid.nih.gov/transcriptome/Anopheles_sialome/links/cluster-b/anopheline-sialome-cds-pep-larger-orf30-50SimCLU4.txt", 4)</f>
        <v>4</v>
      </c>
      <c r="BO244">
        <f>HYPERLINK("http://exon.niaid.nih.gov/transcriptome/Anopheles_sialome/links/cluster-b/anopheline-sialome-cds-pep-larger-orf30-50SimCLTL4.txt", 82)</f>
        <v>82</v>
      </c>
      <c r="BP244">
        <f>HYPERLINK("http://exon.niaid.nih.gov/transcriptome/Anopheles_sialome/links/cluster-b/anopheline-sialome-cds-pep-larger-orf35-50SimCLU3.txt", 3)</f>
        <v>3</v>
      </c>
      <c r="BQ244">
        <f>HYPERLINK("http://exon.niaid.nih.gov/transcriptome/Anopheles_sialome/links/cluster-b/anopheline-sialome-cds-pep-larger-orf35-50SimCLTL3.txt", 82)</f>
        <v>82</v>
      </c>
      <c r="BR244">
        <f>HYPERLINK("http://exon.niaid.nih.gov/transcriptome/Anopheles_sialome/links/cluster-b/anopheline-sialome-cds-pep-larger-orf40-50SimCLU3.txt", 3)</f>
        <v>3</v>
      </c>
      <c r="BS244">
        <f>HYPERLINK("http://exon.niaid.nih.gov/transcriptome/Anopheles_sialome/links/cluster-b/anopheline-sialome-cds-pep-larger-orf40-50SimCLTL3.txt", 82)</f>
        <v>82</v>
      </c>
      <c r="BT244">
        <f>HYPERLINK("http://exon.niaid.nih.gov/transcriptome/Anopheles_sialome/links/cluster-b/anopheline-sialome-cds-pep-larger-orf45-50SimCLU2.txt", 2)</f>
        <v>2</v>
      </c>
      <c r="BU244">
        <f>HYPERLINK("http://exon.niaid.nih.gov/transcriptome/Anopheles_sialome/links/cluster-b/anopheline-sialome-cds-pep-larger-orf45-50SimCLTL2.txt", 82)</f>
        <v>82</v>
      </c>
      <c r="BV244">
        <f>HYPERLINK("http://exon.niaid.nih.gov/transcriptome/Anopheles_sialome/links/cluster-b/anopheline-sialome-cds-pep-larger-orf50-50SimCLU2.txt", 2)</f>
        <v>2</v>
      </c>
      <c r="BW244">
        <f>HYPERLINK("http://exon.niaid.nih.gov/transcriptome/Anopheles_sialome/links/cluster-b/anopheline-sialome-cds-pep-larger-orf50-50SimCLTL2.txt", 82)</f>
        <v>82</v>
      </c>
      <c r="BX244">
        <f>HYPERLINK("http://exon.niaid.nih.gov/transcriptome/Anopheles_sialome/links/cluster-b/anopheline-sialome-cds-pep-larger-orf55-50SimCLU2.txt", 2)</f>
        <v>2</v>
      </c>
      <c r="BY244">
        <f>HYPERLINK("http://exon.niaid.nih.gov/transcriptome/Anopheles_sialome/links/cluster-b/anopheline-sialome-cds-pep-larger-orf55-50SimCLTL2.txt", 55)</f>
        <v>55</v>
      </c>
      <c r="BZ244">
        <f>HYPERLINK("http://exon.niaid.nih.gov/transcriptome/Anopheles_sialome/links/cluster-b/anopheline-sialome-cds-pep-larger-orf60-50SimCLU2.txt", 2)</f>
        <v>2</v>
      </c>
      <c r="CA244">
        <f>HYPERLINK("http://exon.niaid.nih.gov/transcriptome/Anopheles_sialome/links/cluster-b/anopheline-sialome-cds-pep-larger-orf60-50SimCLTL2.txt", 54)</f>
        <v>54</v>
      </c>
      <c r="CB244">
        <f>HYPERLINK("http://exon.niaid.nih.gov/transcriptome/Anopheles_sialome/links/cluster-b/anopheline-sialome-cds-pep-larger-orf65-50SimCLU26.txt", 26)</f>
        <v>26</v>
      </c>
      <c r="CC244">
        <f>HYPERLINK("http://exon.niaid.nih.gov/transcriptome/Anopheles_sialome/links/cluster-b/anopheline-sialome-cds-pep-larger-orf65-50SimCLTL26.txt", 15)</f>
        <v>15</v>
      </c>
      <c r="CD244">
        <v>75</v>
      </c>
      <c r="CE244">
        <v>1</v>
      </c>
      <c r="CF244">
        <v>95</v>
      </c>
      <c r="CG244">
        <v>1</v>
      </c>
      <c r="CH244">
        <v>116</v>
      </c>
      <c r="CI244">
        <v>1</v>
      </c>
      <c r="CJ244">
        <v>128</v>
      </c>
      <c r="CK244">
        <v>1</v>
      </c>
      <c r="CL244">
        <v>133</v>
      </c>
      <c r="CM244">
        <v>1</v>
      </c>
      <c r="CN244">
        <v>115</v>
      </c>
      <c r="CO244">
        <v>1</v>
      </c>
    </row>
    <row r="245" spans="1:93">
      <c r="A245" s="5" t="s">
        <v>3195</v>
      </c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</row>
    <row r="246" spans="1:93">
      <c r="A246" s="2" t="str">
        <f>HYPERLINK("http://exon.niaid.nih.gov/transcriptome/Anopheles_sialome/links/cds/anoga_Ag5r5-cds.txt","anoga_Ag5r5")</f>
        <v>anoga_Ag5r5</v>
      </c>
      <c r="B246">
        <v>801</v>
      </c>
      <c r="C246" t="s">
        <v>86</v>
      </c>
      <c r="D246" t="s">
        <v>4</v>
      </c>
      <c r="E246" t="s">
        <v>5</v>
      </c>
      <c r="F246" t="s">
        <v>1</v>
      </c>
      <c r="G246" t="str">
        <f>HYPERLINK("http://exon.niaid.nih.gov/transcriptome/Anopheles_sialome/links/pep/anoga_Ag5r5-pep.txt","anoga_Ag5r5")</f>
        <v>anoga_Ag5r5</v>
      </c>
      <c r="H246">
        <v>266</v>
      </c>
      <c r="I246">
        <v>0</v>
      </c>
      <c r="J246" s="3" t="str">
        <f>HYPERLINK("http://exon.niaid.nih.gov/transcriptome/Anopheles_sialome/links/Sigp/anoga_Ag5r5-SigP.txt","SIG")</f>
        <v>SIG</v>
      </c>
      <c r="K246" t="s">
        <v>695</v>
      </c>
      <c r="L246">
        <v>29.306999999999999</v>
      </c>
      <c r="M246">
        <v>6.07</v>
      </c>
      <c r="N246">
        <v>26.712</v>
      </c>
      <c r="O246">
        <v>6.12</v>
      </c>
      <c r="P246" t="s">
        <v>851</v>
      </c>
      <c r="Q246" s="3">
        <v>0</v>
      </c>
      <c r="R246" t="s">
        <v>128</v>
      </c>
      <c r="S246" t="s">
        <v>128</v>
      </c>
      <c r="T246" t="s">
        <v>128</v>
      </c>
      <c r="U246" t="s">
        <v>128</v>
      </c>
      <c r="V246" t="s">
        <v>128</v>
      </c>
      <c r="W246" s="3" t="str">
        <f>HYPERLINK("http://exon.niaid.nih.gov/transcriptome/Anopheles_sialome/links/netoglyc/anoga_Ag5r5-netoglyc.txt","3")</f>
        <v>3</v>
      </c>
      <c r="X246">
        <v>16.5</v>
      </c>
      <c r="Y246">
        <v>6</v>
      </c>
      <c r="Z246">
        <v>7.5</v>
      </c>
      <c r="AA246" t="s">
        <v>654</v>
      </c>
      <c r="AB246" t="s">
        <v>128</v>
      </c>
      <c r="AC246" s="2" t="str">
        <f>HYPERLINK("http://exon.niaid.nih.gov/transcriptome/Anopheles_sialome/links/DIPTERA/anoga_Ag5r5-DIPTERA.txt","AGAP006418-PA")</f>
        <v>AGAP006418-PA</v>
      </c>
      <c r="AD246" t="str">
        <f>HYPERLINK("http://www.ncbi.nlm.nih.gov/sutils/blink.cgi?pid=55239186","1E-160")</f>
        <v>1E-160</v>
      </c>
      <c r="AE246" t="str">
        <f t="shared" ref="AE246:AE251" si="123">HYPERLINK("http://www.ncbi.nlm.nih.gov/protein/55239186","gi|55239186")</f>
        <v>gi|55239186</v>
      </c>
      <c r="AF246">
        <v>100</v>
      </c>
      <c r="AG246">
        <v>100</v>
      </c>
      <c r="AH246">
        <v>100</v>
      </c>
      <c r="AI246" t="s">
        <v>2285</v>
      </c>
      <c r="AJ246" s="2" t="str">
        <f>HYPERLINK("http://exon.niaid.nih.gov/transcriptome/Anopheles_sialome/links/CULICOMORPHA/anoga_Ag5r5-CULICOMORPHA.txt","AGAP006418-PA")</f>
        <v>AGAP006418-PA</v>
      </c>
      <c r="AK246" t="str">
        <f>HYPERLINK("http://www.ncbi.nlm.nih.gov/sutils/blink.cgi?pid=55239186","1E-161")</f>
        <v>1E-161</v>
      </c>
      <c r="AL246" t="str">
        <f t="shared" ref="AL246:AL251" si="124">HYPERLINK("http://www.ncbi.nlm.nih.gov/protein/55239186","gi|55239186")</f>
        <v>gi|55239186</v>
      </c>
      <c r="AM246">
        <v>100</v>
      </c>
      <c r="AN246">
        <v>100</v>
      </c>
      <c r="AO246">
        <v>100</v>
      </c>
      <c r="AP246" t="s">
        <v>2285</v>
      </c>
      <c r="AQ246" s="2" t="str">
        <f>HYPERLINK("http://exon.niaid.nih.gov/transcriptome/Anopheles_sialome/links/NR-LIGHT/anoga_Ag5r5-NR-LIGHT.txt","AGAP006418-PA")</f>
        <v>AGAP006418-PA</v>
      </c>
      <c r="AR246" t="str">
        <f>HYPERLINK("http://www.ncbi.nlm.nih.gov/sutils/blink.cgi?pid=58388669","1E-160")</f>
        <v>1E-160</v>
      </c>
      <c r="AS246" t="str">
        <f t="shared" ref="AS246:AS251" si="125">HYPERLINK("http://www.ncbi.nlm.nih.gov/protein/58388669","gi|58388669")</f>
        <v>gi|58388669</v>
      </c>
      <c r="AT246">
        <v>100</v>
      </c>
      <c r="AU246">
        <v>100</v>
      </c>
      <c r="AV246">
        <v>100</v>
      </c>
      <c r="AW246" t="s">
        <v>2285</v>
      </c>
      <c r="AX246" s="2" t="str">
        <f>HYPERLINK("http://exon.niaid.nih.gov/transcriptome/Anopheles_sialome/links/CDD/anoga_Ag5r5-CDD.txt","SCP_euk")</f>
        <v>SCP_euk</v>
      </c>
      <c r="AY246" t="str">
        <f>HYPERLINK("http://www.ncbi.nlm.nih.gov/Structure/cdd/cddsrv.cgi?uid=cd05380&amp;version=v4.0","1E-039")</f>
        <v>1E-039</v>
      </c>
      <c r="AZ246" t="s">
        <v>2377</v>
      </c>
      <c r="BA246" s="2" t="str">
        <f>HYPERLINK("http://exon.niaid.nih.gov/transcriptome/Anopheles_sialome/links/KOG/anoga_Ag5r5-KOG.txt","Defense-related protein containing SCP domain")</f>
        <v>Defense-related protein containing SCP domain</v>
      </c>
      <c r="BB246" t="str">
        <f>HYPERLINK("http://www.ncbi.nlm.nih.gov/Structure/cdd/cddsrv.cgi?uid=KOG3017","6E-032")</f>
        <v>6E-032</v>
      </c>
      <c r="BC246" t="s">
        <v>2304</v>
      </c>
      <c r="BD246" t="str">
        <f>HYPERLINK("http://exon.niaid.nih.gov/transcriptome/Anopheles_sialome/links/KOG/anoga_Ag5r5-KOG.txt","KOG3017")</f>
        <v>KOG3017</v>
      </c>
      <c r="BE246" t="str">
        <f>HYPERLINK("http://exon.niaid.nih.gov/transcriptome/Anopheles_sialome/links/PFAM/anoga_Ag5r5-PFAM.txt","CAP")</f>
        <v>CAP</v>
      </c>
      <c r="BF246" t="str">
        <f>HYPERLINK("http://pfam.sanger.ac.uk/family?acc=PF00188","3E-014")</f>
        <v>3E-014</v>
      </c>
      <c r="BG246" s="2" t="str">
        <f>HYPERLINK("http://exon.niaid.nih.gov/transcriptome/Anopheles_sialome/links/SMART/anoga_Ag5r5-SMART.txt","SCP")</f>
        <v>SCP</v>
      </c>
      <c r="BH246" t="str">
        <f>HYPERLINK("http://smart.embl-heidelberg.de/smart/do_annotation.pl?DOMAIN=SCP&amp;BLAST=DUMMY","4E-028")</f>
        <v>4E-028</v>
      </c>
      <c r="BI246" t="s">
        <v>128</v>
      </c>
      <c r="BJ246" s="2" t="s">
        <v>128</v>
      </c>
      <c r="BK246" t="s">
        <v>850</v>
      </c>
      <c r="BL246">
        <f>HYPERLINK("http://exon.niaid.nih.gov/transcriptome/Anopheles_sialome/links/cluster-b/anopheline-sialome-cds-pep-larger-orf25-50SimCLU4.txt", 4)</f>
        <v>4</v>
      </c>
      <c r="BM246">
        <f>HYPERLINK("http://exon.niaid.nih.gov/transcriptome/Anopheles_sialome/links/cluster-b/anopheline-sialome-cds-pep-larger-orf25-50SimCLTL4.txt", 82)</f>
        <v>82</v>
      </c>
      <c r="BN246">
        <f>HYPERLINK("http://exon.niaid.nih.gov/transcriptome/Anopheles_sialome/links/cluster-b/anopheline-sialome-cds-pep-larger-orf30-50SimCLU4.txt", 4)</f>
        <v>4</v>
      </c>
      <c r="BO246">
        <f>HYPERLINK("http://exon.niaid.nih.gov/transcriptome/Anopheles_sialome/links/cluster-b/anopheline-sialome-cds-pep-larger-orf30-50SimCLTL4.txt", 82)</f>
        <v>82</v>
      </c>
      <c r="BP246">
        <f>HYPERLINK("http://exon.niaid.nih.gov/transcriptome/Anopheles_sialome/links/cluster-b/anopheline-sialome-cds-pep-larger-orf35-50SimCLU3.txt", 3)</f>
        <v>3</v>
      </c>
      <c r="BQ246">
        <f>HYPERLINK("http://exon.niaid.nih.gov/transcriptome/Anopheles_sialome/links/cluster-b/anopheline-sialome-cds-pep-larger-orf35-50SimCLTL3.txt", 82)</f>
        <v>82</v>
      </c>
      <c r="BR246">
        <f>HYPERLINK("http://exon.niaid.nih.gov/transcriptome/Anopheles_sialome/links/cluster-b/anopheline-sialome-cds-pep-larger-orf40-50SimCLU3.txt", 3)</f>
        <v>3</v>
      </c>
      <c r="BS246">
        <f>HYPERLINK("http://exon.niaid.nih.gov/transcriptome/Anopheles_sialome/links/cluster-b/anopheline-sialome-cds-pep-larger-orf40-50SimCLTL3.txt", 82)</f>
        <v>82</v>
      </c>
      <c r="BT246">
        <f>HYPERLINK("http://exon.niaid.nih.gov/transcriptome/Anopheles_sialome/links/cluster-b/anopheline-sialome-cds-pep-larger-orf45-50SimCLU2.txt", 2)</f>
        <v>2</v>
      </c>
      <c r="BU246">
        <f>HYPERLINK("http://exon.niaid.nih.gov/transcriptome/Anopheles_sialome/links/cluster-b/anopheline-sialome-cds-pep-larger-orf45-50SimCLTL2.txt", 82)</f>
        <v>82</v>
      </c>
      <c r="BV246">
        <f>HYPERLINK("http://exon.niaid.nih.gov/transcriptome/Anopheles_sialome/links/cluster-b/anopheline-sialome-cds-pep-larger-orf50-50SimCLU2.txt", 2)</f>
        <v>2</v>
      </c>
      <c r="BW246">
        <f>HYPERLINK("http://exon.niaid.nih.gov/transcriptome/Anopheles_sialome/links/cluster-b/anopheline-sialome-cds-pep-larger-orf50-50SimCLTL2.txt", 82)</f>
        <v>82</v>
      </c>
      <c r="BX246">
        <f>HYPERLINK("http://exon.niaid.nih.gov/transcriptome/Anopheles_sialome/links/cluster-b/anopheline-sialome-cds-pep-larger-orf55-50SimCLU2.txt", 2)</f>
        <v>2</v>
      </c>
      <c r="BY246">
        <f>HYPERLINK("http://exon.niaid.nih.gov/transcriptome/Anopheles_sialome/links/cluster-b/anopheline-sialome-cds-pep-larger-orf55-50SimCLTL2.txt", 55)</f>
        <v>55</v>
      </c>
      <c r="BZ246">
        <f>HYPERLINK("http://exon.niaid.nih.gov/transcriptome/Anopheles_sialome/links/cluster-b/anopheline-sialome-cds-pep-larger-orf60-50SimCLU2.txt", 2)</f>
        <v>2</v>
      </c>
      <c r="CA246">
        <f>HYPERLINK("http://exon.niaid.nih.gov/transcriptome/Anopheles_sialome/links/cluster-b/anopheline-sialome-cds-pep-larger-orf60-50SimCLTL2.txt", 54)</f>
        <v>54</v>
      </c>
      <c r="CB246">
        <f>HYPERLINK("http://exon.niaid.nih.gov/transcriptome/Anopheles_sialome/links/cluster-b/anopheline-sialome-cds-pep-larger-orf65-50SimCLU7.txt", 7)</f>
        <v>7</v>
      </c>
      <c r="CC246">
        <f>HYPERLINK("http://exon.niaid.nih.gov/transcriptome/Anopheles_sialome/links/cluster-b/anopheline-sialome-cds-pep-larger-orf65-50SimCLTL7.txt", 21)</f>
        <v>21</v>
      </c>
      <c r="CD246">
        <f>HYPERLINK("http://exon.niaid.nih.gov/transcriptome/Anopheles_sialome/links/cluster-b/anopheline-sialome-cds-pep-larger-orf70-50SimCLU8.txt", 8)</f>
        <v>8</v>
      </c>
      <c r="CE246">
        <f>HYPERLINK("http://exon.niaid.nih.gov/transcriptome/Anopheles_sialome/links/cluster-b/anopheline-sialome-cds-pep-larger-orf70-50SimCLTL8.txt", 19)</f>
        <v>19</v>
      </c>
      <c r="CF246">
        <f>HYPERLINK("http://exon.niaid.nih.gov/transcriptome/Anopheles_sialome/links/cluster-b/anopheline-sialome-cds-pep-larger-orf75-50SimCLU11.txt", 11)</f>
        <v>11</v>
      </c>
      <c r="CG246">
        <f>HYPERLINK("http://exon.niaid.nih.gov/transcriptome/Anopheles_sialome/links/cluster-b/anopheline-sialome-cds-pep-larger-orf75-50SimCLTL11.txt", 17)</f>
        <v>17</v>
      </c>
      <c r="CH246">
        <f>HYPERLINK("http://exon.niaid.nih.gov/transcriptome/Anopheles_sialome/links/cluster-b/anopheline-sialome-cds-pep-larger-orf80-50SimCLU8.txt", 8)</f>
        <v>8</v>
      </c>
      <c r="CI246">
        <f>HYPERLINK("http://exon.niaid.nih.gov/transcriptome/Anopheles_sialome/links/cluster-b/anopheline-sialome-cds-pep-larger-orf80-50SimCLTL8.txt", 17)</f>
        <v>17</v>
      </c>
      <c r="CJ246">
        <f>HYPERLINK("http://exon.niaid.nih.gov/transcriptome/Anopheles_sialome/links/cluster-b/anopheline-sialome-cds-pep-larger-orf85-50SimCLU27.txt", 27)</f>
        <v>27</v>
      </c>
      <c r="CK246">
        <f>HYPERLINK("http://exon.niaid.nih.gov/transcriptome/Anopheles_sialome/links/cluster-b/anopheline-sialome-cds-pep-larger-orf85-50SimCLTL27.txt", 6)</f>
        <v>6</v>
      </c>
      <c r="CL246">
        <f>HYPERLINK("http://exon.niaid.nih.gov/transcriptome/Anopheles_sialome/links/cluster-b/anopheline-sialome-cds-pep-larger-orf90-50SimCLU18.txt", 18)</f>
        <v>18</v>
      </c>
      <c r="CM246">
        <f>HYPERLINK("http://exon.niaid.nih.gov/transcriptome/Anopheles_sialome/links/cluster-b/anopheline-sialome-cds-pep-larger-orf90-50SimCLTL18.txt", 6)</f>
        <v>6</v>
      </c>
      <c r="CN246">
        <f>HYPERLINK("http://exon.niaid.nih.gov/transcriptome/Anopheles_sialome/links/cluster-b/anopheline-sialome-cds-pep-larger-orf95-50SimCLU4.txt", 4)</f>
        <v>4</v>
      </c>
      <c r="CO246">
        <f>HYPERLINK("http://exon.niaid.nih.gov/transcriptome/Anopheles_sialome/links/cluster-b/anopheline-sialome-cds-pep-larger-orf95-50SimCLTL4.txt", 6)</f>
        <v>6</v>
      </c>
    </row>
    <row r="247" spans="1:93">
      <c r="A247" s="2" t="str">
        <f>HYPERLINK("http://exon.niaid.nih.gov/transcriptome/Anopheles_sialome/links/cds/anocol_Ag5r5-cds.txt","anocol_Ag5r5")</f>
        <v>anocol_Ag5r5</v>
      </c>
      <c r="B247">
        <v>801</v>
      </c>
      <c r="C247" t="s">
        <v>59</v>
      </c>
      <c r="D247" t="s">
        <v>7</v>
      </c>
      <c r="E247" t="s">
        <v>5</v>
      </c>
      <c r="F247" t="s">
        <v>1</v>
      </c>
      <c r="G247" t="str">
        <f>HYPERLINK("http://exon.niaid.nih.gov/transcriptome/Anopheles_sialome/links/pep/anocol_Ag5r5-pep.txt","anocol_Ag5r5")</f>
        <v>anocol_Ag5r5</v>
      </c>
      <c r="H247">
        <v>266</v>
      </c>
      <c r="I247">
        <v>0</v>
      </c>
      <c r="J247" s="3" t="str">
        <f>HYPERLINK("http://exon.niaid.nih.gov/transcriptome/Anopheles_sialome/links/Sigp/anocol_Ag5r5-SigP.txt","SIG")</f>
        <v>SIG</v>
      </c>
      <c r="K247" t="s">
        <v>695</v>
      </c>
      <c r="L247">
        <v>29.15</v>
      </c>
      <c r="M247">
        <v>6.21</v>
      </c>
      <c r="N247">
        <v>26.698</v>
      </c>
      <c r="O247">
        <v>6.12</v>
      </c>
      <c r="P247" t="s">
        <v>853</v>
      </c>
      <c r="Q247" s="3">
        <v>0</v>
      </c>
      <c r="R247" t="s">
        <v>128</v>
      </c>
      <c r="S247" t="s">
        <v>128</v>
      </c>
      <c r="T247" t="s">
        <v>128</v>
      </c>
      <c r="U247" t="s">
        <v>128</v>
      </c>
      <c r="V247" t="s">
        <v>128</v>
      </c>
      <c r="W247" s="3" t="str">
        <f>HYPERLINK("http://exon.niaid.nih.gov/transcriptome/Anopheles_sialome/links/netoglyc/anocol_Ag5r5-netoglyc.txt","2")</f>
        <v>2</v>
      </c>
      <c r="X247">
        <v>16.5</v>
      </c>
      <c r="Y247">
        <v>6.4</v>
      </c>
      <c r="Z247">
        <v>7.5</v>
      </c>
      <c r="AA247" t="s">
        <v>654</v>
      </c>
      <c r="AB247" t="s">
        <v>128</v>
      </c>
      <c r="AC247" s="2" t="str">
        <f>HYPERLINK("http://exon.niaid.nih.gov/transcriptome/Anopheles_sialome/links/DIPTERA/anocol_Ag5r5-DIPTERA.txt","AGAP006418-PA")</f>
        <v>AGAP006418-PA</v>
      </c>
      <c r="AD247" t="str">
        <f>HYPERLINK("http://www.ncbi.nlm.nih.gov/sutils/blink.cgi?pid=55239186","1E-155")</f>
        <v>1E-155</v>
      </c>
      <c r="AE247" t="str">
        <f t="shared" si="123"/>
        <v>gi|55239186</v>
      </c>
      <c r="AF247">
        <v>97</v>
      </c>
      <c r="AG247">
        <v>98</v>
      </c>
      <c r="AH247">
        <v>100</v>
      </c>
      <c r="AI247" t="s">
        <v>2285</v>
      </c>
      <c r="AJ247" s="2" t="str">
        <f>HYPERLINK("http://exon.niaid.nih.gov/transcriptome/Anopheles_sialome/links/CULICOMORPHA/anocol_Ag5r5-CULICOMORPHA.txt","AGAP006418-PA")</f>
        <v>AGAP006418-PA</v>
      </c>
      <c r="AK247" t="str">
        <f>HYPERLINK("http://www.ncbi.nlm.nih.gov/sutils/blink.cgi?pid=55239186","1E-156")</f>
        <v>1E-156</v>
      </c>
      <c r="AL247" t="str">
        <f t="shared" si="124"/>
        <v>gi|55239186</v>
      </c>
      <c r="AM247">
        <v>97</v>
      </c>
      <c r="AN247">
        <v>98</v>
      </c>
      <c r="AO247">
        <v>100</v>
      </c>
      <c r="AP247" t="s">
        <v>2285</v>
      </c>
      <c r="AQ247" s="2" t="str">
        <f>HYPERLINK("http://exon.niaid.nih.gov/transcriptome/Anopheles_sialome/links/NR-LIGHT/anocol_Ag5r5-NR-LIGHT.txt","AGAP006418-PA")</f>
        <v>AGAP006418-PA</v>
      </c>
      <c r="AR247" t="str">
        <f>HYPERLINK("http://www.ncbi.nlm.nih.gov/sutils/blink.cgi?pid=58388669","1E-155")</f>
        <v>1E-155</v>
      </c>
      <c r="AS247" t="str">
        <f t="shared" si="125"/>
        <v>gi|58388669</v>
      </c>
      <c r="AT247">
        <v>97</v>
      </c>
      <c r="AU247">
        <v>98</v>
      </c>
      <c r="AV247">
        <v>100</v>
      </c>
      <c r="AW247" t="s">
        <v>2285</v>
      </c>
      <c r="AX247" s="2" t="str">
        <f>HYPERLINK("http://exon.niaid.nih.gov/transcriptome/Anopheles_sialome/links/CDD/anocol_Ag5r5-CDD.txt","SCP_euk")</f>
        <v>SCP_euk</v>
      </c>
      <c r="AY247" t="str">
        <f>HYPERLINK("http://www.ncbi.nlm.nih.gov/Structure/cdd/cddsrv.cgi?uid=cd05380&amp;version=v4.0","8E-040")</f>
        <v>8E-040</v>
      </c>
      <c r="AZ247" t="s">
        <v>2378</v>
      </c>
      <c r="BA247" s="2" t="str">
        <f>HYPERLINK("http://exon.niaid.nih.gov/transcriptome/Anopheles_sialome/links/KOG/anocol_Ag5r5-KOG.txt","Defense-related protein containing SCP domain")</f>
        <v>Defense-related protein containing SCP domain</v>
      </c>
      <c r="BB247" t="str">
        <f>HYPERLINK("http://www.ncbi.nlm.nih.gov/Structure/cdd/cddsrv.cgi?uid=KOG3017","7E-032")</f>
        <v>7E-032</v>
      </c>
      <c r="BC247" t="s">
        <v>2304</v>
      </c>
      <c r="BD247" t="str">
        <f>HYPERLINK("http://exon.niaid.nih.gov/transcriptome/Anopheles_sialome/links/KOG/anocol_Ag5r5-KOG.txt","KOG3017")</f>
        <v>KOG3017</v>
      </c>
      <c r="BE247" t="str">
        <f>HYPERLINK("http://exon.niaid.nih.gov/transcriptome/Anopheles_sialome/links/PFAM/anocol_Ag5r5-PFAM.txt","CAP")</f>
        <v>CAP</v>
      </c>
      <c r="BF247" t="str">
        <f>HYPERLINK("http://pfam.sanger.ac.uk/family?acc=PF00188","2E-014")</f>
        <v>2E-014</v>
      </c>
      <c r="BG247" s="2" t="str">
        <f>HYPERLINK("http://exon.niaid.nih.gov/transcriptome/Anopheles_sialome/links/SMART/anocol_Ag5r5-SMART.txt","SCP")</f>
        <v>SCP</v>
      </c>
      <c r="BH247" t="str">
        <f>HYPERLINK("http://smart.embl-heidelberg.de/smart/do_annotation.pl?DOMAIN=SCP&amp;BLAST=DUMMY","9E-028")</f>
        <v>9E-028</v>
      </c>
      <c r="BI247" t="s">
        <v>128</v>
      </c>
      <c r="BJ247" s="2" t="s">
        <v>128</v>
      </c>
      <c r="BK247" t="s">
        <v>852</v>
      </c>
      <c r="BL247">
        <f>HYPERLINK("http://exon.niaid.nih.gov/transcriptome/Anopheles_sialome/links/cluster-b/anopheline-sialome-cds-pep-larger-orf25-50SimCLU4.txt", 4)</f>
        <v>4</v>
      </c>
      <c r="BM247">
        <f>HYPERLINK("http://exon.niaid.nih.gov/transcriptome/Anopheles_sialome/links/cluster-b/anopheline-sialome-cds-pep-larger-orf25-50SimCLTL4.txt", 82)</f>
        <v>82</v>
      </c>
      <c r="BN247">
        <f>HYPERLINK("http://exon.niaid.nih.gov/transcriptome/Anopheles_sialome/links/cluster-b/anopheline-sialome-cds-pep-larger-orf30-50SimCLU4.txt", 4)</f>
        <v>4</v>
      </c>
      <c r="BO247">
        <f>HYPERLINK("http://exon.niaid.nih.gov/transcriptome/Anopheles_sialome/links/cluster-b/anopheline-sialome-cds-pep-larger-orf30-50SimCLTL4.txt", 82)</f>
        <v>82</v>
      </c>
      <c r="BP247">
        <f>HYPERLINK("http://exon.niaid.nih.gov/transcriptome/Anopheles_sialome/links/cluster-b/anopheline-sialome-cds-pep-larger-orf35-50SimCLU3.txt", 3)</f>
        <v>3</v>
      </c>
      <c r="BQ247">
        <f>HYPERLINK("http://exon.niaid.nih.gov/transcriptome/Anopheles_sialome/links/cluster-b/anopheline-sialome-cds-pep-larger-orf35-50SimCLTL3.txt", 82)</f>
        <v>82</v>
      </c>
      <c r="BR247">
        <f>HYPERLINK("http://exon.niaid.nih.gov/transcriptome/Anopheles_sialome/links/cluster-b/anopheline-sialome-cds-pep-larger-orf40-50SimCLU3.txt", 3)</f>
        <v>3</v>
      </c>
      <c r="BS247">
        <f>HYPERLINK("http://exon.niaid.nih.gov/transcriptome/Anopheles_sialome/links/cluster-b/anopheline-sialome-cds-pep-larger-orf40-50SimCLTL3.txt", 82)</f>
        <v>82</v>
      </c>
      <c r="BT247">
        <f>HYPERLINK("http://exon.niaid.nih.gov/transcriptome/Anopheles_sialome/links/cluster-b/anopheline-sialome-cds-pep-larger-orf45-50SimCLU2.txt", 2)</f>
        <v>2</v>
      </c>
      <c r="BU247">
        <f>HYPERLINK("http://exon.niaid.nih.gov/transcriptome/Anopheles_sialome/links/cluster-b/anopheline-sialome-cds-pep-larger-orf45-50SimCLTL2.txt", 82)</f>
        <v>82</v>
      </c>
      <c r="BV247">
        <f>HYPERLINK("http://exon.niaid.nih.gov/transcriptome/Anopheles_sialome/links/cluster-b/anopheline-sialome-cds-pep-larger-orf50-50SimCLU2.txt", 2)</f>
        <v>2</v>
      </c>
      <c r="BW247">
        <f>HYPERLINK("http://exon.niaid.nih.gov/transcriptome/Anopheles_sialome/links/cluster-b/anopheline-sialome-cds-pep-larger-orf50-50SimCLTL2.txt", 82)</f>
        <v>82</v>
      </c>
      <c r="BX247">
        <f>HYPERLINK("http://exon.niaid.nih.gov/transcriptome/Anopheles_sialome/links/cluster-b/anopheline-sialome-cds-pep-larger-orf55-50SimCLU2.txt", 2)</f>
        <v>2</v>
      </c>
      <c r="BY247">
        <f>HYPERLINK("http://exon.niaid.nih.gov/transcriptome/Anopheles_sialome/links/cluster-b/anopheline-sialome-cds-pep-larger-orf55-50SimCLTL2.txt", 55)</f>
        <v>55</v>
      </c>
      <c r="BZ247">
        <f>HYPERLINK("http://exon.niaid.nih.gov/transcriptome/Anopheles_sialome/links/cluster-b/anopheline-sialome-cds-pep-larger-orf60-50SimCLU2.txt", 2)</f>
        <v>2</v>
      </c>
      <c r="CA247">
        <f>HYPERLINK("http://exon.niaid.nih.gov/transcriptome/Anopheles_sialome/links/cluster-b/anopheline-sialome-cds-pep-larger-orf60-50SimCLTL2.txt", 54)</f>
        <v>54</v>
      </c>
      <c r="CB247">
        <f>HYPERLINK("http://exon.niaid.nih.gov/transcriptome/Anopheles_sialome/links/cluster-b/anopheline-sialome-cds-pep-larger-orf65-50SimCLU7.txt", 7)</f>
        <v>7</v>
      </c>
      <c r="CC247">
        <f>HYPERLINK("http://exon.niaid.nih.gov/transcriptome/Anopheles_sialome/links/cluster-b/anopheline-sialome-cds-pep-larger-orf65-50SimCLTL7.txt", 21)</f>
        <v>21</v>
      </c>
      <c r="CD247">
        <f>HYPERLINK("http://exon.niaid.nih.gov/transcriptome/Anopheles_sialome/links/cluster-b/anopheline-sialome-cds-pep-larger-orf70-50SimCLU8.txt", 8)</f>
        <v>8</v>
      </c>
      <c r="CE247">
        <f>HYPERLINK("http://exon.niaid.nih.gov/transcriptome/Anopheles_sialome/links/cluster-b/anopheline-sialome-cds-pep-larger-orf70-50SimCLTL8.txt", 19)</f>
        <v>19</v>
      </c>
      <c r="CF247">
        <f>HYPERLINK("http://exon.niaid.nih.gov/transcriptome/Anopheles_sialome/links/cluster-b/anopheline-sialome-cds-pep-larger-orf75-50SimCLU11.txt", 11)</f>
        <v>11</v>
      </c>
      <c r="CG247">
        <f>HYPERLINK("http://exon.niaid.nih.gov/transcriptome/Anopheles_sialome/links/cluster-b/anopheline-sialome-cds-pep-larger-orf75-50SimCLTL11.txt", 17)</f>
        <v>17</v>
      </c>
      <c r="CH247">
        <f>HYPERLINK("http://exon.niaid.nih.gov/transcriptome/Anopheles_sialome/links/cluster-b/anopheline-sialome-cds-pep-larger-orf80-50SimCLU8.txt", 8)</f>
        <v>8</v>
      </c>
      <c r="CI247">
        <f>HYPERLINK("http://exon.niaid.nih.gov/transcriptome/Anopheles_sialome/links/cluster-b/anopheline-sialome-cds-pep-larger-orf80-50SimCLTL8.txt", 17)</f>
        <v>17</v>
      </c>
      <c r="CJ247">
        <f>HYPERLINK("http://exon.niaid.nih.gov/transcriptome/Anopheles_sialome/links/cluster-b/anopheline-sialome-cds-pep-larger-orf85-50SimCLU27.txt", 27)</f>
        <v>27</v>
      </c>
      <c r="CK247">
        <f>HYPERLINK("http://exon.niaid.nih.gov/transcriptome/Anopheles_sialome/links/cluster-b/anopheline-sialome-cds-pep-larger-orf85-50SimCLTL27.txt", 6)</f>
        <v>6</v>
      </c>
      <c r="CL247">
        <f>HYPERLINK("http://exon.niaid.nih.gov/transcriptome/Anopheles_sialome/links/cluster-b/anopheline-sialome-cds-pep-larger-orf90-50SimCLU18.txt", 18)</f>
        <v>18</v>
      </c>
      <c r="CM247">
        <f>HYPERLINK("http://exon.niaid.nih.gov/transcriptome/Anopheles_sialome/links/cluster-b/anopheline-sialome-cds-pep-larger-orf90-50SimCLTL18.txt", 6)</f>
        <v>6</v>
      </c>
      <c r="CN247">
        <f>HYPERLINK("http://exon.niaid.nih.gov/transcriptome/Anopheles_sialome/links/cluster-b/anopheline-sialome-cds-pep-larger-orf95-50SimCLU4.txt", 4)</f>
        <v>4</v>
      </c>
      <c r="CO247">
        <f>HYPERLINK("http://exon.niaid.nih.gov/transcriptome/Anopheles_sialome/links/cluster-b/anopheline-sialome-cds-pep-larger-orf95-50SimCLTL4.txt", 6)</f>
        <v>6</v>
      </c>
    </row>
    <row r="248" spans="1:93">
      <c r="A248" s="2" t="str">
        <f>HYPERLINK("http://exon.niaid.nih.gov/transcriptome/Anopheles_sialome/links/cds/anoara_Ag5r5-cds.txt","anoara_Ag5r5")</f>
        <v>anoara_Ag5r5</v>
      </c>
      <c r="B248">
        <v>801</v>
      </c>
      <c r="C248" t="s">
        <v>42</v>
      </c>
      <c r="D248" t="s">
        <v>7</v>
      </c>
      <c r="E248" t="s">
        <v>5</v>
      </c>
      <c r="F248" t="s">
        <v>1</v>
      </c>
      <c r="G248" t="str">
        <f>HYPERLINK("http://exon.niaid.nih.gov/transcriptome/Anopheles_sialome/links/pep/anoara_Ag5r5-pep.txt","anoara_Ag5r5")</f>
        <v>anoara_Ag5r5</v>
      </c>
      <c r="H248">
        <v>266</v>
      </c>
      <c r="I248">
        <v>0</v>
      </c>
      <c r="J248" s="3" t="str">
        <f>HYPERLINK("http://exon.niaid.nih.gov/transcriptome/Anopheles_sialome/links/Sigp/anoara_Ag5r5-SigP.txt","SIG")</f>
        <v>SIG</v>
      </c>
      <c r="K248" t="s">
        <v>695</v>
      </c>
      <c r="L248">
        <v>29.169</v>
      </c>
      <c r="M248">
        <v>5.96</v>
      </c>
      <c r="N248">
        <v>26.657</v>
      </c>
      <c r="O248">
        <v>5.84</v>
      </c>
      <c r="P248" t="s">
        <v>855</v>
      </c>
      <c r="Q248" s="3">
        <v>0</v>
      </c>
      <c r="R248" t="s">
        <v>128</v>
      </c>
      <c r="S248" t="s">
        <v>128</v>
      </c>
      <c r="T248" t="s">
        <v>128</v>
      </c>
      <c r="U248" t="s">
        <v>128</v>
      </c>
      <c r="V248" t="s">
        <v>128</v>
      </c>
      <c r="W248" s="3" t="str">
        <f>HYPERLINK("http://exon.niaid.nih.gov/transcriptome/Anopheles_sialome/links/netoglyc/anoara_Ag5r5-netoglyc.txt","1")</f>
        <v>1</v>
      </c>
      <c r="X248">
        <v>16.899999999999999</v>
      </c>
      <c r="Y248">
        <v>6.4</v>
      </c>
      <c r="Z248">
        <v>7.5</v>
      </c>
      <c r="AA248" t="s">
        <v>654</v>
      </c>
      <c r="AB248" t="s">
        <v>128</v>
      </c>
      <c r="AC248" s="2" t="str">
        <f>HYPERLINK("http://exon.niaid.nih.gov/transcriptome/Anopheles_sialome/links/DIPTERA/anoara_Ag5r5-DIPTERA.txt","AGAP006418-PA")</f>
        <v>AGAP006418-PA</v>
      </c>
      <c r="AD248" t="str">
        <f>HYPERLINK("http://www.ncbi.nlm.nih.gov/sutils/blink.cgi?pid=55239186","1E-155")</f>
        <v>1E-155</v>
      </c>
      <c r="AE248" t="str">
        <f t="shared" si="123"/>
        <v>gi|55239186</v>
      </c>
      <c r="AF248">
        <v>96</v>
      </c>
      <c r="AG248">
        <v>98</v>
      </c>
      <c r="AH248">
        <v>100</v>
      </c>
      <c r="AI248" t="s">
        <v>2285</v>
      </c>
      <c r="AJ248" s="2" t="str">
        <f>HYPERLINK("http://exon.niaid.nih.gov/transcriptome/Anopheles_sialome/links/CULICOMORPHA/anoara_Ag5r5-CULICOMORPHA.txt","AGAP006418-PA")</f>
        <v>AGAP006418-PA</v>
      </c>
      <c r="AK248" t="str">
        <f>HYPERLINK("http://www.ncbi.nlm.nih.gov/sutils/blink.cgi?pid=55239186","1E-155")</f>
        <v>1E-155</v>
      </c>
      <c r="AL248" t="str">
        <f t="shared" si="124"/>
        <v>gi|55239186</v>
      </c>
      <c r="AM248">
        <v>96</v>
      </c>
      <c r="AN248">
        <v>98</v>
      </c>
      <c r="AO248">
        <v>100</v>
      </c>
      <c r="AP248" t="s">
        <v>2285</v>
      </c>
      <c r="AQ248" s="2" t="str">
        <f>HYPERLINK("http://exon.niaid.nih.gov/transcriptome/Anopheles_sialome/links/NR-LIGHT/anoara_Ag5r5-NR-LIGHT.txt","AGAP006418-PA")</f>
        <v>AGAP006418-PA</v>
      </c>
      <c r="AR248" t="str">
        <f>HYPERLINK("http://www.ncbi.nlm.nih.gov/sutils/blink.cgi?pid=58388669","1E-154")</f>
        <v>1E-154</v>
      </c>
      <c r="AS248" t="str">
        <f t="shared" si="125"/>
        <v>gi|58388669</v>
      </c>
      <c r="AT248">
        <v>96</v>
      </c>
      <c r="AU248">
        <v>98</v>
      </c>
      <c r="AV248">
        <v>100</v>
      </c>
      <c r="AW248" t="s">
        <v>2285</v>
      </c>
      <c r="AX248" s="2" t="str">
        <f>HYPERLINK("http://exon.niaid.nih.gov/transcriptome/Anopheles_sialome/links/CDD/anoara_Ag5r5-CDD.txt","SCP_euk")</f>
        <v>SCP_euk</v>
      </c>
      <c r="AY248" t="str">
        <f>HYPERLINK("http://www.ncbi.nlm.nih.gov/Structure/cdd/cddsrv.cgi?uid=cd05380&amp;version=v4.0","1E-039")</f>
        <v>1E-039</v>
      </c>
      <c r="AZ248" t="s">
        <v>2379</v>
      </c>
      <c r="BA248" s="2" t="str">
        <f>HYPERLINK("http://exon.niaid.nih.gov/transcriptome/Anopheles_sialome/links/KOG/anoara_Ag5r5-KOG.txt","Defense-related protein containing SCP domain")</f>
        <v>Defense-related protein containing SCP domain</v>
      </c>
      <c r="BB248" t="str">
        <f>HYPERLINK("http://www.ncbi.nlm.nih.gov/Structure/cdd/cddsrv.cgi?uid=KOG3017","1E-031")</f>
        <v>1E-031</v>
      </c>
      <c r="BC248" t="s">
        <v>2304</v>
      </c>
      <c r="BD248" t="str">
        <f>HYPERLINK("http://exon.niaid.nih.gov/transcriptome/Anopheles_sialome/links/KOG/anoara_Ag5r5-KOG.txt","KOG3017")</f>
        <v>KOG3017</v>
      </c>
      <c r="BE248" t="str">
        <f>HYPERLINK("http://exon.niaid.nih.gov/transcriptome/Anopheles_sialome/links/PFAM/anoara_Ag5r5-PFAM.txt","CAP")</f>
        <v>CAP</v>
      </c>
      <c r="BF248" t="str">
        <f>HYPERLINK("http://pfam.sanger.ac.uk/family?acc=PF00188","2E-014")</f>
        <v>2E-014</v>
      </c>
      <c r="BG248" s="2" t="str">
        <f>HYPERLINK("http://exon.niaid.nih.gov/transcriptome/Anopheles_sialome/links/SMART/anoara_Ag5r5-SMART.txt","SCP")</f>
        <v>SCP</v>
      </c>
      <c r="BH248" t="str">
        <f>HYPERLINK("http://smart.embl-heidelberg.de/smart/do_annotation.pl?DOMAIN=SCP&amp;BLAST=DUMMY","3E-027")</f>
        <v>3E-027</v>
      </c>
      <c r="BI248" t="s">
        <v>128</v>
      </c>
      <c r="BJ248" s="2" t="s">
        <v>128</v>
      </c>
      <c r="BK248" t="s">
        <v>854</v>
      </c>
      <c r="BL248">
        <f>HYPERLINK("http://exon.niaid.nih.gov/transcriptome/Anopheles_sialome/links/cluster-b/anopheline-sialome-cds-pep-larger-orf25-50SimCLU4.txt", 4)</f>
        <v>4</v>
      </c>
      <c r="BM248">
        <f>HYPERLINK("http://exon.niaid.nih.gov/transcriptome/Anopheles_sialome/links/cluster-b/anopheline-sialome-cds-pep-larger-orf25-50SimCLTL4.txt", 82)</f>
        <v>82</v>
      </c>
      <c r="BN248">
        <f>HYPERLINK("http://exon.niaid.nih.gov/transcriptome/Anopheles_sialome/links/cluster-b/anopheline-sialome-cds-pep-larger-orf30-50SimCLU4.txt", 4)</f>
        <v>4</v>
      </c>
      <c r="BO248">
        <f>HYPERLINK("http://exon.niaid.nih.gov/transcriptome/Anopheles_sialome/links/cluster-b/anopheline-sialome-cds-pep-larger-orf30-50SimCLTL4.txt", 82)</f>
        <v>82</v>
      </c>
      <c r="BP248">
        <f>HYPERLINK("http://exon.niaid.nih.gov/transcriptome/Anopheles_sialome/links/cluster-b/anopheline-sialome-cds-pep-larger-orf35-50SimCLU3.txt", 3)</f>
        <v>3</v>
      </c>
      <c r="BQ248">
        <f>HYPERLINK("http://exon.niaid.nih.gov/transcriptome/Anopheles_sialome/links/cluster-b/anopheline-sialome-cds-pep-larger-orf35-50SimCLTL3.txt", 82)</f>
        <v>82</v>
      </c>
      <c r="BR248">
        <f>HYPERLINK("http://exon.niaid.nih.gov/transcriptome/Anopheles_sialome/links/cluster-b/anopheline-sialome-cds-pep-larger-orf40-50SimCLU3.txt", 3)</f>
        <v>3</v>
      </c>
      <c r="BS248">
        <f>HYPERLINK("http://exon.niaid.nih.gov/transcriptome/Anopheles_sialome/links/cluster-b/anopheline-sialome-cds-pep-larger-orf40-50SimCLTL3.txt", 82)</f>
        <v>82</v>
      </c>
      <c r="BT248">
        <f>HYPERLINK("http://exon.niaid.nih.gov/transcriptome/Anopheles_sialome/links/cluster-b/anopheline-sialome-cds-pep-larger-orf45-50SimCLU2.txt", 2)</f>
        <v>2</v>
      </c>
      <c r="BU248">
        <f>HYPERLINK("http://exon.niaid.nih.gov/transcriptome/Anopheles_sialome/links/cluster-b/anopheline-sialome-cds-pep-larger-orf45-50SimCLTL2.txt", 82)</f>
        <v>82</v>
      </c>
      <c r="BV248">
        <f>HYPERLINK("http://exon.niaid.nih.gov/transcriptome/Anopheles_sialome/links/cluster-b/anopheline-sialome-cds-pep-larger-orf50-50SimCLU2.txt", 2)</f>
        <v>2</v>
      </c>
      <c r="BW248">
        <f>HYPERLINK("http://exon.niaid.nih.gov/transcriptome/Anopheles_sialome/links/cluster-b/anopheline-sialome-cds-pep-larger-orf50-50SimCLTL2.txt", 82)</f>
        <v>82</v>
      </c>
      <c r="BX248">
        <f>HYPERLINK("http://exon.niaid.nih.gov/transcriptome/Anopheles_sialome/links/cluster-b/anopheline-sialome-cds-pep-larger-orf55-50SimCLU2.txt", 2)</f>
        <v>2</v>
      </c>
      <c r="BY248">
        <f>HYPERLINK("http://exon.niaid.nih.gov/transcriptome/Anopheles_sialome/links/cluster-b/anopheline-sialome-cds-pep-larger-orf55-50SimCLTL2.txt", 55)</f>
        <v>55</v>
      </c>
      <c r="BZ248">
        <f>HYPERLINK("http://exon.niaid.nih.gov/transcriptome/Anopheles_sialome/links/cluster-b/anopheline-sialome-cds-pep-larger-orf60-50SimCLU2.txt", 2)</f>
        <v>2</v>
      </c>
      <c r="CA248">
        <f>HYPERLINK("http://exon.niaid.nih.gov/transcriptome/Anopheles_sialome/links/cluster-b/anopheline-sialome-cds-pep-larger-orf60-50SimCLTL2.txt", 54)</f>
        <v>54</v>
      </c>
      <c r="CB248">
        <f>HYPERLINK("http://exon.niaid.nih.gov/transcriptome/Anopheles_sialome/links/cluster-b/anopheline-sialome-cds-pep-larger-orf65-50SimCLU7.txt", 7)</f>
        <v>7</v>
      </c>
      <c r="CC248">
        <f>HYPERLINK("http://exon.niaid.nih.gov/transcriptome/Anopheles_sialome/links/cluster-b/anopheline-sialome-cds-pep-larger-orf65-50SimCLTL7.txt", 21)</f>
        <v>21</v>
      </c>
      <c r="CD248">
        <f>HYPERLINK("http://exon.niaid.nih.gov/transcriptome/Anopheles_sialome/links/cluster-b/anopheline-sialome-cds-pep-larger-orf70-50SimCLU8.txt", 8)</f>
        <v>8</v>
      </c>
      <c r="CE248">
        <f>HYPERLINK("http://exon.niaid.nih.gov/transcriptome/Anopheles_sialome/links/cluster-b/anopheline-sialome-cds-pep-larger-orf70-50SimCLTL8.txt", 19)</f>
        <v>19</v>
      </c>
      <c r="CF248">
        <f>HYPERLINK("http://exon.niaid.nih.gov/transcriptome/Anopheles_sialome/links/cluster-b/anopheline-sialome-cds-pep-larger-orf75-50SimCLU11.txt", 11)</f>
        <v>11</v>
      </c>
      <c r="CG248">
        <f>HYPERLINK("http://exon.niaid.nih.gov/transcriptome/Anopheles_sialome/links/cluster-b/anopheline-sialome-cds-pep-larger-orf75-50SimCLTL11.txt", 17)</f>
        <v>17</v>
      </c>
      <c r="CH248">
        <f>HYPERLINK("http://exon.niaid.nih.gov/transcriptome/Anopheles_sialome/links/cluster-b/anopheline-sialome-cds-pep-larger-orf80-50SimCLU8.txt", 8)</f>
        <v>8</v>
      </c>
      <c r="CI248">
        <f>HYPERLINK("http://exon.niaid.nih.gov/transcriptome/Anopheles_sialome/links/cluster-b/anopheline-sialome-cds-pep-larger-orf80-50SimCLTL8.txt", 17)</f>
        <v>17</v>
      </c>
      <c r="CJ248">
        <f>HYPERLINK("http://exon.niaid.nih.gov/transcriptome/Anopheles_sialome/links/cluster-b/anopheline-sialome-cds-pep-larger-orf85-50SimCLU27.txt", 27)</f>
        <v>27</v>
      </c>
      <c r="CK248">
        <f>HYPERLINK("http://exon.niaid.nih.gov/transcriptome/Anopheles_sialome/links/cluster-b/anopheline-sialome-cds-pep-larger-orf85-50SimCLTL27.txt", 6)</f>
        <v>6</v>
      </c>
      <c r="CL248">
        <f>HYPERLINK("http://exon.niaid.nih.gov/transcriptome/Anopheles_sialome/links/cluster-b/anopheline-sialome-cds-pep-larger-orf90-50SimCLU18.txt", 18)</f>
        <v>18</v>
      </c>
      <c r="CM248">
        <f>HYPERLINK("http://exon.niaid.nih.gov/transcriptome/Anopheles_sialome/links/cluster-b/anopheline-sialome-cds-pep-larger-orf90-50SimCLTL18.txt", 6)</f>
        <v>6</v>
      </c>
      <c r="CN248">
        <f>HYPERLINK("http://exon.niaid.nih.gov/transcriptome/Anopheles_sialome/links/cluster-b/anopheline-sialome-cds-pep-larger-orf95-50SimCLU4.txt", 4)</f>
        <v>4</v>
      </c>
      <c r="CO248">
        <f>HYPERLINK("http://exon.niaid.nih.gov/transcriptome/Anopheles_sialome/links/cluster-b/anopheline-sialome-cds-pep-larger-orf95-50SimCLTL4.txt", 6)</f>
        <v>6</v>
      </c>
    </row>
    <row r="249" spans="1:93">
      <c r="A249" s="2" t="str">
        <f>HYPERLINK("http://exon.niaid.nih.gov/transcriptome/Anopheles_sialome/links/cds/anoqua_Ag5r5-cds.txt","anoqua_Ag5r5")</f>
        <v>anoqua_Ag5r5</v>
      </c>
      <c r="B249">
        <v>801</v>
      </c>
      <c r="C249" t="s">
        <v>43</v>
      </c>
      <c r="D249" t="s">
        <v>7</v>
      </c>
      <c r="E249" t="s">
        <v>5</v>
      </c>
      <c r="F249" t="s">
        <v>1</v>
      </c>
      <c r="G249" t="str">
        <f>HYPERLINK("http://exon.niaid.nih.gov/transcriptome/Anopheles_sialome/links/pep/anoqua_Ag5r5-pep.txt","anoqua_Ag5r5")</f>
        <v>anoqua_Ag5r5</v>
      </c>
      <c r="H249">
        <v>266</v>
      </c>
      <c r="I249">
        <v>0</v>
      </c>
      <c r="J249" s="3" t="str">
        <f>HYPERLINK("http://exon.niaid.nih.gov/transcriptome/Anopheles_sialome/links/Sigp/anoqua_Ag5r5-SigP.txt","SIG")</f>
        <v>SIG</v>
      </c>
      <c r="K249" t="s">
        <v>695</v>
      </c>
      <c r="L249">
        <v>29.19</v>
      </c>
      <c r="M249">
        <v>6.3</v>
      </c>
      <c r="N249">
        <v>26.684000000000001</v>
      </c>
      <c r="O249">
        <v>6.12</v>
      </c>
      <c r="P249" t="s">
        <v>857</v>
      </c>
      <c r="Q249" s="3">
        <v>0</v>
      </c>
      <c r="R249" t="s">
        <v>128</v>
      </c>
      <c r="S249" t="s">
        <v>128</v>
      </c>
      <c r="T249" t="s">
        <v>128</v>
      </c>
      <c r="U249" t="s">
        <v>128</v>
      </c>
      <c r="V249" t="s">
        <v>128</v>
      </c>
      <c r="W249" s="3" t="str">
        <f>HYPERLINK("http://exon.niaid.nih.gov/transcriptome/Anopheles_sialome/links/netoglyc/anoqua_Ag5r5-netoglyc.txt","3")</f>
        <v>3</v>
      </c>
      <c r="X249">
        <v>16.899999999999999</v>
      </c>
      <c r="Y249">
        <v>6</v>
      </c>
      <c r="Z249">
        <v>7.5</v>
      </c>
      <c r="AA249" t="s">
        <v>654</v>
      </c>
      <c r="AB249" t="s">
        <v>128</v>
      </c>
      <c r="AC249" s="2" t="str">
        <f>HYPERLINK("http://exon.niaid.nih.gov/transcriptome/Anopheles_sialome/links/DIPTERA/anoqua_Ag5r5-DIPTERA.txt","AGAP006418-PA")</f>
        <v>AGAP006418-PA</v>
      </c>
      <c r="AD249" t="str">
        <f>HYPERLINK("http://www.ncbi.nlm.nih.gov/sutils/blink.cgi?pid=55239186","1E-159")</f>
        <v>1E-159</v>
      </c>
      <c r="AE249" t="str">
        <f t="shared" si="123"/>
        <v>gi|55239186</v>
      </c>
      <c r="AF249">
        <v>98</v>
      </c>
      <c r="AG249">
        <v>99</v>
      </c>
      <c r="AH249">
        <v>100</v>
      </c>
      <c r="AI249" t="s">
        <v>2285</v>
      </c>
      <c r="AJ249" s="2" t="str">
        <f>HYPERLINK("http://exon.niaid.nih.gov/transcriptome/Anopheles_sialome/links/CULICOMORPHA/anoqua_Ag5r5-CULICOMORPHA.txt","AGAP006418-PA")</f>
        <v>AGAP006418-PA</v>
      </c>
      <c r="AK249" t="str">
        <f>HYPERLINK("http://www.ncbi.nlm.nih.gov/sutils/blink.cgi?pid=55239186","1E-160")</f>
        <v>1E-160</v>
      </c>
      <c r="AL249" t="str">
        <f t="shared" si="124"/>
        <v>gi|55239186</v>
      </c>
      <c r="AM249">
        <v>98</v>
      </c>
      <c r="AN249">
        <v>99</v>
      </c>
      <c r="AO249">
        <v>100</v>
      </c>
      <c r="AP249" t="s">
        <v>2285</v>
      </c>
      <c r="AQ249" s="2" t="str">
        <f>HYPERLINK("http://exon.niaid.nih.gov/transcriptome/Anopheles_sialome/links/NR-LIGHT/anoqua_Ag5r5-NR-LIGHT.txt","AGAP006418-PA")</f>
        <v>AGAP006418-PA</v>
      </c>
      <c r="AR249" t="str">
        <f>HYPERLINK("http://www.ncbi.nlm.nih.gov/sutils/blink.cgi?pid=58388669","1E-158")</f>
        <v>1E-158</v>
      </c>
      <c r="AS249" t="str">
        <f t="shared" si="125"/>
        <v>gi|58388669</v>
      </c>
      <c r="AT249">
        <v>98</v>
      </c>
      <c r="AU249">
        <v>99</v>
      </c>
      <c r="AV249">
        <v>100</v>
      </c>
      <c r="AW249" t="s">
        <v>2285</v>
      </c>
      <c r="AX249" s="2" t="str">
        <f>HYPERLINK("http://exon.niaid.nih.gov/transcriptome/Anopheles_sialome/links/CDD/anoqua_Ag5r5-CDD.txt","SCP_euk")</f>
        <v>SCP_euk</v>
      </c>
      <c r="AY249" t="str">
        <f>HYPERLINK("http://www.ncbi.nlm.nih.gov/Structure/cdd/cddsrv.cgi?uid=cd05380&amp;version=v4.0","7E-040")</f>
        <v>7E-040</v>
      </c>
      <c r="AZ249" t="s">
        <v>2380</v>
      </c>
      <c r="BA249" s="2" t="str">
        <f>HYPERLINK("http://exon.niaid.nih.gov/transcriptome/Anopheles_sialome/links/KOG/anoqua_Ag5r5-KOG.txt","Defense-related protein containing SCP domain")</f>
        <v>Defense-related protein containing SCP domain</v>
      </c>
      <c r="BB249" t="str">
        <f>HYPERLINK("http://www.ncbi.nlm.nih.gov/Structure/cdd/cddsrv.cgi?uid=KOG3017","6E-032")</f>
        <v>6E-032</v>
      </c>
      <c r="BC249" t="s">
        <v>2304</v>
      </c>
      <c r="BD249" t="str">
        <f>HYPERLINK("http://exon.niaid.nih.gov/transcriptome/Anopheles_sialome/links/KOG/anoqua_Ag5r5-KOG.txt","KOG3017")</f>
        <v>KOG3017</v>
      </c>
      <c r="BE249" t="str">
        <f>HYPERLINK("http://exon.niaid.nih.gov/transcriptome/Anopheles_sialome/links/PFAM/anoqua_Ag5r5-PFAM.txt","CAP")</f>
        <v>CAP</v>
      </c>
      <c r="BF249" t="str">
        <f>HYPERLINK("http://pfam.sanger.ac.uk/family?acc=PF00188","3E-014")</f>
        <v>3E-014</v>
      </c>
      <c r="BG249" s="2" t="str">
        <f>HYPERLINK("http://exon.niaid.nih.gov/transcriptome/Anopheles_sialome/links/SMART/anoqua_Ag5r5-SMART.txt","SCP")</f>
        <v>SCP</v>
      </c>
      <c r="BH249" t="str">
        <f>HYPERLINK("http://smart.embl-heidelberg.de/smart/do_annotation.pl?DOMAIN=SCP&amp;BLAST=DUMMY","4E-028")</f>
        <v>4E-028</v>
      </c>
      <c r="BI249" t="s">
        <v>128</v>
      </c>
      <c r="BJ249" s="2" t="s">
        <v>128</v>
      </c>
      <c r="BK249" t="s">
        <v>856</v>
      </c>
      <c r="BL249">
        <f>HYPERLINK("http://exon.niaid.nih.gov/transcriptome/Anopheles_sialome/links/cluster-b/anopheline-sialome-cds-pep-larger-orf25-50SimCLU4.txt", 4)</f>
        <v>4</v>
      </c>
      <c r="BM249">
        <f>HYPERLINK("http://exon.niaid.nih.gov/transcriptome/Anopheles_sialome/links/cluster-b/anopheline-sialome-cds-pep-larger-orf25-50SimCLTL4.txt", 82)</f>
        <v>82</v>
      </c>
      <c r="BN249">
        <f>HYPERLINK("http://exon.niaid.nih.gov/transcriptome/Anopheles_sialome/links/cluster-b/anopheline-sialome-cds-pep-larger-orf30-50SimCLU4.txt", 4)</f>
        <v>4</v>
      </c>
      <c r="BO249">
        <f>HYPERLINK("http://exon.niaid.nih.gov/transcriptome/Anopheles_sialome/links/cluster-b/anopheline-sialome-cds-pep-larger-orf30-50SimCLTL4.txt", 82)</f>
        <v>82</v>
      </c>
      <c r="BP249">
        <f>HYPERLINK("http://exon.niaid.nih.gov/transcriptome/Anopheles_sialome/links/cluster-b/anopheline-sialome-cds-pep-larger-orf35-50SimCLU3.txt", 3)</f>
        <v>3</v>
      </c>
      <c r="BQ249">
        <f>HYPERLINK("http://exon.niaid.nih.gov/transcriptome/Anopheles_sialome/links/cluster-b/anopheline-sialome-cds-pep-larger-orf35-50SimCLTL3.txt", 82)</f>
        <v>82</v>
      </c>
      <c r="BR249">
        <f>HYPERLINK("http://exon.niaid.nih.gov/transcriptome/Anopheles_sialome/links/cluster-b/anopheline-sialome-cds-pep-larger-orf40-50SimCLU3.txt", 3)</f>
        <v>3</v>
      </c>
      <c r="BS249">
        <f>HYPERLINK("http://exon.niaid.nih.gov/transcriptome/Anopheles_sialome/links/cluster-b/anopheline-sialome-cds-pep-larger-orf40-50SimCLTL3.txt", 82)</f>
        <v>82</v>
      </c>
      <c r="BT249">
        <f>HYPERLINK("http://exon.niaid.nih.gov/transcriptome/Anopheles_sialome/links/cluster-b/anopheline-sialome-cds-pep-larger-orf45-50SimCLU2.txt", 2)</f>
        <v>2</v>
      </c>
      <c r="BU249">
        <f>HYPERLINK("http://exon.niaid.nih.gov/transcriptome/Anopheles_sialome/links/cluster-b/anopheline-sialome-cds-pep-larger-orf45-50SimCLTL2.txt", 82)</f>
        <v>82</v>
      </c>
      <c r="BV249">
        <f>HYPERLINK("http://exon.niaid.nih.gov/transcriptome/Anopheles_sialome/links/cluster-b/anopheline-sialome-cds-pep-larger-orf50-50SimCLU2.txt", 2)</f>
        <v>2</v>
      </c>
      <c r="BW249">
        <f>HYPERLINK("http://exon.niaid.nih.gov/transcriptome/Anopheles_sialome/links/cluster-b/anopheline-sialome-cds-pep-larger-orf50-50SimCLTL2.txt", 82)</f>
        <v>82</v>
      </c>
      <c r="BX249">
        <f>HYPERLINK("http://exon.niaid.nih.gov/transcriptome/Anopheles_sialome/links/cluster-b/anopheline-sialome-cds-pep-larger-orf55-50SimCLU2.txt", 2)</f>
        <v>2</v>
      </c>
      <c r="BY249">
        <f>HYPERLINK("http://exon.niaid.nih.gov/transcriptome/Anopheles_sialome/links/cluster-b/anopheline-sialome-cds-pep-larger-orf55-50SimCLTL2.txt", 55)</f>
        <v>55</v>
      </c>
      <c r="BZ249">
        <f>HYPERLINK("http://exon.niaid.nih.gov/transcriptome/Anopheles_sialome/links/cluster-b/anopheline-sialome-cds-pep-larger-orf60-50SimCLU2.txt", 2)</f>
        <v>2</v>
      </c>
      <c r="CA249">
        <f>HYPERLINK("http://exon.niaid.nih.gov/transcriptome/Anopheles_sialome/links/cluster-b/anopheline-sialome-cds-pep-larger-orf60-50SimCLTL2.txt", 54)</f>
        <v>54</v>
      </c>
      <c r="CB249">
        <f>HYPERLINK("http://exon.niaid.nih.gov/transcriptome/Anopheles_sialome/links/cluster-b/anopheline-sialome-cds-pep-larger-orf65-50SimCLU7.txt", 7)</f>
        <v>7</v>
      </c>
      <c r="CC249">
        <f>HYPERLINK("http://exon.niaid.nih.gov/transcriptome/Anopheles_sialome/links/cluster-b/anopheline-sialome-cds-pep-larger-orf65-50SimCLTL7.txt", 21)</f>
        <v>21</v>
      </c>
      <c r="CD249">
        <f>HYPERLINK("http://exon.niaid.nih.gov/transcriptome/Anopheles_sialome/links/cluster-b/anopheline-sialome-cds-pep-larger-orf70-50SimCLU8.txt", 8)</f>
        <v>8</v>
      </c>
      <c r="CE249">
        <f>HYPERLINK("http://exon.niaid.nih.gov/transcriptome/Anopheles_sialome/links/cluster-b/anopheline-sialome-cds-pep-larger-orf70-50SimCLTL8.txt", 19)</f>
        <v>19</v>
      </c>
      <c r="CF249">
        <f>HYPERLINK("http://exon.niaid.nih.gov/transcriptome/Anopheles_sialome/links/cluster-b/anopheline-sialome-cds-pep-larger-orf75-50SimCLU11.txt", 11)</f>
        <v>11</v>
      </c>
      <c r="CG249">
        <f>HYPERLINK("http://exon.niaid.nih.gov/transcriptome/Anopheles_sialome/links/cluster-b/anopheline-sialome-cds-pep-larger-orf75-50SimCLTL11.txt", 17)</f>
        <v>17</v>
      </c>
      <c r="CH249">
        <f>HYPERLINK("http://exon.niaid.nih.gov/transcriptome/Anopheles_sialome/links/cluster-b/anopheline-sialome-cds-pep-larger-orf80-50SimCLU8.txt", 8)</f>
        <v>8</v>
      </c>
      <c r="CI249">
        <f>HYPERLINK("http://exon.niaid.nih.gov/transcriptome/Anopheles_sialome/links/cluster-b/anopheline-sialome-cds-pep-larger-orf80-50SimCLTL8.txt", 17)</f>
        <v>17</v>
      </c>
      <c r="CJ249">
        <f>HYPERLINK("http://exon.niaid.nih.gov/transcriptome/Anopheles_sialome/links/cluster-b/anopheline-sialome-cds-pep-larger-orf85-50SimCLU27.txt", 27)</f>
        <v>27</v>
      </c>
      <c r="CK249">
        <f>HYPERLINK("http://exon.niaid.nih.gov/transcriptome/Anopheles_sialome/links/cluster-b/anopheline-sialome-cds-pep-larger-orf85-50SimCLTL27.txt", 6)</f>
        <v>6</v>
      </c>
      <c r="CL249">
        <f>HYPERLINK("http://exon.niaid.nih.gov/transcriptome/Anopheles_sialome/links/cluster-b/anopheline-sialome-cds-pep-larger-orf90-50SimCLU18.txt", 18)</f>
        <v>18</v>
      </c>
      <c r="CM249">
        <f>HYPERLINK("http://exon.niaid.nih.gov/transcriptome/Anopheles_sialome/links/cluster-b/anopheline-sialome-cds-pep-larger-orf90-50SimCLTL18.txt", 6)</f>
        <v>6</v>
      </c>
      <c r="CN249">
        <f>HYPERLINK("http://exon.niaid.nih.gov/transcriptome/Anopheles_sialome/links/cluster-b/anopheline-sialome-cds-pep-larger-orf95-50SimCLU4.txt", 4)</f>
        <v>4</v>
      </c>
      <c r="CO249">
        <f>HYPERLINK("http://exon.niaid.nih.gov/transcriptome/Anopheles_sialome/links/cluster-b/anopheline-sialome-cds-pep-larger-orf95-50SimCLTL4.txt", 6)</f>
        <v>6</v>
      </c>
    </row>
    <row r="250" spans="1:93">
      <c r="A250" s="2" t="str">
        <f>HYPERLINK("http://exon.niaid.nih.gov/transcriptome/Anopheles_sialome/links/cds/anomer_Ag5r5-cds.txt","anomer_Ag5r5")</f>
        <v>anomer_Ag5r5</v>
      </c>
      <c r="B250">
        <v>801</v>
      </c>
      <c r="C250" t="s">
        <v>87</v>
      </c>
      <c r="D250" t="s">
        <v>7</v>
      </c>
      <c r="E250" t="s">
        <v>5</v>
      </c>
      <c r="F250" t="s">
        <v>1</v>
      </c>
      <c r="G250" t="str">
        <f>HYPERLINK("http://exon.niaid.nih.gov/transcriptome/Anopheles_sialome/links/pep/anomer_Ag5r5-pep.txt","anomer_Ag5r5")</f>
        <v>anomer_Ag5r5</v>
      </c>
      <c r="H250">
        <v>266</v>
      </c>
      <c r="I250">
        <v>0</v>
      </c>
      <c r="J250" s="3" t="str">
        <f>HYPERLINK("http://exon.niaid.nih.gov/transcriptome/Anopheles_sialome/links/Sigp/anomer_Ag5r5-SigP.txt","SIG")</f>
        <v>SIG</v>
      </c>
      <c r="K250" t="s">
        <v>695</v>
      </c>
      <c r="L250">
        <v>29.276</v>
      </c>
      <c r="M250">
        <v>6.3</v>
      </c>
      <c r="N250">
        <v>26.77</v>
      </c>
      <c r="O250">
        <v>6.12</v>
      </c>
      <c r="P250" t="s">
        <v>859</v>
      </c>
      <c r="Q250" s="3">
        <v>0</v>
      </c>
      <c r="R250" t="s">
        <v>128</v>
      </c>
      <c r="S250" t="s">
        <v>128</v>
      </c>
      <c r="T250" t="s">
        <v>128</v>
      </c>
      <c r="U250" t="s">
        <v>128</v>
      </c>
      <c r="V250" t="s">
        <v>128</v>
      </c>
      <c r="W250" s="3" t="str">
        <f>HYPERLINK("http://exon.niaid.nih.gov/transcriptome/Anopheles_sialome/links/netoglyc/anomer_Ag5r5-netoglyc.txt","1")</f>
        <v>1</v>
      </c>
      <c r="X250">
        <v>16.899999999999999</v>
      </c>
      <c r="Y250">
        <v>6</v>
      </c>
      <c r="Z250">
        <v>6.8</v>
      </c>
      <c r="AA250" t="s">
        <v>654</v>
      </c>
      <c r="AB250" t="s">
        <v>128</v>
      </c>
      <c r="AC250" s="2" t="str">
        <f>HYPERLINK("http://exon.niaid.nih.gov/transcriptome/Anopheles_sialome/links/DIPTERA/anomer_Ag5r5-DIPTERA.txt","AGAP006418-PA")</f>
        <v>AGAP006418-PA</v>
      </c>
      <c r="AD250" t="str">
        <f>HYPERLINK("http://www.ncbi.nlm.nih.gov/sutils/blink.cgi?pid=55239186","1E-155")</f>
        <v>1E-155</v>
      </c>
      <c r="AE250" t="str">
        <f t="shared" si="123"/>
        <v>gi|55239186</v>
      </c>
      <c r="AF250">
        <v>96</v>
      </c>
      <c r="AG250">
        <v>98</v>
      </c>
      <c r="AH250">
        <v>100</v>
      </c>
      <c r="AI250" t="s">
        <v>2285</v>
      </c>
      <c r="AJ250" s="2" t="str">
        <f>HYPERLINK("http://exon.niaid.nih.gov/transcriptome/Anopheles_sialome/links/CULICOMORPHA/anomer_Ag5r5-CULICOMORPHA.txt","AGAP006418-PA")</f>
        <v>AGAP006418-PA</v>
      </c>
      <c r="AK250" t="str">
        <f>HYPERLINK("http://www.ncbi.nlm.nih.gov/sutils/blink.cgi?pid=55239186","1E-156")</f>
        <v>1E-156</v>
      </c>
      <c r="AL250" t="str">
        <f t="shared" si="124"/>
        <v>gi|55239186</v>
      </c>
      <c r="AM250">
        <v>96</v>
      </c>
      <c r="AN250">
        <v>98</v>
      </c>
      <c r="AO250">
        <v>100</v>
      </c>
      <c r="AP250" t="s">
        <v>2285</v>
      </c>
      <c r="AQ250" s="2" t="str">
        <f>HYPERLINK("http://exon.niaid.nih.gov/transcriptome/Anopheles_sialome/links/NR-LIGHT/anomer_Ag5r5-NR-LIGHT.txt","AGAP006418-PA")</f>
        <v>AGAP006418-PA</v>
      </c>
      <c r="AR250" t="str">
        <f>HYPERLINK("http://www.ncbi.nlm.nih.gov/sutils/blink.cgi?pid=58388669","1E-155")</f>
        <v>1E-155</v>
      </c>
      <c r="AS250" t="str">
        <f t="shared" si="125"/>
        <v>gi|58388669</v>
      </c>
      <c r="AT250">
        <v>96</v>
      </c>
      <c r="AU250">
        <v>98</v>
      </c>
      <c r="AV250">
        <v>100</v>
      </c>
      <c r="AW250" t="s">
        <v>2285</v>
      </c>
      <c r="AX250" s="2" t="str">
        <f>HYPERLINK("http://exon.niaid.nih.gov/transcriptome/Anopheles_sialome/links/CDD/anomer_Ag5r5-CDD.txt","SCP_euk")</f>
        <v>SCP_euk</v>
      </c>
      <c r="AY250" t="str">
        <f>HYPERLINK("http://www.ncbi.nlm.nih.gov/Structure/cdd/cddsrv.cgi?uid=cd05380&amp;version=v4.0","2E-039")</f>
        <v>2E-039</v>
      </c>
      <c r="AZ250" t="s">
        <v>2381</v>
      </c>
      <c r="BA250" s="2" t="str">
        <f>HYPERLINK("http://exon.niaid.nih.gov/transcriptome/Anopheles_sialome/links/KOG/anomer_Ag5r5-KOG.txt","Defense-related protein containing SCP domain")</f>
        <v>Defense-related protein containing SCP domain</v>
      </c>
      <c r="BB250" t="str">
        <f>HYPERLINK("http://www.ncbi.nlm.nih.gov/Structure/cdd/cddsrv.cgi?uid=KOG3017","2E-032")</f>
        <v>2E-032</v>
      </c>
      <c r="BC250" t="s">
        <v>2304</v>
      </c>
      <c r="BD250" t="str">
        <f>HYPERLINK("http://exon.niaid.nih.gov/transcriptome/Anopheles_sialome/links/KOG/anomer_Ag5r5-KOG.txt","KOG3017")</f>
        <v>KOG3017</v>
      </c>
      <c r="BE250" t="str">
        <f>HYPERLINK("http://exon.niaid.nih.gov/transcriptome/Anopheles_sialome/links/PFAM/anomer_Ag5r5-PFAM.txt","CAP")</f>
        <v>CAP</v>
      </c>
      <c r="BF250" t="str">
        <f>HYPERLINK("http://pfam.sanger.ac.uk/family?acc=PF00188","6E-014")</f>
        <v>6E-014</v>
      </c>
      <c r="BG250" s="2" t="str">
        <f>HYPERLINK("http://exon.niaid.nih.gov/transcriptome/Anopheles_sialome/links/SMART/anomer_Ag5r5-SMART.txt","SCP")</f>
        <v>SCP</v>
      </c>
      <c r="BH250" t="str">
        <f>HYPERLINK("http://smart.embl-heidelberg.de/smart/do_annotation.pl?DOMAIN=SCP&amp;BLAST=DUMMY","5E-028")</f>
        <v>5E-028</v>
      </c>
      <c r="BI250" t="s">
        <v>128</v>
      </c>
      <c r="BJ250" s="2" t="s">
        <v>128</v>
      </c>
      <c r="BK250" t="s">
        <v>858</v>
      </c>
      <c r="BL250">
        <f>HYPERLINK("http://exon.niaid.nih.gov/transcriptome/Anopheles_sialome/links/cluster-b/anopheline-sialome-cds-pep-larger-orf25-50SimCLU4.txt", 4)</f>
        <v>4</v>
      </c>
      <c r="BM250">
        <f>HYPERLINK("http://exon.niaid.nih.gov/transcriptome/Anopheles_sialome/links/cluster-b/anopheline-sialome-cds-pep-larger-orf25-50SimCLTL4.txt", 82)</f>
        <v>82</v>
      </c>
      <c r="BN250">
        <f>HYPERLINK("http://exon.niaid.nih.gov/transcriptome/Anopheles_sialome/links/cluster-b/anopheline-sialome-cds-pep-larger-orf30-50SimCLU4.txt", 4)</f>
        <v>4</v>
      </c>
      <c r="BO250">
        <f>HYPERLINK("http://exon.niaid.nih.gov/transcriptome/Anopheles_sialome/links/cluster-b/anopheline-sialome-cds-pep-larger-orf30-50SimCLTL4.txt", 82)</f>
        <v>82</v>
      </c>
      <c r="BP250">
        <f>HYPERLINK("http://exon.niaid.nih.gov/transcriptome/Anopheles_sialome/links/cluster-b/anopheline-sialome-cds-pep-larger-orf35-50SimCLU3.txt", 3)</f>
        <v>3</v>
      </c>
      <c r="BQ250">
        <f>HYPERLINK("http://exon.niaid.nih.gov/transcriptome/Anopheles_sialome/links/cluster-b/anopheline-sialome-cds-pep-larger-orf35-50SimCLTL3.txt", 82)</f>
        <v>82</v>
      </c>
      <c r="BR250">
        <f>HYPERLINK("http://exon.niaid.nih.gov/transcriptome/Anopheles_sialome/links/cluster-b/anopheline-sialome-cds-pep-larger-orf40-50SimCLU3.txt", 3)</f>
        <v>3</v>
      </c>
      <c r="BS250">
        <f>HYPERLINK("http://exon.niaid.nih.gov/transcriptome/Anopheles_sialome/links/cluster-b/anopheline-sialome-cds-pep-larger-orf40-50SimCLTL3.txt", 82)</f>
        <v>82</v>
      </c>
      <c r="BT250">
        <f>HYPERLINK("http://exon.niaid.nih.gov/transcriptome/Anopheles_sialome/links/cluster-b/anopheline-sialome-cds-pep-larger-orf45-50SimCLU2.txt", 2)</f>
        <v>2</v>
      </c>
      <c r="BU250">
        <f>HYPERLINK("http://exon.niaid.nih.gov/transcriptome/Anopheles_sialome/links/cluster-b/anopheline-sialome-cds-pep-larger-orf45-50SimCLTL2.txt", 82)</f>
        <v>82</v>
      </c>
      <c r="BV250">
        <f>HYPERLINK("http://exon.niaid.nih.gov/transcriptome/Anopheles_sialome/links/cluster-b/anopheline-sialome-cds-pep-larger-orf50-50SimCLU2.txt", 2)</f>
        <v>2</v>
      </c>
      <c r="BW250">
        <f>HYPERLINK("http://exon.niaid.nih.gov/transcriptome/Anopheles_sialome/links/cluster-b/anopheline-sialome-cds-pep-larger-orf50-50SimCLTL2.txt", 82)</f>
        <v>82</v>
      </c>
      <c r="BX250">
        <f>HYPERLINK("http://exon.niaid.nih.gov/transcriptome/Anopheles_sialome/links/cluster-b/anopheline-sialome-cds-pep-larger-orf55-50SimCLU2.txt", 2)</f>
        <v>2</v>
      </c>
      <c r="BY250">
        <f>HYPERLINK("http://exon.niaid.nih.gov/transcriptome/Anopheles_sialome/links/cluster-b/anopheline-sialome-cds-pep-larger-orf55-50SimCLTL2.txt", 55)</f>
        <v>55</v>
      </c>
      <c r="BZ250">
        <f>HYPERLINK("http://exon.niaid.nih.gov/transcriptome/Anopheles_sialome/links/cluster-b/anopheline-sialome-cds-pep-larger-orf60-50SimCLU2.txt", 2)</f>
        <v>2</v>
      </c>
      <c r="CA250">
        <f>HYPERLINK("http://exon.niaid.nih.gov/transcriptome/Anopheles_sialome/links/cluster-b/anopheline-sialome-cds-pep-larger-orf60-50SimCLTL2.txt", 54)</f>
        <v>54</v>
      </c>
      <c r="CB250">
        <f>HYPERLINK("http://exon.niaid.nih.gov/transcriptome/Anopheles_sialome/links/cluster-b/anopheline-sialome-cds-pep-larger-orf65-50SimCLU7.txt", 7)</f>
        <v>7</v>
      </c>
      <c r="CC250">
        <f>HYPERLINK("http://exon.niaid.nih.gov/transcriptome/Anopheles_sialome/links/cluster-b/anopheline-sialome-cds-pep-larger-orf65-50SimCLTL7.txt", 21)</f>
        <v>21</v>
      </c>
      <c r="CD250">
        <f>HYPERLINK("http://exon.niaid.nih.gov/transcriptome/Anopheles_sialome/links/cluster-b/anopheline-sialome-cds-pep-larger-orf70-50SimCLU8.txt", 8)</f>
        <v>8</v>
      </c>
      <c r="CE250">
        <f>HYPERLINK("http://exon.niaid.nih.gov/transcriptome/Anopheles_sialome/links/cluster-b/anopheline-sialome-cds-pep-larger-orf70-50SimCLTL8.txt", 19)</f>
        <v>19</v>
      </c>
      <c r="CF250">
        <f>HYPERLINK("http://exon.niaid.nih.gov/transcriptome/Anopheles_sialome/links/cluster-b/anopheline-sialome-cds-pep-larger-orf75-50SimCLU11.txt", 11)</f>
        <v>11</v>
      </c>
      <c r="CG250">
        <f>HYPERLINK("http://exon.niaid.nih.gov/transcriptome/Anopheles_sialome/links/cluster-b/anopheline-sialome-cds-pep-larger-orf75-50SimCLTL11.txt", 17)</f>
        <v>17</v>
      </c>
      <c r="CH250">
        <f>HYPERLINK("http://exon.niaid.nih.gov/transcriptome/Anopheles_sialome/links/cluster-b/anopheline-sialome-cds-pep-larger-orf80-50SimCLU8.txt", 8)</f>
        <v>8</v>
      </c>
      <c r="CI250">
        <f>HYPERLINK("http://exon.niaid.nih.gov/transcriptome/Anopheles_sialome/links/cluster-b/anopheline-sialome-cds-pep-larger-orf80-50SimCLTL8.txt", 17)</f>
        <v>17</v>
      </c>
      <c r="CJ250">
        <f>HYPERLINK("http://exon.niaid.nih.gov/transcriptome/Anopheles_sialome/links/cluster-b/anopheline-sialome-cds-pep-larger-orf85-50SimCLU27.txt", 27)</f>
        <v>27</v>
      </c>
      <c r="CK250">
        <f>HYPERLINK("http://exon.niaid.nih.gov/transcriptome/Anopheles_sialome/links/cluster-b/anopheline-sialome-cds-pep-larger-orf85-50SimCLTL27.txt", 6)</f>
        <v>6</v>
      </c>
      <c r="CL250">
        <f>HYPERLINK("http://exon.niaid.nih.gov/transcriptome/Anopheles_sialome/links/cluster-b/anopheline-sialome-cds-pep-larger-orf90-50SimCLU18.txt", 18)</f>
        <v>18</v>
      </c>
      <c r="CM250">
        <f>HYPERLINK("http://exon.niaid.nih.gov/transcriptome/Anopheles_sialome/links/cluster-b/anopheline-sialome-cds-pep-larger-orf90-50SimCLTL18.txt", 6)</f>
        <v>6</v>
      </c>
      <c r="CN250">
        <f>HYPERLINK("http://exon.niaid.nih.gov/transcriptome/Anopheles_sialome/links/cluster-b/anopheline-sialome-cds-pep-larger-orf95-50SimCLU4.txt", 4)</f>
        <v>4</v>
      </c>
      <c r="CO250">
        <f>HYPERLINK("http://exon.niaid.nih.gov/transcriptome/Anopheles_sialome/links/cluster-b/anopheline-sialome-cds-pep-larger-orf95-50SimCLTL4.txt", 6)</f>
        <v>6</v>
      </c>
    </row>
    <row r="251" spans="1:93">
      <c r="A251" s="2" t="str">
        <f>HYPERLINK("http://exon.niaid.nih.gov/transcriptome/Anopheles_sialome/links/cds/anomel_Ag5r5-cds.txt","anomel_Ag5r5")</f>
        <v>anomel_Ag5r5</v>
      </c>
      <c r="B251">
        <v>801</v>
      </c>
      <c r="C251" t="s">
        <v>88</v>
      </c>
      <c r="D251" t="s">
        <v>7</v>
      </c>
      <c r="E251" t="s">
        <v>5</v>
      </c>
      <c r="F251" t="s">
        <v>1</v>
      </c>
      <c r="G251" t="str">
        <f>HYPERLINK("http://exon.niaid.nih.gov/transcriptome/Anopheles_sialome/links/pep/anomel_Ag5r5-pep.txt","anomel_Ag5r5")</f>
        <v>anomel_Ag5r5</v>
      </c>
      <c r="H251">
        <v>266</v>
      </c>
      <c r="I251">
        <v>0</v>
      </c>
      <c r="J251" s="3" t="str">
        <f>HYPERLINK("http://exon.niaid.nih.gov/transcriptome/Anopheles_sialome/links/Sigp/anomel_Ag5r5-SigP.txt","SIG")</f>
        <v>SIG</v>
      </c>
      <c r="K251" t="s">
        <v>695</v>
      </c>
      <c r="L251">
        <v>29.03</v>
      </c>
      <c r="M251">
        <v>6.06</v>
      </c>
      <c r="N251">
        <v>26.553000000000001</v>
      </c>
      <c r="O251">
        <v>5.82</v>
      </c>
      <c r="P251" t="s">
        <v>861</v>
      </c>
      <c r="Q251" s="3">
        <v>0</v>
      </c>
      <c r="R251" t="s">
        <v>128</v>
      </c>
      <c r="S251" t="s">
        <v>128</v>
      </c>
      <c r="T251" t="s">
        <v>128</v>
      </c>
      <c r="U251" t="s">
        <v>128</v>
      </c>
      <c r="V251" t="s">
        <v>128</v>
      </c>
      <c r="W251" s="3" t="str">
        <f>HYPERLINK("http://exon.niaid.nih.gov/transcriptome/Anopheles_sialome/links/netoglyc/anomel_Ag5r5-netoglyc.txt","1")</f>
        <v>1</v>
      </c>
      <c r="X251">
        <v>16.899999999999999</v>
      </c>
      <c r="Y251">
        <v>6.4</v>
      </c>
      <c r="Z251">
        <v>7.5</v>
      </c>
      <c r="AA251" t="s">
        <v>654</v>
      </c>
      <c r="AB251" t="s">
        <v>128</v>
      </c>
      <c r="AC251" s="2" t="str">
        <f>HYPERLINK("http://exon.niaid.nih.gov/transcriptome/Anopheles_sialome/links/DIPTERA/anomel_Ag5r5-DIPTERA.txt","AGAP006418-PA")</f>
        <v>AGAP006418-PA</v>
      </c>
      <c r="AD251" t="str">
        <f>HYPERLINK("http://www.ncbi.nlm.nih.gov/sutils/blink.cgi?pid=55239186","1E-153")</f>
        <v>1E-153</v>
      </c>
      <c r="AE251" t="str">
        <f t="shared" si="123"/>
        <v>gi|55239186</v>
      </c>
      <c r="AF251">
        <v>95</v>
      </c>
      <c r="AG251">
        <v>96</v>
      </c>
      <c r="AH251">
        <v>100</v>
      </c>
      <c r="AI251" t="s">
        <v>2285</v>
      </c>
      <c r="AJ251" s="2" t="str">
        <f>HYPERLINK("http://exon.niaid.nih.gov/transcriptome/Anopheles_sialome/links/CULICOMORPHA/anomel_Ag5r5-CULICOMORPHA.txt","AGAP006418-PA")</f>
        <v>AGAP006418-PA</v>
      </c>
      <c r="AK251" t="str">
        <f>HYPERLINK("http://www.ncbi.nlm.nih.gov/sutils/blink.cgi?pid=55239186","1E-154")</f>
        <v>1E-154</v>
      </c>
      <c r="AL251" t="str">
        <f t="shared" si="124"/>
        <v>gi|55239186</v>
      </c>
      <c r="AM251">
        <v>95</v>
      </c>
      <c r="AN251">
        <v>96</v>
      </c>
      <c r="AO251">
        <v>100</v>
      </c>
      <c r="AP251" t="s">
        <v>2285</v>
      </c>
      <c r="AQ251" s="2" t="str">
        <f>HYPERLINK("http://exon.niaid.nih.gov/transcriptome/Anopheles_sialome/links/NR-LIGHT/anomel_Ag5r5-NR-LIGHT.txt","AGAP006418-PA")</f>
        <v>AGAP006418-PA</v>
      </c>
      <c r="AR251" t="str">
        <f>HYPERLINK("http://www.ncbi.nlm.nih.gov/sutils/blink.cgi?pid=58388669","1E-153")</f>
        <v>1E-153</v>
      </c>
      <c r="AS251" t="str">
        <f t="shared" si="125"/>
        <v>gi|58388669</v>
      </c>
      <c r="AT251">
        <v>95</v>
      </c>
      <c r="AU251">
        <v>96</v>
      </c>
      <c r="AV251">
        <v>100</v>
      </c>
      <c r="AW251" t="s">
        <v>2285</v>
      </c>
      <c r="AX251" s="2" t="str">
        <f>HYPERLINK("http://exon.niaid.nih.gov/transcriptome/Anopheles_sialome/links/CDD/anomel_Ag5r5-CDD.txt","SCP_euk")</f>
        <v>SCP_euk</v>
      </c>
      <c r="AY251" t="str">
        <f>HYPERLINK("http://www.ncbi.nlm.nih.gov/Structure/cdd/cddsrv.cgi?uid=cd05380&amp;version=v4.0","1E-039")</f>
        <v>1E-039</v>
      </c>
      <c r="AZ251" t="s">
        <v>2382</v>
      </c>
      <c r="BA251" s="2" t="str">
        <f>HYPERLINK("http://exon.niaid.nih.gov/transcriptome/Anopheles_sialome/links/KOG/anomel_Ag5r5-KOG.txt","Defense-related protein containing SCP domain")</f>
        <v>Defense-related protein containing SCP domain</v>
      </c>
      <c r="BB251" t="str">
        <f>HYPERLINK("http://www.ncbi.nlm.nih.gov/Structure/cdd/cddsrv.cgi?uid=KOG3017","5E-032")</f>
        <v>5E-032</v>
      </c>
      <c r="BC251" t="s">
        <v>2304</v>
      </c>
      <c r="BD251" t="str">
        <f>HYPERLINK("http://exon.niaid.nih.gov/transcriptome/Anopheles_sialome/links/KOG/anomel_Ag5r5-KOG.txt","KOG3017")</f>
        <v>KOG3017</v>
      </c>
      <c r="BE251" t="str">
        <f>HYPERLINK("http://exon.niaid.nih.gov/transcriptome/Anopheles_sialome/links/PFAM/anomel_Ag5r5-PFAM.txt","CAP")</f>
        <v>CAP</v>
      </c>
      <c r="BF251" t="str">
        <f>HYPERLINK("http://pfam.sanger.ac.uk/family?acc=PF00188","4E-014")</f>
        <v>4E-014</v>
      </c>
      <c r="BG251" s="2" t="str">
        <f>HYPERLINK("http://exon.niaid.nih.gov/transcriptome/Anopheles_sialome/links/SMART/anomel_Ag5r5-SMART.txt","SCP")</f>
        <v>SCP</v>
      </c>
      <c r="BH251" t="str">
        <f>HYPERLINK("http://smart.embl-heidelberg.de/smart/do_annotation.pl?DOMAIN=SCP&amp;BLAST=DUMMY","1E-027")</f>
        <v>1E-027</v>
      </c>
      <c r="BI251" t="s">
        <v>128</v>
      </c>
      <c r="BJ251" s="2" t="s">
        <v>128</v>
      </c>
      <c r="BK251" t="s">
        <v>860</v>
      </c>
      <c r="BL251">
        <f>HYPERLINK("http://exon.niaid.nih.gov/transcriptome/Anopheles_sialome/links/cluster-b/anopheline-sialome-cds-pep-larger-orf25-50SimCLU4.txt", 4)</f>
        <v>4</v>
      </c>
      <c r="BM251">
        <f>HYPERLINK("http://exon.niaid.nih.gov/transcriptome/Anopheles_sialome/links/cluster-b/anopheline-sialome-cds-pep-larger-orf25-50SimCLTL4.txt", 82)</f>
        <v>82</v>
      </c>
      <c r="BN251">
        <f>HYPERLINK("http://exon.niaid.nih.gov/transcriptome/Anopheles_sialome/links/cluster-b/anopheline-sialome-cds-pep-larger-orf30-50SimCLU4.txt", 4)</f>
        <v>4</v>
      </c>
      <c r="BO251">
        <f>HYPERLINK("http://exon.niaid.nih.gov/transcriptome/Anopheles_sialome/links/cluster-b/anopheline-sialome-cds-pep-larger-orf30-50SimCLTL4.txt", 82)</f>
        <v>82</v>
      </c>
      <c r="BP251">
        <f>HYPERLINK("http://exon.niaid.nih.gov/transcriptome/Anopheles_sialome/links/cluster-b/anopheline-sialome-cds-pep-larger-orf35-50SimCLU3.txt", 3)</f>
        <v>3</v>
      </c>
      <c r="BQ251">
        <f>HYPERLINK("http://exon.niaid.nih.gov/transcriptome/Anopheles_sialome/links/cluster-b/anopheline-sialome-cds-pep-larger-orf35-50SimCLTL3.txt", 82)</f>
        <v>82</v>
      </c>
      <c r="BR251">
        <f>HYPERLINK("http://exon.niaid.nih.gov/transcriptome/Anopheles_sialome/links/cluster-b/anopheline-sialome-cds-pep-larger-orf40-50SimCLU3.txt", 3)</f>
        <v>3</v>
      </c>
      <c r="BS251">
        <f>HYPERLINK("http://exon.niaid.nih.gov/transcriptome/Anopheles_sialome/links/cluster-b/anopheline-sialome-cds-pep-larger-orf40-50SimCLTL3.txt", 82)</f>
        <v>82</v>
      </c>
      <c r="BT251">
        <f>HYPERLINK("http://exon.niaid.nih.gov/transcriptome/Anopheles_sialome/links/cluster-b/anopheline-sialome-cds-pep-larger-orf45-50SimCLU2.txt", 2)</f>
        <v>2</v>
      </c>
      <c r="BU251">
        <f>HYPERLINK("http://exon.niaid.nih.gov/transcriptome/Anopheles_sialome/links/cluster-b/anopheline-sialome-cds-pep-larger-orf45-50SimCLTL2.txt", 82)</f>
        <v>82</v>
      </c>
      <c r="BV251">
        <f>HYPERLINK("http://exon.niaid.nih.gov/transcriptome/Anopheles_sialome/links/cluster-b/anopheline-sialome-cds-pep-larger-orf50-50SimCLU2.txt", 2)</f>
        <v>2</v>
      </c>
      <c r="BW251">
        <f>HYPERLINK("http://exon.niaid.nih.gov/transcriptome/Anopheles_sialome/links/cluster-b/anopheline-sialome-cds-pep-larger-orf50-50SimCLTL2.txt", 82)</f>
        <v>82</v>
      </c>
      <c r="BX251">
        <f>HYPERLINK("http://exon.niaid.nih.gov/transcriptome/Anopheles_sialome/links/cluster-b/anopheline-sialome-cds-pep-larger-orf55-50SimCLU2.txt", 2)</f>
        <v>2</v>
      </c>
      <c r="BY251">
        <f>HYPERLINK("http://exon.niaid.nih.gov/transcriptome/Anopheles_sialome/links/cluster-b/anopheline-sialome-cds-pep-larger-orf55-50SimCLTL2.txt", 55)</f>
        <v>55</v>
      </c>
      <c r="BZ251">
        <f>HYPERLINK("http://exon.niaid.nih.gov/transcriptome/Anopheles_sialome/links/cluster-b/anopheline-sialome-cds-pep-larger-orf60-50SimCLU2.txt", 2)</f>
        <v>2</v>
      </c>
      <c r="CA251">
        <f>HYPERLINK("http://exon.niaid.nih.gov/transcriptome/Anopheles_sialome/links/cluster-b/anopheline-sialome-cds-pep-larger-orf60-50SimCLTL2.txt", 54)</f>
        <v>54</v>
      </c>
      <c r="CB251">
        <f>HYPERLINK("http://exon.niaid.nih.gov/transcriptome/Anopheles_sialome/links/cluster-b/anopheline-sialome-cds-pep-larger-orf65-50SimCLU7.txt", 7)</f>
        <v>7</v>
      </c>
      <c r="CC251">
        <f>HYPERLINK("http://exon.niaid.nih.gov/transcriptome/Anopheles_sialome/links/cluster-b/anopheline-sialome-cds-pep-larger-orf65-50SimCLTL7.txt", 21)</f>
        <v>21</v>
      </c>
      <c r="CD251">
        <f>HYPERLINK("http://exon.niaid.nih.gov/transcriptome/Anopheles_sialome/links/cluster-b/anopheline-sialome-cds-pep-larger-orf70-50SimCLU8.txt", 8)</f>
        <v>8</v>
      </c>
      <c r="CE251">
        <f>HYPERLINK("http://exon.niaid.nih.gov/transcriptome/Anopheles_sialome/links/cluster-b/anopheline-sialome-cds-pep-larger-orf70-50SimCLTL8.txt", 19)</f>
        <v>19</v>
      </c>
      <c r="CF251">
        <f>HYPERLINK("http://exon.niaid.nih.gov/transcriptome/Anopheles_sialome/links/cluster-b/anopheline-sialome-cds-pep-larger-orf75-50SimCLU11.txt", 11)</f>
        <v>11</v>
      </c>
      <c r="CG251">
        <f>HYPERLINK("http://exon.niaid.nih.gov/transcriptome/Anopheles_sialome/links/cluster-b/anopheline-sialome-cds-pep-larger-orf75-50SimCLTL11.txt", 17)</f>
        <v>17</v>
      </c>
      <c r="CH251">
        <f>HYPERLINK("http://exon.niaid.nih.gov/transcriptome/Anopheles_sialome/links/cluster-b/anopheline-sialome-cds-pep-larger-orf80-50SimCLU8.txt", 8)</f>
        <v>8</v>
      </c>
      <c r="CI251">
        <f>HYPERLINK("http://exon.niaid.nih.gov/transcriptome/Anopheles_sialome/links/cluster-b/anopheline-sialome-cds-pep-larger-orf80-50SimCLTL8.txt", 17)</f>
        <v>17</v>
      </c>
      <c r="CJ251">
        <f>HYPERLINK("http://exon.niaid.nih.gov/transcriptome/Anopheles_sialome/links/cluster-b/anopheline-sialome-cds-pep-larger-orf85-50SimCLU27.txt", 27)</f>
        <v>27</v>
      </c>
      <c r="CK251">
        <f>HYPERLINK("http://exon.niaid.nih.gov/transcriptome/Anopheles_sialome/links/cluster-b/anopheline-sialome-cds-pep-larger-orf85-50SimCLTL27.txt", 6)</f>
        <v>6</v>
      </c>
      <c r="CL251">
        <f>HYPERLINK("http://exon.niaid.nih.gov/transcriptome/Anopheles_sialome/links/cluster-b/anopheline-sialome-cds-pep-larger-orf90-50SimCLU18.txt", 18)</f>
        <v>18</v>
      </c>
      <c r="CM251">
        <f>HYPERLINK("http://exon.niaid.nih.gov/transcriptome/Anopheles_sialome/links/cluster-b/anopheline-sialome-cds-pep-larger-orf90-50SimCLTL18.txt", 6)</f>
        <v>6</v>
      </c>
      <c r="CN251">
        <f>HYPERLINK("http://exon.niaid.nih.gov/transcriptome/Anopheles_sialome/links/cluster-b/anopheline-sialome-cds-pep-larger-orf95-50SimCLU4.txt", 4)</f>
        <v>4</v>
      </c>
      <c r="CO251">
        <f>HYPERLINK("http://exon.niaid.nih.gov/transcriptome/Anopheles_sialome/links/cluster-b/anopheline-sialome-cds-pep-larger-orf95-50SimCLTL4.txt", 6)</f>
        <v>6</v>
      </c>
    </row>
    <row r="252" spans="1:93">
      <c r="A252" s="2" t="str">
        <f>HYPERLINK("http://exon.niaid.nih.gov/transcriptome/Anopheles_sialome/links/cds/anoste_Ag5r5-cds.txt","anoste_Ag5r5")</f>
        <v>anoste_Ag5r5</v>
      </c>
      <c r="B252">
        <v>780</v>
      </c>
      <c r="C252" t="s">
        <v>51</v>
      </c>
      <c r="D252" t="s">
        <v>7</v>
      </c>
      <c r="E252" t="s">
        <v>5</v>
      </c>
      <c r="F252" t="s">
        <v>1</v>
      </c>
      <c r="G252" t="str">
        <f>HYPERLINK("http://exon.niaid.nih.gov/transcriptome/Anopheles_sialome/links/pep/anoste_Ag5r5-pep.txt","anoste_Ag5r5")</f>
        <v>anoste_Ag5r5</v>
      </c>
      <c r="H252">
        <v>259</v>
      </c>
      <c r="I252">
        <v>0</v>
      </c>
      <c r="J252" s="3" t="str">
        <f>HYPERLINK("http://exon.niaid.nih.gov/transcriptome/Anopheles_sialome/links/Sigp/anoste_Ag5r5-SigP.txt","SIG")</f>
        <v>SIG</v>
      </c>
      <c r="K252" t="s">
        <v>652</v>
      </c>
      <c r="L252">
        <v>28.085999999999999</v>
      </c>
      <c r="M252">
        <v>8.76</v>
      </c>
      <c r="N252">
        <v>26.065999999999999</v>
      </c>
      <c r="O252">
        <v>8.81</v>
      </c>
      <c r="P252" t="s">
        <v>863</v>
      </c>
      <c r="Q252" s="3">
        <v>0</v>
      </c>
      <c r="R252" t="s">
        <v>128</v>
      </c>
      <c r="S252" t="s">
        <v>128</v>
      </c>
      <c r="T252" t="s">
        <v>128</v>
      </c>
      <c r="U252" t="s">
        <v>128</v>
      </c>
      <c r="V252" t="s">
        <v>128</v>
      </c>
      <c r="W252" s="3" t="str">
        <f>HYPERLINK("http://exon.niaid.nih.gov/transcriptome/Anopheles_sialome/links/netoglyc/anoste_Ag5r5-netoglyc.txt","7")</f>
        <v>7</v>
      </c>
      <c r="X252">
        <v>18.100000000000001</v>
      </c>
      <c r="Y252">
        <v>8.5</v>
      </c>
      <c r="Z252">
        <v>5</v>
      </c>
      <c r="AA252" t="s">
        <v>654</v>
      </c>
      <c r="AB252" t="s">
        <v>128</v>
      </c>
      <c r="AC252" s="2" t="str">
        <f>HYPERLINK("http://exon.niaid.nih.gov/transcriptome/Anopheles_sialome/links/DIPTERA/anoste_Ag5r5-DIPTERA.txt","AGAP006419-PA")</f>
        <v>AGAP006419-PA</v>
      </c>
      <c r="AD252" t="str">
        <f>HYPERLINK("http://www.ncbi.nlm.nih.gov/sutils/blink.cgi?pid=116127082","1E-110")</f>
        <v>1E-110</v>
      </c>
      <c r="AE252" t="str">
        <f>HYPERLINK("http://www.ncbi.nlm.nih.gov/protein/116127082","gi|116127082")</f>
        <v>gi|116127082</v>
      </c>
      <c r="AF252">
        <v>71</v>
      </c>
      <c r="AG252">
        <v>81</v>
      </c>
      <c r="AH252">
        <v>101</v>
      </c>
      <c r="AI252" t="s">
        <v>2285</v>
      </c>
      <c r="AJ252" s="2" t="str">
        <f>HYPERLINK("http://exon.niaid.nih.gov/transcriptome/Anopheles_sialome/links/CULICOMORPHA/anoste_Ag5r5-CULICOMORPHA.txt","AGAP006419-PA")</f>
        <v>AGAP006419-PA</v>
      </c>
      <c r="AK252" t="str">
        <f>HYPERLINK("http://www.ncbi.nlm.nih.gov/sutils/blink.cgi?pid=116127082","1E-111")</f>
        <v>1E-111</v>
      </c>
      <c r="AL252" t="str">
        <f>HYPERLINK("http://www.ncbi.nlm.nih.gov/protein/116127082","gi|116127082")</f>
        <v>gi|116127082</v>
      </c>
      <c r="AM252">
        <v>71</v>
      </c>
      <c r="AN252">
        <v>81</v>
      </c>
      <c r="AO252">
        <v>101</v>
      </c>
      <c r="AP252" t="s">
        <v>2285</v>
      </c>
      <c r="AQ252" s="2" t="str">
        <f>HYPERLINK("http://exon.niaid.nih.gov/transcriptome/Anopheles_sialome/links/NR-LIGHT/anoste_Ag5r5-NR-LIGHT.txt","AGAP006419-PA")</f>
        <v>AGAP006419-PA</v>
      </c>
      <c r="AR252" t="str">
        <f>HYPERLINK("http://www.ncbi.nlm.nih.gov/sutils/blink.cgi?pid=118788030","1E-109")</f>
        <v>1E-109</v>
      </c>
      <c r="AS252" t="str">
        <f>HYPERLINK("http://www.ncbi.nlm.nih.gov/protein/118788030","gi|118788030")</f>
        <v>gi|118788030</v>
      </c>
      <c r="AT252">
        <v>71</v>
      </c>
      <c r="AU252">
        <v>81</v>
      </c>
      <c r="AV252">
        <v>101</v>
      </c>
      <c r="AW252" t="s">
        <v>2285</v>
      </c>
      <c r="AX252" s="2" t="str">
        <f>HYPERLINK("http://exon.niaid.nih.gov/transcriptome/Anopheles_sialome/links/CDD/anoste_Ag5r5-CDD.txt","SCP_euk")</f>
        <v>SCP_euk</v>
      </c>
      <c r="AY252" t="str">
        <f>HYPERLINK("http://www.ncbi.nlm.nih.gov/Structure/cdd/cddsrv.cgi?uid=cd05380&amp;version=v4.0","1E-038")</f>
        <v>1E-038</v>
      </c>
      <c r="AZ252" t="s">
        <v>2383</v>
      </c>
      <c r="BA252" s="2" t="str">
        <f>HYPERLINK("http://exon.niaid.nih.gov/transcriptome/Anopheles_sialome/links/KOG/anoste_Ag5r5-KOG.txt","Defense-related protein containing SCP domain")</f>
        <v>Defense-related protein containing SCP domain</v>
      </c>
      <c r="BB252" t="str">
        <f>HYPERLINK("http://www.ncbi.nlm.nih.gov/Structure/cdd/cddsrv.cgi?uid=KOG3017","7E-031")</f>
        <v>7E-031</v>
      </c>
      <c r="BC252" t="s">
        <v>2304</v>
      </c>
      <c r="BD252" t="str">
        <f>HYPERLINK("http://exon.niaid.nih.gov/transcriptome/Anopheles_sialome/links/KOG/anoste_Ag5r5-KOG.txt","KOG3017")</f>
        <v>KOG3017</v>
      </c>
      <c r="BE252" t="str">
        <f>HYPERLINK("http://exon.niaid.nih.gov/transcriptome/Anopheles_sialome/links/PFAM/anoste_Ag5r5-PFAM.txt","CAP")</f>
        <v>CAP</v>
      </c>
      <c r="BF252" t="str">
        <f>HYPERLINK("http://pfam.sanger.ac.uk/family?acc=PF00188","2E-011")</f>
        <v>2E-011</v>
      </c>
      <c r="BG252" s="2" t="str">
        <f>HYPERLINK("http://exon.niaid.nih.gov/transcriptome/Anopheles_sialome/links/SMART/anoste_Ag5r5-SMART.txt","SCP")</f>
        <v>SCP</v>
      </c>
      <c r="BH252" t="str">
        <f>HYPERLINK("http://smart.embl-heidelberg.de/smart/do_annotation.pl?DOMAIN=SCP&amp;BLAST=DUMMY","1E-029")</f>
        <v>1E-029</v>
      </c>
      <c r="BI252" t="s">
        <v>128</v>
      </c>
      <c r="BJ252" s="2" t="s">
        <v>128</v>
      </c>
      <c r="BK252" t="s">
        <v>862</v>
      </c>
      <c r="BL252">
        <f>HYPERLINK("http://exon.niaid.nih.gov/transcriptome/Anopheles_sialome/links/cluster-b/anopheline-sialome-cds-pep-larger-orf25-50SimCLU4.txt", 4)</f>
        <v>4</v>
      </c>
      <c r="BM252">
        <f>HYPERLINK("http://exon.niaid.nih.gov/transcriptome/Anopheles_sialome/links/cluster-b/anopheline-sialome-cds-pep-larger-orf25-50SimCLTL4.txt", 82)</f>
        <v>82</v>
      </c>
      <c r="BN252">
        <f>HYPERLINK("http://exon.niaid.nih.gov/transcriptome/Anopheles_sialome/links/cluster-b/anopheline-sialome-cds-pep-larger-orf30-50SimCLU4.txt", 4)</f>
        <v>4</v>
      </c>
      <c r="BO252">
        <f>HYPERLINK("http://exon.niaid.nih.gov/transcriptome/Anopheles_sialome/links/cluster-b/anopheline-sialome-cds-pep-larger-orf30-50SimCLTL4.txt", 82)</f>
        <v>82</v>
      </c>
      <c r="BP252">
        <f>HYPERLINK("http://exon.niaid.nih.gov/transcriptome/Anopheles_sialome/links/cluster-b/anopheline-sialome-cds-pep-larger-orf35-50SimCLU3.txt", 3)</f>
        <v>3</v>
      </c>
      <c r="BQ252">
        <f>HYPERLINK("http://exon.niaid.nih.gov/transcriptome/Anopheles_sialome/links/cluster-b/anopheline-sialome-cds-pep-larger-orf35-50SimCLTL3.txt", 82)</f>
        <v>82</v>
      </c>
      <c r="BR252">
        <f>HYPERLINK("http://exon.niaid.nih.gov/transcriptome/Anopheles_sialome/links/cluster-b/anopheline-sialome-cds-pep-larger-orf40-50SimCLU3.txt", 3)</f>
        <v>3</v>
      </c>
      <c r="BS252">
        <f>HYPERLINK("http://exon.niaid.nih.gov/transcriptome/Anopheles_sialome/links/cluster-b/anopheline-sialome-cds-pep-larger-orf40-50SimCLTL3.txt", 82)</f>
        <v>82</v>
      </c>
      <c r="BT252">
        <f>HYPERLINK("http://exon.niaid.nih.gov/transcriptome/Anopheles_sialome/links/cluster-b/anopheline-sialome-cds-pep-larger-orf45-50SimCLU2.txt", 2)</f>
        <v>2</v>
      </c>
      <c r="BU252">
        <f>HYPERLINK("http://exon.niaid.nih.gov/transcriptome/Anopheles_sialome/links/cluster-b/anopheline-sialome-cds-pep-larger-orf45-50SimCLTL2.txt", 82)</f>
        <v>82</v>
      </c>
      <c r="BV252">
        <f>HYPERLINK("http://exon.niaid.nih.gov/transcriptome/Anopheles_sialome/links/cluster-b/anopheline-sialome-cds-pep-larger-orf50-50SimCLU2.txt", 2)</f>
        <v>2</v>
      </c>
      <c r="BW252">
        <f>HYPERLINK("http://exon.niaid.nih.gov/transcriptome/Anopheles_sialome/links/cluster-b/anopheline-sialome-cds-pep-larger-orf50-50SimCLTL2.txt", 82)</f>
        <v>82</v>
      </c>
      <c r="BX252">
        <f>HYPERLINK("http://exon.niaid.nih.gov/transcriptome/Anopheles_sialome/links/cluster-b/anopheline-sialome-cds-pep-larger-orf55-50SimCLU2.txt", 2)</f>
        <v>2</v>
      </c>
      <c r="BY252">
        <f>HYPERLINK("http://exon.niaid.nih.gov/transcriptome/Anopheles_sialome/links/cluster-b/anopheline-sialome-cds-pep-larger-orf55-50SimCLTL2.txt", 55)</f>
        <v>55</v>
      </c>
      <c r="BZ252">
        <f>HYPERLINK("http://exon.niaid.nih.gov/transcriptome/Anopheles_sialome/links/cluster-b/anopheline-sialome-cds-pep-larger-orf60-50SimCLU2.txt", 2)</f>
        <v>2</v>
      </c>
      <c r="CA252">
        <f>HYPERLINK("http://exon.niaid.nih.gov/transcriptome/Anopheles_sialome/links/cluster-b/anopheline-sialome-cds-pep-larger-orf60-50SimCLTL2.txt", 54)</f>
        <v>54</v>
      </c>
      <c r="CB252">
        <f>HYPERLINK("http://exon.niaid.nih.gov/transcriptome/Anopheles_sialome/links/cluster-b/anopheline-sialome-cds-pep-larger-orf65-50SimCLU7.txt", 7)</f>
        <v>7</v>
      </c>
      <c r="CC252">
        <f>HYPERLINK("http://exon.niaid.nih.gov/transcriptome/Anopheles_sialome/links/cluster-b/anopheline-sialome-cds-pep-larger-orf65-50SimCLTL7.txt", 21)</f>
        <v>21</v>
      </c>
      <c r="CD252">
        <f>HYPERLINK("http://exon.niaid.nih.gov/transcriptome/Anopheles_sialome/links/cluster-b/anopheline-sialome-cds-pep-larger-orf70-50SimCLU8.txt", 8)</f>
        <v>8</v>
      </c>
      <c r="CE252">
        <f>HYPERLINK("http://exon.niaid.nih.gov/transcriptome/Anopheles_sialome/links/cluster-b/anopheline-sialome-cds-pep-larger-orf70-50SimCLTL8.txt", 19)</f>
        <v>19</v>
      </c>
      <c r="CF252">
        <f>HYPERLINK("http://exon.niaid.nih.gov/transcriptome/Anopheles_sialome/links/cluster-b/anopheline-sialome-cds-pep-larger-orf75-50SimCLU11.txt", 11)</f>
        <v>11</v>
      </c>
      <c r="CG252">
        <f>HYPERLINK("http://exon.niaid.nih.gov/transcriptome/Anopheles_sialome/links/cluster-b/anopheline-sialome-cds-pep-larger-orf75-50SimCLTL11.txt", 17)</f>
        <v>17</v>
      </c>
      <c r="CH252">
        <f>HYPERLINK("http://exon.niaid.nih.gov/transcriptome/Anopheles_sialome/links/cluster-b/anopheline-sialome-cds-pep-larger-orf80-50SimCLU8.txt", 8)</f>
        <v>8</v>
      </c>
      <c r="CI252">
        <f>HYPERLINK("http://exon.niaid.nih.gov/transcriptome/Anopheles_sialome/links/cluster-b/anopheline-sialome-cds-pep-larger-orf80-50SimCLTL8.txt", 17)</f>
        <v>17</v>
      </c>
      <c r="CJ252">
        <f>HYPERLINK("http://exon.niaid.nih.gov/transcriptome/Anopheles_sialome/links/cluster-b/anopheline-sialome-cds-pep-larger-orf85-50SimCLU61.txt", 61)</f>
        <v>61</v>
      </c>
      <c r="CK252">
        <f>HYPERLINK("http://exon.niaid.nih.gov/transcriptome/Anopheles_sialome/links/cluster-b/anopheline-sialome-cds-pep-larger-orf85-50SimCLTL61.txt", 2)</f>
        <v>2</v>
      </c>
      <c r="CL252">
        <v>134</v>
      </c>
      <c r="CM252">
        <v>1</v>
      </c>
      <c r="CN252">
        <v>116</v>
      </c>
      <c r="CO252">
        <v>1</v>
      </c>
    </row>
    <row r="253" spans="1:93">
      <c r="A253" s="2" t="str">
        <f>HYPERLINK("http://exon.niaid.nih.gov/transcriptome/Anopheles_sialome/links/cds/anofar_Ag5r5-cds.txt","anofar_Ag5r5")</f>
        <v>anofar_Ag5r5</v>
      </c>
      <c r="B253">
        <v>798</v>
      </c>
      <c r="C253" t="s">
        <v>89</v>
      </c>
      <c r="D253" t="s">
        <v>7</v>
      </c>
      <c r="E253" t="s">
        <v>5</v>
      </c>
      <c r="F253" t="s">
        <v>1</v>
      </c>
      <c r="G253" t="str">
        <f>HYPERLINK("http://exon.niaid.nih.gov/transcriptome/Anopheles_sialome/links/pep/anofar_Ag5r5-pep.txt","anofar_Ag5r5")</f>
        <v>anofar_Ag5r5</v>
      </c>
      <c r="H253">
        <v>265</v>
      </c>
      <c r="I253">
        <v>0</v>
      </c>
      <c r="J253" s="3" t="str">
        <f>HYPERLINK("http://exon.niaid.nih.gov/transcriptome/Anopheles_sialome/links/Sigp/anofar_Ag5r5-SigP.txt","SIG")</f>
        <v>SIG</v>
      </c>
      <c r="K253" t="s">
        <v>652</v>
      </c>
      <c r="L253">
        <v>28.594999999999999</v>
      </c>
      <c r="M253">
        <v>8.43</v>
      </c>
      <c r="N253">
        <v>26.59</v>
      </c>
      <c r="O253">
        <v>8.51</v>
      </c>
      <c r="P253" t="s">
        <v>865</v>
      </c>
      <c r="Q253" s="3">
        <v>0</v>
      </c>
      <c r="R253" t="s">
        <v>128</v>
      </c>
      <c r="S253" t="s">
        <v>128</v>
      </c>
      <c r="T253" t="s">
        <v>128</v>
      </c>
      <c r="U253" t="s">
        <v>128</v>
      </c>
      <c r="V253" t="s">
        <v>128</v>
      </c>
      <c r="W253" s="3" t="str">
        <f>HYPERLINK("http://exon.niaid.nih.gov/transcriptome/Anopheles_sialome/links/netoglyc/anofar_Ag5r5-netoglyc.txt","4")</f>
        <v>4</v>
      </c>
      <c r="X253">
        <v>16.2</v>
      </c>
      <c r="Y253">
        <v>8.3000000000000007</v>
      </c>
      <c r="Z253">
        <v>6</v>
      </c>
      <c r="AA253" t="s">
        <v>654</v>
      </c>
      <c r="AB253" t="s">
        <v>128</v>
      </c>
      <c r="AC253" s="2" t="str">
        <f>HYPERLINK("http://exon.niaid.nih.gov/transcriptome/Anopheles_sialome/links/DIPTERA/anofar_Ag5r5-DIPTERA.txt","antigen 5-related 2 salivary protein, partial")</f>
        <v>antigen 5-related 2 salivary protein, partial</v>
      </c>
      <c r="AD253" t="str">
        <f>HYPERLINK("http://www.ncbi.nlm.nih.gov/sutils/blink.cgi?pid=31979121","1E-104")</f>
        <v>1E-104</v>
      </c>
      <c r="AE253" t="str">
        <f>HYPERLINK("http://www.ncbi.nlm.nih.gov/protein/31979121","gi|31979121")</f>
        <v>gi|31979121</v>
      </c>
      <c r="AF253">
        <v>76</v>
      </c>
      <c r="AG253">
        <v>85</v>
      </c>
      <c r="AH253">
        <v>98</v>
      </c>
      <c r="AI253" t="s">
        <v>2274</v>
      </c>
      <c r="AJ253" s="2" t="str">
        <f>HYPERLINK("http://exon.niaid.nih.gov/transcriptome/Anopheles_sialome/links/CULICOMORPHA/anofar_Ag5r5-CULICOMORPHA.txt","antigen 5-related 2 salivary protein, partial")</f>
        <v>antigen 5-related 2 salivary protein, partial</v>
      </c>
      <c r="AK253" t="str">
        <f>HYPERLINK("http://www.ncbi.nlm.nih.gov/sutils/blink.cgi?pid=31979121","1E-105")</f>
        <v>1E-105</v>
      </c>
      <c r="AL253" t="str">
        <f>HYPERLINK("http://www.ncbi.nlm.nih.gov/protein/31979121","gi|31979121")</f>
        <v>gi|31979121</v>
      </c>
      <c r="AM253">
        <v>76</v>
      </c>
      <c r="AN253">
        <v>85</v>
      </c>
      <c r="AO253">
        <v>98</v>
      </c>
      <c r="AP253" t="s">
        <v>2274</v>
      </c>
      <c r="AQ253" s="2" t="str">
        <f>HYPERLINK("http://exon.niaid.nih.gov/transcriptome/Anopheles_sialome/links/NR-LIGHT/anofar_Ag5r5-NR-LIGHT.txt","antigen 5-related 2 salivary protein, partial")</f>
        <v>antigen 5-related 2 salivary protein, partial</v>
      </c>
      <c r="AR253" t="str">
        <f>HYPERLINK("http://www.ncbi.nlm.nih.gov/sutils/blink.cgi?pid=31979121","1E-104")</f>
        <v>1E-104</v>
      </c>
      <c r="AS253" t="str">
        <f>HYPERLINK("http://www.ncbi.nlm.nih.gov/protein/31979121","gi|31979121")</f>
        <v>gi|31979121</v>
      </c>
      <c r="AT253">
        <v>76</v>
      </c>
      <c r="AU253">
        <v>85</v>
      </c>
      <c r="AV253">
        <v>98</v>
      </c>
      <c r="AW253" t="s">
        <v>2274</v>
      </c>
      <c r="AX253" s="2" t="str">
        <f>HYPERLINK("http://exon.niaid.nih.gov/transcriptome/Anopheles_sialome/links/CDD/anofar_Ag5r5-CDD.txt","SCP_euk")</f>
        <v>SCP_euk</v>
      </c>
      <c r="AY253" t="str">
        <f>HYPERLINK("http://www.ncbi.nlm.nih.gov/Structure/cdd/cddsrv.cgi?uid=cd05380&amp;version=v4.0","4E-040")</f>
        <v>4E-040</v>
      </c>
      <c r="AZ253" t="s">
        <v>2384</v>
      </c>
      <c r="BA253" s="2" t="str">
        <f>HYPERLINK("http://exon.niaid.nih.gov/transcriptome/Anopheles_sialome/links/KOG/anofar_Ag5r5-KOG.txt","Defense-related protein containing SCP domain")</f>
        <v>Defense-related protein containing SCP domain</v>
      </c>
      <c r="BB253" t="str">
        <f>HYPERLINK("http://www.ncbi.nlm.nih.gov/Structure/cdd/cddsrv.cgi?uid=KOG3017","4E-031")</f>
        <v>4E-031</v>
      </c>
      <c r="BC253" t="s">
        <v>2304</v>
      </c>
      <c r="BD253" t="str">
        <f>HYPERLINK("http://exon.niaid.nih.gov/transcriptome/Anopheles_sialome/links/KOG/anofar_Ag5r5-KOG.txt","KOG3017")</f>
        <v>KOG3017</v>
      </c>
      <c r="BE253" t="str">
        <f>HYPERLINK("http://exon.niaid.nih.gov/transcriptome/Anopheles_sialome/links/PFAM/anofar_Ag5r5-PFAM.txt","CAP")</f>
        <v>CAP</v>
      </c>
      <c r="BF253" t="str">
        <f>HYPERLINK("http://pfam.sanger.ac.uk/family?acc=PF00188","7E-013")</f>
        <v>7E-013</v>
      </c>
      <c r="BG253" s="2" t="str">
        <f>HYPERLINK("http://exon.niaid.nih.gov/transcriptome/Anopheles_sialome/links/SMART/anofar_Ag5r5-SMART.txt","SCP")</f>
        <v>SCP</v>
      </c>
      <c r="BH253" t="str">
        <f>HYPERLINK("http://smart.embl-heidelberg.de/smart/do_annotation.pl?DOMAIN=SCP&amp;BLAST=DUMMY","6E-029")</f>
        <v>6E-029</v>
      </c>
      <c r="BI253" t="s">
        <v>128</v>
      </c>
      <c r="BJ253" s="2" t="s">
        <v>128</v>
      </c>
      <c r="BK253" t="s">
        <v>864</v>
      </c>
      <c r="BL253">
        <f>HYPERLINK("http://exon.niaid.nih.gov/transcriptome/Anopheles_sialome/links/cluster-b/anopheline-sialome-cds-pep-larger-orf25-50SimCLU4.txt", 4)</f>
        <v>4</v>
      </c>
      <c r="BM253">
        <f>HYPERLINK("http://exon.niaid.nih.gov/transcriptome/Anopheles_sialome/links/cluster-b/anopheline-sialome-cds-pep-larger-orf25-50SimCLTL4.txt", 82)</f>
        <v>82</v>
      </c>
      <c r="BN253">
        <f>HYPERLINK("http://exon.niaid.nih.gov/transcriptome/Anopheles_sialome/links/cluster-b/anopheline-sialome-cds-pep-larger-orf30-50SimCLU4.txt", 4)</f>
        <v>4</v>
      </c>
      <c r="BO253">
        <f>HYPERLINK("http://exon.niaid.nih.gov/transcriptome/Anopheles_sialome/links/cluster-b/anopheline-sialome-cds-pep-larger-orf30-50SimCLTL4.txt", 82)</f>
        <v>82</v>
      </c>
      <c r="BP253">
        <f>HYPERLINK("http://exon.niaid.nih.gov/transcriptome/Anopheles_sialome/links/cluster-b/anopheline-sialome-cds-pep-larger-orf35-50SimCLU3.txt", 3)</f>
        <v>3</v>
      </c>
      <c r="BQ253">
        <f>HYPERLINK("http://exon.niaid.nih.gov/transcriptome/Anopheles_sialome/links/cluster-b/anopheline-sialome-cds-pep-larger-orf35-50SimCLTL3.txt", 82)</f>
        <v>82</v>
      </c>
      <c r="BR253">
        <f>HYPERLINK("http://exon.niaid.nih.gov/transcriptome/Anopheles_sialome/links/cluster-b/anopheline-sialome-cds-pep-larger-orf40-50SimCLU3.txt", 3)</f>
        <v>3</v>
      </c>
      <c r="BS253">
        <f>HYPERLINK("http://exon.niaid.nih.gov/transcriptome/Anopheles_sialome/links/cluster-b/anopheline-sialome-cds-pep-larger-orf40-50SimCLTL3.txt", 82)</f>
        <v>82</v>
      </c>
      <c r="BT253">
        <f>HYPERLINK("http://exon.niaid.nih.gov/transcriptome/Anopheles_sialome/links/cluster-b/anopheline-sialome-cds-pep-larger-orf45-50SimCLU2.txt", 2)</f>
        <v>2</v>
      </c>
      <c r="BU253">
        <f>HYPERLINK("http://exon.niaid.nih.gov/transcriptome/Anopheles_sialome/links/cluster-b/anopheline-sialome-cds-pep-larger-orf45-50SimCLTL2.txt", 82)</f>
        <v>82</v>
      </c>
      <c r="BV253">
        <f>HYPERLINK("http://exon.niaid.nih.gov/transcriptome/Anopheles_sialome/links/cluster-b/anopheline-sialome-cds-pep-larger-orf50-50SimCLU2.txt", 2)</f>
        <v>2</v>
      </c>
      <c r="BW253">
        <f>HYPERLINK("http://exon.niaid.nih.gov/transcriptome/Anopheles_sialome/links/cluster-b/anopheline-sialome-cds-pep-larger-orf50-50SimCLTL2.txt", 82)</f>
        <v>82</v>
      </c>
      <c r="BX253">
        <f>HYPERLINK("http://exon.niaid.nih.gov/transcriptome/Anopheles_sialome/links/cluster-b/anopheline-sialome-cds-pep-larger-orf55-50SimCLU2.txt", 2)</f>
        <v>2</v>
      </c>
      <c r="BY253">
        <f>HYPERLINK("http://exon.niaid.nih.gov/transcriptome/Anopheles_sialome/links/cluster-b/anopheline-sialome-cds-pep-larger-orf55-50SimCLTL2.txt", 55)</f>
        <v>55</v>
      </c>
      <c r="BZ253">
        <f>HYPERLINK("http://exon.niaid.nih.gov/transcriptome/Anopheles_sialome/links/cluster-b/anopheline-sialome-cds-pep-larger-orf60-50SimCLU2.txt", 2)</f>
        <v>2</v>
      </c>
      <c r="CA253">
        <f>HYPERLINK("http://exon.niaid.nih.gov/transcriptome/Anopheles_sialome/links/cluster-b/anopheline-sialome-cds-pep-larger-orf60-50SimCLTL2.txt", 54)</f>
        <v>54</v>
      </c>
      <c r="CB253">
        <f>HYPERLINK("http://exon.niaid.nih.gov/transcriptome/Anopheles_sialome/links/cluster-b/anopheline-sialome-cds-pep-larger-orf65-50SimCLU7.txt", 7)</f>
        <v>7</v>
      </c>
      <c r="CC253">
        <f>HYPERLINK("http://exon.niaid.nih.gov/transcriptome/Anopheles_sialome/links/cluster-b/anopheline-sialome-cds-pep-larger-orf65-50SimCLTL7.txt", 21)</f>
        <v>21</v>
      </c>
      <c r="CD253">
        <f>HYPERLINK("http://exon.niaid.nih.gov/transcriptome/Anopheles_sialome/links/cluster-b/anopheline-sialome-cds-pep-larger-orf70-50SimCLU8.txt", 8)</f>
        <v>8</v>
      </c>
      <c r="CE253">
        <f>HYPERLINK("http://exon.niaid.nih.gov/transcriptome/Anopheles_sialome/links/cluster-b/anopheline-sialome-cds-pep-larger-orf70-50SimCLTL8.txt", 19)</f>
        <v>19</v>
      </c>
      <c r="CF253">
        <f>HYPERLINK("http://exon.niaid.nih.gov/transcriptome/Anopheles_sialome/links/cluster-b/anopheline-sialome-cds-pep-larger-orf75-50SimCLU11.txt", 11)</f>
        <v>11</v>
      </c>
      <c r="CG253">
        <f>HYPERLINK("http://exon.niaid.nih.gov/transcriptome/Anopheles_sialome/links/cluster-b/anopheline-sialome-cds-pep-larger-orf75-50SimCLTL11.txt", 17)</f>
        <v>17</v>
      </c>
      <c r="CH253">
        <f>HYPERLINK("http://exon.niaid.nih.gov/transcriptome/Anopheles_sialome/links/cluster-b/anopheline-sialome-cds-pep-larger-orf80-50SimCLU8.txt", 8)</f>
        <v>8</v>
      </c>
      <c r="CI253">
        <f>HYPERLINK("http://exon.niaid.nih.gov/transcriptome/Anopheles_sialome/links/cluster-b/anopheline-sialome-cds-pep-larger-orf80-50SimCLTL8.txt", 17)</f>
        <v>17</v>
      </c>
      <c r="CJ253">
        <v>129</v>
      </c>
      <c r="CK253">
        <v>1</v>
      </c>
      <c r="CL253">
        <v>135</v>
      </c>
      <c r="CM253">
        <v>1</v>
      </c>
      <c r="CN253">
        <v>117</v>
      </c>
      <c r="CO253">
        <v>1</v>
      </c>
    </row>
    <row r="254" spans="1:93">
      <c r="A254" s="2" t="str">
        <f>HYPERLINK("http://exon.niaid.nih.gov/transcriptome/Anopheles_sialome/links/cds/anosin_Ag5r5-cds.txt","anosin_Ag5r5")</f>
        <v>anosin_Ag5r5</v>
      </c>
      <c r="B254">
        <v>771</v>
      </c>
      <c r="C254" t="s">
        <v>90</v>
      </c>
      <c r="D254" t="s">
        <v>7</v>
      </c>
      <c r="E254" t="s">
        <v>5</v>
      </c>
      <c r="F254" t="s">
        <v>1</v>
      </c>
      <c r="G254" t="str">
        <f>HYPERLINK("http://exon.niaid.nih.gov/transcriptome/Anopheles_sialome/links/pep/anosin_Ag5r5-pep.txt","anosin_Ag5r5")</f>
        <v>anosin_Ag5r5</v>
      </c>
      <c r="H254">
        <v>256</v>
      </c>
      <c r="I254">
        <v>1</v>
      </c>
      <c r="J254" s="3" t="str">
        <f>HYPERLINK("http://exon.niaid.nih.gov/transcriptome/Anopheles_sialome/links/Sigp/anosin_Ag5r5-SigP.txt","BL/SIG")</f>
        <v>BL/SIG</v>
      </c>
      <c r="K254" t="s">
        <v>128</v>
      </c>
      <c r="L254">
        <v>27.984999999999999</v>
      </c>
      <c r="M254">
        <v>5.48</v>
      </c>
      <c r="N254" t="s">
        <v>128</v>
      </c>
      <c r="O254" t="s">
        <v>128</v>
      </c>
      <c r="P254" t="s">
        <v>867</v>
      </c>
      <c r="Q254" s="3">
        <v>0</v>
      </c>
      <c r="R254" t="s">
        <v>128</v>
      </c>
      <c r="S254" t="s">
        <v>128</v>
      </c>
      <c r="T254" t="s">
        <v>128</v>
      </c>
      <c r="U254" t="s">
        <v>128</v>
      </c>
      <c r="V254" t="s">
        <v>128</v>
      </c>
      <c r="W254" s="3" t="str">
        <f>HYPERLINK("http://exon.niaid.nih.gov/transcriptome/Anopheles_sialome/links/netoglyc/anosin_Ag5r5-netoglyc.txt","3")</f>
        <v>3</v>
      </c>
      <c r="X254">
        <v>19.100000000000001</v>
      </c>
      <c r="Y254">
        <v>7.8</v>
      </c>
      <c r="Z254">
        <v>7</v>
      </c>
      <c r="AA254" t="s">
        <v>654</v>
      </c>
      <c r="AB254" t="s">
        <v>128</v>
      </c>
      <c r="AC254" s="2" t="str">
        <f>HYPERLINK("http://exon.niaid.nih.gov/transcriptome/Anopheles_sialome/links/DIPTERA/anosin_Ag5r5-DIPTERA.txt","AGAP006417-PA-like protein")</f>
        <v>AGAP006417-PA-like protein</v>
      </c>
      <c r="AD254" t="str">
        <f>HYPERLINK("http://www.ncbi.nlm.nih.gov/sutils/blink.cgi?pid=668453724","3E-090")</f>
        <v>3E-090</v>
      </c>
      <c r="AE254" t="str">
        <f>HYPERLINK("http://www.ncbi.nlm.nih.gov/protein/668453724","gi|668453724")</f>
        <v>gi|668453724</v>
      </c>
      <c r="AF254">
        <v>64</v>
      </c>
      <c r="AG254">
        <v>76</v>
      </c>
      <c r="AH254">
        <v>96</v>
      </c>
      <c r="AI254" t="s">
        <v>2277</v>
      </c>
      <c r="AJ254" s="2" t="str">
        <f>HYPERLINK("http://exon.niaid.nih.gov/transcriptome/Anopheles_sialome/links/CULICOMORPHA/anosin_Ag5r5-CULICOMORPHA.txt","AGAP006417-PA-like protein")</f>
        <v>AGAP006417-PA-like protein</v>
      </c>
      <c r="AK254" t="str">
        <f>HYPERLINK("http://www.ncbi.nlm.nih.gov/sutils/blink.cgi?pid=668453724","5E-091")</f>
        <v>5E-091</v>
      </c>
      <c r="AL254" t="str">
        <f>HYPERLINK("http://www.ncbi.nlm.nih.gov/protein/668453724","gi|668453724")</f>
        <v>gi|668453724</v>
      </c>
      <c r="AM254">
        <v>64</v>
      </c>
      <c r="AN254">
        <v>76</v>
      </c>
      <c r="AO254">
        <v>96</v>
      </c>
      <c r="AP254" t="s">
        <v>2277</v>
      </c>
      <c r="AQ254" s="2" t="str">
        <f>HYPERLINK("http://exon.niaid.nih.gov/transcriptome/Anopheles_sialome/links/NR-LIGHT/anosin_Ag5r5-NR-LIGHT.txt","AGAP006417-PA-like protein")</f>
        <v>AGAP006417-PA-like protein</v>
      </c>
      <c r="AR254" t="str">
        <f>HYPERLINK("http://www.ncbi.nlm.nih.gov/sutils/blink.cgi?pid=668453724","7E-090")</f>
        <v>7E-090</v>
      </c>
      <c r="AS254" t="str">
        <f>HYPERLINK("http://www.ncbi.nlm.nih.gov/protein/668453724","gi|668453724")</f>
        <v>gi|668453724</v>
      </c>
      <c r="AT254">
        <v>64</v>
      </c>
      <c r="AU254">
        <v>76</v>
      </c>
      <c r="AV254">
        <v>96</v>
      </c>
      <c r="AW254" t="s">
        <v>2277</v>
      </c>
      <c r="AX254" s="2" t="str">
        <f>HYPERLINK("http://exon.niaid.nih.gov/transcriptome/Anopheles_sialome/links/CDD/anosin_Ag5r5-CDD.txt","SCP_euk")</f>
        <v>SCP_euk</v>
      </c>
      <c r="AY254" t="str">
        <f>HYPERLINK("http://www.ncbi.nlm.nih.gov/Structure/cdd/cddsrv.cgi?uid=cd05380&amp;version=v4.0","4E-036")</f>
        <v>4E-036</v>
      </c>
      <c r="AZ254" t="s">
        <v>2385</v>
      </c>
      <c r="BA254" s="2" t="str">
        <f>HYPERLINK("http://exon.niaid.nih.gov/transcriptome/Anopheles_sialome/links/KOG/anosin_Ag5r5-KOG.txt","Defense-related protein containing SCP domain")</f>
        <v>Defense-related protein containing SCP domain</v>
      </c>
      <c r="BB254" t="str">
        <f>HYPERLINK("http://www.ncbi.nlm.nih.gov/Structure/cdd/cddsrv.cgi?uid=KOG3017","3E-030")</f>
        <v>3E-030</v>
      </c>
      <c r="BC254" t="s">
        <v>2304</v>
      </c>
      <c r="BD254" t="str">
        <f>HYPERLINK("http://exon.niaid.nih.gov/transcriptome/Anopheles_sialome/links/KOG/anosin_Ag5r5-KOG.txt","KOG3017")</f>
        <v>KOG3017</v>
      </c>
      <c r="BE254" t="str">
        <f>HYPERLINK("http://exon.niaid.nih.gov/transcriptome/Anopheles_sialome/links/PFAM/anosin_Ag5r5-PFAM.txt","CAP")</f>
        <v>CAP</v>
      </c>
      <c r="BF254" t="str">
        <f>HYPERLINK("http://pfam.sanger.ac.uk/family?acc=PF00188","2E-010")</f>
        <v>2E-010</v>
      </c>
      <c r="BG254" s="2" t="str">
        <f>HYPERLINK("http://exon.niaid.nih.gov/transcriptome/Anopheles_sialome/links/SMART/anosin_Ag5r5-SMART.txt","SCP")</f>
        <v>SCP</v>
      </c>
      <c r="BH254" t="str">
        <f>HYPERLINK("http://smart.embl-heidelberg.de/smart/do_annotation.pl?DOMAIN=SCP&amp;BLAST=DUMMY","2E-024")</f>
        <v>2E-024</v>
      </c>
      <c r="BI254" t="s">
        <v>128</v>
      </c>
      <c r="BJ254" s="2" t="s">
        <v>128</v>
      </c>
      <c r="BK254" t="s">
        <v>866</v>
      </c>
      <c r="BL254">
        <f>HYPERLINK("http://exon.niaid.nih.gov/transcriptome/Anopheles_sialome/links/cluster-b/anopheline-sialome-cds-pep-larger-orf25-50SimCLU4.txt", 4)</f>
        <v>4</v>
      </c>
      <c r="BM254">
        <f>HYPERLINK("http://exon.niaid.nih.gov/transcriptome/Anopheles_sialome/links/cluster-b/anopheline-sialome-cds-pep-larger-orf25-50SimCLTL4.txt", 82)</f>
        <v>82</v>
      </c>
      <c r="BN254">
        <f>HYPERLINK("http://exon.niaid.nih.gov/transcriptome/Anopheles_sialome/links/cluster-b/anopheline-sialome-cds-pep-larger-orf30-50SimCLU4.txt", 4)</f>
        <v>4</v>
      </c>
      <c r="BO254">
        <f>HYPERLINK("http://exon.niaid.nih.gov/transcriptome/Anopheles_sialome/links/cluster-b/anopheline-sialome-cds-pep-larger-orf30-50SimCLTL4.txt", 82)</f>
        <v>82</v>
      </c>
      <c r="BP254">
        <f>HYPERLINK("http://exon.niaid.nih.gov/transcriptome/Anopheles_sialome/links/cluster-b/anopheline-sialome-cds-pep-larger-orf35-50SimCLU3.txt", 3)</f>
        <v>3</v>
      </c>
      <c r="BQ254">
        <f>HYPERLINK("http://exon.niaid.nih.gov/transcriptome/Anopheles_sialome/links/cluster-b/anopheline-sialome-cds-pep-larger-orf35-50SimCLTL3.txt", 82)</f>
        <v>82</v>
      </c>
      <c r="BR254">
        <f>HYPERLINK("http://exon.niaid.nih.gov/transcriptome/Anopheles_sialome/links/cluster-b/anopheline-sialome-cds-pep-larger-orf40-50SimCLU3.txt", 3)</f>
        <v>3</v>
      </c>
      <c r="BS254">
        <f>HYPERLINK("http://exon.niaid.nih.gov/transcriptome/Anopheles_sialome/links/cluster-b/anopheline-sialome-cds-pep-larger-orf40-50SimCLTL3.txt", 82)</f>
        <v>82</v>
      </c>
      <c r="BT254">
        <f>HYPERLINK("http://exon.niaid.nih.gov/transcriptome/Anopheles_sialome/links/cluster-b/anopheline-sialome-cds-pep-larger-orf45-50SimCLU2.txt", 2)</f>
        <v>2</v>
      </c>
      <c r="BU254">
        <f>HYPERLINK("http://exon.niaid.nih.gov/transcriptome/Anopheles_sialome/links/cluster-b/anopheline-sialome-cds-pep-larger-orf45-50SimCLTL2.txt", 82)</f>
        <v>82</v>
      </c>
      <c r="BV254">
        <f>HYPERLINK("http://exon.niaid.nih.gov/transcriptome/Anopheles_sialome/links/cluster-b/anopheline-sialome-cds-pep-larger-orf50-50SimCLU2.txt", 2)</f>
        <v>2</v>
      </c>
      <c r="BW254">
        <f>HYPERLINK("http://exon.niaid.nih.gov/transcriptome/Anopheles_sialome/links/cluster-b/anopheline-sialome-cds-pep-larger-orf50-50SimCLTL2.txt", 82)</f>
        <v>82</v>
      </c>
      <c r="BX254">
        <f>HYPERLINK("http://exon.niaid.nih.gov/transcriptome/Anopheles_sialome/links/cluster-b/anopheline-sialome-cds-pep-larger-orf55-50SimCLU2.txt", 2)</f>
        <v>2</v>
      </c>
      <c r="BY254">
        <f>HYPERLINK("http://exon.niaid.nih.gov/transcriptome/Anopheles_sialome/links/cluster-b/anopheline-sialome-cds-pep-larger-orf55-50SimCLTL2.txt", 55)</f>
        <v>55</v>
      </c>
      <c r="BZ254">
        <f>HYPERLINK("http://exon.niaid.nih.gov/transcriptome/Anopheles_sialome/links/cluster-b/anopheline-sialome-cds-pep-larger-orf60-50SimCLU2.txt", 2)</f>
        <v>2</v>
      </c>
      <c r="CA254">
        <f>HYPERLINK("http://exon.niaid.nih.gov/transcriptome/Anopheles_sialome/links/cluster-b/anopheline-sialome-cds-pep-larger-orf60-50SimCLTL2.txt", 54)</f>
        <v>54</v>
      </c>
      <c r="CB254">
        <f>HYPERLINK("http://exon.niaid.nih.gov/transcriptome/Anopheles_sialome/links/cluster-b/anopheline-sialome-cds-pep-larger-orf65-50SimCLU7.txt", 7)</f>
        <v>7</v>
      </c>
      <c r="CC254">
        <f>HYPERLINK("http://exon.niaid.nih.gov/transcriptome/Anopheles_sialome/links/cluster-b/anopheline-sialome-cds-pep-larger-orf65-50SimCLTL7.txt", 21)</f>
        <v>21</v>
      </c>
      <c r="CD254">
        <v>76</v>
      </c>
      <c r="CE254">
        <v>1</v>
      </c>
      <c r="CF254">
        <v>96</v>
      </c>
      <c r="CG254">
        <v>1</v>
      </c>
      <c r="CH254">
        <v>117</v>
      </c>
      <c r="CI254">
        <v>1</v>
      </c>
      <c r="CJ254">
        <v>130</v>
      </c>
      <c r="CK254">
        <v>1</v>
      </c>
      <c r="CL254">
        <v>136</v>
      </c>
      <c r="CM254">
        <v>1</v>
      </c>
      <c r="CN254">
        <v>118</v>
      </c>
      <c r="CO254">
        <v>1</v>
      </c>
    </row>
    <row r="255" spans="1:93">
      <c r="A255" s="2" t="str">
        <f>HYPERLINK("http://exon.niaid.nih.gov/transcriptome/Anopheles_sialome/links/cds/anodar_Ag5r5-cds.txt","anodar_Ag5r5")</f>
        <v>anodar_Ag5r5</v>
      </c>
      <c r="B255">
        <v>783</v>
      </c>
      <c r="C255" t="s">
        <v>91</v>
      </c>
      <c r="D255" t="s">
        <v>4</v>
      </c>
      <c r="E255" t="s">
        <v>5</v>
      </c>
      <c r="F255" t="s">
        <v>1</v>
      </c>
      <c r="G255" t="str">
        <f>HYPERLINK("http://exon.niaid.nih.gov/transcriptome/Anopheles_sialome/links/pep/anodar_Ag5r5-pep.txt","anodar_Ag5r5")</f>
        <v>anodar_Ag5r5</v>
      </c>
      <c r="H255">
        <v>260</v>
      </c>
      <c r="I255">
        <v>0</v>
      </c>
      <c r="J255" s="3" t="str">
        <f>HYPERLINK("http://exon.niaid.nih.gov/transcriptome/Anopheles_sialome/links/Sigp/anodar_Ag5r5-SigP.txt","SIG")</f>
        <v>SIG</v>
      </c>
      <c r="K255" t="s">
        <v>689</v>
      </c>
      <c r="L255">
        <v>28.37</v>
      </c>
      <c r="M255">
        <v>6.86</v>
      </c>
      <c r="N255">
        <v>26.263999999999999</v>
      </c>
      <c r="O255">
        <v>7.02</v>
      </c>
      <c r="P255" t="s">
        <v>869</v>
      </c>
      <c r="Q255" s="3">
        <v>0</v>
      </c>
      <c r="R255" t="s">
        <v>128</v>
      </c>
      <c r="S255" t="s">
        <v>128</v>
      </c>
      <c r="T255" t="s">
        <v>128</v>
      </c>
      <c r="U255" t="s">
        <v>128</v>
      </c>
      <c r="V255" t="s">
        <v>128</v>
      </c>
      <c r="W255" s="3" t="str">
        <f>HYPERLINK("http://exon.niaid.nih.gov/transcriptome/Anopheles_sialome/links/netoglyc/anodar_Ag5r5-netoglyc.txt","5")</f>
        <v>5</v>
      </c>
      <c r="X255">
        <v>15.8</v>
      </c>
      <c r="Y255">
        <v>7.7</v>
      </c>
      <c r="Z255">
        <v>4.5999999999999996</v>
      </c>
      <c r="AA255" t="s">
        <v>654</v>
      </c>
      <c r="AB255" t="s">
        <v>128</v>
      </c>
      <c r="AC255" s="2" t="str">
        <f>HYPERLINK("http://exon.niaid.nih.gov/transcriptome/Anopheles_sialome/links/DIPTERA/anodar_Ag5r5-DIPTERA.txt","venom allergen 3")</f>
        <v>venom allergen 3</v>
      </c>
      <c r="AD255" t="str">
        <f>HYPERLINK("http://www.ncbi.nlm.nih.gov/sutils/blink.cgi?pid=568256132","1E-154")</f>
        <v>1E-154</v>
      </c>
      <c r="AE255" t="str">
        <f>HYPERLINK("http://www.ncbi.nlm.nih.gov/protein/568256132","gi|568256132")</f>
        <v>gi|568256132</v>
      </c>
      <c r="AF255">
        <v>100</v>
      </c>
      <c r="AG255">
        <v>100</v>
      </c>
      <c r="AH255">
        <v>100</v>
      </c>
      <c r="AI255" t="s">
        <v>2283</v>
      </c>
      <c r="AJ255" s="2" t="str">
        <f>HYPERLINK("http://exon.niaid.nih.gov/transcriptome/Anopheles_sialome/links/CULICOMORPHA/anodar_Ag5r5-CULICOMORPHA.txt","venom allergen 3")</f>
        <v>venom allergen 3</v>
      </c>
      <c r="AK255" t="str">
        <f>HYPERLINK("http://www.ncbi.nlm.nih.gov/sutils/blink.cgi?pid=568256132","1E-155")</f>
        <v>1E-155</v>
      </c>
      <c r="AL255" t="str">
        <f>HYPERLINK("http://www.ncbi.nlm.nih.gov/protein/568256132","gi|568256132")</f>
        <v>gi|568256132</v>
      </c>
      <c r="AM255">
        <v>100</v>
      </c>
      <c r="AN255">
        <v>100</v>
      </c>
      <c r="AO255">
        <v>100</v>
      </c>
      <c r="AP255" t="s">
        <v>2283</v>
      </c>
      <c r="AQ255" s="2" t="str">
        <f>HYPERLINK("http://exon.niaid.nih.gov/transcriptome/Anopheles_sialome/links/NR-LIGHT/anodar_Ag5r5-NR-LIGHT.txt","venom allergen 3")</f>
        <v>venom allergen 3</v>
      </c>
      <c r="AR255" t="str">
        <f>HYPERLINK("http://www.ncbi.nlm.nih.gov/sutils/blink.cgi?pid=568256132","1E-154")</f>
        <v>1E-154</v>
      </c>
      <c r="AS255" t="str">
        <f>HYPERLINK("http://www.ncbi.nlm.nih.gov/protein/568256132","gi|568256132")</f>
        <v>gi|568256132</v>
      </c>
      <c r="AT255">
        <v>100</v>
      </c>
      <c r="AU255">
        <v>100</v>
      </c>
      <c r="AV255">
        <v>100</v>
      </c>
      <c r="AW255" t="s">
        <v>2283</v>
      </c>
      <c r="AX255" s="2" t="str">
        <f>HYPERLINK("http://exon.niaid.nih.gov/transcriptome/Anopheles_sialome/links/CDD/anodar_Ag5r5-CDD.txt","SCP_euk")</f>
        <v>SCP_euk</v>
      </c>
      <c r="AY255" t="str">
        <f>HYPERLINK("http://www.ncbi.nlm.nih.gov/Structure/cdd/cddsrv.cgi?uid=cd05380&amp;version=v4.0","3E-037")</f>
        <v>3E-037</v>
      </c>
      <c r="AZ255" t="s">
        <v>2386</v>
      </c>
      <c r="BA255" s="2" t="str">
        <f>HYPERLINK("http://exon.niaid.nih.gov/transcriptome/Anopheles_sialome/links/KOG/anodar_Ag5r5-KOG.txt","Defense-related protein containing SCP domain")</f>
        <v>Defense-related protein containing SCP domain</v>
      </c>
      <c r="BB255" t="str">
        <f>HYPERLINK("http://www.ncbi.nlm.nih.gov/Structure/cdd/cddsrv.cgi?uid=KOG3017","4E-029")</f>
        <v>4E-029</v>
      </c>
      <c r="BC255" t="s">
        <v>2304</v>
      </c>
      <c r="BD255" t="str">
        <f>HYPERLINK("http://exon.niaid.nih.gov/transcriptome/Anopheles_sialome/links/KOG/anodar_Ag5r5-KOG.txt","KOG3017")</f>
        <v>KOG3017</v>
      </c>
      <c r="BE255" t="str">
        <f>HYPERLINK("http://exon.niaid.nih.gov/transcriptome/Anopheles_sialome/links/PFAM/anodar_Ag5r5-PFAM.txt","CAP")</f>
        <v>CAP</v>
      </c>
      <c r="BF255" t="str">
        <f>HYPERLINK("http://pfam.sanger.ac.uk/family?acc=PF00188","5E-014")</f>
        <v>5E-014</v>
      </c>
      <c r="BG255" s="2" t="str">
        <f>HYPERLINK("http://exon.niaid.nih.gov/transcriptome/Anopheles_sialome/links/SMART/anodar_Ag5r5-SMART.txt","SCP")</f>
        <v>SCP</v>
      </c>
      <c r="BH255" t="str">
        <f>HYPERLINK("http://smart.embl-heidelberg.de/smart/do_annotation.pl?DOMAIN=SCP&amp;BLAST=DUMMY","9E-025")</f>
        <v>9E-025</v>
      </c>
      <c r="BI255" t="s">
        <v>128</v>
      </c>
      <c r="BJ255" s="2" t="s">
        <v>128</v>
      </c>
      <c r="BK255" t="s">
        <v>868</v>
      </c>
      <c r="BL255">
        <f>HYPERLINK("http://exon.niaid.nih.gov/transcriptome/Anopheles_sialome/links/cluster-b/anopheline-sialome-cds-pep-larger-orf25-50SimCLU4.txt", 4)</f>
        <v>4</v>
      </c>
      <c r="BM255">
        <f>HYPERLINK("http://exon.niaid.nih.gov/transcriptome/Anopheles_sialome/links/cluster-b/anopheline-sialome-cds-pep-larger-orf25-50SimCLTL4.txt", 82)</f>
        <v>82</v>
      </c>
      <c r="BN255">
        <f>HYPERLINK("http://exon.niaid.nih.gov/transcriptome/Anopheles_sialome/links/cluster-b/anopheline-sialome-cds-pep-larger-orf30-50SimCLU4.txt", 4)</f>
        <v>4</v>
      </c>
      <c r="BO255">
        <f>HYPERLINK("http://exon.niaid.nih.gov/transcriptome/Anopheles_sialome/links/cluster-b/anopheline-sialome-cds-pep-larger-orf30-50SimCLTL4.txt", 82)</f>
        <v>82</v>
      </c>
      <c r="BP255">
        <f>HYPERLINK("http://exon.niaid.nih.gov/transcriptome/Anopheles_sialome/links/cluster-b/anopheline-sialome-cds-pep-larger-orf35-50SimCLU3.txt", 3)</f>
        <v>3</v>
      </c>
      <c r="BQ255">
        <f>HYPERLINK("http://exon.niaid.nih.gov/transcriptome/Anopheles_sialome/links/cluster-b/anopheline-sialome-cds-pep-larger-orf35-50SimCLTL3.txt", 82)</f>
        <v>82</v>
      </c>
      <c r="BR255">
        <f>HYPERLINK("http://exon.niaid.nih.gov/transcriptome/Anopheles_sialome/links/cluster-b/anopheline-sialome-cds-pep-larger-orf40-50SimCLU3.txt", 3)</f>
        <v>3</v>
      </c>
      <c r="BS255">
        <f>HYPERLINK("http://exon.niaid.nih.gov/transcriptome/Anopheles_sialome/links/cluster-b/anopheline-sialome-cds-pep-larger-orf40-50SimCLTL3.txt", 82)</f>
        <v>82</v>
      </c>
      <c r="BT255">
        <f>HYPERLINK("http://exon.niaid.nih.gov/transcriptome/Anopheles_sialome/links/cluster-b/anopheline-sialome-cds-pep-larger-orf45-50SimCLU2.txt", 2)</f>
        <v>2</v>
      </c>
      <c r="BU255">
        <f>HYPERLINK("http://exon.niaid.nih.gov/transcriptome/Anopheles_sialome/links/cluster-b/anopheline-sialome-cds-pep-larger-orf45-50SimCLTL2.txt", 82)</f>
        <v>82</v>
      </c>
      <c r="BV255">
        <f>HYPERLINK("http://exon.niaid.nih.gov/transcriptome/Anopheles_sialome/links/cluster-b/anopheline-sialome-cds-pep-larger-orf50-50SimCLU2.txt", 2)</f>
        <v>2</v>
      </c>
      <c r="BW255">
        <f>HYPERLINK("http://exon.niaid.nih.gov/transcriptome/Anopheles_sialome/links/cluster-b/anopheline-sialome-cds-pep-larger-orf50-50SimCLTL2.txt", 82)</f>
        <v>82</v>
      </c>
      <c r="BX255">
        <f>HYPERLINK("http://exon.niaid.nih.gov/transcriptome/Anopheles_sialome/links/cluster-b/anopheline-sialome-cds-pep-larger-orf55-50SimCLU2.txt", 2)</f>
        <v>2</v>
      </c>
      <c r="BY255">
        <f>HYPERLINK("http://exon.niaid.nih.gov/transcriptome/Anopheles_sialome/links/cluster-b/anopheline-sialome-cds-pep-larger-orf55-50SimCLTL2.txt", 55)</f>
        <v>55</v>
      </c>
      <c r="BZ255">
        <f>HYPERLINK("http://exon.niaid.nih.gov/transcriptome/Anopheles_sialome/links/cluster-b/anopheline-sialome-cds-pep-larger-orf60-50SimCLU2.txt", 2)</f>
        <v>2</v>
      </c>
      <c r="CA255">
        <f>HYPERLINK("http://exon.niaid.nih.gov/transcriptome/Anopheles_sialome/links/cluster-b/anopheline-sialome-cds-pep-larger-orf60-50SimCLTL2.txt", 54)</f>
        <v>54</v>
      </c>
      <c r="CB255">
        <f>HYPERLINK("http://exon.niaid.nih.gov/transcriptome/Anopheles_sialome/links/cluster-b/anopheline-sialome-cds-pep-larger-orf65-50SimCLU7.txt", 7)</f>
        <v>7</v>
      </c>
      <c r="CC255">
        <f>HYPERLINK("http://exon.niaid.nih.gov/transcriptome/Anopheles_sialome/links/cluster-b/anopheline-sialome-cds-pep-larger-orf65-50SimCLTL7.txt", 21)</f>
        <v>21</v>
      </c>
      <c r="CD255">
        <f>HYPERLINK("http://exon.niaid.nih.gov/transcriptome/Anopheles_sialome/links/cluster-b/anopheline-sialome-cds-pep-larger-orf70-50SimCLU8.txt", 8)</f>
        <v>8</v>
      </c>
      <c r="CE255">
        <f>HYPERLINK("http://exon.niaid.nih.gov/transcriptome/Anopheles_sialome/links/cluster-b/anopheline-sialome-cds-pep-larger-orf70-50SimCLTL8.txt", 19)</f>
        <v>19</v>
      </c>
      <c r="CF255">
        <f>HYPERLINK("http://exon.niaid.nih.gov/transcriptome/Anopheles_sialome/links/cluster-b/anopheline-sialome-cds-pep-larger-orf75-50SimCLU57.txt", 57)</f>
        <v>57</v>
      </c>
      <c r="CG255">
        <f>HYPERLINK("http://exon.niaid.nih.gov/transcriptome/Anopheles_sialome/links/cluster-b/anopheline-sialome-cds-pep-larger-orf75-50SimCLTL57.txt", 2)</f>
        <v>2</v>
      </c>
      <c r="CH255">
        <f>HYPERLINK("http://exon.niaid.nih.gov/transcriptome/Anopheles_sialome/links/cluster-b/anopheline-sialome-cds-pep-larger-orf80-50SimCLU64.txt", 64)</f>
        <v>64</v>
      </c>
      <c r="CI255">
        <f>HYPERLINK("http://exon.niaid.nih.gov/transcriptome/Anopheles_sialome/links/cluster-b/anopheline-sialome-cds-pep-larger-orf80-50SimCLTL64.txt", 2)</f>
        <v>2</v>
      </c>
      <c r="CJ255">
        <f>HYPERLINK("http://exon.niaid.nih.gov/transcriptome/Anopheles_sialome/links/cluster-b/anopheline-sialome-cds-pep-larger-orf85-50SimCLU62.txt", 62)</f>
        <v>62</v>
      </c>
      <c r="CK255">
        <f>HYPERLINK("http://exon.niaid.nih.gov/transcriptome/Anopheles_sialome/links/cluster-b/anopheline-sialome-cds-pep-larger-orf85-50SimCLTL62.txt", 2)</f>
        <v>2</v>
      </c>
      <c r="CL255">
        <v>137</v>
      </c>
      <c r="CM255">
        <v>1</v>
      </c>
      <c r="CN255">
        <v>119</v>
      </c>
      <c r="CO255">
        <v>1</v>
      </c>
    </row>
    <row r="256" spans="1:93">
      <c r="A256" s="5" t="s">
        <v>3196</v>
      </c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</row>
    <row r="257" spans="1:93">
      <c r="A257" s="2" t="str">
        <f>HYPERLINK("http://exon.niaid.nih.gov/transcriptome/Anopheles_sialome/links/cds/anoga_Ag5r6-cds.txt","anoga_Ag5r6")</f>
        <v>anoga_Ag5r6</v>
      </c>
      <c r="B257">
        <v>783</v>
      </c>
      <c r="C257" t="s">
        <v>92</v>
      </c>
      <c r="D257" t="s">
        <v>4</v>
      </c>
      <c r="E257" t="s">
        <v>5</v>
      </c>
      <c r="F257" t="s">
        <v>1</v>
      </c>
      <c r="G257" t="str">
        <f>HYPERLINK("http://exon.niaid.nih.gov/transcriptome/Anopheles_sialome/links/pep/anoga_Ag5r6-pep.txt","anoga_Ag5r6")</f>
        <v>anoga_Ag5r6</v>
      </c>
      <c r="H257">
        <v>260</v>
      </c>
      <c r="I257">
        <v>4</v>
      </c>
      <c r="J257" s="3" t="str">
        <f>HYPERLINK("http://exon.niaid.nih.gov/transcriptome/Anopheles_sialome/links/Sigp/anoga_Ag5r6-SigP.txt","SIG")</f>
        <v>SIG</v>
      </c>
      <c r="K257" t="s">
        <v>787</v>
      </c>
      <c r="L257">
        <v>28.675000000000001</v>
      </c>
      <c r="M257">
        <v>5.18</v>
      </c>
      <c r="N257">
        <v>26.114000000000001</v>
      </c>
      <c r="O257">
        <v>4.93</v>
      </c>
      <c r="P257" t="s">
        <v>871</v>
      </c>
      <c r="Q257" s="3">
        <v>0</v>
      </c>
      <c r="R257" t="s">
        <v>128</v>
      </c>
      <c r="S257" t="s">
        <v>128</v>
      </c>
      <c r="T257" t="s">
        <v>128</v>
      </c>
      <c r="U257" t="s">
        <v>128</v>
      </c>
      <c r="V257" t="s">
        <v>128</v>
      </c>
      <c r="W257" s="3" t="str">
        <f>HYPERLINK("http://exon.niaid.nih.gov/transcriptome/Anopheles_sialome/links/netoglyc/anoga_Ag5r6-netoglyc.txt","0")</f>
        <v>0</v>
      </c>
      <c r="X257">
        <v>12.3</v>
      </c>
      <c r="Y257">
        <v>6.9</v>
      </c>
      <c r="Z257">
        <v>5.4</v>
      </c>
      <c r="AA257" t="s">
        <v>654</v>
      </c>
      <c r="AB257" t="s">
        <v>128</v>
      </c>
      <c r="AC257" s="2" t="str">
        <f>HYPERLINK("http://exon.niaid.nih.gov/transcriptome/Anopheles_sialome/links/DIPTERA/anoga_Ag5r6-DIPTERA.txt","AGAP013192-PA")</f>
        <v>AGAP013192-PA</v>
      </c>
      <c r="AD257" t="str">
        <f>HYPERLINK("http://www.ncbi.nlm.nih.gov/sutils/blink.cgi?pid=333469254","1E-157")</f>
        <v>1E-157</v>
      </c>
      <c r="AE257" t="str">
        <f t="shared" ref="AE257:AE266" si="126">HYPERLINK("http://www.ncbi.nlm.nih.gov/protein/333469254","gi|333469254")</f>
        <v>gi|333469254</v>
      </c>
      <c r="AF257">
        <v>100</v>
      </c>
      <c r="AG257">
        <v>100</v>
      </c>
      <c r="AH257">
        <v>100</v>
      </c>
      <c r="AI257" t="s">
        <v>2285</v>
      </c>
      <c r="AJ257" s="2" t="str">
        <f>HYPERLINK("http://exon.niaid.nih.gov/transcriptome/Anopheles_sialome/links/CULICOMORPHA/anoga_Ag5r6-CULICOMORPHA.txt","AGAP013192-PA")</f>
        <v>AGAP013192-PA</v>
      </c>
      <c r="AK257" t="str">
        <f>HYPERLINK("http://www.ncbi.nlm.nih.gov/sutils/blink.cgi?pid=333469254","1E-158")</f>
        <v>1E-158</v>
      </c>
      <c r="AL257" t="str">
        <f t="shared" ref="AL257:AL266" si="127">HYPERLINK("http://www.ncbi.nlm.nih.gov/protein/333469254","gi|333469254")</f>
        <v>gi|333469254</v>
      </c>
      <c r="AM257">
        <v>100</v>
      </c>
      <c r="AN257">
        <v>100</v>
      </c>
      <c r="AO257">
        <v>100</v>
      </c>
      <c r="AP257" t="s">
        <v>2285</v>
      </c>
      <c r="AQ257" s="2" t="str">
        <f>HYPERLINK("http://exon.niaid.nih.gov/transcriptome/Anopheles_sialome/links/NR-LIGHT/anoga_Ag5r6-NR-LIGHT.txt","AGAP013192-PA")</f>
        <v>AGAP013192-PA</v>
      </c>
      <c r="AR257" t="str">
        <f>HYPERLINK("http://www.ncbi.nlm.nih.gov/sutils/blink.cgi?pid=347969750","1E-157")</f>
        <v>1E-157</v>
      </c>
      <c r="AS257" t="str">
        <f t="shared" ref="AS257:AS266" si="128">HYPERLINK("http://www.ncbi.nlm.nih.gov/protein/347969750","gi|347969750")</f>
        <v>gi|347969750</v>
      </c>
      <c r="AT257">
        <v>100</v>
      </c>
      <c r="AU257">
        <v>100</v>
      </c>
      <c r="AV257">
        <v>100</v>
      </c>
      <c r="AW257" t="s">
        <v>2285</v>
      </c>
      <c r="AX257" s="2" t="str">
        <f>HYPERLINK("http://exon.niaid.nih.gov/transcriptome/Anopheles_sialome/links/CDD/anoga_Ag5r6-CDD.txt","SCP_euk")</f>
        <v>SCP_euk</v>
      </c>
      <c r="AY257" t="str">
        <f>HYPERLINK("http://www.ncbi.nlm.nih.gov/Structure/cdd/cddsrv.cgi?uid=cd05380&amp;version=v4.0","2E-035")</f>
        <v>2E-035</v>
      </c>
      <c r="AZ257" t="s">
        <v>2387</v>
      </c>
      <c r="BA257" s="2" t="str">
        <f>HYPERLINK("http://exon.niaid.nih.gov/transcriptome/Anopheles_sialome/links/KOG/anoga_Ag5r6-KOG.txt","Defense-related protein containing SCP domain")</f>
        <v>Defense-related protein containing SCP domain</v>
      </c>
      <c r="BB257" t="str">
        <f>HYPERLINK("http://www.ncbi.nlm.nih.gov/Structure/cdd/cddsrv.cgi?uid=KOG3017","4E-028")</f>
        <v>4E-028</v>
      </c>
      <c r="BC257" t="s">
        <v>2304</v>
      </c>
      <c r="BD257" t="str">
        <f>HYPERLINK("http://exon.niaid.nih.gov/transcriptome/Anopheles_sialome/links/KOG/anoga_Ag5r6-KOG.txt","KOG3017")</f>
        <v>KOG3017</v>
      </c>
      <c r="BE257" t="str">
        <f>HYPERLINK("http://exon.niaid.nih.gov/transcriptome/Anopheles_sialome/links/PFAM/anoga_Ag5r6-PFAM.txt","CAP")</f>
        <v>CAP</v>
      </c>
      <c r="BF257" t="str">
        <f>HYPERLINK("http://pfam.sanger.ac.uk/family?acc=PF00188","6E-014")</f>
        <v>6E-014</v>
      </c>
      <c r="BG257" s="2" t="str">
        <f>HYPERLINK("http://exon.niaid.nih.gov/transcriptome/Anopheles_sialome/links/SMART/anoga_Ag5r6-SMART.txt","SCP")</f>
        <v>SCP</v>
      </c>
      <c r="BH257" t="str">
        <f>HYPERLINK("http://smart.embl-heidelberg.de/smart/do_annotation.pl?DOMAIN=SCP&amp;BLAST=DUMMY","3E-027")</f>
        <v>3E-027</v>
      </c>
      <c r="BI257" t="s">
        <v>128</v>
      </c>
      <c r="BJ257" s="2" t="s">
        <v>128</v>
      </c>
      <c r="BK257" t="s">
        <v>870</v>
      </c>
      <c r="BL257">
        <f>HYPERLINK("http://exon.niaid.nih.gov/transcriptome/Anopheles_sialome/links/cluster-b/anopheline-sialome-cds-pep-larger-orf25-50SimCLU4.txt", 4)</f>
        <v>4</v>
      </c>
      <c r="BM257">
        <f>HYPERLINK("http://exon.niaid.nih.gov/transcriptome/Anopheles_sialome/links/cluster-b/anopheline-sialome-cds-pep-larger-orf25-50SimCLTL4.txt", 82)</f>
        <v>82</v>
      </c>
      <c r="BN257">
        <f>HYPERLINK("http://exon.niaid.nih.gov/transcriptome/Anopheles_sialome/links/cluster-b/anopheline-sialome-cds-pep-larger-orf30-50SimCLU4.txt", 4)</f>
        <v>4</v>
      </c>
      <c r="BO257">
        <f>HYPERLINK("http://exon.niaid.nih.gov/transcriptome/Anopheles_sialome/links/cluster-b/anopheline-sialome-cds-pep-larger-orf30-50SimCLTL4.txt", 82)</f>
        <v>82</v>
      </c>
      <c r="BP257">
        <f>HYPERLINK("http://exon.niaid.nih.gov/transcriptome/Anopheles_sialome/links/cluster-b/anopheline-sialome-cds-pep-larger-orf35-50SimCLU3.txt", 3)</f>
        <v>3</v>
      </c>
      <c r="BQ257">
        <f>HYPERLINK("http://exon.niaid.nih.gov/transcriptome/Anopheles_sialome/links/cluster-b/anopheline-sialome-cds-pep-larger-orf35-50SimCLTL3.txt", 82)</f>
        <v>82</v>
      </c>
      <c r="BR257">
        <f>HYPERLINK("http://exon.niaid.nih.gov/transcriptome/Anopheles_sialome/links/cluster-b/anopheline-sialome-cds-pep-larger-orf40-50SimCLU3.txt", 3)</f>
        <v>3</v>
      </c>
      <c r="BS257">
        <f>HYPERLINK("http://exon.niaid.nih.gov/transcriptome/Anopheles_sialome/links/cluster-b/anopheline-sialome-cds-pep-larger-orf40-50SimCLTL3.txt", 82)</f>
        <v>82</v>
      </c>
      <c r="BT257">
        <f>HYPERLINK("http://exon.niaid.nih.gov/transcriptome/Anopheles_sialome/links/cluster-b/anopheline-sialome-cds-pep-larger-orf45-50SimCLU2.txt", 2)</f>
        <v>2</v>
      </c>
      <c r="BU257">
        <f>HYPERLINK("http://exon.niaid.nih.gov/transcriptome/Anopheles_sialome/links/cluster-b/anopheline-sialome-cds-pep-larger-orf45-50SimCLTL2.txt", 82)</f>
        <v>82</v>
      </c>
      <c r="BV257">
        <f>HYPERLINK("http://exon.niaid.nih.gov/transcriptome/Anopheles_sialome/links/cluster-b/anopheline-sialome-cds-pep-larger-orf50-50SimCLU2.txt", 2)</f>
        <v>2</v>
      </c>
      <c r="BW257">
        <f>HYPERLINK("http://exon.niaid.nih.gov/transcriptome/Anopheles_sialome/links/cluster-b/anopheline-sialome-cds-pep-larger-orf50-50SimCLTL2.txt", 82)</f>
        <v>82</v>
      </c>
      <c r="BX257">
        <f>HYPERLINK("http://exon.niaid.nih.gov/transcriptome/Anopheles_sialome/links/cluster-b/anopheline-sialome-cds-pep-larger-orf55-50SimCLU9.txt", 9)</f>
        <v>9</v>
      </c>
      <c r="BY257">
        <f>HYPERLINK("http://exon.niaid.nih.gov/transcriptome/Anopheles_sialome/links/cluster-b/anopheline-sialome-cds-pep-larger-orf55-50SimCLTL9.txt", 27)</f>
        <v>27</v>
      </c>
      <c r="BZ257">
        <f>HYPERLINK("http://exon.niaid.nih.gov/transcriptome/Anopheles_sialome/links/cluster-b/anopheline-sialome-cds-pep-larger-orf60-50SimCLU7.txt", 7)</f>
        <v>7</v>
      </c>
      <c r="CA257">
        <f>HYPERLINK("http://exon.niaid.nih.gov/transcriptome/Anopheles_sialome/links/cluster-b/anopheline-sialome-cds-pep-larger-orf60-50SimCLTL7.txt", 27)</f>
        <v>27</v>
      </c>
      <c r="CB257">
        <f>HYPERLINK("http://exon.niaid.nih.gov/transcriptome/Anopheles_sialome/links/cluster-b/anopheline-sialome-cds-pep-larger-orf65-50SimCLU4.txt", 4)</f>
        <v>4</v>
      </c>
      <c r="CC257">
        <f>HYPERLINK("http://exon.niaid.nih.gov/transcriptome/Anopheles_sialome/links/cluster-b/anopheline-sialome-cds-pep-larger-orf65-50SimCLTL4.txt", 27)</f>
        <v>27</v>
      </c>
      <c r="CD257">
        <f>HYPERLINK("http://exon.niaid.nih.gov/transcriptome/Anopheles_sialome/links/cluster-b/anopheline-sialome-cds-pep-larger-orf70-50SimCLU3.txt", 3)</f>
        <v>3</v>
      </c>
      <c r="CE257">
        <f>HYPERLINK("http://exon.niaid.nih.gov/transcriptome/Anopheles_sialome/links/cluster-b/anopheline-sialome-cds-pep-larger-orf70-50SimCLTL3.txt", 27)</f>
        <v>27</v>
      </c>
      <c r="CF257">
        <f>HYPERLINK("http://exon.niaid.nih.gov/transcriptome/Anopheles_sialome/links/cluster-b/anopheline-sialome-cds-pep-larger-orf75-50SimCLU3.txt", 3)</f>
        <v>3</v>
      </c>
      <c r="CG257">
        <f>HYPERLINK("http://exon.niaid.nih.gov/transcriptome/Anopheles_sialome/links/cluster-b/anopheline-sialome-cds-pep-larger-orf75-50SimCLTL3.txt", 27)</f>
        <v>27</v>
      </c>
      <c r="CH257">
        <f>HYPERLINK("http://exon.niaid.nih.gov/transcriptome/Anopheles_sialome/links/cluster-b/anopheline-sialome-cds-pep-larger-orf80-50SimCLU2.txt", 2)</f>
        <v>2</v>
      </c>
      <c r="CI257">
        <f>HYPERLINK("http://exon.niaid.nih.gov/transcriptome/Anopheles_sialome/links/cluster-b/anopheline-sialome-cds-pep-larger-orf80-50SimCLTL2.txt", 27)</f>
        <v>27</v>
      </c>
      <c r="CJ257">
        <f>HYPERLINK("http://exon.niaid.nih.gov/transcriptome/Anopheles_sialome/links/cluster-b/anopheline-sialome-cds-pep-larger-orf85-50SimCLU1.txt", 1)</f>
        <v>1</v>
      </c>
      <c r="CK257">
        <f>HYPERLINK("http://exon.niaid.nih.gov/transcriptome/Anopheles_sialome/links/cluster-b/anopheline-sialome-cds-pep-larger-orf85-50SimCLTL1.txt", 27)</f>
        <v>27</v>
      </c>
      <c r="CL257">
        <f>HYPERLINK("http://exon.niaid.nih.gov/transcriptome/Anopheles_sialome/links/cluster-b/anopheline-sialome-cds-pep-larger-orf90-50SimCLU1.txt", 1)</f>
        <v>1</v>
      </c>
      <c r="CM257">
        <f>HYPERLINK("http://exon.niaid.nih.gov/transcriptome/Anopheles_sialome/links/cluster-b/anopheline-sialome-cds-pep-larger-orf90-50SimCLTL1.txt", 25)</f>
        <v>25</v>
      </c>
      <c r="CN257">
        <f>HYPERLINK("http://exon.niaid.nih.gov/transcriptome/Anopheles_sialome/links/cluster-b/anopheline-sialome-cds-pep-larger-orf95-50SimCLU1.txt", 1)</f>
        <v>1</v>
      </c>
      <c r="CO257">
        <f>HYPERLINK("http://exon.niaid.nih.gov/transcriptome/Anopheles_sialome/links/cluster-b/anopheline-sialome-cds-pep-larger-orf95-50SimCLTL1.txt", 23)</f>
        <v>23</v>
      </c>
    </row>
    <row r="258" spans="1:93">
      <c r="A258" s="2" t="str">
        <f>HYPERLINK("http://exon.niaid.nih.gov/transcriptome/Anopheles_sialome/links/cds/anocol_Ag5r6-cds.txt","anocol_Ag5r6")</f>
        <v>anocol_Ag5r6</v>
      </c>
      <c r="B258">
        <v>783</v>
      </c>
      <c r="C258" t="s">
        <v>93</v>
      </c>
      <c r="D258" t="s">
        <v>4</v>
      </c>
      <c r="E258" t="s">
        <v>5</v>
      </c>
      <c r="F258" t="s">
        <v>1</v>
      </c>
      <c r="G258" t="str">
        <f>HYPERLINK("http://exon.niaid.nih.gov/transcriptome/Anopheles_sialome/links/pep/anocol_Ag5r6-pep.txt","anocol_Ag5r6")</f>
        <v>anocol_Ag5r6</v>
      </c>
      <c r="H258">
        <v>260</v>
      </c>
      <c r="I258">
        <v>4</v>
      </c>
      <c r="J258" s="3" t="str">
        <f>HYPERLINK("http://exon.niaid.nih.gov/transcriptome/Anopheles_sialome/links/Sigp/anocol_Ag5r6-SigP.txt","SIG")</f>
        <v>SIG</v>
      </c>
      <c r="K258" t="s">
        <v>787</v>
      </c>
      <c r="L258">
        <v>28.702999999999999</v>
      </c>
      <c r="M258">
        <v>5.18</v>
      </c>
      <c r="N258">
        <v>26.114000000000001</v>
      </c>
      <c r="O258">
        <v>4.93</v>
      </c>
      <c r="P258" t="s">
        <v>873</v>
      </c>
      <c r="Q258" s="3">
        <v>0</v>
      </c>
      <c r="R258" t="s">
        <v>128</v>
      </c>
      <c r="S258" t="s">
        <v>128</v>
      </c>
      <c r="T258" t="s">
        <v>128</v>
      </c>
      <c r="U258" t="s">
        <v>128</v>
      </c>
      <c r="V258" t="s">
        <v>128</v>
      </c>
      <c r="W258" s="3" t="str">
        <f>HYPERLINK("http://exon.niaid.nih.gov/transcriptome/Anopheles_sialome/links/netoglyc/anocol_Ag5r6-netoglyc.txt","0")</f>
        <v>0</v>
      </c>
      <c r="X258">
        <v>12.3</v>
      </c>
      <c r="Y258">
        <v>6.9</v>
      </c>
      <c r="Z258">
        <v>5.4</v>
      </c>
      <c r="AA258" t="s">
        <v>654</v>
      </c>
      <c r="AB258" t="s">
        <v>128</v>
      </c>
      <c r="AC258" s="2" t="str">
        <f>HYPERLINK("http://exon.niaid.nih.gov/transcriptome/Anopheles_sialome/links/DIPTERA/anocol_Ag5r6-DIPTERA.txt","AGAP013192-PA")</f>
        <v>AGAP013192-PA</v>
      </c>
      <c r="AD258" t="str">
        <f>HYPERLINK("http://www.ncbi.nlm.nih.gov/sutils/blink.cgi?pid=333469254","1E-157")</f>
        <v>1E-157</v>
      </c>
      <c r="AE258" t="str">
        <f t="shared" si="126"/>
        <v>gi|333469254</v>
      </c>
      <c r="AF258">
        <v>99</v>
      </c>
      <c r="AG258">
        <v>99</v>
      </c>
      <c r="AH258">
        <v>100</v>
      </c>
      <c r="AI258" t="s">
        <v>2285</v>
      </c>
      <c r="AJ258" s="2" t="str">
        <f>HYPERLINK("http://exon.niaid.nih.gov/transcriptome/Anopheles_sialome/links/CULICOMORPHA/anocol_Ag5r6-CULICOMORPHA.txt","AGAP013192-PA")</f>
        <v>AGAP013192-PA</v>
      </c>
      <c r="AK258" t="str">
        <f>HYPERLINK("http://www.ncbi.nlm.nih.gov/sutils/blink.cgi?pid=333469254","1E-157")</f>
        <v>1E-157</v>
      </c>
      <c r="AL258" t="str">
        <f t="shared" si="127"/>
        <v>gi|333469254</v>
      </c>
      <c r="AM258">
        <v>99</v>
      </c>
      <c r="AN258">
        <v>99</v>
      </c>
      <c r="AO258">
        <v>100</v>
      </c>
      <c r="AP258" t="s">
        <v>2285</v>
      </c>
      <c r="AQ258" s="2" t="str">
        <f>HYPERLINK("http://exon.niaid.nih.gov/transcriptome/Anopheles_sialome/links/NR-LIGHT/anocol_Ag5r6-NR-LIGHT.txt","AGAP013192-PA")</f>
        <v>AGAP013192-PA</v>
      </c>
      <c r="AR258" t="str">
        <f>HYPERLINK("http://www.ncbi.nlm.nih.gov/sutils/blink.cgi?pid=347969750","1E-156")</f>
        <v>1E-156</v>
      </c>
      <c r="AS258" t="str">
        <f t="shared" si="128"/>
        <v>gi|347969750</v>
      </c>
      <c r="AT258">
        <v>99</v>
      </c>
      <c r="AU258">
        <v>99</v>
      </c>
      <c r="AV258">
        <v>100</v>
      </c>
      <c r="AW258" t="s">
        <v>2285</v>
      </c>
      <c r="AX258" s="2" t="str">
        <f>HYPERLINK("http://exon.niaid.nih.gov/transcriptome/Anopheles_sialome/links/CDD/anocol_Ag5r6-CDD.txt","SCP_euk")</f>
        <v>SCP_euk</v>
      </c>
      <c r="AY258" t="str">
        <f>HYPERLINK("http://www.ncbi.nlm.nih.gov/Structure/cdd/cddsrv.cgi?uid=cd05380&amp;version=v4.0","1E-035")</f>
        <v>1E-035</v>
      </c>
      <c r="AZ258" t="s">
        <v>2388</v>
      </c>
      <c r="BA258" s="2" t="str">
        <f>HYPERLINK("http://exon.niaid.nih.gov/transcriptome/Anopheles_sialome/links/KOG/anocol_Ag5r6-KOG.txt","Defense-related protein containing SCP domain")</f>
        <v>Defense-related protein containing SCP domain</v>
      </c>
      <c r="BB258" t="str">
        <f>HYPERLINK("http://www.ncbi.nlm.nih.gov/Structure/cdd/cddsrv.cgi?uid=KOG3017","4E-028")</f>
        <v>4E-028</v>
      </c>
      <c r="BC258" t="s">
        <v>2304</v>
      </c>
      <c r="BD258" t="str">
        <f>HYPERLINK("http://exon.niaid.nih.gov/transcriptome/Anopheles_sialome/links/KOG/anocol_Ag5r6-KOG.txt","KOG3017")</f>
        <v>KOG3017</v>
      </c>
      <c r="BE258" t="str">
        <f>HYPERLINK("http://exon.niaid.nih.gov/transcriptome/Anopheles_sialome/links/PFAM/anocol_Ag5r6-PFAM.txt","CAP")</f>
        <v>CAP</v>
      </c>
      <c r="BF258" t="str">
        <f>HYPERLINK("http://pfam.sanger.ac.uk/family?acc=PF00188","5E-014")</f>
        <v>5E-014</v>
      </c>
      <c r="BG258" s="2" t="str">
        <f>HYPERLINK("http://exon.niaid.nih.gov/transcriptome/Anopheles_sialome/links/SMART/anocol_Ag5r6-SMART.txt","SCP")</f>
        <v>SCP</v>
      </c>
      <c r="BH258" t="str">
        <f>HYPERLINK("http://smart.embl-heidelberg.de/smart/do_annotation.pl?DOMAIN=SCP&amp;BLAST=DUMMY","2E-027")</f>
        <v>2E-027</v>
      </c>
      <c r="BI258" t="s">
        <v>128</v>
      </c>
      <c r="BJ258" s="2" t="s">
        <v>128</v>
      </c>
      <c r="BK258" t="s">
        <v>872</v>
      </c>
      <c r="BL258">
        <f>HYPERLINK("http://exon.niaid.nih.gov/transcriptome/Anopheles_sialome/links/cluster-b/anopheline-sialome-cds-pep-larger-orf25-50SimCLU4.txt", 4)</f>
        <v>4</v>
      </c>
      <c r="BM258">
        <f>HYPERLINK("http://exon.niaid.nih.gov/transcriptome/Anopheles_sialome/links/cluster-b/anopheline-sialome-cds-pep-larger-orf25-50SimCLTL4.txt", 82)</f>
        <v>82</v>
      </c>
      <c r="BN258">
        <f>HYPERLINK("http://exon.niaid.nih.gov/transcriptome/Anopheles_sialome/links/cluster-b/anopheline-sialome-cds-pep-larger-orf30-50SimCLU4.txt", 4)</f>
        <v>4</v>
      </c>
      <c r="BO258">
        <f>HYPERLINK("http://exon.niaid.nih.gov/transcriptome/Anopheles_sialome/links/cluster-b/anopheline-sialome-cds-pep-larger-orf30-50SimCLTL4.txt", 82)</f>
        <v>82</v>
      </c>
      <c r="BP258">
        <f>HYPERLINK("http://exon.niaid.nih.gov/transcriptome/Anopheles_sialome/links/cluster-b/anopheline-sialome-cds-pep-larger-orf35-50SimCLU3.txt", 3)</f>
        <v>3</v>
      </c>
      <c r="BQ258">
        <f>HYPERLINK("http://exon.niaid.nih.gov/transcriptome/Anopheles_sialome/links/cluster-b/anopheline-sialome-cds-pep-larger-orf35-50SimCLTL3.txt", 82)</f>
        <v>82</v>
      </c>
      <c r="BR258">
        <f>HYPERLINK("http://exon.niaid.nih.gov/transcriptome/Anopheles_sialome/links/cluster-b/anopheline-sialome-cds-pep-larger-orf40-50SimCLU3.txt", 3)</f>
        <v>3</v>
      </c>
      <c r="BS258">
        <f>HYPERLINK("http://exon.niaid.nih.gov/transcriptome/Anopheles_sialome/links/cluster-b/anopheline-sialome-cds-pep-larger-orf40-50SimCLTL3.txt", 82)</f>
        <v>82</v>
      </c>
      <c r="BT258">
        <f>HYPERLINK("http://exon.niaid.nih.gov/transcriptome/Anopheles_sialome/links/cluster-b/anopheline-sialome-cds-pep-larger-orf45-50SimCLU2.txt", 2)</f>
        <v>2</v>
      </c>
      <c r="BU258">
        <f>HYPERLINK("http://exon.niaid.nih.gov/transcriptome/Anopheles_sialome/links/cluster-b/anopheline-sialome-cds-pep-larger-orf45-50SimCLTL2.txt", 82)</f>
        <v>82</v>
      </c>
      <c r="BV258">
        <f>HYPERLINK("http://exon.niaid.nih.gov/transcriptome/Anopheles_sialome/links/cluster-b/anopheline-sialome-cds-pep-larger-orf50-50SimCLU2.txt", 2)</f>
        <v>2</v>
      </c>
      <c r="BW258">
        <f>HYPERLINK("http://exon.niaid.nih.gov/transcriptome/Anopheles_sialome/links/cluster-b/anopheline-sialome-cds-pep-larger-orf50-50SimCLTL2.txt", 82)</f>
        <v>82</v>
      </c>
      <c r="BX258">
        <f>HYPERLINK("http://exon.niaid.nih.gov/transcriptome/Anopheles_sialome/links/cluster-b/anopheline-sialome-cds-pep-larger-orf55-50SimCLU9.txt", 9)</f>
        <v>9</v>
      </c>
      <c r="BY258">
        <f>HYPERLINK("http://exon.niaid.nih.gov/transcriptome/Anopheles_sialome/links/cluster-b/anopheline-sialome-cds-pep-larger-orf55-50SimCLTL9.txt", 27)</f>
        <v>27</v>
      </c>
      <c r="BZ258">
        <f>HYPERLINK("http://exon.niaid.nih.gov/transcriptome/Anopheles_sialome/links/cluster-b/anopheline-sialome-cds-pep-larger-orf60-50SimCLU7.txt", 7)</f>
        <v>7</v>
      </c>
      <c r="CA258">
        <f>HYPERLINK("http://exon.niaid.nih.gov/transcriptome/Anopheles_sialome/links/cluster-b/anopheline-sialome-cds-pep-larger-orf60-50SimCLTL7.txt", 27)</f>
        <v>27</v>
      </c>
      <c r="CB258">
        <f>HYPERLINK("http://exon.niaid.nih.gov/transcriptome/Anopheles_sialome/links/cluster-b/anopheline-sialome-cds-pep-larger-orf65-50SimCLU4.txt", 4)</f>
        <v>4</v>
      </c>
      <c r="CC258">
        <f>HYPERLINK("http://exon.niaid.nih.gov/transcriptome/Anopheles_sialome/links/cluster-b/anopheline-sialome-cds-pep-larger-orf65-50SimCLTL4.txt", 27)</f>
        <v>27</v>
      </c>
      <c r="CD258">
        <f>HYPERLINK("http://exon.niaid.nih.gov/transcriptome/Anopheles_sialome/links/cluster-b/anopheline-sialome-cds-pep-larger-orf70-50SimCLU3.txt", 3)</f>
        <v>3</v>
      </c>
      <c r="CE258">
        <f>HYPERLINK("http://exon.niaid.nih.gov/transcriptome/Anopheles_sialome/links/cluster-b/anopheline-sialome-cds-pep-larger-orf70-50SimCLTL3.txt", 27)</f>
        <v>27</v>
      </c>
      <c r="CF258">
        <f>HYPERLINK("http://exon.niaid.nih.gov/transcriptome/Anopheles_sialome/links/cluster-b/anopheline-sialome-cds-pep-larger-orf75-50SimCLU3.txt", 3)</f>
        <v>3</v>
      </c>
      <c r="CG258">
        <f>HYPERLINK("http://exon.niaid.nih.gov/transcriptome/Anopheles_sialome/links/cluster-b/anopheline-sialome-cds-pep-larger-orf75-50SimCLTL3.txt", 27)</f>
        <v>27</v>
      </c>
      <c r="CH258">
        <f>HYPERLINK("http://exon.niaid.nih.gov/transcriptome/Anopheles_sialome/links/cluster-b/anopheline-sialome-cds-pep-larger-orf80-50SimCLU2.txt", 2)</f>
        <v>2</v>
      </c>
      <c r="CI258">
        <f>HYPERLINK("http://exon.niaid.nih.gov/transcriptome/Anopheles_sialome/links/cluster-b/anopheline-sialome-cds-pep-larger-orf80-50SimCLTL2.txt", 27)</f>
        <v>27</v>
      </c>
      <c r="CJ258">
        <f>HYPERLINK("http://exon.niaid.nih.gov/transcriptome/Anopheles_sialome/links/cluster-b/anopheline-sialome-cds-pep-larger-orf85-50SimCLU1.txt", 1)</f>
        <v>1</v>
      </c>
      <c r="CK258">
        <f>HYPERLINK("http://exon.niaid.nih.gov/transcriptome/Anopheles_sialome/links/cluster-b/anopheline-sialome-cds-pep-larger-orf85-50SimCLTL1.txt", 27)</f>
        <v>27</v>
      </c>
      <c r="CL258">
        <f>HYPERLINK("http://exon.niaid.nih.gov/transcriptome/Anopheles_sialome/links/cluster-b/anopheline-sialome-cds-pep-larger-orf90-50SimCLU1.txt", 1)</f>
        <v>1</v>
      </c>
      <c r="CM258">
        <f>HYPERLINK("http://exon.niaid.nih.gov/transcriptome/Anopheles_sialome/links/cluster-b/anopheline-sialome-cds-pep-larger-orf90-50SimCLTL1.txt", 25)</f>
        <v>25</v>
      </c>
      <c r="CN258">
        <f>HYPERLINK("http://exon.niaid.nih.gov/transcriptome/Anopheles_sialome/links/cluster-b/anopheline-sialome-cds-pep-larger-orf95-50SimCLU1.txt", 1)</f>
        <v>1</v>
      </c>
      <c r="CO258">
        <f>HYPERLINK("http://exon.niaid.nih.gov/transcriptome/Anopheles_sialome/links/cluster-b/anopheline-sialome-cds-pep-larger-orf95-50SimCLTL1.txt", 23)</f>
        <v>23</v>
      </c>
    </row>
    <row r="259" spans="1:93">
      <c r="A259" s="2" t="str">
        <f>HYPERLINK("http://exon.niaid.nih.gov/transcriptome/Anopheles_sialome/links/cds/anoara_Ag5r6-cds.txt","anoara_Ag5r6")</f>
        <v>anoara_Ag5r6</v>
      </c>
      <c r="B259">
        <v>783</v>
      </c>
      <c r="C259" t="s">
        <v>94</v>
      </c>
      <c r="D259" t="s">
        <v>4</v>
      </c>
      <c r="E259" t="s">
        <v>5</v>
      </c>
      <c r="F259" t="s">
        <v>1</v>
      </c>
      <c r="G259" t="str">
        <f>HYPERLINK("http://exon.niaid.nih.gov/transcriptome/Anopheles_sialome/links/pep/anoara_Ag5r6-pep.txt","anoara_Ag5r6")</f>
        <v>anoara_Ag5r6</v>
      </c>
      <c r="H259">
        <v>260</v>
      </c>
      <c r="I259">
        <v>4</v>
      </c>
      <c r="J259" s="3" t="str">
        <f>HYPERLINK("http://exon.niaid.nih.gov/transcriptome/Anopheles_sialome/links/Sigp/anoara_Ag5r6-SigP.txt","SIG")</f>
        <v>SIG</v>
      </c>
      <c r="K259" t="s">
        <v>787</v>
      </c>
      <c r="L259">
        <v>28.689</v>
      </c>
      <c r="M259">
        <v>5.18</v>
      </c>
      <c r="N259">
        <v>26.128</v>
      </c>
      <c r="O259">
        <v>4.93</v>
      </c>
      <c r="P259" t="s">
        <v>875</v>
      </c>
      <c r="Q259" s="3">
        <v>0</v>
      </c>
      <c r="R259" t="s">
        <v>128</v>
      </c>
      <c r="S259" t="s">
        <v>128</v>
      </c>
      <c r="T259" t="s">
        <v>128</v>
      </c>
      <c r="U259" t="s">
        <v>128</v>
      </c>
      <c r="V259" t="s">
        <v>128</v>
      </c>
      <c r="W259" s="3" t="str">
        <f>HYPERLINK("http://exon.niaid.nih.gov/transcriptome/Anopheles_sialome/links/netoglyc/anoara_Ag5r6-netoglyc.txt","0")</f>
        <v>0</v>
      </c>
      <c r="X259">
        <v>12.3</v>
      </c>
      <c r="Y259">
        <v>6.9</v>
      </c>
      <c r="Z259">
        <v>5.4</v>
      </c>
      <c r="AA259" t="s">
        <v>654</v>
      </c>
      <c r="AB259" t="s">
        <v>128</v>
      </c>
      <c r="AC259" s="2" t="str">
        <f>HYPERLINK("http://exon.niaid.nih.gov/transcriptome/Anopheles_sialome/links/DIPTERA/anoara_Ag5r6-DIPTERA.txt","AGAP013192-PA")</f>
        <v>AGAP013192-PA</v>
      </c>
      <c r="AD259" t="str">
        <f>HYPERLINK("http://www.ncbi.nlm.nih.gov/sutils/blink.cgi?pid=333469254","1E-157")</f>
        <v>1E-157</v>
      </c>
      <c r="AE259" t="str">
        <f t="shared" si="126"/>
        <v>gi|333469254</v>
      </c>
      <c r="AF259">
        <v>99</v>
      </c>
      <c r="AG259">
        <v>100</v>
      </c>
      <c r="AH259">
        <v>100</v>
      </c>
      <c r="AI259" t="s">
        <v>2285</v>
      </c>
      <c r="AJ259" s="2" t="str">
        <f>HYPERLINK("http://exon.niaid.nih.gov/transcriptome/Anopheles_sialome/links/CULICOMORPHA/anoara_Ag5r6-CULICOMORPHA.txt","AGAP013192-PA")</f>
        <v>AGAP013192-PA</v>
      </c>
      <c r="AK259" t="str">
        <f>HYPERLINK("http://www.ncbi.nlm.nih.gov/sutils/blink.cgi?pid=333469254","1E-157")</f>
        <v>1E-157</v>
      </c>
      <c r="AL259" t="str">
        <f t="shared" si="127"/>
        <v>gi|333469254</v>
      </c>
      <c r="AM259">
        <v>99</v>
      </c>
      <c r="AN259">
        <v>100</v>
      </c>
      <c r="AO259">
        <v>100</v>
      </c>
      <c r="AP259" t="s">
        <v>2285</v>
      </c>
      <c r="AQ259" s="2" t="str">
        <f>HYPERLINK("http://exon.niaid.nih.gov/transcriptome/Anopheles_sialome/links/NR-LIGHT/anoara_Ag5r6-NR-LIGHT.txt","AGAP013192-PA")</f>
        <v>AGAP013192-PA</v>
      </c>
      <c r="AR259" t="str">
        <f>HYPERLINK("http://www.ncbi.nlm.nih.gov/sutils/blink.cgi?pid=347969750","1E-156")</f>
        <v>1E-156</v>
      </c>
      <c r="AS259" t="str">
        <f t="shared" si="128"/>
        <v>gi|347969750</v>
      </c>
      <c r="AT259">
        <v>99</v>
      </c>
      <c r="AU259">
        <v>100</v>
      </c>
      <c r="AV259">
        <v>100</v>
      </c>
      <c r="AW259" t="s">
        <v>2285</v>
      </c>
      <c r="AX259" s="2" t="str">
        <f>HYPERLINK("http://exon.niaid.nih.gov/transcriptome/Anopheles_sialome/links/CDD/anoara_Ag5r6-CDD.txt","SCP_euk")</f>
        <v>SCP_euk</v>
      </c>
      <c r="AY259" t="str">
        <f>HYPERLINK("http://www.ncbi.nlm.nih.gov/Structure/cdd/cddsrv.cgi?uid=cd05380&amp;version=v4.0","1E-034")</f>
        <v>1E-034</v>
      </c>
      <c r="AZ259" t="s">
        <v>2389</v>
      </c>
      <c r="BA259" s="2" t="str">
        <f>HYPERLINK("http://exon.niaid.nih.gov/transcriptome/Anopheles_sialome/links/KOG/anoara_Ag5r6-KOG.txt","Defense-related protein containing SCP domain")</f>
        <v>Defense-related protein containing SCP domain</v>
      </c>
      <c r="BB259" t="str">
        <f>HYPERLINK("http://www.ncbi.nlm.nih.gov/Structure/cdd/cddsrv.cgi?uid=KOG3017","6E-027")</f>
        <v>6E-027</v>
      </c>
      <c r="BC259" t="s">
        <v>2304</v>
      </c>
      <c r="BD259" t="str">
        <f>HYPERLINK("http://exon.niaid.nih.gov/transcriptome/Anopheles_sialome/links/KOG/anoara_Ag5r6-KOG.txt","KOG3017")</f>
        <v>KOG3017</v>
      </c>
      <c r="BE259" t="str">
        <f>HYPERLINK("http://exon.niaid.nih.gov/transcriptome/Anopheles_sialome/links/PFAM/anoara_Ag5r6-PFAM.txt","CAP")</f>
        <v>CAP</v>
      </c>
      <c r="BF259" t="str">
        <f>HYPERLINK("http://pfam.sanger.ac.uk/family?acc=PF00188","5E-013")</f>
        <v>5E-013</v>
      </c>
      <c r="BG259" s="2" t="str">
        <f>HYPERLINK("http://exon.niaid.nih.gov/transcriptome/Anopheles_sialome/links/SMART/anoara_Ag5r6-SMART.txt","SCP")</f>
        <v>SCP</v>
      </c>
      <c r="BH259" t="str">
        <f>HYPERLINK("http://smart.embl-heidelberg.de/smart/do_annotation.pl?DOMAIN=SCP&amp;BLAST=DUMMY","2E-026")</f>
        <v>2E-026</v>
      </c>
      <c r="BI259" t="s">
        <v>128</v>
      </c>
      <c r="BJ259" s="2" t="s">
        <v>128</v>
      </c>
      <c r="BK259" t="s">
        <v>874</v>
      </c>
      <c r="BL259">
        <f>HYPERLINK("http://exon.niaid.nih.gov/transcriptome/Anopheles_sialome/links/cluster-b/anopheline-sialome-cds-pep-larger-orf25-50SimCLU4.txt", 4)</f>
        <v>4</v>
      </c>
      <c r="BM259">
        <f>HYPERLINK("http://exon.niaid.nih.gov/transcriptome/Anopheles_sialome/links/cluster-b/anopheline-sialome-cds-pep-larger-orf25-50SimCLTL4.txt", 82)</f>
        <v>82</v>
      </c>
      <c r="BN259">
        <f>HYPERLINK("http://exon.niaid.nih.gov/transcriptome/Anopheles_sialome/links/cluster-b/anopheline-sialome-cds-pep-larger-orf30-50SimCLU4.txt", 4)</f>
        <v>4</v>
      </c>
      <c r="BO259">
        <f>HYPERLINK("http://exon.niaid.nih.gov/transcriptome/Anopheles_sialome/links/cluster-b/anopheline-sialome-cds-pep-larger-orf30-50SimCLTL4.txt", 82)</f>
        <v>82</v>
      </c>
      <c r="BP259">
        <f>HYPERLINK("http://exon.niaid.nih.gov/transcriptome/Anopheles_sialome/links/cluster-b/anopheline-sialome-cds-pep-larger-orf35-50SimCLU3.txt", 3)</f>
        <v>3</v>
      </c>
      <c r="BQ259">
        <f>HYPERLINK("http://exon.niaid.nih.gov/transcriptome/Anopheles_sialome/links/cluster-b/anopheline-sialome-cds-pep-larger-orf35-50SimCLTL3.txt", 82)</f>
        <v>82</v>
      </c>
      <c r="BR259">
        <f>HYPERLINK("http://exon.niaid.nih.gov/transcriptome/Anopheles_sialome/links/cluster-b/anopheline-sialome-cds-pep-larger-orf40-50SimCLU3.txt", 3)</f>
        <v>3</v>
      </c>
      <c r="BS259">
        <f>HYPERLINK("http://exon.niaid.nih.gov/transcriptome/Anopheles_sialome/links/cluster-b/anopheline-sialome-cds-pep-larger-orf40-50SimCLTL3.txt", 82)</f>
        <v>82</v>
      </c>
      <c r="BT259">
        <f>HYPERLINK("http://exon.niaid.nih.gov/transcriptome/Anopheles_sialome/links/cluster-b/anopheline-sialome-cds-pep-larger-orf45-50SimCLU2.txt", 2)</f>
        <v>2</v>
      </c>
      <c r="BU259">
        <f>HYPERLINK("http://exon.niaid.nih.gov/transcriptome/Anopheles_sialome/links/cluster-b/anopheline-sialome-cds-pep-larger-orf45-50SimCLTL2.txt", 82)</f>
        <v>82</v>
      </c>
      <c r="BV259">
        <f>HYPERLINK("http://exon.niaid.nih.gov/transcriptome/Anopheles_sialome/links/cluster-b/anopheline-sialome-cds-pep-larger-orf50-50SimCLU2.txt", 2)</f>
        <v>2</v>
      </c>
      <c r="BW259">
        <f>HYPERLINK("http://exon.niaid.nih.gov/transcriptome/Anopheles_sialome/links/cluster-b/anopheline-sialome-cds-pep-larger-orf50-50SimCLTL2.txt", 82)</f>
        <v>82</v>
      </c>
      <c r="BX259">
        <f>HYPERLINK("http://exon.niaid.nih.gov/transcriptome/Anopheles_sialome/links/cluster-b/anopheline-sialome-cds-pep-larger-orf55-50SimCLU9.txt", 9)</f>
        <v>9</v>
      </c>
      <c r="BY259">
        <f>HYPERLINK("http://exon.niaid.nih.gov/transcriptome/Anopheles_sialome/links/cluster-b/anopheline-sialome-cds-pep-larger-orf55-50SimCLTL9.txt", 27)</f>
        <v>27</v>
      </c>
      <c r="BZ259">
        <f>HYPERLINK("http://exon.niaid.nih.gov/transcriptome/Anopheles_sialome/links/cluster-b/anopheline-sialome-cds-pep-larger-orf60-50SimCLU7.txt", 7)</f>
        <v>7</v>
      </c>
      <c r="CA259">
        <f>HYPERLINK("http://exon.niaid.nih.gov/transcriptome/Anopheles_sialome/links/cluster-b/anopheline-sialome-cds-pep-larger-orf60-50SimCLTL7.txt", 27)</f>
        <v>27</v>
      </c>
      <c r="CB259">
        <f>HYPERLINK("http://exon.niaid.nih.gov/transcriptome/Anopheles_sialome/links/cluster-b/anopheline-sialome-cds-pep-larger-orf65-50SimCLU4.txt", 4)</f>
        <v>4</v>
      </c>
      <c r="CC259">
        <f>HYPERLINK("http://exon.niaid.nih.gov/transcriptome/Anopheles_sialome/links/cluster-b/anopheline-sialome-cds-pep-larger-orf65-50SimCLTL4.txt", 27)</f>
        <v>27</v>
      </c>
      <c r="CD259">
        <f>HYPERLINK("http://exon.niaid.nih.gov/transcriptome/Anopheles_sialome/links/cluster-b/anopheline-sialome-cds-pep-larger-orf70-50SimCLU3.txt", 3)</f>
        <v>3</v>
      </c>
      <c r="CE259">
        <f>HYPERLINK("http://exon.niaid.nih.gov/transcriptome/Anopheles_sialome/links/cluster-b/anopheline-sialome-cds-pep-larger-orf70-50SimCLTL3.txt", 27)</f>
        <v>27</v>
      </c>
      <c r="CF259">
        <f>HYPERLINK("http://exon.niaid.nih.gov/transcriptome/Anopheles_sialome/links/cluster-b/anopheline-sialome-cds-pep-larger-orf75-50SimCLU3.txt", 3)</f>
        <v>3</v>
      </c>
      <c r="CG259">
        <f>HYPERLINK("http://exon.niaid.nih.gov/transcriptome/Anopheles_sialome/links/cluster-b/anopheline-sialome-cds-pep-larger-orf75-50SimCLTL3.txt", 27)</f>
        <v>27</v>
      </c>
      <c r="CH259">
        <f>HYPERLINK("http://exon.niaid.nih.gov/transcriptome/Anopheles_sialome/links/cluster-b/anopheline-sialome-cds-pep-larger-orf80-50SimCLU2.txt", 2)</f>
        <v>2</v>
      </c>
      <c r="CI259">
        <f>HYPERLINK("http://exon.niaid.nih.gov/transcriptome/Anopheles_sialome/links/cluster-b/anopheline-sialome-cds-pep-larger-orf80-50SimCLTL2.txt", 27)</f>
        <v>27</v>
      </c>
      <c r="CJ259">
        <f>HYPERLINK("http://exon.niaid.nih.gov/transcriptome/Anopheles_sialome/links/cluster-b/anopheline-sialome-cds-pep-larger-orf85-50SimCLU1.txt", 1)</f>
        <v>1</v>
      </c>
      <c r="CK259">
        <f>HYPERLINK("http://exon.niaid.nih.gov/transcriptome/Anopheles_sialome/links/cluster-b/anopheline-sialome-cds-pep-larger-orf85-50SimCLTL1.txt", 27)</f>
        <v>27</v>
      </c>
      <c r="CL259">
        <f>HYPERLINK("http://exon.niaid.nih.gov/transcriptome/Anopheles_sialome/links/cluster-b/anopheline-sialome-cds-pep-larger-orf90-50SimCLU1.txt", 1)</f>
        <v>1</v>
      </c>
      <c r="CM259">
        <f>HYPERLINK("http://exon.niaid.nih.gov/transcriptome/Anopheles_sialome/links/cluster-b/anopheline-sialome-cds-pep-larger-orf90-50SimCLTL1.txt", 25)</f>
        <v>25</v>
      </c>
      <c r="CN259">
        <f>HYPERLINK("http://exon.niaid.nih.gov/transcriptome/Anopheles_sialome/links/cluster-b/anopheline-sialome-cds-pep-larger-orf95-50SimCLU1.txt", 1)</f>
        <v>1</v>
      </c>
      <c r="CO259">
        <f>HYPERLINK("http://exon.niaid.nih.gov/transcriptome/Anopheles_sialome/links/cluster-b/anopheline-sialome-cds-pep-larger-orf95-50SimCLTL1.txt", 23)</f>
        <v>23</v>
      </c>
    </row>
    <row r="260" spans="1:93">
      <c r="A260" s="2" t="str">
        <f>HYPERLINK("http://exon.niaid.nih.gov/transcriptome/Anopheles_sialome/links/cds/anoqua_Ag5r6-cds.txt","anoqua_Ag5r6")</f>
        <v>anoqua_Ag5r6</v>
      </c>
      <c r="B260">
        <v>783</v>
      </c>
      <c r="C260" t="s">
        <v>67</v>
      </c>
      <c r="D260" t="s">
        <v>7</v>
      </c>
      <c r="E260" t="s">
        <v>5</v>
      </c>
      <c r="F260" t="s">
        <v>1</v>
      </c>
      <c r="G260" t="str">
        <f>HYPERLINK("http://exon.niaid.nih.gov/transcriptome/Anopheles_sialome/links/pep/anoqua_Ag5r6-pep.txt","anoqua_Ag5r6")</f>
        <v>anoqua_Ag5r6</v>
      </c>
      <c r="H260">
        <v>260</v>
      </c>
      <c r="I260">
        <v>4</v>
      </c>
      <c r="J260" s="3" t="str">
        <f>HYPERLINK("http://exon.niaid.nih.gov/transcriptome/Anopheles_sialome/links/Sigp/anoqua_Ag5r6-SigP.txt","SIG")</f>
        <v>SIG</v>
      </c>
      <c r="K260" t="s">
        <v>787</v>
      </c>
      <c r="L260">
        <v>28.655999999999999</v>
      </c>
      <c r="M260">
        <v>5.18</v>
      </c>
      <c r="N260">
        <v>26.114000000000001</v>
      </c>
      <c r="O260">
        <v>4.93</v>
      </c>
      <c r="P260" t="s">
        <v>877</v>
      </c>
      <c r="Q260" s="3">
        <v>0</v>
      </c>
      <c r="R260" t="s">
        <v>128</v>
      </c>
      <c r="S260" t="s">
        <v>128</v>
      </c>
      <c r="T260" t="s">
        <v>128</v>
      </c>
      <c r="U260" t="s">
        <v>128</v>
      </c>
      <c r="V260" t="s">
        <v>128</v>
      </c>
      <c r="W260" s="3" t="str">
        <f>HYPERLINK("http://exon.niaid.nih.gov/transcriptome/Anopheles_sialome/links/netoglyc/anoqua_Ag5r6-netoglyc.txt","0")</f>
        <v>0</v>
      </c>
      <c r="X260">
        <v>12.3</v>
      </c>
      <c r="Y260">
        <v>6.9</v>
      </c>
      <c r="Z260">
        <v>5.4</v>
      </c>
      <c r="AA260" t="s">
        <v>654</v>
      </c>
      <c r="AB260" t="s">
        <v>128</v>
      </c>
      <c r="AC260" s="2" t="str">
        <f>HYPERLINK("http://exon.niaid.nih.gov/transcriptome/Anopheles_sialome/links/DIPTERA/anoqua_Ag5r6-DIPTERA.txt","AGAP013192-PA")</f>
        <v>AGAP013192-PA</v>
      </c>
      <c r="AD260" t="str">
        <f>HYPERLINK("http://www.ncbi.nlm.nih.gov/sutils/blink.cgi?pid=333469254","1E-157")</f>
        <v>1E-157</v>
      </c>
      <c r="AE260" t="str">
        <f t="shared" si="126"/>
        <v>gi|333469254</v>
      </c>
      <c r="AF260">
        <v>99</v>
      </c>
      <c r="AG260">
        <v>100</v>
      </c>
      <c r="AH260">
        <v>100</v>
      </c>
      <c r="AI260" t="s">
        <v>2285</v>
      </c>
      <c r="AJ260" s="2" t="str">
        <f>HYPERLINK("http://exon.niaid.nih.gov/transcriptome/Anopheles_sialome/links/CULICOMORPHA/anoqua_Ag5r6-CULICOMORPHA.txt","AGAP013192-PA")</f>
        <v>AGAP013192-PA</v>
      </c>
      <c r="AK260" t="str">
        <f>HYPERLINK("http://www.ncbi.nlm.nih.gov/sutils/blink.cgi?pid=333469254","1E-157")</f>
        <v>1E-157</v>
      </c>
      <c r="AL260" t="str">
        <f t="shared" si="127"/>
        <v>gi|333469254</v>
      </c>
      <c r="AM260">
        <v>99</v>
      </c>
      <c r="AN260">
        <v>100</v>
      </c>
      <c r="AO260">
        <v>100</v>
      </c>
      <c r="AP260" t="s">
        <v>2285</v>
      </c>
      <c r="AQ260" s="2" t="str">
        <f>HYPERLINK("http://exon.niaid.nih.gov/transcriptome/Anopheles_sialome/links/NR-LIGHT/anoqua_Ag5r6-NR-LIGHT.txt","AGAP013192-PA")</f>
        <v>AGAP013192-PA</v>
      </c>
      <c r="AR260" t="str">
        <f>HYPERLINK("http://www.ncbi.nlm.nih.gov/sutils/blink.cgi?pid=347969750","1E-156")</f>
        <v>1E-156</v>
      </c>
      <c r="AS260" t="str">
        <f t="shared" si="128"/>
        <v>gi|347969750</v>
      </c>
      <c r="AT260">
        <v>99</v>
      </c>
      <c r="AU260">
        <v>100</v>
      </c>
      <c r="AV260">
        <v>100</v>
      </c>
      <c r="AW260" t="s">
        <v>2285</v>
      </c>
      <c r="AX260" s="2" t="str">
        <f>HYPERLINK("http://exon.niaid.nih.gov/transcriptome/Anopheles_sialome/links/CDD/anoqua_Ag5r6-CDD.txt","SCP_euk")</f>
        <v>SCP_euk</v>
      </c>
      <c r="AY260" t="str">
        <f>HYPERLINK("http://www.ncbi.nlm.nih.gov/Structure/cdd/cddsrv.cgi?uid=cd05380&amp;version=v4.0","1E-035")</f>
        <v>1E-035</v>
      </c>
      <c r="AZ260" t="s">
        <v>2390</v>
      </c>
      <c r="BA260" s="2" t="str">
        <f>HYPERLINK("http://exon.niaid.nih.gov/transcriptome/Anopheles_sialome/links/KOG/anoqua_Ag5r6-KOG.txt","Defense-related protein containing SCP domain")</f>
        <v>Defense-related protein containing SCP domain</v>
      </c>
      <c r="BB260" t="str">
        <f>HYPERLINK("http://www.ncbi.nlm.nih.gov/Structure/cdd/cddsrv.cgi?uid=KOG3017","4E-028")</f>
        <v>4E-028</v>
      </c>
      <c r="BC260" t="s">
        <v>2304</v>
      </c>
      <c r="BD260" t="str">
        <f>HYPERLINK("http://exon.niaid.nih.gov/transcriptome/Anopheles_sialome/links/KOG/anoqua_Ag5r6-KOG.txt","KOG3017")</f>
        <v>KOG3017</v>
      </c>
      <c r="BE260" t="str">
        <f>HYPERLINK("http://exon.niaid.nih.gov/transcriptome/Anopheles_sialome/links/PFAM/anoqua_Ag5r6-PFAM.txt","CAP")</f>
        <v>CAP</v>
      </c>
      <c r="BF260" t="str">
        <f>HYPERLINK("http://pfam.sanger.ac.uk/family?acc=PF00188","5E-014")</f>
        <v>5E-014</v>
      </c>
      <c r="BG260" s="2" t="str">
        <f>HYPERLINK("http://exon.niaid.nih.gov/transcriptome/Anopheles_sialome/links/SMART/anoqua_Ag5r6-SMART.txt","SCP")</f>
        <v>SCP</v>
      </c>
      <c r="BH260" t="str">
        <f>HYPERLINK("http://smart.embl-heidelberg.de/smart/do_annotation.pl?DOMAIN=SCP&amp;BLAST=DUMMY","2E-027")</f>
        <v>2E-027</v>
      </c>
      <c r="BI260" t="s">
        <v>128</v>
      </c>
      <c r="BJ260" s="2" t="s">
        <v>128</v>
      </c>
      <c r="BK260" t="s">
        <v>876</v>
      </c>
      <c r="BL260">
        <f>HYPERLINK("http://exon.niaid.nih.gov/transcriptome/Anopheles_sialome/links/cluster-b/anopheline-sialome-cds-pep-larger-orf25-50SimCLU4.txt", 4)</f>
        <v>4</v>
      </c>
      <c r="BM260">
        <f>HYPERLINK("http://exon.niaid.nih.gov/transcriptome/Anopheles_sialome/links/cluster-b/anopheline-sialome-cds-pep-larger-orf25-50SimCLTL4.txt", 82)</f>
        <v>82</v>
      </c>
      <c r="BN260">
        <f>HYPERLINK("http://exon.niaid.nih.gov/transcriptome/Anopheles_sialome/links/cluster-b/anopheline-sialome-cds-pep-larger-orf30-50SimCLU4.txt", 4)</f>
        <v>4</v>
      </c>
      <c r="BO260">
        <f>HYPERLINK("http://exon.niaid.nih.gov/transcriptome/Anopheles_sialome/links/cluster-b/anopheline-sialome-cds-pep-larger-orf30-50SimCLTL4.txt", 82)</f>
        <v>82</v>
      </c>
      <c r="BP260">
        <f>HYPERLINK("http://exon.niaid.nih.gov/transcriptome/Anopheles_sialome/links/cluster-b/anopheline-sialome-cds-pep-larger-orf35-50SimCLU3.txt", 3)</f>
        <v>3</v>
      </c>
      <c r="BQ260">
        <f>HYPERLINK("http://exon.niaid.nih.gov/transcriptome/Anopheles_sialome/links/cluster-b/anopheline-sialome-cds-pep-larger-orf35-50SimCLTL3.txt", 82)</f>
        <v>82</v>
      </c>
      <c r="BR260">
        <f>HYPERLINK("http://exon.niaid.nih.gov/transcriptome/Anopheles_sialome/links/cluster-b/anopheline-sialome-cds-pep-larger-orf40-50SimCLU3.txt", 3)</f>
        <v>3</v>
      </c>
      <c r="BS260">
        <f>HYPERLINK("http://exon.niaid.nih.gov/transcriptome/Anopheles_sialome/links/cluster-b/anopheline-sialome-cds-pep-larger-orf40-50SimCLTL3.txt", 82)</f>
        <v>82</v>
      </c>
      <c r="BT260">
        <f>HYPERLINK("http://exon.niaid.nih.gov/transcriptome/Anopheles_sialome/links/cluster-b/anopheline-sialome-cds-pep-larger-orf45-50SimCLU2.txt", 2)</f>
        <v>2</v>
      </c>
      <c r="BU260">
        <f>HYPERLINK("http://exon.niaid.nih.gov/transcriptome/Anopheles_sialome/links/cluster-b/anopheline-sialome-cds-pep-larger-orf45-50SimCLTL2.txt", 82)</f>
        <v>82</v>
      </c>
      <c r="BV260">
        <f>HYPERLINK("http://exon.niaid.nih.gov/transcriptome/Anopheles_sialome/links/cluster-b/anopheline-sialome-cds-pep-larger-orf50-50SimCLU2.txt", 2)</f>
        <v>2</v>
      </c>
      <c r="BW260">
        <f>HYPERLINK("http://exon.niaid.nih.gov/transcriptome/Anopheles_sialome/links/cluster-b/anopheline-sialome-cds-pep-larger-orf50-50SimCLTL2.txt", 82)</f>
        <v>82</v>
      </c>
      <c r="BX260">
        <f>HYPERLINK("http://exon.niaid.nih.gov/transcriptome/Anopheles_sialome/links/cluster-b/anopheline-sialome-cds-pep-larger-orf55-50SimCLU9.txt", 9)</f>
        <v>9</v>
      </c>
      <c r="BY260">
        <f>HYPERLINK("http://exon.niaid.nih.gov/transcriptome/Anopheles_sialome/links/cluster-b/anopheline-sialome-cds-pep-larger-orf55-50SimCLTL9.txt", 27)</f>
        <v>27</v>
      </c>
      <c r="BZ260">
        <f>HYPERLINK("http://exon.niaid.nih.gov/transcriptome/Anopheles_sialome/links/cluster-b/anopheline-sialome-cds-pep-larger-orf60-50SimCLU7.txt", 7)</f>
        <v>7</v>
      </c>
      <c r="CA260">
        <f>HYPERLINK("http://exon.niaid.nih.gov/transcriptome/Anopheles_sialome/links/cluster-b/anopheline-sialome-cds-pep-larger-orf60-50SimCLTL7.txt", 27)</f>
        <v>27</v>
      </c>
      <c r="CB260">
        <f>HYPERLINK("http://exon.niaid.nih.gov/transcriptome/Anopheles_sialome/links/cluster-b/anopheline-sialome-cds-pep-larger-orf65-50SimCLU4.txt", 4)</f>
        <v>4</v>
      </c>
      <c r="CC260">
        <f>HYPERLINK("http://exon.niaid.nih.gov/transcriptome/Anopheles_sialome/links/cluster-b/anopheline-sialome-cds-pep-larger-orf65-50SimCLTL4.txt", 27)</f>
        <v>27</v>
      </c>
      <c r="CD260">
        <f>HYPERLINK("http://exon.niaid.nih.gov/transcriptome/Anopheles_sialome/links/cluster-b/anopheline-sialome-cds-pep-larger-orf70-50SimCLU3.txt", 3)</f>
        <v>3</v>
      </c>
      <c r="CE260">
        <f>HYPERLINK("http://exon.niaid.nih.gov/transcriptome/Anopheles_sialome/links/cluster-b/anopheline-sialome-cds-pep-larger-orf70-50SimCLTL3.txt", 27)</f>
        <v>27</v>
      </c>
      <c r="CF260">
        <f>HYPERLINK("http://exon.niaid.nih.gov/transcriptome/Anopheles_sialome/links/cluster-b/anopheline-sialome-cds-pep-larger-orf75-50SimCLU3.txt", 3)</f>
        <v>3</v>
      </c>
      <c r="CG260">
        <f>HYPERLINK("http://exon.niaid.nih.gov/transcriptome/Anopheles_sialome/links/cluster-b/anopheline-sialome-cds-pep-larger-orf75-50SimCLTL3.txt", 27)</f>
        <v>27</v>
      </c>
      <c r="CH260">
        <f>HYPERLINK("http://exon.niaid.nih.gov/transcriptome/Anopheles_sialome/links/cluster-b/anopheline-sialome-cds-pep-larger-orf80-50SimCLU2.txt", 2)</f>
        <v>2</v>
      </c>
      <c r="CI260">
        <f>HYPERLINK("http://exon.niaid.nih.gov/transcriptome/Anopheles_sialome/links/cluster-b/anopheline-sialome-cds-pep-larger-orf80-50SimCLTL2.txt", 27)</f>
        <v>27</v>
      </c>
      <c r="CJ260">
        <f>HYPERLINK("http://exon.niaid.nih.gov/transcriptome/Anopheles_sialome/links/cluster-b/anopheline-sialome-cds-pep-larger-orf85-50SimCLU1.txt", 1)</f>
        <v>1</v>
      </c>
      <c r="CK260">
        <f>HYPERLINK("http://exon.niaid.nih.gov/transcriptome/Anopheles_sialome/links/cluster-b/anopheline-sialome-cds-pep-larger-orf85-50SimCLTL1.txt", 27)</f>
        <v>27</v>
      </c>
      <c r="CL260">
        <f>HYPERLINK("http://exon.niaid.nih.gov/transcriptome/Anopheles_sialome/links/cluster-b/anopheline-sialome-cds-pep-larger-orf90-50SimCLU1.txt", 1)</f>
        <v>1</v>
      </c>
      <c r="CM260">
        <f>HYPERLINK("http://exon.niaid.nih.gov/transcriptome/Anopheles_sialome/links/cluster-b/anopheline-sialome-cds-pep-larger-orf90-50SimCLTL1.txt", 25)</f>
        <v>25</v>
      </c>
      <c r="CN260">
        <f>HYPERLINK("http://exon.niaid.nih.gov/transcriptome/Anopheles_sialome/links/cluster-b/anopheline-sialome-cds-pep-larger-orf95-50SimCLU1.txt", 1)</f>
        <v>1</v>
      </c>
      <c r="CO260">
        <f>HYPERLINK("http://exon.niaid.nih.gov/transcriptome/Anopheles_sialome/links/cluster-b/anopheline-sialome-cds-pep-larger-orf95-50SimCLTL1.txt", 23)</f>
        <v>23</v>
      </c>
    </row>
    <row r="261" spans="1:93">
      <c r="A261" s="2" t="str">
        <f>HYPERLINK("http://exon.niaid.nih.gov/transcriptome/Anopheles_sialome/links/cds/anomer_Ag5r6-cds.txt","anomer_Ag5r6")</f>
        <v>anomer_Ag5r6</v>
      </c>
      <c r="B261">
        <v>783</v>
      </c>
      <c r="C261" t="s">
        <v>95</v>
      </c>
      <c r="D261" t="s">
        <v>4</v>
      </c>
      <c r="E261" t="s">
        <v>5</v>
      </c>
      <c r="F261" t="s">
        <v>1</v>
      </c>
      <c r="G261" t="str">
        <f>HYPERLINK("http://exon.niaid.nih.gov/transcriptome/Anopheles_sialome/links/pep/anomer_Ag5r6-pep.txt","anomer_Ag5r6")</f>
        <v>anomer_Ag5r6</v>
      </c>
      <c r="H261">
        <v>260</v>
      </c>
      <c r="I261">
        <v>4</v>
      </c>
      <c r="J261" s="3" t="str">
        <f>HYPERLINK("http://exon.niaid.nih.gov/transcriptome/Anopheles_sialome/links/Sigp/anomer_Ag5r6-SigP.txt","SIG")</f>
        <v>SIG</v>
      </c>
      <c r="K261" t="s">
        <v>787</v>
      </c>
      <c r="L261">
        <v>28.686</v>
      </c>
      <c r="M261">
        <v>5.18</v>
      </c>
      <c r="N261">
        <v>26.114000000000001</v>
      </c>
      <c r="O261">
        <v>4.93</v>
      </c>
      <c r="P261" t="s">
        <v>879</v>
      </c>
      <c r="Q261" s="3">
        <v>0</v>
      </c>
      <c r="R261" t="s">
        <v>128</v>
      </c>
      <c r="S261" t="s">
        <v>128</v>
      </c>
      <c r="T261" t="s">
        <v>128</v>
      </c>
      <c r="U261" t="s">
        <v>128</v>
      </c>
      <c r="V261" t="s">
        <v>128</v>
      </c>
      <c r="W261" s="3" t="str">
        <f>HYPERLINK("http://exon.niaid.nih.gov/transcriptome/Anopheles_sialome/links/netoglyc/anomer_Ag5r6-netoglyc.txt","0")</f>
        <v>0</v>
      </c>
      <c r="X261">
        <v>12.7</v>
      </c>
      <c r="Y261">
        <v>6.9</v>
      </c>
      <c r="Z261">
        <v>5.4</v>
      </c>
      <c r="AA261" t="s">
        <v>654</v>
      </c>
      <c r="AB261" t="s">
        <v>128</v>
      </c>
      <c r="AC261" s="2" t="str">
        <f>HYPERLINK("http://exon.niaid.nih.gov/transcriptome/Anopheles_sialome/links/DIPTERA/anomer_Ag5r6-DIPTERA.txt","AGAP013192-PA")</f>
        <v>AGAP013192-PA</v>
      </c>
      <c r="AD261" t="str">
        <f>HYPERLINK("http://www.ncbi.nlm.nih.gov/sutils/blink.cgi?pid=333469254","1E-156")</f>
        <v>1E-156</v>
      </c>
      <c r="AE261" t="str">
        <f t="shared" si="126"/>
        <v>gi|333469254</v>
      </c>
      <c r="AF261">
        <v>99</v>
      </c>
      <c r="AG261">
        <v>99</v>
      </c>
      <c r="AH261">
        <v>100</v>
      </c>
      <c r="AI261" t="s">
        <v>2285</v>
      </c>
      <c r="AJ261" s="2" t="str">
        <f>HYPERLINK("http://exon.niaid.nih.gov/transcriptome/Anopheles_sialome/links/CULICOMORPHA/anomer_Ag5r6-CULICOMORPHA.txt","AGAP013192-PA")</f>
        <v>AGAP013192-PA</v>
      </c>
      <c r="AK261" t="str">
        <f>HYPERLINK("http://www.ncbi.nlm.nih.gov/sutils/blink.cgi?pid=333469254","1E-157")</f>
        <v>1E-157</v>
      </c>
      <c r="AL261" t="str">
        <f t="shared" si="127"/>
        <v>gi|333469254</v>
      </c>
      <c r="AM261">
        <v>99</v>
      </c>
      <c r="AN261">
        <v>99</v>
      </c>
      <c r="AO261">
        <v>100</v>
      </c>
      <c r="AP261" t="s">
        <v>2285</v>
      </c>
      <c r="AQ261" s="2" t="str">
        <f>HYPERLINK("http://exon.niaid.nih.gov/transcriptome/Anopheles_sialome/links/NR-LIGHT/anomer_Ag5r6-NR-LIGHT.txt","AGAP013192-PA")</f>
        <v>AGAP013192-PA</v>
      </c>
      <c r="AR261" t="str">
        <f>HYPERLINK("http://www.ncbi.nlm.nih.gov/sutils/blink.cgi?pid=347969750","1E-156")</f>
        <v>1E-156</v>
      </c>
      <c r="AS261" t="str">
        <f t="shared" si="128"/>
        <v>gi|347969750</v>
      </c>
      <c r="AT261">
        <v>99</v>
      </c>
      <c r="AU261">
        <v>99</v>
      </c>
      <c r="AV261">
        <v>100</v>
      </c>
      <c r="AW261" t="s">
        <v>2285</v>
      </c>
      <c r="AX261" s="2" t="str">
        <f>HYPERLINK("http://exon.niaid.nih.gov/transcriptome/Anopheles_sialome/links/CDD/anomer_Ag5r6-CDD.txt","SCP_euk")</f>
        <v>SCP_euk</v>
      </c>
      <c r="AY261" t="str">
        <f>HYPERLINK("http://www.ncbi.nlm.nih.gov/Structure/cdd/cddsrv.cgi?uid=cd05380&amp;version=v4.0","1E-035")</f>
        <v>1E-035</v>
      </c>
      <c r="AZ261" t="s">
        <v>2391</v>
      </c>
      <c r="BA261" s="2" t="str">
        <f>HYPERLINK("http://exon.niaid.nih.gov/transcriptome/Anopheles_sialome/links/KOG/anomer_Ag5r6-KOG.txt","Defense-related protein containing SCP domain")</f>
        <v>Defense-related protein containing SCP domain</v>
      </c>
      <c r="BB261" t="str">
        <f>HYPERLINK("http://www.ncbi.nlm.nih.gov/Structure/cdd/cddsrv.cgi?uid=KOG3017","3E-028")</f>
        <v>3E-028</v>
      </c>
      <c r="BC261" t="s">
        <v>2304</v>
      </c>
      <c r="BD261" t="str">
        <f>HYPERLINK("http://exon.niaid.nih.gov/transcriptome/Anopheles_sialome/links/KOG/anomer_Ag5r6-KOG.txt","KOG3017")</f>
        <v>KOG3017</v>
      </c>
      <c r="BE261" t="str">
        <f>HYPERLINK("http://exon.niaid.nih.gov/transcriptome/Anopheles_sialome/links/PFAM/anomer_Ag5r6-PFAM.txt","CAP")</f>
        <v>CAP</v>
      </c>
      <c r="BF261" t="str">
        <f>HYPERLINK("http://pfam.sanger.ac.uk/family?acc=PF00188","5E-014")</f>
        <v>5E-014</v>
      </c>
      <c r="BG261" s="2" t="str">
        <f>HYPERLINK("http://exon.niaid.nih.gov/transcriptome/Anopheles_sialome/links/SMART/anomer_Ag5r6-SMART.txt","SCP")</f>
        <v>SCP</v>
      </c>
      <c r="BH261" t="str">
        <f>HYPERLINK("http://smart.embl-heidelberg.de/smart/do_annotation.pl?DOMAIN=SCP&amp;BLAST=DUMMY","2E-027")</f>
        <v>2E-027</v>
      </c>
      <c r="BI261" t="s">
        <v>128</v>
      </c>
      <c r="BJ261" s="2" t="s">
        <v>128</v>
      </c>
      <c r="BK261" t="s">
        <v>878</v>
      </c>
      <c r="BL261">
        <f>HYPERLINK("http://exon.niaid.nih.gov/transcriptome/Anopheles_sialome/links/cluster-b/anopheline-sialome-cds-pep-larger-orf25-50SimCLU4.txt", 4)</f>
        <v>4</v>
      </c>
      <c r="BM261">
        <f>HYPERLINK("http://exon.niaid.nih.gov/transcriptome/Anopheles_sialome/links/cluster-b/anopheline-sialome-cds-pep-larger-orf25-50SimCLTL4.txt", 82)</f>
        <v>82</v>
      </c>
      <c r="BN261">
        <f>HYPERLINK("http://exon.niaid.nih.gov/transcriptome/Anopheles_sialome/links/cluster-b/anopheline-sialome-cds-pep-larger-orf30-50SimCLU4.txt", 4)</f>
        <v>4</v>
      </c>
      <c r="BO261">
        <f>HYPERLINK("http://exon.niaid.nih.gov/transcriptome/Anopheles_sialome/links/cluster-b/anopheline-sialome-cds-pep-larger-orf30-50SimCLTL4.txt", 82)</f>
        <v>82</v>
      </c>
      <c r="BP261">
        <f>HYPERLINK("http://exon.niaid.nih.gov/transcriptome/Anopheles_sialome/links/cluster-b/anopheline-sialome-cds-pep-larger-orf35-50SimCLU3.txt", 3)</f>
        <v>3</v>
      </c>
      <c r="BQ261">
        <f>HYPERLINK("http://exon.niaid.nih.gov/transcriptome/Anopheles_sialome/links/cluster-b/anopheline-sialome-cds-pep-larger-orf35-50SimCLTL3.txt", 82)</f>
        <v>82</v>
      </c>
      <c r="BR261">
        <f>HYPERLINK("http://exon.niaid.nih.gov/transcriptome/Anopheles_sialome/links/cluster-b/anopheline-sialome-cds-pep-larger-orf40-50SimCLU3.txt", 3)</f>
        <v>3</v>
      </c>
      <c r="BS261">
        <f>HYPERLINK("http://exon.niaid.nih.gov/transcriptome/Anopheles_sialome/links/cluster-b/anopheline-sialome-cds-pep-larger-orf40-50SimCLTL3.txt", 82)</f>
        <v>82</v>
      </c>
      <c r="BT261">
        <f>HYPERLINK("http://exon.niaid.nih.gov/transcriptome/Anopheles_sialome/links/cluster-b/anopheline-sialome-cds-pep-larger-orf45-50SimCLU2.txt", 2)</f>
        <v>2</v>
      </c>
      <c r="BU261">
        <f>HYPERLINK("http://exon.niaid.nih.gov/transcriptome/Anopheles_sialome/links/cluster-b/anopheline-sialome-cds-pep-larger-orf45-50SimCLTL2.txt", 82)</f>
        <v>82</v>
      </c>
      <c r="BV261">
        <f>HYPERLINK("http://exon.niaid.nih.gov/transcriptome/Anopheles_sialome/links/cluster-b/anopheline-sialome-cds-pep-larger-orf50-50SimCLU2.txt", 2)</f>
        <v>2</v>
      </c>
      <c r="BW261">
        <f>HYPERLINK("http://exon.niaid.nih.gov/transcriptome/Anopheles_sialome/links/cluster-b/anopheline-sialome-cds-pep-larger-orf50-50SimCLTL2.txt", 82)</f>
        <v>82</v>
      </c>
      <c r="BX261">
        <f>HYPERLINK("http://exon.niaid.nih.gov/transcriptome/Anopheles_sialome/links/cluster-b/anopheline-sialome-cds-pep-larger-orf55-50SimCLU9.txt", 9)</f>
        <v>9</v>
      </c>
      <c r="BY261">
        <f>HYPERLINK("http://exon.niaid.nih.gov/transcriptome/Anopheles_sialome/links/cluster-b/anopheline-sialome-cds-pep-larger-orf55-50SimCLTL9.txt", 27)</f>
        <v>27</v>
      </c>
      <c r="BZ261">
        <f>HYPERLINK("http://exon.niaid.nih.gov/transcriptome/Anopheles_sialome/links/cluster-b/anopheline-sialome-cds-pep-larger-orf60-50SimCLU7.txt", 7)</f>
        <v>7</v>
      </c>
      <c r="CA261">
        <f>HYPERLINK("http://exon.niaid.nih.gov/transcriptome/Anopheles_sialome/links/cluster-b/anopheline-sialome-cds-pep-larger-orf60-50SimCLTL7.txt", 27)</f>
        <v>27</v>
      </c>
      <c r="CB261">
        <f>HYPERLINK("http://exon.niaid.nih.gov/transcriptome/Anopheles_sialome/links/cluster-b/anopheline-sialome-cds-pep-larger-orf65-50SimCLU4.txt", 4)</f>
        <v>4</v>
      </c>
      <c r="CC261">
        <f>HYPERLINK("http://exon.niaid.nih.gov/transcriptome/Anopheles_sialome/links/cluster-b/anopheline-sialome-cds-pep-larger-orf65-50SimCLTL4.txt", 27)</f>
        <v>27</v>
      </c>
      <c r="CD261">
        <f>HYPERLINK("http://exon.niaid.nih.gov/transcriptome/Anopheles_sialome/links/cluster-b/anopheline-sialome-cds-pep-larger-orf70-50SimCLU3.txt", 3)</f>
        <v>3</v>
      </c>
      <c r="CE261">
        <f>HYPERLINK("http://exon.niaid.nih.gov/transcriptome/Anopheles_sialome/links/cluster-b/anopheline-sialome-cds-pep-larger-orf70-50SimCLTL3.txt", 27)</f>
        <v>27</v>
      </c>
      <c r="CF261">
        <f>HYPERLINK("http://exon.niaid.nih.gov/transcriptome/Anopheles_sialome/links/cluster-b/anopheline-sialome-cds-pep-larger-orf75-50SimCLU3.txt", 3)</f>
        <v>3</v>
      </c>
      <c r="CG261">
        <f>HYPERLINK("http://exon.niaid.nih.gov/transcriptome/Anopheles_sialome/links/cluster-b/anopheline-sialome-cds-pep-larger-orf75-50SimCLTL3.txt", 27)</f>
        <v>27</v>
      </c>
      <c r="CH261">
        <f>HYPERLINK("http://exon.niaid.nih.gov/transcriptome/Anopheles_sialome/links/cluster-b/anopheline-sialome-cds-pep-larger-orf80-50SimCLU2.txt", 2)</f>
        <v>2</v>
      </c>
      <c r="CI261">
        <f>HYPERLINK("http://exon.niaid.nih.gov/transcriptome/Anopheles_sialome/links/cluster-b/anopheline-sialome-cds-pep-larger-orf80-50SimCLTL2.txt", 27)</f>
        <v>27</v>
      </c>
      <c r="CJ261">
        <f>HYPERLINK("http://exon.niaid.nih.gov/transcriptome/Anopheles_sialome/links/cluster-b/anopheline-sialome-cds-pep-larger-orf85-50SimCLU1.txt", 1)</f>
        <v>1</v>
      </c>
      <c r="CK261">
        <f>HYPERLINK("http://exon.niaid.nih.gov/transcriptome/Anopheles_sialome/links/cluster-b/anopheline-sialome-cds-pep-larger-orf85-50SimCLTL1.txt", 27)</f>
        <v>27</v>
      </c>
      <c r="CL261">
        <f>HYPERLINK("http://exon.niaid.nih.gov/transcriptome/Anopheles_sialome/links/cluster-b/anopheline-sialome-cds-pep-larger-orf90-50SimCLU1.txt", 1)</f>
        <v>1</v>
      </c>
      <c r="CM261">
        <f>HYPERLINK("http://exon.niaid.nih.gov/transcriptome/Anopheles_sialome/links/cluster-b/anopheline-sialome-cds-pep-larger-orf90-50SimCLTL1.txt", 25)</f>
        <v>25</v>
      </c>
      <c r="CN261">
        <f>HYPERLINK("http://exon.niaid.nih.gov/transcriptome/Anopheles_sialome/links/cluster-b/anopheline-sialome-cds-pep-larger-orf95-50SimCLU1.txt", 1)</f>
        <v>1</v>
      </c>
      <c r="CO261">
        <f>HYPERLINK("http://exon.niaid.nih.gov/transcriptome/Anopheles_sialome/links/cluster-b/anopheline-sialome-cds-pep-larger-orf95-50SimCLTL1.txt", 23)</f>
        <v>23</v>
      </c>
    </row>
    <row r="262" spans="1:93">
      <c r="A262" s="2" t="str">
        <f>HYPERLINK("http://exon.niaid.nih.gov/transcriptome/Anopheles_sialome/links/cds/anomel_Ag5r6-cds.txt","anomel_Ag5r6")</f>
        <v>anomel_Ag5r6</v>
      </c>
      <c r="B262">
        <v>783</v>
      </c>
      <c r="C262" t="s">
        <v>96</v>
      </c>
      <c r="D262" t="s">
        <v>7</v>
      </c>
      <c r="E262" t="s">
        <v>5</v>
      </c>
      <c r="F262" t="s">
        <v>1</v>
      </c>
      <c r="G262" t="str">
        <f>HYPERLINK("http://exon.niaid.nih.gov/transcriptome/Anopheles_sialome/links/pep/anomel_Ag5r6-pep.txt","anomel_Ag5r6")</f>
        <v>anomel_Ag5r6</v>
      </c>
      <c r="H262">
        <v>260</v>
      </c>
      <c r="I262">
        <v>4</v>
      </c>
      <c r="J262" s="3" t="str">
        <f>HYPERLINK("http://exon.niaid.nih.gov/transcriptome/Anopheles_sialome/links/Sigp/anomel_Ag5r6-SigP.txt","SIG")</f>
        <v>SIG</v>
      </c>
      <c r="K262" t="s">
        <v>787</v>
      </c>
      <c r="L262">
        <v>28.728000000000002</v>
      </c>
      <c r="M262">
        <v>4.9800000000000004</v>
      </c>
      <c r="N262">
        <v>26.114000000000001</v>
      </c>
      <c r="O262">
        <v>4.93</v>
      </c>
      <c r="P262" t="s">
        <v>881</v>
      </c>
      <c r="Q262" s="3">
        <v>0</v>
      </c>
      <c r="R262" t="s">
        <v>128</v>
      </c>
      <c r="S262" t="s">
        <v>128</v>
      </c>
      <c r="T262" t="s">
        <v>128</v>
      </c>
      <c r="U262" t="s">
        <v>128</v>
      </c>
      <c r="V262" t="s">
        <v>128</v>
      </c>
      <c r="W262" s="3" t="str">
        <f>HYPERLINK("http://exon.niaid.nih.gov/transcriptome/Anopheles_sialome/links/netoglyc/anomel_Ag5r6-netoglyc.txt","0")</f>
        <v>0</v>
      </c>
      <c r="X262">
        <v>12.3</v>
      </c>
      <c r="Y262">
        <v>6.5</v>
      </c>
      <c r="Z262">
        <v>5.4</v>
      </c>
      <c r="AA262" t="s">
        <v>654</v>
      </c>
      <c r="AB262" t="s">
        <v>128</v>
      </c>
      <c r="AC262" s="2" t="str">
        <f>HYPERLINK("http://exon.niaid.nih.gov/transcriptome/Anopheles_sialome/links/DIPTERA/anomel_Ag5r6-DIPTERA.txt","AGAP013192-PA")</f>
        <v>AGAP013192-PA</v>
      </c>
      <c r="AD262" t="str">
        <f>HYPERLINK("http://www.ncbi.nlm.nih.gov/sutils/blink.cgi?pid=333469254","1E-155")</f>
        <v>1E-155</v>
      </c>
      <c r="AE262" t="str">
        <f t="shared" si="126"/>
        <v>gi|333469254</v>
      </c>
      <c r="AF262">
        <v>98</v>
      </c>
      <c r="AG262">
        <v>99</v>
      </c>
      <c r="AH262">
        <v>100</v>
      </c>
      <c r="AI262" t="s">
        <v>2285</v>
      </c>
      <c r="AJ262" s="2" t="str">
        <f>HYPERLINK("http://exon.niaid.nih.gov/transcriptome/Anopheles_sialome/links/CULICOMORPHA/anomel_Ag5r6-CULICOMORPHA.txt","AGAP013192-PA")</f>
        <v>AGAP013192-PA</v>
      </c>
      <c r="AK262" t="str">
        <f>HYPERLINK("http://www.ncbi.nlm.nih.gov/sutils/blink.cgi?pid=333469254","1E-156")</f>
        <v>1E-156</v>
      </c>
      <c r="AL262" t="str">
        <f t="shared" si="127"/>
        <v>gi|333469254</v>
      </c>
      <c r="AM262">
        <v>98</v>
      </c>
      <c r="AN262">
        <v>99</v>
      </c>
      <c r="AO262">
        <v>100</v>
      </c>
      <c r="AP262" t="s">
        <v>2285</v>
      </c>
      <c r="AQ262" s="2" t="str">
        <f>HYPERLINK("http://exon.niaid.nih.gov/transcriptome/Anopheles_sialome/links/NR-LIGHT/anomel_Ag5r6-NR-LIGHT.txt","AGAP013192-PA")</f>
        <v>AGAP013192-PA</v>
      </c>
      <c r="AR262" t="str">
        <f>HYPERLINK("http://www.ncbi.nlm.nih.gov/sutils/blink.cgi?pid=347969750","1E-155")</f>
        <v>1E-155</v>
      </c>
      <c r="AS262" t="str">
        <f t="shared" si="128"/>
        <v>gi|347969750</v>
      </c>
      <c r="AT262">
        <v>98</v>
      </c>
      <c r="AU262">
        <v>99</v>
      </c>
      <c r="AV262">
        <v>100</v>
      </c>
      <c r="AW262" t="s">
        <v>2285</v>
      </c>
      <c r="AX262" s="2" t="str">
        <f>HYPERLINK("http://exon.niaid.nih.gov/transcriptome/Anopheles_sialome/links/CDD/anomel_Ag5r6-CDD.txt","SCP_euk")</f>
        <v>SCP_euk</v>
      </c>
      <c r="AY262" t="str">
        <f>HYPERLINK("http://www.ncbi.nlm.nih.gov/Structure/cdd/cddsrv.cgi?uid=cd05380&amp;version=v4.0","1E-035")</f>
        <v>1E-035</v>
      </c>
      <c r="AZ262" t="s">
        <v>2392</v>
      </c>
      <c r="BA262" s="2" t="str">
        <f>HYPERLINK("http://exon.niaid.nih.gov/transcriptome/Anopheles_sialome/links/KOG/anomel_Ag5r6-KOG.txt","Defense-related protein containing SCP domain")</f>
        <v>Defense-related protein containing SCP domain</v>
      </c>
      <c r="BB262" t="str">
        <f>HYPERLINK("http://www.ncbi.nlm.nih.gov/Structure/cdd/cddsrv.cgi?uid=KOG3017","3E-028")</f>
        <v>3E-028</v>
      </c>
      <c r="BC262" t="s">
        <v>2304</v>
      </c>
      <c r="BD262" t="str">
        <f>HYPERLINK("http://exon.niaid.nih.gov/transcriptome/Anopheles_sialome/links/KOG/anomel_Ag5r6-KOG.txt","KOG3017")</f>
        <v>KOG3017</v>
      </c>
      <c r="BE262" t="str">
        <f>HYPERLINK("http://exon.niaid.nih.gov/transcriptome/Anopheles_sialome/links/PFAM/anomel_Ag5r6-PFAM.txt","CAP")</f>
        <v>CAP</v>
      </c>
      <c r="BF262" t="str">
        <f>HYPERLINK("http://pfam.sanger.ac.uk/family?acc=PF00188","5E-014")</f>
        <v>5E-014</v>
      </c>
      <c r="BG262" s="2" t="str">
        <f>HYPERLINK("http://exon.niaid.nih.gov/transcriptome/Anopheles_sialome/links/SMART/anomel_Ag5r6-SMART.txt","SCP")</f>
        <v>SCP</v>
      </c>
      <c r="BH262" t="str">
        <f>HYPERLINK("http://smart.embl-heidelberg.de/smart/do_annotation.pl?DOMAIN=SCP&amp;BLAST=DUMMY","2E-027")</f>
        <v>2E-027</v>
      </c>
      <c r="BI262" t="s">
        <v>128</v>
      </c>
      <c r="BJ262" s="2" t="s">
        <v>128</v>
      </c>
      <c r="BK262" t="s">
        <v>880</v>
      </c>
      <c r="BL262">
        <f>HYPERLINK("http://exon.niaid.nih.gov/transcriptome/Anopheles_sialome/links/cluster-b/anopheline-sialome-cds-pep-larger-orf25-50SimCLU4.txt", 4)</f>
        <v>4</v>
      </c>
      <c r="BM262">
        <f>HYPERLINK("http://exon.niaid.nih.gov/transcriptome/Anopheles_sialome/links/cluster-b/anopheline-sialome-cds-pep-larger-orf25-50SimCLTL4.txt", 82)</f>
        <v>82</v>
      </c>
      <c r="BN262">
        <f>HYPERLINK("http://exon.niaid.nih.gov/transcriptome/Anopheles_sialome/links/cluster-b/anopheline-sialome-cds-pep-larger-orf30-50SimCLU4.txt", 4)</f>
        <v>4</v>
      </c>
      <c r="BO262">
        <f>HYPERLINK("http://exon.niaid.nih.gov/transcriptome/Anopheles_sialome/links/cluster-b/anopheline-sialome-cds-pep-larger-orf30-50SimCLTL4.txt", 82)</f>
        <v>82</v>
      </c>
      <c r="BP262">
        <f>HYPERLINK("http://exon.niaid.nih.gov/transcriptome/Anopheles_sialome/links/cluster-b/anopheline-sialome-cds-pep-larger-orf35-50SimCLU3.txt", 3)</f>
        <v>3</v>
      </c>
      <c r="BQ262">
        <f>HYPERLINK("http://exon.niaid.nih.gov/transcriptome/Anopheles_sialome/links/cluster-b/anopheline-sialome-cds-pep-larger-orf35-50SimCLTL3.txt", 82)</f>
        <v>82</v>
      </c>
      <c r="BR262">
        <f>HYPERLINK("http://exon.niaid.nih.gov/transcriptome/Anopheles_sialome/links/cluster-b/anopheline-sialome-cds-pep-larger-orf40-50SimCLU3.txt", 3)</f>
        <v>3</v>
      </c>
      <c r="BS262">
        <f>HYPERLINK("http://exon.niaid.nih.gov/transcriptome/Anopheles_sialome/links/cluster-b/anopheline-sialome-cds-pep-larger-orf40-50SimCLTL3.txt", 82)</f>
        <v>82</v>
      </c>
      <c r="BT262">
        <f>HYPERLINK("http://exon.niaid.nih.gov/transcriptome/Anopheles_sialome/links/cluster-b/anopheline-sialome-cds-pep-larger-orf45-50SimCLU2.txt", 2)</f>
        <v>2</v>
      </c>
      <c r="BU262">
        <f>HYPERLINK("http://exon.niaid.nih.gov/transcriptome/Anopheles_sialome/links/cluster-b/anopheline-sialome-cds-pep-larger-orf45-50SimCLTL2.txt", 82)</f>
        <v>82</v>
      </c>
      <c r="BV262">
        <f>HYPERLINK("http://exon.niaid.nih.gov/transcriptome/Anopheles_sialome/links/cluster-b/anopheline-sialome-cds-pep-larger-orf50-50SimCLU2.txt", 2)</f>
        <v>2</v>
      </c>
      <c r="BW262">
        <f>HYPERLINK("http://exon.niaid.nih.gov/transcriptome/Anopheles_sialome/links/cluster-b/anopheline-sialome-cds-pep-larger-orf50-50SimCLTL2.txt", 82)</f>
        <v>82</v>
      </c>
      <c r="BX262">
        <f>HYPERLINK("http://exon.niaid.nih.gov/transcriptome/Anopheles_sialome/links/cluster-b/anopheline-sialome-cds-pep-larger-orf55-50SimCLU9.txt", 9)</f>
        <v>9</v>
      </c>
      <c r="BY262">
        <f>HYPERLINK("http://exon.niaid.nih.gov/transcriptome/Anopheles_sialome/links/cluster-b/anopheline-sialome-cds-pep-larger-orf55-50SimCLTL9.txt", 27)</f>
        <v>27</v>
      </c>
      <c r="BZ262">
        <f>HYPERLINK("http://exon.niaid.nih.gov/transcriptome/Anopheles_sialome/links/cluster-b/anopheline-sialome-cds-pep-larger-orf60-50SimCLU7.txt", 7)</f>
        <v>7</v>
      </c>
      <c r="CA262">
        <f>HYPERLINK("http://exon.niaid.nih.gov/transcriptome/Anopheles_sialome/links/cluster-b/anopheline-sialome-cds-pep-larger-orf60-50SimCLTL7.txt", 27)</f>
        <v>27</v>
      </c>
      <c r="CB262">
        <f>HYPERLINK("http://exon.niaid.nih.gov/transcriptome/Anopheles_sialome/links/cluster-b/anopheline-sialome-cds-pep-larger-orf65-50SimCLU4.txt", 4)</f>
        <v>4</v>
      </c>
      <c r="CC262">
        <f>HYPERLINK("http://exon.niaid.nih.gov/transcriptome/Anopheles_sialome/links/cluster-b/anopheline-sialome-cds-pep-larger-orf65-50SimCLTL4.txt", 27)</f>
        <v>27</v>
      </c>
      <c r="CD262">
        <f>HYPERLINK("http://exon.niaid.nih.gov/transcriptome/Anopheles_sialome/links/cluster-b/anopheline-sialome-cds-pep-larger-orf70-50SimCLU3.txt", 3)</f>
        <v>3</v>
      </c>
      <c r="CE262">
        <f>HYPERLINK("http://exon.niaid.nih.gov/transcriptome/Anopheles_sialome/links/cluster-b/anopheline-sialome-cds-pep-larger-orf70-50SimCLTL3.txt", 27)</f>
        <v>27</v>
      </c>
      <c r="CF262">
        <f>HYPERLINK("http://exon.niaid.nih.gov/transcriptome/Anopheles_sialome/links/cluster-b/anopheline-sialome-cds-pep-larger-orf75-50SimCLU3.txt", 3)</f>
        <v>3</v>
      </c>
      <c r="CG262">
        <f>HYPERLINK("http://exon.niaid.nih.gov/transcriptome/Anopheles_sialome/links/cluster-b/anopheline-sialome-cds-pep-larger-orf75-50SimCLTL3.txt", 27)</f>
        <v>27</v>
      </c>
      <c r="CH262">
        <f>HYPERLINK("http://exon.niaid.nih.gov/transcriptome/Anopheles_sialome/links/cluster-b/anopheline-sialome-cds-pep-larger-orf80-50SimCLU2.txt", 2)</f>
        <v>2</v>
      </c>
      <c r="CI262">
        <f>HYPERLINK("http://exon.niaid.nih.gov/transcriptome/Anopheles_sialome/links/cluster-b/anopheline-sialome-cds-pep-larger-orf80-50SimCLTL2.txt", 27)</f>
        <v>27</v>
      </c>
      <c r="CJ262">
        <f>HYPERLINK("http://exon.niaid.nih.gov/transcriptome/Anopheles_sialome/links/cluster-b/anopheline-sialome-cds-pep-larger-orf85-50SimCLU1.txt", 1)</f>
        <v>1</v>
      </c>
      <c r="CK262">
        <f>HYPERLINK("http://exon.niaid.nih.gov/transcriptome/Anopheles_sialome/links/cluster-b/anopheline-sialome-cds-pep-larger-orf85-50SimCLTL1.txt", 27)</f>
        <v>27</v>
      </c>
      <c r="CL262">
        <f>HYPERLINK("http://exon.niaid.nih.gov/transcriptome/Anopheles_sialome/links/cluster-b/anopheline-sialome-cds-pep-larger-orf90-50SimCLU1.txt", 1)</f>
        <v>1</v>
      </c>
      <c r="CM262">
        <f>HYPERLINK("http://exon.niaid.nih.gov/transcriptome/Anopheles_sialome/links/cluster-b/anopheline-sialome-cds-pep-larger-orf90-50SimCLTL1.txt", 25)</f>
        <v>25</v>
      </c>
      <c r="CN262">
        <f>HYPERLINK("http://exon.niaid.nih.gov/transcriptome/Anopheles_sialome/links/cluster-b/anopheline-sialome-cds-pep-larger-orf95-50SimCLU1.txt", 1)</f>
        <v>1</v>
      </c>
      <c r="CO262">
        <f>HYPERLINK("http://exon.niaid.nih.gov/transcriptome/Anopheles_sialome/links/cluster-b/anopheline-sialome-cds-pep-larger-orf95-50SimCLTL1.txt", 23)</f>
        <v>23</v>
      </c>
    </row>
    <row r="263" spans="1:93">
      <c r="A263" s="2" t="str">
        <f>HYPERLINK("http://exon.niaid.nih.gov/transcriptome/Anopheles_sialome/links/cds/anoepi_Ag5r6-cds.txt","anoepi_Ag5r6")</f>
        <v>anoepi_Ag5r6</v>
      </c>
      <c r="B263">
        <v>783</v>
      </c>
      <c r="C263" t="s">
        <v>97</v>
      </c>
      <c r="D263" t="s">
        <v>4</v>
      </c>
      <c r="E263" t="s">
        <v>5</v>
      </c>
      <c r="F263" t="s">
        <v>1</v>
      </c>
      <c r="G263" t="str">
        <f>HYPERLINK("http://exon.niaid.nih.gov/transcriptome/Anopheles_sialome/links/pep/anoepi_Ag5r6-pep.txt","anoepi_Ag5r6")</f>
        <v>anoepi_Ag5r6</v>
      </c>
      <c r="H263">
        <v>260</v>
      </c>
      <c r="I263">
        <v>4</v>
      </c>
      <c r="J263" s="3" t="str">
        <f>HYPERLINK("http://exon.niaid.nih.gov/transcriptome/Anopheles_sialome/links/Sigp/anoepi_Ag5r6-SigP.txt","SIG")</f>
        <v>SIG</v>
      </c>
      <c r="K263" t="s">
        <v>787</v>
      </c>
      <c r="L263">
        <v>28.562000000000001</v>
      </c>
      <c r="M263">
        <v>5.44</v>
      </c>
      <c r="N263">
        <v>26.123999999999999</v>
      </c>
      <c r="O263">
        <v>5.03</v>
      </c>
      <c r="P263" t="s">
        <v>883</v>
      </c>
      <c r="Q263" s="3">
        <v>0</v>
      </c>
      <c r="R263" t="s">
        <v>128</v>
      </c>
      <c r="S263" t="s">
        <v>128</v>
      </c>
      <c r="T263" t="s">
        <v>128</v>
      </c>
      <c r="U263" t="s">
        <v>128</v>
      </c>
      <c r="V263" t="s">
        <v>128</v>
      </c>
      <c r="W263" s="3" t="str">
        <f>HYPERLINK("http://exon.niaid.nih.gov/transcriptome/Anopheles_sialome/links/netoglyc/anoepi_Ag5r6-netoglyc.txt","0")</f>
        <v>0</v>
      </c>
      <c r="X263">
        <v>13.1</v>
      </c>
      <c r="Y263">
        <v>6.9</v>
      </c>
      <c r="Z263">
        <v>5.8</v>
      </c>
      <c r="AA263" t="s">
        <v>654</v>
      </c>
      <c r="AB263" t="s">
        <v>128</v>
      </c>
      <c r="AC263" s="2" t="str">
        <f>HYPERLINK("http://exon.niaid.nih.gov/transcriptome/Anopheles_sialome/links/DIPTERA/anoepi_Ag5r6-DIPTERA.txt","AGAP013192-PA")</f>
        <v>AGAP013192-PA</v>
      </c>
      <c r="AD263" t="str">
        <f>HYPERLINK("http://www.ncbi.nlm.nih.gov/sutils/blink.cgi?pid=333469254","1E-148")</f>
        <v>1E-148</v>
      </c>
      <c r="AE263" t="str">
        <f t="shared" si="126"/>
        <v>gi|333469254</v>
      </c>
      <c r="AF263">
        <v>93</v>
      </c>
      <c r="AG263">
        <v>98</v>
      </c>
      <c r="AH263">
        <v>100</v>
      </c>
      <c r="AI263" t="s">
        <v>2285</v>
      </c>
      <c r="AJ263" s="2" t="str">
        <f>HYPERLINK("http://exon.niaid.nih.gov/transcriptome/Anopheles_sialome/links/CULICOMORPHA/anoepi_Ag5r6-CULICOMORPHA.txt","AGAP013192-PA")</f>
        <v>AGAP013192-PA</v>
      </c>
      <c r="AK263" t="str">
        <f>HYPERLINK("http://www.ncbi.nlm.nih.gov/sutils/blink.cgi?pid=333469254","1E-149")</f>
        <v>1E-149</v>
      </c>
      <c r="AL263" t="str">
        <f t="shared" si="127"/>
        <v>gi|333469254</v>
      </c>
      <c r="AM263">
        <v>93</v>
      </c>
      <c r="AN263">
        <v>98</v>
      </c>
      <c r="AO263">
        <v>100</v>
      </c>
      <c r="AP263" t="s">
        <v>2285</v>
      </c>
      <c r="AQ263" s="2" t="str">
        <f>HYPERLINK("http://exon.niaid.nih.gov/transcriptome/Anopheles_sialome/links/NR-LIGHT/anoepi_Ag5r6-NR-LIGHT.txt","AGAP013192-PA")</f>
        <v>AGAP013192-PA</v>
      </c>
      <c r="AR263" t="str">
        <f>HYPERLINK("http://www.ncbi.nlm.nih.gov/sutils/blink.cgi?pid=347969750","1E-148")</f>
        <v>1E-148</v>
      </c>
      <c r="AS263" t="str">
        <f t="shared" si="128"/>
        <v>gi|347969750</v>
      </c>
      <c r="AT263">
        <v>93</v>
      </c>
      <c r="AU263">
        <v>98</v>
      </c>
      <c r="AV263">
        <v>100</v>
      </c>
      <c r="AW263" t="s">
        <v>2285</v>
      </c>
      <c r="AX263" s="2" t="str">
        <f>HYPERLINK("http://exon.niaid.nih.gov/transcriptome/Anopheles_sialome/links/CDD/anoepi_Ag5r6-CDD.txt","SCP_euk")</f>
        <v>SCP_euk</v>
      </c>
      <c r="AY263" t="str">
        <f>HYPERLINK("http://www.ncbi.nlm.nih.gov/Structure/cdd/cddsrv.cgi?uid=cd05380&amp;version=v4.0","6E-036")</f>
        <v>6E-036</v>
      </c>
      <c r="AZ263" t="s">
        <v>2393</v>
      </c>
      <c r="BA263" s="2" t="str">
        <f>HYPERLINK("http://exon.niaid.nih.gov/transcriptome/Anopheles_sialome/links/KOG/anoepi_Ag5r6-KOG.txt","Defense-related protein containing SCP domain")</f>
        <v>Defense-related protein containing SCP domain</v>
      </c>
      <c r="BB263" t="str">
        <f>HYPERLINK("http://www.ncbi.nlm.nih.gov/Structure/cdd/cddsrv.cgi?uid=KOG3017","1E-028")</f>
        <v>1E-028</v>
      </c>
      <c r="BC263" t="s">
        <v>2304</v>
      </c>
      <c r="BD263" t="str">
        <f>HYPERLINK("http://exon.niaid.nih.gov/transcriptome/Anopheles_sialome/links/KOG/anoepi_Ag5r6-KOG.txt","KOG3017")</f>
        <v>KOG3017</v>
      </c>
      <c r="BE263" t="str">
        <f>HYPERLINK("http://exon.niaid.nih.gov/transcriptome/Anopheles_sialome/links/PFAM/anoepi_Ag5r6-PFAM.txt","CAP")</f>
        <v>CAP</v>
      </c>
      <c r="BF263" t="str">
        <f>HYPERLINK("http://pfam.sanger.ac.uk/family?acc=PF00188","3E-014")</f>
        <v>3E-014</v>
      </c>
      <c r="BG263" s="2" t="str">
        <f>HYPERLINK("http://exon.niaid.nih.gov/transcriptome/Anopheles_sialome/links/SMART/anoepi_Ag5r6-SMART.txt","SCP")</f>
        <v>SCP</v>
      </c>
      <c r="BH263" t="str">
        <f>HYPERLINK("http://smart.embl-heidelberg.de/smart/do_annotation.pl?DOMAIN=SCP&amp;BLAST=DUMMY","1E-027")</f>
        <v>1E-027</v>
      </c>
      <c r="BI263" t="s">
        <v>128</v>
      </c>
      <c r="BJ263" s="2" t="s">
        <v>128</v>
      </c>
      <c r="BK263" t="s">
        <v>882</v>
      </c>
      <c r="BL263">
        <f>HYPERLINK("http://exon.niaid.nih.gov/transcriptome/Anopheles_sialome/links/cluster-b/anopheline-sialome-cds-pep-larger-orf25-50SimCLU4.txt", 4)</f>
        <v>4</v>
      </c>
      <c r="BM263">
        <f>HYPERLINK("http://exon.niaid.nih.gov/transcriptome/Anopheles_sialome/links/cluster-b/anopheline-sialome-cds-pep-larger-orf25-50SimCLTL4.txt", 82)</f>
        <v>82</v>
      </c>
      <c r="BN263">
        <f>HYPERLINK("http://exon.niaid.nih.gov/transcriptome/Anopheles_sialome/links/cluster-b/anopheline-sialome-cds-pep-larger-orf30-50SimCLU4.txt", 4)</f>
        <v>4</v>
      </c>
      <c r="BO263">
        <f>HYPERLINK("http://exon.niaid.nih.gov/transcriptome/Anopheles_sialome/links/cluster-b/anopheline-sialome-cds-pep-larger-orf30-50SimCLTL4.txt", 82)</f>
        <v>82</v>
      </c>
      <c r="BP263">
        <f>HYPERLINK("http://exon.niaid.nih.gov/transcriptome/Anopheles_sialome/links/cluster-b/anopheline-sialome-cds-pep-larger-orf35-50SimCLU3.txt", 3)</f>
        <v>3</v>
      </c>
      <c r="BQ263">
        <f>HYPERLINK("http://exon.niaid.nih.gov/transcriptome/Anopheles_sialome/links/cluster-b/anopheline-sialome-cds-pep-larger-orf35-50SimCLTL3.txt", 82)</f>
        <v>82</v>
      </c>
      <c r="BR263">
        <f>HYPERLINK("http://exon.niaid.nih.gov/transcriptome/Anopheles_sialome/links/cluster-b/anopheline-sialome-cds-pep-larger-orf40-50SimCLU3.txt", 3)</f>
        <v>3</v>
      </c>
      <c r="BS263">
        <f>HYPERLINK("http://exon.niaid.nih.gov/transcriptome/Anopheles_sialome/links/cluster-b/anopheline-sialome-cds-pep-larger-orf40-50SimCLTL3.txt", 82)</f>
        <v>82</v>
      </c>
      <c r="BT263">
        <f>HYPERLINK("http://exon.niaid.nih.gov/transcriptome/Anopheles_sialome/links/cluster-b/anopheline-sialome-cds-pep-larger-orf45-50SimCLU2.txt", 2)</f>
        <v>2</v>
      </c>
      <c r="BU263">
        <f>HYPERLINK("http://exon.niaid.nih.gov/transcriptome/Anopheles_sialome/links/cluster-b/anopheline-sialome-cds-pep-larger-orf45-50SimCLTL2.txt", 82)</f>
        <v>82</v>
      </c>
      <c r="BV263">
        <f>HYPERLINK("http://exon.niaid.nih.gov/transcriptome/Anopheles_sialome/links/cluster-b/anopheline-sialome-cds-pep-larger-orf50-50SimCLU2.txt", 2)</f>
        <v>2</v>
      </c>
      <c r="BW263">
        <f>HYPERLINK("http://exon.niaid.nih.gov/transcriptome/Anopheles_sialome/links/cluster-b/anopheline-sialome-cds-pep-larger-orf50-50SimCLTL2.txt", 82)</f>
        <v>82</v>
      </c>
      <c r="BX263">
        <f>HYPERLINK("http://exon.niaid.nih.gov/transcriptome/Anopheles_sialome/links/cluster-b/anopheline-sialome-cds-pep-larger-orf55-50SimCLU9.txt", 9)</f>
        <v>9</v>
      </c>
      <c r="BY263">
        <f>HYPERLINK("http://exon.niaid.nih.gov/transcriptome/Anopheles_sialome/links/cluster-b/anopheline-sialome-cds-pep-larger-orf55-50SimCLTL9.txt", 27)</f>
        <v>27</v>
      </c>
      <c r="BZ263">
        <f>HYPERLINK("http://exon.niaid.nih.gov/transcriptome/Anopheles_sialome/links/cluster-b/anopheline-sialome-cds-pep-larger-orf60-50SimCLU7.txt", 7)</f>
        <v>7</v>
      </c>
      <c r="CA263">
        <f>HYPERLINK("http://exon.niaid.nih.gov/transcriptome/Anopheles_sialome/links/cluster-b/anopheline-sialome-cds-pep-larger-orf60-50SimCLTL7.txt", 27)</f>
        <v>27</v>
      </c>
      <c r="CB263">
        <f>HYPERLINK("http://exon.niaid.nih.gov/transcriptome/Anopheles_sialome/links/cluster-b/anopheline-sialome-cds-pep-larger-orf65-50SimCLU4.txt", 4)</f>
        <v>4</v>
      </c>
      <c r="CC263">
        <f>HYPERLINK("http://exon.niaid.nih.gov/transcriptome/Anopheles_sialome/links/cluster-b/anopheline-sialome-cds-pep-larger-orf65-50SimCLTL4.txt", 27)</f>
        <v>27</v>
      </c>
      <c r="CD263">
        <f>HYPERLINK("http://exon.niaid.nih.gov/transcriptome/Anopheles_sialome/links/cluster-b/anopheline-sialome-cds-pep-larger-orf70-50SimCLU3.txt", 3)</f>
        <v>3</v>
      </c>
      <c r="CE263">
        <f>HYPERLINK("http://exon.niaid.nih.gov/transcriptome/Anopheles_sialome/links/cluster-b/anopheline-sialome-cds-pep-larger-orf70-50SimCLTL3.txt", 27)</f>
        <v>27</v>
      </c>
      <c r="CF263">
        <f>HYPERLINK("http://exon.niaid.nih.gov/transcriptome/Anopheles_sialome/links/cluster-b/anopheline-sialome-cds-pep-larger-orf75-50SimCLU3.txt", 3)</f>
        <v>3</v>
      </c>
      <c r="CG263">
        <f>HYPERLINK("http://exon.niaid.nih.gov/transcriptome/Anopheles_sialome/links/cluster-b/anopheline-sialome-cds-pep-larger-orf75-50SimCLTL3.txt", 27)</f>
        <v>27</v>
      </c>
      <c r="CH263">
        <f>HYPERLINK("http://exon.niaid.nih.gov/transcriptome/Anopheles_sialome/links/cluster-b/anopheline-sialome-cds-pep-larger-orf80-50SimCLU2.txt", 2)</f>
        <v>2</v>
      </c>
      <c r="CI263">
        <f>HYPERLINK("http://exon.niaid.nih.gov/transcriptome/Anopheles_sialome/links/cluster-b/anopheline-sialome-cds-pep-larger-orf80-50SimCLTL2.txt", 27)</f>
        <v>27</v>
      </c>
      <c r="CJ263">
        <f>HYPERLINK("http://exon.niaid.nih.gov/transcriptome/Anopheles_sialome/links/cluster-b/anopheline-sialome-cds-pep-larger-orf85-50SimCLU1.txt", 1)</f>
        <v>1</v>
      </c>
      <c r="CK263">
        <f>HYPERLINK("http://exon.niaid.nih.gov/transcriptome/Anopheles_sialome/links/cluster-b/anopheline-sialome-cds-pep-larger-orf85-50SimCLTL1.txt", 27)</f>
        <v>27</v>
      </c>
      <c r="CL263">
        <f>HYPERLINK("http://exon.niaid.nih.gov/transcriptome/Anopheles_sialome/links/cluster-b/anopheline-sialome-cds-pep-larger-orf90-50SimCLU1.txt", 1)</f>
        <v>1</v>
      </c>
      <c r="CM263">
        <f>HYPERLINK("http://exon.niaid.nih.gov/transcriptome/Anopheles_sialome/links/cluster-b/anopheline-sialome-cds-pep-larger-orf90-50SimCLTL1.txt", 25)</f>
        <v>25</v>
      </c>
      <c r="CN263">
        <f>HYPERLINK("http://exon.niaid.nih.gov/transcriptome/Anopheles_sialome/links/cluster-b/anopheline-sialome-cds-pep-larger-orf95-50SimCLU1.txt", 1)</f>
        <v>1</v>
      </c>
      <c r="CO263">
        <f>HYPERLINK("http://exon.niaid.nih.gov/transcriptome/Anopheles_sialome/links/cluster-b/anopheline-sialome-cds-pep-larger-orf95-50SimCLTL1.txt", 23)</f>
        <v>23</v>
      </c>
    </row>
    <row r="264" spans="1:93">
      <c r="A264" s="2" t="str">
        <f>HYPERLINK("http://exon.niaid.nih.gov/transcriptome/Anopheles_sialome/links/cds/anofun_Ag5r6-cds.txt","anofun_Ag5r6")</f>
        <v>anofun_Ag5r6</v>
      </c>
      <c r="B264">
        <v>783</v>
      </c>
      <c r="C264" t="s">
        <v>71</v>
      </c>
      <c r="D264" t="s">
        <v>7</v>
      </c>
      <c r="E264" t="s">
        <v>5</v>
      </c>
      <c r="F264" t="s">
        <v>1</v>
      </c>
      <c r="G264" t="str">
        <f>HYPERLINK("http://exon.niaid.nih.gov/transcriptome/Anopheles_sialome/links/pep/anofun_Ag5r6-pep.txt","anofun_Ag5r6")</f>
        <v>anofun_Ag5r6</v>
      </c>
      <c r="H264">
        <v>260</v>
      </c>
      <c r="I264">
        <v>4</v>
      </c>
      <c r="J264" s="3" t="str">
        <f>HYPERLINK("http://exon.niaid.nih.gov/transcriptome/Anopheles_sialome/links/Sigp/anofun_Ag5r6-SigP.txt","SIG")</f>
        <v>SIG</v>
      </c>
      <c r="K264" t="s">
        <v>787</v>
      </c>
      <c r="L264">
        <v>28.571999999999999</v>
      </c>
      <c r="M264">
        <v>5.41</v>
      </c>
      <c r="N264">
        <v>26.15</v>
      </c>
      <c r="O264">
        <v>5.03</v>
      </c>
      <c r="P264" t="s">
        <v>885</v>
      </c>
      <c r="Q264" s="3">
        <v>0</v>
      </c>
      <c r="R264" t="s">
        <v>128</v>
      </c>
      <c r="S264" t="s">
        <v>128</v>
      </c>
      <c r="T264" t="s">
        <v>128</v>
      </c>
      <c r="U264" t="s">
        <v>128</v>
      </c>
      <c r="V264" t="s">
        <v>128</v>
      </c>
      <c r="W264" s="3" t="str">
        <f>HYPERLINK("http://exon.niaid.nih.gov/transcriptome/Anopheles_sialome/links/netoglyc/anofun_Ag5r6-netoglyc.txt","0")</f>
        <v>0</v>
      </c>
      <c r="X264">
        <v>12.3</v>
      </c>
      <c r="Y264">
        <v>7.3</v>
      </c>
      <c r="Z264">
        <v>5.4</v>
      </c>
      <c r="AA264" t="s">
        <v>654</v>
      </c>
      <c r="AB264" t="s">
        <v>128</v>
      </c>
      <c r="AC264" s="2" t="str">
        <f>HYPERLINK("http://exon.niaid.nih.gov/transcriptome/Anopheles_sialome/links/DIPTERA/anofun_Ag5r6-DIPTERA.txt","AGAP013192-PA")</f>
        <v>AGAP013192-PA</v>
      </c>
      <c r="AD264" t="str">
        <f>HYPERLINK("http://www.ncbi.nlm.nih.gov/sutils/blink.cgi?pid=333469254","1E-147")</f>
        <v>1E-147</v>
      </c>
      <c r="AE264" t="str">
        <f t="shared" si="126"/>
        <v>gi|333469254</v>
      </c>
      <c r="AF264">
        <v>93</v>
      </c>
      <c r="AG264">
        <v>96</v>
      </c>
      <c r="AH264">
        <v>100</v>
      </c>
      <c r="AI264" t="s">
        <v>2285</v>
      </c>
      <c r="AJ264" s="2" t="str">
        <f>HYPERLINK("http://exon.niaid.nih.gov/transcriptome/Anopheles_sialome/links/CULICOMORPHA/anofun_Ag5r6-CULICOMORPHA.txt","AGAP013192-PA")</f>
        <v>AGAP013192-PA</v>
      </c>
      <c r="AK264" t="str">
        <f>HYPERLINK("http://www.ncbi.nlm.nih.gov/sutils/blink.cgi?pid=333469254","1E-148")</f>
        <v>1E-148</v>
      </c>
      <c r="AL264" t="str">
        <f t="shared" si="127"/>
        <v>gi|333469254</v>
      </c>
      <c r="AM264">
        <v>93</v>
      </c>
      <c r="AN264">
        <v>96</v>
      </c>
      <c r="AO264">
        <v>100</v>
      </c>
      <c r="AP264" t="s">
        <v>2285</v>
      </c>
      <c r="AQ264" s="2" t="str">
        <f>HYPERLINK("http://exon.niaid.nih.gov/transcriptome/Anopheles_sialome/links/NR-LIGHT/anofun_Ag5r6-NR-LIGHT.txt","AGAP013192-PA")</f>
        <v>AGAP013192-PA</v>
      </c>
      <c r="AR264" t="str">
        <f>HYPERLINK("http://www.ncbi.nlm.nih.gov/sutils/blink.cgi?pid=347969750","1E-147")</f>
        <v>1E-147</v>
      </c>
      <c r="AS264" t="str">
        <f t="shared" si="128"/>
        <v>gi|347969750</v>
      </c>
      <c r="AT264">
        <v>93</v>
      </c>
      <c r="AU264">
        <v>96</v>
      </c>
      <c r="AV264">
        <v>100</v>
      </c>
      <c r="AW264" t="s">
        <v>2285</v>
      </c>
      <c r="AX264" s="2" t="str">
        <f>HYPERLINK("http://exon.niaid.nih.gov/transcriptome/Anopheles_sialome/links/CDD/anofun_Ag5r6-CDD.txt","SCP_euk")</f>
        <v>SCP_euk</v>
      </c>
      <c r="AY264" t="str">
        <f>HYPERLINK("http://www.ncbi.nlm.nih.gov/Structure/cdd/cddsrv.cgi?uid=cd05380&amp;version=v4.0","7E-036")</f>
        <v>7E-036</v>
      </c>
      <c r="AZ264" t="s">
        <v>2394</v>
      </c>
      <c r="BA264" s="2" t="str">
        <f>HYPERLINK("http://exon.niaid.nih.gov/transcriptome/Anopheles_sialome/links/KOG/anofun_Ag5r6-KOG.txt","Defense-related protein containing SCP domain")</f>
        <v>Defense-related protein containing SCP domain</v>
      </c>
      <c r="BB264" t="str">
        <f>HYPERLINK("http://www.ncbi.nlm.nih.gov/Structure/cdd/cddsrv.cgi?uid=KOG3017","9E-029")</f>
        <v>9E-029</v>
      </c>
      <c r="BC264" t="s">
        <v>2304</v>
      </c>
      <c r="BD264" t="str">
        <f>HYPERLINK("http://exon.niaid.nih.gov/transcriptome/Anopheles_sialome/links/KOG/anofun_Ag5r6-KOG.txt","KOG3017")</f>
        <v>KOG3017</v>
      </c>
      <c r="BE264" t="str">
        <f>HYPERLINK("http://exon.niaid.nih.gov/transcriptome/Anopheles_sialome/links/PFAM/anofun_Ag5r6-PFAM.txt","CAP")</f>
        <v>CAP</v>
      </c>
      <c r="BF264" t="str">
        <f>HYPERLINK("http://pfam.sanger.ac.uk/family?acc=PF00188","5E-014")</f>
        <v>5E-014</v>
      </c>
      <c r="BG264" s="2" t="str">
        <f>HYPERLINK("http://exon.niaid.nih.gov/transcriptome/Anopheles_sialome/links/SMART/anofun_Ag5r6-SMART.txt","SCP")</f>
        <v>SCP</v>
      </c>
      <c r="BH264" t="str">
        <f>HYPERLINK("http://smart.embl-heidelberg.de/smart/do_annotation.pl?DOMAIN=SCP&amp;BLAST=DUMMY","8E-028")</f>
        <v>8E-028</v>
      </c>
      <c r="BI264" t="s">
        <v>128</v>
      </c>
      <c r="BJ264" s="2" t="s">
        <v>128</v>
      </c>
      <c r="BK264" t="s">
        <v>884</v>
      </c>
      <c r="BL264">
        <f>HYPERLINK("http://exon.niaid.nih.gov/transcriptome/Anopheles_sialome/links/cluster-b/anopheline-sialome-cds-pep-larger-orf25-50SimCLU4.txt", 4)</f>
        <v>4</v>
      </c>
      <c r="BM264">
        <f>HYPERLINK("http://exon.niaid.nih.gov/transcriptome/Anopheles_sialome/links/cluster-b/anopheline-sialome-cds-pep-larger-orf25-50SimCLTL4.txt", 82)</f>
        <v>82</v>
      </c>
      <c r="BN264">
        <f>HYPERLINK("http://exon.niaid.nih.gov/transcriptome/Anopheles_sialome/links/cluster-b/anopheline-sialome-cds-pep-larger-orf30-50SimCLU4.txt", 4)</f>
        <v>4</v>
      </c>
      <c r="BO264">
        <f>HYPERLINK("http://exon.niaid.nih.gov/transcriptome/Anopheles_sialome/links/cluster-b/anopheline-sialome-cds-pep-larger-orf30-50SimCLTL4.txt", 82)</f>
        <v>82</v>
      </c>
      <c r="BP264">
        <f>HYPERLINK("http://exon.niaid.nih.gov/transcriptome/Anopheles_sialome/links/cluster-b/anopheline-sialome-cds-pep-larger-orf35-50SimCLU3.txt", 3)</f>
        <v>3</v>
      </c>
      <c r="BQ264">
        <f>HYPERLINK("http://exon.niaid.nih.gov/transcriptome/Anopheles_sialome/links/cluster-b/anopheline-sialome-cds-pep-larger-orf35-50SimCLTL3.txt", 82)</f>
        <v>82</v>
      </c>
      <c r="BR264">
        <f>HYPERLINK("http://exon.niaid.nih.gov/transcriptome/Anopheles_sialome/links/cluster-b/anopheline-sialome-cds-pep-larger-orf40-50SimCLU3.txt", 3)</f>
        <v>3</v>
      </c>
      <c r="BS264">
        <f>HYPERLINK("http://exon.niaid.nih.gov/transcriptome/Anopheles_sialome/links/cluster-b/anopheline-sialome-cds-pep-larger-orf40-50SimCLTL3.txt", 82)</f>
        <v>82</v>
      </c>
      <c r="BT264">
        <f>HYPERLINK("http://exon.niaid.nih.gov/transcriptome/Anopheles_sialome/links/cluster-b/anopheline-sialome-cds-pep-larger-orf45-50SimCLU2.txt", 2)</f>
        <v>2</v>
      </c>
      <c r="BU264">
        <f>HYPERLINK("http://exon.niaid.nih.gov/transcriptome/Anopheles_sialome/links/cluster-b/anopheline-sialome-cds-pep-larger-orf45-50SimCLTL2.txt", 82)</f>
        <v>82</v>
      </c>
      <c r="BV264">
        <f>HYPERLINK("http://exon.niaid.nih.gov/transcriptome/Anopheles_sialome/links/cluster-b/anopheline-sialome-cds-pep-larger-orf50-50SimCLU2.txt", 2)</f>
        <v>2</v>
      </c>
      <c r="BW264">
        <f>HYPERLINK("http://exon.niaid.nih.gov/transcriptome/Anopheles_sialome/links/cluster-b/anopheline-sialome-cds-pep-larger-orf50-50SimCLTL2.txt", 82)</f>
        <v>82</v>
      </c>
      <c r="BX264">
        <f>HYPERLINK("http://exon.niaid.nih.gov/transcriptome/Anopheles_sialome/links/cluster-b/anopheline-sialome-cds-pep-larger-orf55-50SimCLU9.txt", 9)</f>
        <v>9</v>
      </c>
      <c r="BY264">
        <f>HYPERLINK("http://exon.niaid.nih.gov/transcriptome/Anopheles_sialome/links/cluster-b/anopheline-sialome-cds-pep-larger-orf55-50SimCLTL9.txt", 27)</f>
        <v>27</v>
      </c>
      <c r="BZ264">
        <f>HYPERLINK("http://exon.niaid.nih.gov/transcriptome/Anopheles_sialome/links/cluster-b/anopheline-sialome-cds-pep-larger-orf60-50SimCLU7.txt", 7)</f>
        <v>7</v>
      </c>
      <c r="CA264">
        <f>HYPERLINK("http://exon.niaid.nih.gov/transcriptome/Anopheles_sialome/links/cluster-b/anopheline-sialome-cds-pep-larger-orf60-50SimCLTL7.txt", 27)</f>
        <v>27</v>
      </c>
      <c r="CB264">
        <f>HYPERLINK("http://exon.niaid.nih.gov/transcriptome/Anopheles_sialome/links/cluster-b/anopheline-sialome-cds-pep-larger-orf65-50SimCLU4.txt", 4)</f>
        <v>4</v>
      </c>
      <c r="CC264">
        <f>HYPERLINK("http://exon.niaid.nih.gov/transcriptome/Anopheles_sialome/links/cluster-b/anopheline-sialome-cds-pep-larger-orf65-50SimCLTL4.txt", 27)</f>
        <v>27</v>
      </c>
      <c r="CD264">
        <f>HYPERLINK("http://exon.niaid.nih.gov/transcriptome/Anopheles_sialome/links/cluster-b/anopheline-sialome-cds-pep-larger-orf70-50SimCLU3.txt", 3)</f>
        <v>3</v>
      </c>
      <c r="CE264">
        <f>HYPERLINK("http://exon.niaid.nih.gov/transcriptome/Anopheles_sialome/links/cluster-b/anopheline-sialome-cds-pep-larger-orf70-50SimCLTL3.txt", 27)</f>
        <v>27</v>
      </c>
      <c r="CF264">
        <f>HYPERLINK("http://exon.niaid.nih.gov/transcriptome/Anopheles_sialome/links/cluster-b/anopheline-sialome-cds-pep-larger-orf75-50SimCLU3.txt", 3)</f>
        <v>3</v>
      </c>
      <c r="CG264">
        <f>HYPERLINK("http://exon.niaid.nih.gov/transcriptome/Anopheles_sialome/links/cluster-b/anopheline-sialome-cds-pep-larger-orf75-50SimCLTL3.txt", 27)</f>
        <v>27</v>
      </c>
      <c r="CH264">
        <f>HYPERLINK("http://exon.niaid.nih.gov/transcriptome/Anopheles_sialome/links/cluster-b/anopheline-sialome-cds-pep-larger-orf80-50SimCLU2.txt", 2)</f>
        <v>2</v>
      </c>
      <c r="CI264">
        <f>HYPERLINK("http://exon.niaid.nih.gov/transcriptome/Anopheles_sialome/links/cluster-b/anopheline-sialome-cds-pep-larger-orf80-50SimCLTL2.txt", 27)</f>
        <v>27</v>
      </c>
      <c r="CJ264">
        <f>HYPERLINK("http://exon.niaid.nih.gov/transcriptome/Anopheles_sialome/links/cluster-b/anopheline-sialome-cds-pep-larger-orf85-50SimCLU1.txt", 1)</f>
        <v>1</v>
      </c>
      <c r="CK264">
        <f>HYPERLINK("http://exon.niaid.nih.gov/transcriptome/Anopheles_sialome/links/cluster-b/anopheline-sialome-cds-pep-larger-orf85-50SimCLTL1.txt", 27)</f>
        <v>27</v>
      </c>
      <c r="CL264">
        <f>HYPERLINK("http://exon.niaid.nih.gov/transcriptome/Anopheles_sialome/links/cluster-b/anopheline-sialome-cds-pep-larger-orf90-50SimCLU1.txt", 1)</f>
        <v>1</v>
      </c>
      <c r="CM264">
        <f>HYPERLINK("http://exon.niaid.nih.gov/transcriptome/Anopheles_sialome/links/cluster-b/anopheline-sialome-cds-pep-larger-orf90-50SimCLTL1.txt", 25)</f>
        <v>25</v>
      </c>
      <c r="CN264">
        <f>HYPERLINK("http://exon.niaid.nih.gov/transcriptome/Anopheles_sialome/links/cluster-b/anopheline-sialome-cds-pep-larger-orf95-50SimCLU1.txt", 1)</f>
        <v>1</v>
      </c>
      <c r="CO264">
        <f>HYPERLINK("http://exon.niaid.nih.gov/transcriptome/Anopheles_sialome/links/cluster-b/anopheline-sialome-cds-pep-larger-orf95-50SimCLTL1.txt", 23)</f>
        <v>23</v>
      </c>
    </row>
    <row r="265" spans="1:93">
      <c r="A265" s="2" t="str">
        <f>HYPERLINK("http://exon.niaid.nih.gov/transcriptome/Anopheles_sialome/links/cds/anomin_Ag5r6-cds.txt","anomin_Ag5r6")</f>
        <v>anomin_Ag5r6</v>
      </c>
      <c r="B265">
        <v>783</v>
      </c>
      <c r="C265" t="s">
        <v>72</v>
      </c>
      <c r="D265" t="s">
        <v>7</v>
      </c>
      <c r="E265" t="s">
        <v>5</v>
      </c>
      <c r="F265" t="s">
        <v>1</v>
      </c>
      <c r="G265" t="str">
        <f>HYPERLINK("http://exon.niaid.nih.gov/transcriptome/Anopheles_sialome/links/pep/anomin_Ag5r6-pep.txt","anomin_Ag5r6")</f>
        <v>anomin_Ag5r6</v>
      </c>
      <c r="H265">
        <v>260</v>
      </c>
      <c r="I265">
        <v>4</v>
      </c>
      <c r="J265" s="3" t="str">
        <f>HYPERLINK("http://exon.niaid.nih.gov/transcriptome/Anopheles_sialome/links/Sigp/anomin_Ag5r6-SigP.txt","SIG")</f>
        <v>SIG</v>
      </c>
      <c r="K265" t="s">
        <v>787</v>
      </c>
      <c r="L265">
        <v>28.584</v>
      </c>
      <c r="M265">
        <v>5.42</v>
      </c>
      <c r="N265">
        <v>26.116</v>
      </c>
      <c r="O265">
        <v>5.04</v>
      </c>
      <c r="P265" t="s">
        <v>887</v>
      </c>
      <c r="Q265" s="3">
        <v>0</v>
      </c>
      <c r="R265" t="s">
        <v>128</v>
      </c>
      <c r="S265" t="s">
        <v>128</v>
      </c>
      <c r="T265" t="s">
        <v>128</v>
      </c>
      <c r="U265" t="s">
        <v>128</v>
      </c>
      <c r="V265" t="s">
        <v>128</v>
      </c>
      <c r="W265" s="3" t="str">
        <f>HYPERLINK("http://exon.niaid.nih.gov/transcriptome/Anopheles_sialome/links/netoglyc/anomin_Ag5r6-netoglyc.txt","0")</f>
        <v>0</v>
      </c>
      <c r="X265">
        <v>12.3</v>
      </c>
      <c r="Y265">
        <v>6.9</v>
      </c>
      <c r="Z265">
        <v>5.4</v>
      </c>
      <c r="AA265" t="s">
        <v>654</v>
      </c>
      <c r="AB265" t="s">
        <v>128</v>
      </c>
      <c r="AC265" s="2" t="str">
        <f>HYPERLINK("http://exon.niaid.nih.gov/transcriptome/Anopheles_sialome/links/DIPTERA/anomin_Ag5r6-DIPTERA.txt","AGAP013192-PA")</f>
        <v>AGAP013192-PA</v>
      </c>
      <c r="AD265" t="str">
        <f>HYPERLINK("http://www.ncbi.nlm.nih.gov/sutils/blink.cgi?pid=333469254","1E-145")</f>
        <v>1E-145</v>
      </c>
      <c r="AE265" t="str">
        <f t="shared" si="126"/>
        <v>gi|333469254</v>
      </c>
      <c r="AF265">
        <v>92</v>
      </c>
      <c r="AG265">
        <v>96</v>
      </c>
      <c r="AH265">
        <v>100</v>
      </c>
      <c r="AI265" t="s">
        <v>2285</v>
      </c>
      <c r="AJ265" s="2" t="str">
        <f>HYPERLINK("http://exon.niaid.nih.gov/transcriptome/Anopheles_sialome/links/CULICOMORPHA/anomin_Ag5r6-CULICOMORPHA.txt","AGAP013192-PA")</f>
        <v>AGAP013192-PA</v>
      </c>
      <c r="AK265" t="str">
        <f>HYPERLINK("http://www.ncbi.nlm.nih.gov/sutils/blink.cgi?pid=333469254","1E-146")</f>
        <v>1E-146</v>
      </c>
      <c r="AL265" t="str">
        <f t="shared" si="127"/>
        <v>gi|333469254</v>
      </c>
      <c r="AM265">
        <v>92</v>
      </c>
      <c r="AN265">
        <v>96</v>
      </c>
      <c r="AO265">
        <v>100</v>
      </c>
      <c r="AP265" t="s">
        <v>2285</v>
      </c>
      <c r="AQ265" s="2" t="str">
        <f>HYPERLINK("http://exon.niaid.nih.gov/transcriptome/Anopheles_sialome/links/NR-LIGHT/anomin_Ag5r6-NR-LIGHT.txt","AGAP013192-PA")</f>
        <v>AGAP013192-PA</v>
      </c>
      <c r="AR265" t="str">
        <f>HYPERLINK("http://www.ncbi.nlm.nih.gov/sutils/blink.cgi?pid=347969750","1E-145")</f>
        <v>1E-145</v>
      </c>
      <c r="AS265" t="str">
        <f t="shared" si="128"/>
        <v>gi|347969750</v>
      </c>
      <c r="AT265">
        <v>92</v>
      </c>
      <c r="AU265">
        <v>96</v>
      </c>
      <c r="AV265">
        <v>100</v>
      </c>
      <c r="AW265" t="s">
        <v>2285</v>
      </c>
      <c r="AX265" s="2" t="str">
        <f>HYPERLINK("http://exon.niaid.nih.gov/transcriptome/Anopheles_sialome/links/CDD/anomin_Ag5r6-CDD.txt","SCP_euk")</f>
        <v>SCP_euk</v>
      </c>
      <c r="AY265" t="str">
        <f>HYPERLINK("http://www.ncbi.nlm.nih.gov/Structure/cdd/cddsrv.cgi?uid=cd05380&amp;version=v4.0","1E-035")</f>
        <v>1E-035</v>
      </c>
      <c r="AZ265" t="s">
        <v>2395</v>
      </c>
      <c r="BA265" s="2" t="str">
        <f>HYPERLINK("http://exon.niaid.nih.gov/transcriptome/Anopheles_sialome/links/KOG/anomin_Ag5r6-KOG.txt","Defense-related protein containing SCP domain")</f>
        <v>Defense-related protein containing SCP domain</v>
      </c>
      <c r="BB265" t="str">
        <f>HYPERLINK("http://www.ncbi.nlm.nih.gov/Structure/cdd/cddsrv.cgi?uid=KOG3017","6E-029")</f>
        <v>6E-029</v>
      </c>
      <c r="BC265" t="s">
        <v>2304</v>
      </c>
      <c r="BD265" t="str">
        <f>HYPERLINK("http://exon.niaid.nih.gov/transcriptome/Anopheles_sialome/links/KOG/anomin_Ag5r6-KOG.txt","KOG3017")</f>
        <v>KOG3017</v>
      </c>
      <c r="BE265" t="str">
        <f>HYPERLINK("http://exon.niaid.nih.gov/transcriptome/Anopheles_sialome/links/PFAM/anomin_Ag5r6-PFAM.txt","CAP")</f>
        <v>CAP</v>
      </c>
      <c r="BF265" t="str">
        <f>HYPERLINK("http://pfam.sanger.ac.uk/family?acc=PF00188","5E-014")</f>
        <v>5E-014</v>
      </c>
      <c r="BG265" s="2" t="str">
        <f>HYPERLINK("http://exon.niaid.nih.gov/transcriptome/Anopheles_sialome/links/SMART/anomin_Ag5r6-SMART.txt","SCP")</f>
        <v>SCP</v>
      </c>
      <c r="BH265" t="str">
        <f>HYPERLINK("http://smart.embl-heidelberg.de/smart/do_annotation.pl?DOMAIN=SCP&amp;BLAST=DUMMY","3E-027")</f>
        <v>3E-027</v>
      </c>
      <c r="BI265" t="s">
        <v>128</v>
      </c>
      <c r="BJ265" s="2" t="s">
        <v>128</v>
      </c>
      <c r="BK265" t="s">
        <v>886</v>
      </c>
      <c r="BL265">
        <f>HYPERLINK("http://exon.niaid.nih.gov/transcriptome/Anopheles_sialome/links/cluster-b/anopheline-sialome-cds-pep-larger-orf25-50SimCLU4.txt", 4)</f>
        <v>4</v>
      </c>
      <c r="BM265">
        <f>HYPERLINK("http://exon.niaid.nih.gov/transcriptome/Anopheles_sialome/links/cluster-b/anopheline-sialome-cds-pep-larger-orf25-50SimCLTL4.txt", 82)</f>
        <v>82</v>
      </c>
      <c r="BN265">
        <f>HYPERLINK("http://exon.niaid.nih.gov/transcriptome/Anopheles_sialome/links/cluster-b/anopheline-sialome-cds-pep-larger-orf30-50SimCLU4.txt", 4)</f>
        <v>4</v>
      </c>
      <c r="BO265">
        <f>HYPERLINK("http://exon.niaid.nih.gov/transcriptome/Anopheles_sialome/links/cluster-b/anopheline-sialome-cds-pep-larger-orf30-50SimCLTL4.txt", 82)</f>
        <v>82</v>
      </c>
      <c r="BP265">
        <f>HYPERLINK("http://exon.niaid.nih.gov/transcriptome/Anopheles_sialome/links/cluster-b/anopheline-sialome-cds-pep-larger-orf35-50SimCLU3.txt", 3)</f>
        <v>3</v>
      </c>
      <c r="BQ265">
        <f>HYPERLINK("http://exon.niaid.nih.gov/transcriptome/Anopheles_sialome/links/cluster-b/anopheline-sialome-cds-pep-larger-orf35-50SimCLTL3.txt", 82)</f>
        <v>82</v>
      </c>
      <c r="BR265">
        <f>HYPERLINK("http://exon.niaid.nih.gov/transcriptome/Anopheles_sialome/links/cluster-b/anopheline-sialome-cds-pep-larger-orf40-50SimCLU3.txt", 3)</f>
        <v>3</v>
      </c>
      <c r="BS265">
        <f>HYPERLINK("http://exon.niaid.nih.gov/transcriptome/Anopheles_sialome/links/cluster-b/anopheline-sialome-cds-pep-larger-orf40-50SimCLTL3.txt", 82)</f>
        <v>82</v>
      </c>
      <c r="BT265">
        <f>HYPERLINK("http://exon.niaid.nih.gov/transcriptome/Anopheles_sialome/links/cluster-b/anopheline-sialome-cds-pep-larger-orf45-50SimCLU2.txt", 2)</f>
        <v>2</v>
      </c>
      <c r="BU265">
        <f>HYPERLINK("http://exon.niaid.nih.gov/transcriptome/Anopheles_sialome/links/cluster-b/anopheline-sialome-cds-pep-larger-orf45-50SimCLTL2.txt", 82)</f>
        <v>82</v>
      </c>
      <c r="BV265">
        <f>HYPERLINK("http://exon.niaid.nih.gov/transcriptome/Anopheles_sialome/links/cluster-b/anopheline-sialome-cds-pep-larger-orf50-50SimCLU2.txt", 2)</f>
        <v>2</v>
      </c>
      <c r="BW265">
        <f>HYPERLINK("http://exon.niaid.nih.gov/transcriptome/Anopheles_sialome/links/cluster-b/anopheline-sialome-cds-pep-larger-orf50-50SimCLTL2.txt", 82)</f>
        <v>82</v>
      </c>
      <c r="BX265">
        <f>HYPERLINK("http://exon.niaid.nih.gov/transcriptome/Anopheles_sialome/links/cluster-b/anopheline-sialome-cds-pep-larger-orf55-50SimCLU9.txt", 9)</f>
        <v>9</v>
      </c>
      <c r="BY265">
        <f>HYPERLINK("http://exon.niaid.nih.gov/transcriptome/Anopheles_sialome/links/cluster-b/anopheline-sialome-cds-pep-larger-orf55-50SimCLTL9.txt", 27)</f>
        <v>27</v>
      </c>
      <c r="BZ265">
        <f>HYPERLINK("http://exon.niaid.nih.gov/transcriptome/Anopheles_sialome/links/cluster-b/anopheline-sialome-cds-pep-larger-orf60-50SimCLU7.txt", 7)</f>
        <v>7</v>
      </c>
      <c r="CA265">
        <f>HYPERLINK("http://exon.niaid.nih.gov/transcriptome/Anopheles_sialome/links/cluster-b/anopheline-sialome-cds-pep-larger-orf60-50SimCLTL7.txt", 27)</f>
        <v>27</v>
      </c>
      <c r="CB265">
        <f>HYPERLINK("http://exon.niaid.nih.gov/transcriptome/Anopheles_sialome/links/cluster-b/anopheline-sialome-cds-pep-larger-orf65-50SimCLU4.txt", 4)</f>
        <v>4</v>
      </c>
      <c r="CC265">
        <f>HYPERLINK("http://exon.niaid.nih.gov/transcriptome/Anopheles_sialome/links/cluster-b/anopheline-sialome-cds-pep-larger-orf65-50SimCLTL4.txt", 27)</f>
        <v>27</v>
      </c>
      <c r="CD265">
        <f>HYPERLINK("http://exon.niaid.nih.gov/transcriptome/Anopheles_sialome/links/cluster-b/anopheline-sialome-cds-pep-larger-orf70-50SimCLU3.txt", 3)</f>
        <v>3</v>
      </c>
      <c r="CE265">
        <f>HYPERLINK("http://exon.niaid.nih.gov/transcriptome/Anopheles_sialome/links/cluster-b/anopheline-sialome-cds-pep-larger-orf70-50SimCLTL3.txt", 27)</f>
        <v>27</v>
      </c>
      <c r="CF265">
        <f>HYPERLINK("http://exon.niaid.nih.gov/transcriptome/Anopheles_sialome/links/cluster-b/anopheline-sialome-cds-pep-larger-orf75-50SimCLU3.txt", 3)</f>
        <v>3</v>
      </c>
      <c r="CG265">
        <f>HYPERLINK("http://exon.niaid.nih.gov/transcriptome/Anopheles_sialome/links/cluster-b/anopheline-sialome-cds-pep-larger-orf75-50SimCLTL3.txt", 27)</f>
        <v>27</v>
      </c>
      <c r="CH265">
        <f>HYPERLINK("http://exon.niaid.nih.gov/transcriptome/Anopheles_sialome/links/cluster-b/anopheline-sialome-cds-pep-larger-orf80-50SimCLU2.txt", 2)</f>
        <v>2</v>
      </c>
      <c r="CI265">
        <f>HYPERLINK("http://exon.niaid.nih.gov/transcriptome/Anopheles_sialome/links/cluster-b/anopheline-sialome-cds-pep-larger-orf80-50SimCLTL2.txt", 27)</f>
        <v>27</v>
      </c>
      <c r="CJ265">
        <f>HYPERLINK("http://exon.niaid.nih.gov/transcriptome/Anopheles_sialome/links/cluster-b/anopheline-sialome-cds-pep-larger-orf85-50SimCLU1.txt", 1)</f>
        <v>1</v>
      </c>
      <c r="CK265">
        <f>HYPERLINK("http://exon.niaid.nih.gov/transcriptome/Anopheles_sialome/links/cluster-b/anopheline-sialome-cds-pep-larger-orf85-50SimCLTL1.txt", 27)</f>
        <v>27</v>
      </c>
      <c r="CL265">
        <f>HYPERLINK("http://exon.niaid.nih.gov/transcriptome/Anopheles_sialome/links/cluster-b/anopheline-sialome-cds-pep-larger-orf90-50SimCLU1.txt", 1)</f>
        <v>1</v>
      </c>
      <c r="CM265">
        <f>HYPERLINK("http://exon.niaid.nih.gov/transcriptome/Anopheles_sialome/links/cluster-b/anopheline-sialome-cds-pep-larger-orf90-50SimCLTL1.txt", 25)</f>
        <v>25</v>
      </c>
      <c r="CN265">
        <f>HYPERLINK("http://exon.niaid.nih.gov/transcriptome/Anopheles_sialome/links/cluster-b/anopheline-sialome-cds-pep-larger-orf95-50SimCLU1.txt", 1)</f>
        <v>1</v>
      </c>
      <c r="CO265">
        <f>HYPERLINK("http://exon.niaid.nih.gov/transcriptome/Anopheles_sialome/links/cluster-b/anopheline-sialome-cds-pep-larger-orf95-50SimCLTL1.txt", 23)</f>
        <v>23</v>
      </c>
    </row>
    <row r="266" spans="1:93">
      <c r="A266" s="2" t="str">
        <f>HYPERLINK("http://exon.niaid.nih.gov/transcriptome/Anopheles_sialome/links/cds/anofar_Ag5r6-cds.txt","anofar_Ag5r6")</f>
        <v>anofar_Ag5r6</v>
      </c>
      <c r="B266">
        <v>783</v>
      </c>
      <c r="C266" t="s">
        <v>98</v>
      </c>
      <c r="D266" t="s">
        <v>4</v>
      </c>
      <c r="E266" t="s">
        <v>5</v>
      </c>
      <c r="F266" t="s">
        <v>1</v>
      </c>
      <c r="G266" t="str">
        <f>HYPERLINK("http://exon.niaid.nih.gov/transcriptome/Anopheles_sialome/links/pep/anofar_Ag5r6-pep.txt","anofar_Ag5r6")</f>
        <v>anofar_Ag5r6</v>
      </c>
      <c r="H266">
        <v>260</v>
      </c>
      <c r="I266">
        <v>2</v>
      </c>
      <c r="J266" s="3" t="str">
        <f>HYPERLINK("http://exon.niaid.nih.gov/transcriptome/Anopheles_sialome/links/Sigp/anofar_Ag5r6-SigP.txt","SIG")</f>
        <v>SIG</v>
      </c>
      <c r="K266" t="s">
        <v>787</v>
      </c>
      <c r="L266">
        <v>28.873999999999999</v>
      </c>
      <c r="M266">
        <v>5.15</v>
      </c>
      <c r="N266">
        <v>26.3</v>
      </c>
      <c r="O266">
        <v>4.84</v>
      </c>
      <c r="P266" t="s">
        <v>889</v>
      </c>
      <c r="Q266" s="3">
        <v>0</v>
      </c>
      <c r="R266" t="s">
        <v>128</v>
      </c>
      <c r="S266" t="s">
        <v>128</v>
      </c>
      <c r="T266" t="s">
        <v>128</v>
      </c>
      <c r="U266" t="s">
        <v>128</v>
      </c>
      <c r="V266" t="s">
        <v>128</v>
      </c>
      <c r="W266" s="3" t="str">
        <f>HYPERLINK("http://exon.niaid.nih.gov/transcriptome/Anopheles_sialome/links/netoglyc/anofar_Ag5r6-netoglyc.txt","0")</f>
        <v>0</v>
      </c>
      <c r="X266">
        <v>13.1</v>
      </c>
      <c r="Y266">
        <v>5.8</v>
      </c>
      <c r="Z266">
        <v>5.4</v>
      </c>
      <c r="AA266" t="s">
        <v>654</v>
      </c>
      <c r="AB266" t="s">
        <v>128</v>
      </c>
      <c r="AC266" s="2" t="str">
        <f>HYPERLINK("http://exon.niaid.nih.gov/transcriptome/Anopheles_sialome/links/DIPTERA/anofar_Ag5r6-DIPTERA.txt","AGAP013192-PA")</f>
        <v>AGAP013192-PA</v>
      </c>
      <c r="AD266" t="str">
        <f>HYPERLINK("http://www.ncbi.nlm.nih.gov/sutils/blink.cgi?pid=333469254","1E-142")</f>
        <v>1E-142</v>
      </c>
      <c r="AE266" t="str">
        <f t="shared" si="126"/>
        <v>gi|333469254</v>
      </c>
      <c r="AF266">
        <v>89</v>
      </c>
      <c r="AG266">
        <v>94</v>
      </c>
      <c r="AH266">
        <v>100</v>
      </c>
      <c r="AI266" t="s">
        <v>2285</v>
      </c>
      <c r="AJ266" s="2" t="str">
        <f>HYPERLINK("http://exon.niaid.nih.gov/transcriptome/Anopheles_sialome/links/CULICOMORPHA/anofar_Ag5r6-CULICOMORPHA.txt","AGAP013192-PA")</f>
        <v>AGAP013192-PA</v>
      </c>
      <c r="AK266" t="str">
        <f>HYPERLINK("http://www.ncbi.nlm.nih.gov/sutils/blink.cgi?pid=333469254","1E-143")</f>
        <v>1E-143</v>
      </c>
      <c r="AL266" t="str">
        <f t="shared" si="127"/>
        <v>gi|333469254</v>
      </c>
      <c r="AM266">
        <v>89</v>
      </c>
      <c r="AN266">
        <v>94</v>
      </c>
      <c r="AO266">
        <v>100</v>
      </c>
      <c r="AP266" t="s">
        <v>2285</v>
      </c>
      <c r="AQ266" s="2" t="str">
        <f>HYPERLINK("http://exon.niaid.nih.gov/transcriptome/Anopheles_sialome/links/NR-LIGHT/anofar_Ag5r6-NR-LIGHT.txt","AGAP013192-PA")</f>
        <v>AGAP013192-PA</v>
      </c>
      <c r="AR266" t="str">
        <f>HYPERLINK("http://www.ncbi.nlm.nih.gov/sutils/blink.cgi?pid=347969750","1E-142")</f>
        <v>1E-142</v>
      </c>
      <c r="AS266" t="str">
        <f t="shared" si="128"/>
        <v>gi|347969750</v>
      </c>
      <c r="AT266">
        <v>89</v>
      </c>
      <c r="AU266">
        <v>94</v>
      </c>
      <c r="AV266">
        <v>100</v>
      </c>
      <c r="AW266" t="s">
        <v>2285</v>
      </c>
      <c r="AX266" s="2" t="str">
        <f>HYPERLINK("http://exon.niaid.nih.gov/transcriptome/Anopheles_sialome/links/CDD/anofar_Ag5r6-CDD.txt","SCP_euk")</f>
        <v>SCP_euk</v>
      </c>
      <c r="AY266" t="str">
        <f>HYPERLINK("http://www.ncbi.nlm.nih.gov/Structure/cdd/cddsrv.cgi?uid=cd05380&amp;version=v4.0","2E-034")</f>
        <v>2E-034</v>
      </c>
      <c r="AZ266" t="s">
        <v>2396</v>
      </c>
      <c r="BA266" s="2" t="str">
        <f>HYPERLINK("http://exon.niaid.nih.gov/transcriptome/Anopheles_sialome/links/KOG/anofar_Ag5r6-KOG.txt","Defense-related protein containing SCP domain")</f>
        <v>Defense-related protein containing SCP domain</v>
      </c>
      <c r="BB266" t="str">
        <f>HYPERLINK("http://www.ncbi.nlm.nih.gov/Structure/cdd/cddsrv.cgi?uid=KOG3017","5E-029")</f>
        <v>5E-029</v>
      </c>
      <c r="BC266" t="s">
        <v>2304</v>
      </c>
      <c r="BD266" t="str">
        <f>HYPERLINK("http://exon.niaid.nih.gov/transcriptome/Anopheles_sialome/links/KOG/anofar_Ag5r6-KOG.txt","KOG3017")</f>
        <v>KOG3017</v>
      </c>
      <c r="BE266" t="str">
        <f>HYPERLINK("http://exon.niaid.nih.gov/transcriptome/Anopheles_sialome/links/PFAM/anofar_Ag5r6-PFAM.txt","CAP")</f>
        <v>CAP</v>
      </c>
      <c r="BF266" t="str">
        <f>HYPERLINK("http://pfam.sanger.ac.uk/family?acc=PF00188","1E-012")</f>
        <v>1E-012</v>
      </c>
      <c r="BG266" s="2" t="str">
        <f>HYPERLINK("http://exon.niaid.nih.gov/transcriptome/Anopheles_sialome/links/SMART/anofar_Ag5r6-SMART.txt","SCP")</f>
        <v>SCP</v>
      </c>
      <c r="BH266" t="str">
        <f>HYPERLINK("http://smart.embl-heidelberg.de/smart/do_annotation.pl?DOMAIN=SCP&amp;BLAST=DUMMY","8E-026")</f>
        <v>8E-026</v>
      </c>
      <c r="BI266" t="s">
        <v>128</v>
      </c>
      <c r="BJ266" s="2" t="s">
        <v>128</v>
      </c>
      <c r="BK266" t="s">
        <v>888</v>
      </c>
      <c r="BL266">
        <f>HYPERLINK("http://exon.niaid.nih.gov/transcriptome/Anopheles_sialome/links/cluster-b/anopheline-sialome-cds-pep-larger-orf25-50SimCLU4.txt", 4)</f>
        <v>4</v>
      </c>
      <c r="BM266">
        <f>HYPERLINK("http://exon.niaid.nih.gov/transcriptome/Anopheles_sialome/links/cluster-b/anopheline-sialome-cds-pep-larger-orf25-50SimCLTL4.txt", 82)</f>
        <v>82</v>
      </c>
      <c r="BN266">
        <f>HYPERLINK("http://exon.niaid.nih.gov/transcriptome/Anopheles_sialome/links/cluster-b/anopheline-sialome-cds-pep-larger-orf30-50SimCLU4.txt", 4)</f>
        <v>4</v>
      </c>
      <c r="BO266">
        <f>HYPERLINK("http://exon.niaid.nih.gov/transcriptome/Anopheles_sialome/links/cluster-b/anopheline-sialome-cds-pep-larger-orf30-50SimCLTL4.txt", 82)</f>
        <v>82</v>
      </c>
      <c r="BP266">
        <f>HYPERLINK("http://exon.niaid.nih.gov/transcriptome/Anopheles_sialome/links/cluster-b/anopheline-sialome-cds-pep-larger-orf35-50SimCLU3.txt", 3)</f>
        <v>3</v>
      </c>
      <c r="BQ266">
        <f>HYPERLINK("http://exon.niaid.nih.gov/transcriptome/Anopheles_sialome/links/cluster-b/anopheline-sialome-cds-pep-larger-orf35-50SimCLTL3.txt", 82)</f>
        <v>82</v>
      </c>
      <c r="BR266">
        <f>HYPERLINK("http://exon.niaid.nih.gov/transcriptome/Anopheles_sialome/links/cluster-b/anopheline-sialome-cds-pep-larger-orf40-50SimCLU3.txt", 3)</f>
        <v>3</v>
      </c>
      <c r="BS266">
        <f>HYPERLINK("http://exon.niaid.nih.gov/transcriptome/Anopheles_sialome/links/cluster-b/anopheline-sialome-cds-pep-larger-orf40-50SimCLTL3.txt", 82)</f>
        <v>82</v>
      </c>
      <c r="BT266">
        <f>HYPERLINK("http://exon.niaid.nih.gov/transcriptome/Anopheles_sialome/links/cluster-b/anopheline-sialome-cds-pep-larger-orf45-50SimCLU2.txt", 2)</f>
        <v>2</v>
      </c>
      <c r="BU266">
        <f>HYPERLINK("http://exon.niaid.nih.gov/transcriptome/Anopheles_sialome/links/cluster-b/anopheline-sialome-cds-pep-larger-orf45-50SimCLTL2.txt", 82)</f>
        <v>82</v>
      </c>
      <c r="BV266">
        <f>HYPERLINK("http://exon.niaid.nih.gov/transcriptome/Anopheles_sialome/links/cluster-b/anopheline-sialome-cds-pep-larger-orf50-50SimCLU2.txt", 2)</f>
        <v>2</v>
      </c>
      <c r="BW266">
        <f>HYPERLINK("http://exon.niaid.nih.gov/transcriptome/Anopheles_sialome/links/cluster-b/anopheline-sialome-cds-pep-larger-orf50-50SimCLTL2.txt", 82)</f>
        <v>82</v>
      </c>
      <c r="BX266">
        <f>HYPERLINK("http://exon.niaid.nih.gov/transcriptome/Anopheles_sialome/links/cluster-b/anopheline-sialome-cds-pep-larger-orf55-50SimCLU9.txt", 9)</f>
        <v>9</v>
      </c>
      <c r="BY266">
        <f>HYPERLINK("http://exon.niaid.nih.gov/transcriptome/Anopheles_sialome/links/cluster-b/anopheline-sialome-cds-pep-larger-orf55-50SimCLTL9.txt", 27)</f>
        <v>27</v>
      </c>
      <c r="BZ266">
        <f>HYPERLINK("http://exon.niaid.nih.gov/transcriptome/Anopheles_sialome/links/cluster-b/anopheline-sialome-cds-pep-larger-orf60-50SimCLU7.txt", 7)</f>
        <v>7</v>
      </c>
      <c r="CA266">
        <f>HYPERLINK("http://exon.niaid.nih.gov/transcriptome/Anopheles_sialome/links/cluster-b/anopheline-sialome-cds-pep-larger-orf60-50SimCLTL7.txt", 27)</f>
        <v>27</v>
      </c>
      <c r="CB266">
        <f>HYPERLINK("http://exon.niaid.nih.gov/transcriptome/Anopheles_sialome/links/cluster-b/anopheline-sialome-cds-pep-larger-orf65-50SimCLU4.txt", 4)</f>
        <v>4</v>
      </c>
      <c r="CC266">
        <f>HYPERLINK("http://exon.niaid.nih.gov/transcriptome/Anopheles_sialome/links/cluster-b/anopheline-sialome-cds-pep-larger-orf65-50SimCLTL4.txt", 27)</f>
        <v>27</v>
      </c>
      <c r="CD266">
        <f>HYPERLINK("http://exon.niaid.nih.gov/transcriptome/Anopheles_sialome/links/cluster-b/anopheline-sialome-cds-pep-larger-orf70-50SimCLU3.txt", 3)</f>
        <v>3</v>
      </c>
      <c r="CE266">
        <f>HYPERLINK("http://exon.niaid.nih.gov/transcriptome/Anopheles_sialome/links/cluster-b/anopheline-sialome-cds-pep-larger-orf70-50SimCLTL3.txt", 27)</f>
        <v>27</v>
      </c>
      <c r="CF266">
        <f>HYPERLINK("http://exon.niaid.nih.gov/transcriptome/Anopheles_sialome/links/cluster-b/anopheline-sialome-cds-pep-larger-orf75-50SimCLU3.txt", 3)</f>
        <v>3</v>
      </c>
      <c r="CG266">
        <f>HYPERLINK("http://exon.niaid.nih.gov/transcriptome/Anopheles_sialome/links/cluster-b/anopheline-sialome-cds-pep-larger-orf75-50SimCLTL3.txt", 27)</f>
        <v>27</v>
      </c>
      <c r="CH266">
        <f>HYPERLINK("http://exon.niaid.nih.gov/transcriptome/Anopheles_sialome/links/cluster-b/anopheline-sialome-cds-pep-larger-orf80-50SimCLU2.txt", 2)</f>
        <v>2</v>
      </c>
      <c r="CI266">
        <f>HYPERLINK("http://exon.niaid.nih.gov/transcriptome/Anopheles_sialome/links/cluster-b/anopheline-sialome-cds-pep-larger-orf80-50SimCLTL2.txt", 27)</f>
        <v>27</v>
      </c>
      <c r="CJ266">
        <f>HYPERLINK("http://exon.niaid.nih.gov/transcriptome/Anopheles_sialome/links/cluster-b/anopheline-sialome-cds-pep-larger-orf85-50SimCLU1.txt", 1)</f>
        <v>1</v>
      </c>
      <c r="CK266">
        <f>HYPERLINK("http://exon.niaid.nih.gov/transcriptome/Anopheles_sialome/links/cluster-b/anopheline-sialome-cds-pep-larger-orf85-50SimCLTL1.txt", 27)</f>
        <v>27</v>
      </c>
      <c r="CL266">
        <f>HYPERLINK("http://exon.niaid.nih.gov/transcriptome/Anopheles_sialome/links/cluster-b/anopheline-sialome-cds-pep-larger-orf90-50SimCLU1.txt", 1)</f>
        <v>1</v>
      </c>
      <c r="CM266">
        <f>HYPERLINK("http://exon.niaid.nih.gov/transcriptome/Anopheles_sialome/links/cluster-b/anopheline-sialome-cds-pep-larger-orf90-50SimCLTL1.txt", 25)</f>
        <v>25</v>
      </c>
      <c r="CN266">
        <f>HYPERLINK("http://exon.niaid.nih.gov/transcriptome/Anopheles_sialome/links/cluster-b/anopheline-sialome-cds-pep-larger-orf95-50SimCLU1.txt", 1)</f>
        <v>1</v>
      </c>
      <c r="CO266">
        <f>HYPERLINK("http://exon.niaid.nih.gov/transcriptome/Anopheles_sialome/links/cluster-b/anopheline-sialome-cds-pep-larger-orf95-50SimCLTL1.txt", 23)</f>
        <v>23</v>
      </c>
    </row>
    <row r="267" spans="1:93">
      <c r="A267" s="14" t="s">
        <v>3134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</row>
    <row r="268" spans="1:93">
      <c r="A268" s="6" t="s">
        <v>3139</v>
      </c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</row>
    <row r="269" spans="1:93">
      <c r="A269" s="6" t="s">
        <v>3197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</row>
    <row r="270" spans="1:93">
      <c r="A270" s="2" t="str">
        <f>HYPERLINK("http://exon.niaid.nih.gov/transcriptome/Anopheles_sialome/links/cds/anoga_D7L1-cds.txt","anoga_D7L1")</f>
        <v>anoga_D7L1</v>
      </c>
      <c r="B270">
        <v>936</v>
      </c>
      <c r="C270" t="s">
        <v>186</v>
      </c>
      <c r="D270" t="s">
        <v>4</v>
      </c>
      <c r="E270" t="s">
        <v>5</v>
      </c>
      <c r="F270" t="s">
        <v>1</v>
      </c>
      <c r="G270" t="str">
        <f>HYPERLINK("http://exon.niaid.nih.gov/transcriptome/Anopheles_sialome/links/pep/anoga_D7L1-pep.txt","anoga_D7L1")</f>
        <v>anoga_D7L1</v>
      </c>
      <c r="H270">
        <v>311</v>
      </c>
      <c r="I270">
        <v>1</v>
      </c>
      <c r="J270" s="3" t="str">
        <f>HYPERLINK("http://exon.niaid.nih.gov/transcriptome/Anopheles_sialome/links/Sigp/anoga_D7L1-SigP.txt","SIG")</f>
        <v>SIG</v>
      </c>
      <c r="K270" t="s">
        <v>689</v>
      </c>
      <c r="L270">
        <v>35.590000000000003</v>
      </c>
      <c r="M270">
        <v>5.64</v>
      </c>
      <c r="N270">
        <v>33.365000000000002</v>
      </c>
      <c r="O270">
        <v>5.76</v>
      </c>
      <c r="P270" t="s">
        <v>1142</v>
      </c>
      <c r="Q270" s="3">
        <v>0</v>
      </c>
      <c r="R270" t="s">
        <v>128</v>
      </c>
      <c r="S270" t="s">
        <v>128</v>
      </c>
      <c r="T270" t="s">
        <v>128</v>
      </c>
      <c r="U270" t="s">
        <v>128</v>
      </c>
      <c r="V270" t="s">
        <v>128</v>
      </c>
      <c r="W270" s="3" t="str">
        <f>HYPERLINK("http://exon.niaid.nih.gov/transcriptome/Anopheles_sialome/links/netoglyc/anoga_D7L1-netoglyc.txt","0")</f>
        <v>0</v>
      </c>
      <c r="X270">
        <v>10.6</v>
      </c>
      <c r="Y270">
        <v>5.5</v>
      </c>
      <c r="Z270">
        <v>3.5</v>
      </c>
      <c r="AA270" t="s">
        <v>654</v>
      </c>
      <c r="AB270" t="s">
        <v>128</v>
      </c>
      <c r="AC270" s="2" t="str">
        <f>HYPERLINK("http://exon.niaid.nih.gov/transcriptome/Anopheles_sialome/links/DIPTERA/anoga_D7L1-DIPTERA.txt","AGAP008278-PA")</f>
        <v>AGAP008278-PA</v>
      </c>
      <c r="AD270" t="str">
        <f>HYPERLINK("http://www.ncbi.nlm.nih.gov/sutils/blink.cgi?pid=30175329","0.0")</f>
        <v>0.0</v>
      </c>
      <c r="AE270" t="str">
        <f>HYPERLINK("http://www.ncbi.nlm.nih.gov/protein/30175329","gi|30175329")</f>
        <v>gi|30175329</v>
      </c>
      <c r="AF270">
        <v>100</v>
      </c>
      <c r="AG270">
        <v>100</v>
      </c>
      <c r="AH270">
        <v>100</v>
      </c>
      <c r="AI270" t="s">
        <v>2285</v>
      </c>
      <c r="AJ270" s="2" t="str">
        <f>HYPERLINK("http://exon.niaid.nih.gov/transcriptome/Anopheles_sialome/links/CULICOMORPHA/anoga_D7L1-CULICOMORPHA.txt","AGAP008278-PA")</f>
        <v>AGAP008278-PA</v>
      </c>
      <c r="AK270" t="str">
        <f>HYPERLINK("http://www.ncbi.nlm.nih.gov/sutils/blink.cgi?pid=30175329","0.0")</f>
        <v>0.0</v>
      </c>
      <c r="AL270" t="str">
        <f>HYPERLINK("http://www.ncbi.nlm.nih.gov/protein/30175329","gi|30175329")</f>
        <v>gi|30175329</v>
      </c>
      <c r="AM270">
        <v>100</v>
      </c>
      <c r="AN270">
        <v>100</v>
      </c>
      <c r="AO270">
        <v>100</v>
      </c>
      <c r="AP270" t="s">
        <v>2285</v>
      </c>
      <c r="AQ270" s="2" t="str">
        <f>HYPERLINK("http://exon.niaid.nih.gov/transcriptome/Anopheles_sialome/links/NR-LIGHT/anoga_D7L1-NR-LIGHT.txt","AGAP008278-PA")</f>
        <v>AGAP008278-PA</v>
      </c>
      <c r="AR270" t="str">
        <f>HYPERLINK("http://www.ncbi.nlm.nih.gov/sutils/blink.cgi?pid=31222545","0.0")</f>
        <v>0.0</v>
      </c>
      <c r="AS270" t="str">
        <f>HYPERLINK("http://www.ncbi.nlm.nih.gov/protein/31222545","gi|31222545")</f>
        <v>gi|31222545</v>
      </c>
      <c r="AT270">
        <v>100</v>
      </c>
      <c r="AU270">
        <v>100</v>
      </c>
      <c r="AV270">
        <v>100</v>
      </c>
      <c r="AW270" t="s">
        <v>2285</v>
      </c>
      <c r="AX270" s="2" t="str">
        <f>HYPERLINK("http://exon.niaid.nih.gov/transcriptome/Anopheles_sialome/links/CDD/anoga_D7L1-CDD.txt","PBP_GOBP")</f>
        <v>PBP_GOBP</v>
      </c>
      <c r="AY270" t="str">
        <f>HYPERLINK("http://www.ncbi.nlm.nih.gov/Structure/cdd/cddsrv.cgi?uid=pfam01395&amp;version=v4.0","5E-009")</f>
        <v>5E-009</v>
      </c>
      <c r="AZ270" t="s">
        <v>2550</v>
      </c>
      <c r="BA270" s="2" t="str">
        <f>HYPERLINK("http://exon.niaid.nih.gov/transcriptome/Anopheles_sialome/links/KOG/anoga_D7L1-KOG.txt","RFX family transcription factor")</f>
        <v>RFX family transcription factor</v>
      </c>
      <c r="BB270" t="str">
        <f>HYPERLINK("http://www.ncbi.nlm.nih.gov/Structure/cdd/cddsrv.cgi?uid=KOG3712","0.59")</f>
        <v>0.59</v>
      </c>
      <c r="BC270" t="s">
        <v>2262</v>
      </c>
      <c r="BD270" t="str">
        <f>HYPERLINK("http://exon.niaid.nih.gov/transcriptome/Anopheles_sialome/links/KOG/anoga_D7L1-KOG.txt","KOG3712")</f>
        <v>KOG3712</v>
      </c>
      <c r="BE270" t="str">
        <f>HYPERLINK("http://exon.niaid.nih.gov/transcriptome/Anopheles_sialome/links/PFAM/anoga_D7L1-PFAM.txt","PBP_GOBP")</f>
        <v>PBP_GOBP</v>
      </c>
      <c r="BF270" t="str">
        <f>HYPERLINK("http://pfam.sanger.ac.uk/family?acc=PF01395","1E-009")</f>
        <v>1E-009</v>
      </c>
      <c r="BG270" s="2" t="str">
        <f>HYPERLINK("http://exon.niaid.nih.gov/transcriptome/Anopheles_sialome/links/SMART/anoga_D7L1-SMART.txt","PhBP")</f>
        <v>PhBP</v>
      </c>
      <c r="BH270" t="str">
        <f>HYPERLINK("http://smart.embl-heidelberg.de/smart/do_annotation.pl?DOMAIN=PhBP&amp;BLAST=DUMMY","1E-004")</f>
        <v>1E-004</v>
      </c>
      <c r="BI270" t="str">
        <f>HYPERLINK("http://exon.niaid.nih.gov/transcriptome/Anopheles_sialome/links/TICK-BLOCKS/anoga_D7L1-TICK-BLOCKS.txt","Lipid_binding_mosquito_D7_pattern |Lipid_binding_D7_WC_framework |")</f>
        <v>Lipid_binding_mosquito_D7_pattern |Lipid_binding_D7_WC_framework |</v>
      </c>
      <c r="BJ270" s="2" t="s">
        <v>2551</v>
      </c>
      <c r="BK270" t="s">
        <v>1141</v>
      </c>
      <c r="BL270">
        <f>HYPERLINK("http://exon.niaid.nih.gov/transcriptome/Anopheles_sialome/links/cluster-b/anopheline-sialome-cds-pep-larger-orf25-50SimCLU6.txt", 6)</f>
        <v>6</v>
      </c>
      <c r="BM270">
        <f>HYPERLINK("http://exon.niaid.nih.gov/transcriptome/Anopheles_sialome/links/cluster-b/anopheline-sialome-cds-pep-larger-orf25-50SimCLTL6.txt", 44)</f>
        <v>44</v>
      </c>
      <c r="BN270">
        <f>HYPERLINK("http://exon.niaid.nih.gov/transcriptome/Anopheles_sialome/links/cluster-b/anopheline-sialome-cds-pep-larger-orf30-50SimCLU5.txt", 5)</f>
        <v>5</v>
      </c>
      <c r="BO270">
        <f>HYPERLINK("http://exon.niaid.nih.gov/transcriptome/Anopheles_sialome/links/cluster-b/anopheline-sialome-cds-pep-larger-orf30-50SimCLTL5.txt", 44)</f>
        <v>44</v>
      </c>
      <c r="BP270">
        <f>HYPERLINK("http://exon.niaid.nih.gov/transcriptome/Anopheles_sialome/links/cluster-b/anopheline-sialome-cds-pep-larger-orf35-50SimCLU6.txt", 6)</f>
        <v>6</v>
      </c>
      <c r="BQ270">
        <f>HYPERLINK("http://exon.niaid.nih.gov/transcriptome/Anopheles_sialome/links/cluster-b/anopheline-sialome-cds-pep-larger-orf35-50SimCLTL6.txt", 44)</f>
        <v>44</v>
      </c>
      <c r="BR270">
        <f>HYPERLINK("http://exon.niaid.nih.gov/transcriptome/Anopheles_sialome/links/cluster-b/anopheline-sialome-cds-pep-larger-orf40-50SimCLU4.txt", 4)</f>
        <v>4</v>
      </c>
      <c r="BS270">
        <f>HYPERLINK("http://exon.niaid.nih.gov/transcriptome/Anopheles_sialome/links/cluster-b/anopheline-sialome-cds-pep-larger-orf40-50SimCLTL4.txt", 44)</f>
        <v>44</v>
      </c>
      <c r="BT270">
        <f>HYPERLINK("http://exon.niaid.nih.gov/transcriptome/Anopheles_sialome/links/cluster-b/anopheline-sialome-cds-pep-larger-orf45-50SimCLU10.txt", 10)</f>
        <v>10</v>
      </c>
      <c r="BU270">
        <f>HYPERLINK("http://exon.niaid.nih.gov/transcriptome/Anopheles_sialome/links/cluster-b/anopheline-sialome-cds-pep-larger-orf45-50SimCLTL10.txt", 26)</f>
        <v>26</v>
      </c>
      <c r="BV270">
        <f>HYPERLINK("http://exon.niaid.nih.gov/transcriptome/Anopheles_sialome/links/cluster-b/anopheline-sialome-cds-pep-larger-orf50-50SimCLU9.txt", 9)</f>
        <v>9</v>
      </c>
      <c r="BW270">
        <f>HYPERLINK("http://exon.niaid.nih.gov/transcriptome/Anopheles_sialome/links/cluster-b/anopheline-sialome-cds-pep-larger-orf50-50SimCLTL9.txt", 26)</f>
        <v>26</v>
      </c>
      <c r="BX270">
        <f>HYPERLINK("http://exon.niaid.nih.gov/transcriptome/Anopheles_sialome/links/cluster-b/anopheline-sialome-cds-pep-larger-orf55-50SimCLU10.txt", 10)</f>
        <v>10</v>
      </c>
      <c r="BY270">
        <f>HYPERLINK("http://exon.niaid.nih.gov/transcriptome/Anopheles_sialome/links/cluster-b/anopheline-sialome-cds-pep-larger-orf55-50SimCLTL10.txt", 26)</f>
        <v>26</v>
      </c>
      <c r="BZ270">
        <f>HYPERLINK("http://exon.niaid.nih.gov/transcriptome/Anopheles_sialome/links/cluster-b/anopheline-sialome-cds-pep-larger-orf60-50SimCLU8.txt", 8)</f>
        <v>8</v>
      </c>
      <c r="CA270">
        <f>HYPERLINK("http://exon.niaid.nih.gov/transcriptome/Anopheles_sialome/links/cluster-b/anopheline-sialome-cds-pep-larger-orf60-50SimCLTL8.txt", 26)</f>
        <v>26</v>
      </c>
      <c r="CB270">
        <f>HYPERLINK("http://exon.niaid.nih.gov/transcriptome/Anopheles_sialome/links/cluster-b/anopheline-sialome-cds-pep-larger-orf65-50SimCLU5.txt", 5)</f>
        <v>5</v>
      </c>
      <c r="CC270">
        <f>HYPERLINK("http://exon.niaid.nih.gov/transcriptome/Anopheles_sialome/links/cluster-b/anopheline-sialome-cds-pep-larger-orf65-50SimCLTL5.txt", 26)</f>
        <v>26</v>
      </c>
      <c r="CD270">
        <f>HYPERLINK("http://exon.niaid.nih.gov/transcriptome/Anopheles_sialome/links/cluster-b/anopheline-sialome-cds-pep-larger-orf70-50SimCLU4.txt", 4)</f>
        <v>4</v>
      </c>
      <c r="CE270">
        <f>HYPERLINK("http://exon.niaid.nih.gov/transcriptome/Anopheles_sialome/links/cluster-b/anopheline-sialome-cds-pep-larger-orf70-50SimCLTL4.txt", 26)</f>
        <v>26</v>
      </c>
      <c r="CF270">
        <f>HYPERLINK("http://exon.niaid.nih.gov/transcriptome/Anopheles_sialome/links/cluster-b/anopheline-sialome-cds-pep-larger-orf75-50SimCLU4.txt", 4)</f>
        <v>4</v>
      </c>
      <c r="CG270">
        <f>HYPERLINK("http://exon.niaid.nih.gov/transcriptome/Anopheles_sialome/links/cluster-b/anopheline-sialome-cds-pep-larger-orf75-50SimCLTL4.txt", 24)</f>
        <v>24</v>
      </c>
      <c r="CH270">
        <f>HYPERLINK("http://exon.niaid.nih.gov/transcriptome/Anopheles_sialome/links/cluster-b/anopheline-sialome-cds-pep-larger-orf80-50SimCLU4.txt", 4)</f>
        <v>4</v>
      </c>
      <c r="CI270">
        <f>HYPERLINK("http://exon.niaid.nih.gov/transcriptome/Anopheles_sialome/links/cluster-b/anopheline-sialome-cds-pep-larger-orf80-50SimCLTL4.txt", 20)</f>
        <v>20</v>
      </c>
      <c r="CJ270">
        <f>HYPERLINK("http://exon.niaid.nih.gov/transcriptome/Anopheles_sialome/links/cluster-b/anopheline-sialome-cds-pep-larger-orf85-50SimCLU3.txt", 3)</f>
        <v>3</v>
      </c>
      <c r="CK270">
        <f>HYPERLINK("http://exon.niaid.nih.gov/transcriptome/Anopheles_sialome/links/cluster-b/anopheline-sialome-cds-pep-larger-orf85-50SimCLTL3.txt", 20)</f>
        <v>20</v>
      </c>
      <c r="CL270">
        <f>HYPERLINK("http://exon.niaid.nih.gov/transcriptome/Anopheles_sialome/links/cluster-b/anopheline-sialome-cds-pep-larger-orf90-50SimCLU21.txt", 21)</f>
        <v>21</v>
      </c>
      <c r="CM270">
        <f>HYPERLINK("http://exon.niaid.nih.gov/transcriptome/Anopheles_sialome/links/cluster-b/anopheline-sialome-cds-pep-larger-orf90-50SimCLTL21.txt", 6)</f>
        <v>6</v>
      </c>
      <c r="CN270">
        <f>HYPERLINK("http://exon.niaid.nih.gov/transcriptome/Anopheles_sialome/links/cluster-b/anopheline-sialome-cds-pep-larger-orf95-50SimCLU13.txt", 13)</f>
        <v>13</v>
      </c>
      <c r="CO270">
        <f>HYPERLINK("http://exon.niaid.nih.gov/transcriptome/Anopheles_sialome/links/cluster-b/anopheline-sialome-cds-pep-larger-orf95-50SimCLTL13.txt", 6)</f>
        <v>6</v>
      </c>
    </row>
    <row r="271" spans="1:93">
      <c r="A271" s="2" t="str">
        <f>HYPERLINK("http://exon.niaid.nih.gov/transcriptome/Anopheles_sialome/links/cds/anocol_D7L1-cds.txt","anocol_D7L1")</f>
        <v>anocol_D7L1</v>
      </c>
      <c r="B271">
        <v>948</v>
      </c>
      <c r="C271" t="s">
        <v>187</v>
      </c>
      <c r="D271" t="s">
        <v>7</v>
      </c>
      <c r="E271" t="s">
        <v>5</v>
      </c>
      <c r="F271" t="s">
        <v>1</v>
      </c>
      <c r="G271" t="str">
        <f>HYPERLINK("http://exon.niaid.nih.gov/transcriptome/Anopheles_sialome/links/pep/anocol_D7L1-pep.txt","anocol_D7L1")</f>
        <v>anocol_D7L1</v>
      </c>
      <c r="H271">
        <v>315</v>
      </c>
      <c r="I271">
        <v>1</v>
      </c>
      <c r="J271" s="3" t="str">
        <f>HYPERLINK("http://exon.niaid.nih.gov/transcriptome/Anopheles_sialome/links/Sigp/anocol_D7L1-SigP.txt","SIG")</f>
        <v>SIG</v>
      </c>
      <c r="K271" t="s">
        <v>689</v>
      </c>
      <c r="L271">
        <v>36.076000000000001</v>
      </c>
      <c r="M271">
        <v>5.58</v>
      </c>
      <c r="N271">
        <v>33.819000000000003</v>
      </c>
      <c r="O271">
        <v>5.68</v>
      </c>
      <c r="P271" t="s">
        <v>1144</v>
      </c>
      <c r="Q271" s="3">
        <v>0</v>
      </c>
      <c r="R271" t="s">
        <v>128</v>
      </c>
      <c r="S271" t="s">
        <v>128</v>
      </c>
      <c r="T271" t="s">
        <v>128</v>
      </c>
      <c r="U271" t="s">
        <v>128</v>
      </c>
      <c r="V271" t="s">
        <v>128</v>
      </c>
      <c r="W271" s="3" t="str">
        <f>HYPERLINK("http://exon.niaid.nih.gov/transcriptome/Anopheles_sialome/links/netoglyc/anocol_D7L1-netoglyc.txt","0")</f>
        <v>0</v>
      </c>
      <c r="X271">
        <v>11.1</v>
      </c>
      <c r="Y271">
        <v>4.8</v>
      </c>
      <c r="Z271">
        <v>3.5</v>
      </c>
      <c r="AA271" t="s">
        <v>654</v>
      </c>
      <c r="AB271" t="s">
        <v>128</v>
      </c>
      <c r="AC271" s="2" t="str">
        <f>HYPERLINK("http://exon.niaid.nih.gov/transcriptome/Anopheles_sialome/links/DIPTERA/anocol_D7L1-DIPTERA.txt","AGAP008278-PA")</f>
        <v>AGAP008278-PA</v>
      </c>
      <c r="AD271" t="str">
        <f>HYPERLINK("http://www.ncbi.nlm.nih.gov/sutils/blink.cgi?pid=30175329","1E-174")</f>
        <v>1E-174</v>
      </c>
      <c r="AE271" t="str">
        <f>HYPERLINK("http://www.ncbi.nlm.nih.gov/protein/30175329","gi|30175329")</f>
        <v>gi|30175329</v>
      </c>
      <c r="AF271">
        <v>96</v>
      </c>
      <c r="AG271">
        <v>97</v>
      </c>
      <c r="AH271">
        <v>100</v>
      </c>
      <c r="AI271" t="s">
        <v>2285</v>
      </c>
      <c r="AJ271" s="2" t="str">
        <f>HYPERLINK("http://exon.niaid.nih.gov/transcriptome/Anopheles_sialome/links/CULICOMORPHA/anocol_D7L1-CULICOMORPHA.txt","AGAP008278-PA")</f>
        <v>AGAP008278-PA</v>
      </c>
      <c r="AK271" t="str">
        <f>HYPERLINK("http://www.ncbi.nlm.nih.gov/sutils/blink.cgi?pid=30175329","1E-175")</f>
        <v>1E-175</v>
      </c>
      <c r="AL271" t="str">
        <f>HYPERLINK("http://www.ncbi.nlm.nih.gov/protein/30175329","gi|30175329")</f>
        <v>gi|30175329</v>
      </c>
      <c r="AM271">
        <v>96</v>
      </c>
      <c r="AN271">
        <v>97</v>
      </c>
      <c r="AO271">
        <v>100</v>
      </c>
      <c r="AP271" t="s">
        <v>2285</v>
      </c>
      <c r="AQ271" s="2" t="str">
        <f>HYPERLINK("http://exon.niaid.nih.gov/transcriptome/Anopheles_sialome/links/NR-LIGHT/anocol_D7L1-NR-LIGHT.txt","AGAP008278-PA")</f>
        <v>AGAP008278-PA</v>
      </c>
      <c r="AR271" t="str">
        <f>HYPERLINK("http://www.ncbi.nlm.nih.gov/sutils/blink.cgi?pid=31222545","1E-174")</f>
        <v>1E-174</v>
      </c>
      <c r="AS271" t="str">
        <f>HYPERLINK("http://www.ncbi.nlm.nih.gov/protein/31222545","gi|31222545")</f>
        <v>gi|31222545</v>
      </c>
      <c r="AT271">
        <v>96</v>
      </c>
      <c r="AU271">
        <v>97</v>
      </c>
      <c r="AV271">
        <v>100</v>
      </c>
      <c r="AW271" t="s">
        <v>2285</v>
      </c>
      <c r="AX271" s="2" t="str">
        <f>HYPERLINK("http://exon.niaid.nih.gov/transcriptome/Anopheles_sialome/links/CDD/anocol_D7L1-CDD.txt","PBP_GOBP")</f>
        <v>PBP_GOBP</v>
      </c>
      <c r="AY271" t="str">
        <f>HYPERLINK("http://www.ncbi.nlm.nih.gov/Structure/cdd/cddsrv.cgi?uid=pfam01395&amp;version=v4.0","6E-009")</f>
        <v>6E-009</v>
      </c>
      <c r="AZ271" t="s">
        <v>2552</v>
      </c>
      <c r="BA271" s="2" t="str">
        <f>HYPERLINK("http://exon.niaid.nih.gov/transcriptome/Anopheles_sialome/links/KOG/anocol_D7L1-KOG.txt","RFX family transcription factor")</f>
        <v>RFX family transcription factor</v>
      </c>
      <c r="BB271" t="str">
        <f>HYPERLINK("http://www.ncbi.nlm.nih.gov/Structure/cdd/cddsrv.cgi?uid=KOG3712","1.1")</f>
        <v>1.1</v>
      </c>
      <c r="BC271" t="s">
        <v>2262</v>
      </c>
      <c r="BD271" t="str">
        <f>HYPERLINK("http://exon.niaid.nih.gov/transcriptome/Anopheles_sialome/links/KOG/anocol_D7L1-KOG.txt","KOG3712")</f>
        <v>KOG3712</v>
      </c>
      <c r="BE271" t="str">
        <f>HYPERLINK("http://exon.niaid.nih.gov/transcriptome/Anopheles_sialome/links/PFAM/anocol_D7L1-PFAM.txt","PBP_GOBP")</f>
        <v>PBP_GOBP</v>
      </c>
      <c r="BF271" t="str">
        <f>HYPERLINK("http://pfam.sanger.ac.uk/family?acc=PF01395","1E-009")</f>
        <v>1E-009</v>
      </c>
      <c r="BG271" s="2" t="str">
        <f>HYPERLINK("http://exon.niaid.nih.gov/transcriptome/Anopheles_sialome/links/SMART/anocol_D7L1-SMART.txt","PhBP")</f>
        <v>PhBP</v>
      </c>
      <c r="BH271" t="str">
        <f>HYPERLINK("http://smart.embl-heidelberg.de/smart/do_annotation.pl?DOMAIN=PhBP&amp;BLAST=DUMMY","1E-004")</f>
        <v>1E-004</v>
      </c>
      <c r="BI271" t="str">
        <f>HYPERLINK("http://exon.niaid.nih.gov/transcriptome/Anopheles_sialome/links/TICK-BLOCKS/anocol_D7L1-TICK-BLOCKS.txt","Lipid_binding_mosquito_D7_pattern |Lipid_binding_D7_WC_framework |")</f>
        <v>Lipid_binding_mosquito_D7_pattern |Lipid_binding_D7_WC_framework |</v>
      </c>
      <c r="BJ271" s="2" t="s">
        <v>2551</v>
      </c>
      <c r="BK271" t="s">
        <v>1143</v>
      </c>
      <c r="BL271">
        <f>HYPERLINK("http://exon.niaid.nih.gov/transcriptome/Anopheles_sialome/links/cluster-b/anopheline-sialome-cds-pep-larger-orf25-50SimCLU6.txt", 6)</f>
        <v>6</v>
      </c>
      <c r="BM271">
        <f>HYPERLINK("http://exon.niaid.nih.gov/transcriptome/Anopheles_sialome/links/cluster-b/anopheline-sialome-cds-pep-larger-orf25-50SimCLTL6.txt", 44)</f>
        <v>44</v>
      </c>
      <c r="BN271">
        <f>HYPERLINK("http://exon.niaid.nih.gov/transcriptome/Anopheles_sialome/links/cluster-b/anopheline-sialome-cds-pep-larger-orf30-50SimCLU5.txt", 5)</f>
        <v>5</v>
      </c>
      <c r="BO271">
        <f>HYPERLINK("http://exon.niaid.nih.gov/transcriptome/Anopheles_sialome/links/cluster-b/anopheline-sialome-cds-pep-larger-orf30-50SimCLTL5.txt", 44)</f>
        <v>44</v>
      </c>
      <c r="BP271">
        <f>HYPERLINK("http://exon.niaid.nih.gov/transcriptome/Anopheles_sialome/links/cluster-b/anopheline-sialome-cds-pep-larger-orf35-50SimCLU6.txt", 6)</f>
        <v>6</v>
      </c>
      <c r="BQ271">
        <f>HYPERLINK("http://exon.niaid.nih.gov/transcriptome/Anopheles_sialome/links/cluster-b/anopheline-sialome-cds-pep-larger-orf35-50SimCLTL6.txt", 44)</f>
        <v>44</v>
      </c>
      <c r="BR271">
        <f>HYPERLINK("http://exon.niaid.nih.gov/transcriptome/Anopheles_sialome/links/cluster-b/anopheline-sialome-cds-pep-larger-orf40-50SimCLU4.txt", 4)</f>
        <v>4</v>
      </c>
      <c r="BS271">
        <f>HYPERLINK("http://exon.niaid.nih.gov/transcriptome/Anopheles_sialome/links/cluster-b/anopheline-sialome-cds-pep-larger-orf40-50SimCLTL4.txt", 44)</f>
        <v>44</v>
      </c>
      <c r="BT271">
        <f>HYPERLINK("http://exon.niaid.nih.gov/transcriptome/Anopheles_sialome/links/cluster-b/anopheline-sialome-cds-pep-larger-orf45-50SimCLU10.txt", 10)</f>
        <v>10</v>
      </c>
      <c r="BU271">
        <f>HYPERLINK("http://exon.niaid.nih.gov/transcriptome/Anopheles_sialome/links/cluster-b/anopheline-sialome-cds-pep-larger-orf45-50SimCLTL10.txt", 26)</f>
        <v>26</v>
      </c>
      <c r="BV271">
        <f>HYPERLINK("http://exon.niaid.nih.gov/transcriptome/Anopheles_sialome/links/cluster-b/anopheline-sialome-cds-pep-larger-orf50-50SimCLU9.txt", 9)</f>
        <v>9</v>
      </c>
      <c r="BW271">
        <f>HYPERLINK("http://exon.niaid.nih.gov/transcriptome/Anopheles_sialome/links/cluster-b/anopheline-sialome-cds-pep-larger-orf50-50SimCLTL9.txt", 26)</f>
        <v>26</v>
      </c>
      <c r="BX271">
        <f>HYPERLINK("http://exon.niaid.nih.gov/transcriptome/Anopheles_sialome/links/cluster-b/anopheline-sialome-cds-pep-larger-orf55-50SimCLU10.txt", 10)</f>
        <v>10</v>
      </c>
      <c r="BY271">
        <f>HYPERLINK("http://exon.niaid.nih.gov/transcriptome/Anopheles_sialome/links/cluster-b/anopheline-sialome-cds-pep-larger-orf55-50SimCLTL10.txt", 26)</f>
        <v>26</v>
      </c>
      <c r="BZ271">
        <f>HYPERLINK("http://exon.niaid.nih.gov/transcriptome/Anopheles_sialome/links/cluster-b/anopheline-sialome-cds-pep-larger-orf60-50SimCLU8.txt", 8)</f>
        <v>8</v>
      </c>
      <c r="CA271">
        <f>HYPERLINK("http://exon.niaid.nih.gov/transcriptome/Anopheles_sialome/links/cluster-b/anopheline-sialome-cds-pep-larger-orf60-50SimCLTL8.txt", 26)</f>
        <v>26</v>
      </c>
      <c r="CB271">
        <f>HYPERLINK("http://exon.niaid.nih.gov/transcriptome/Anopheles_sialome/links/cluster-b/anopheline-sialome-cds-pep-larger-orf65-50SimCLU5.txt", 5)</f>
        <v>5</v>
      </c>
      <c r="CC271">
        <f>HYPERLINK("http://exon.niaid.nih.gov/transcriptome/Anopheles_sialome/links/cluster-b/anopheline-sialome-cds-pep-larger-orf65-50SimCLTL5.txt", 26)</f>
        <v>26</v>
      </c>
      <c r="CD271">
        <f>HYPERLINK("http://exon.niaid.nih.gov/transcriptome/Anopheles_sialome/links/cluster-b/anopheline-sialome-cds-pep-larger-orf70-50SimCLU4.txt", 4)</f>
        <v>4</v>
      </c>
      <c r="CE271">
        <f>HYPERLINK("http://exon.niaid.nih.gov/transcriptome/Anopheles_sialome/links/cluster-b/anopheline-sialome-cds-pep-larger-orf70-50SimCLTL4.txt", 26)</f>
        <v>26</v>
      </c>
      <c r="CF271">
        <f>HYPERLINK("http://exon.niaid.nih.gov/transcriptome/Anopheles_sialome/links/cluster-b/anopheline-sialome-cds-pep-larger-orf75-50SimCLU4.txt", 4)</f>
        <v>4</v>
      </c>
      <c r="CG271">
        <f>HYPERLINK("http://exon.niaid.nih.gov/transcriptome/Anopheles_sialome/links/cluster-b/anopheline-sialome-cds-pep-larger-orf75-50SimCLTL4.txt", 24)</f>
        <v>24</v>
      </c>
      <c r="CH271">
        <f>HYPERLINK("http://exon.niaid.nih.gov/transcriptome/Anopheles_sialome/links/cluster-b/anopheline-sialome-cds-pep-larger-orf80-50SimCLU4.txt", 4)</f>
        <v>4</v>
      </c>
      <c r="CI271">
        <f>HYPERLINK("http://exon.niaid.nih.gov/transcriptome/Anopheles_sialome/links/cluster-b/anopheline-sialome-cds-pep-larger-orf80-50SimCLTL4.txt", 20)</f>
        <v>20</v>
      </c>
      <c r="CJ271">
        <f>HYPERLINK("http://exon.niaid.nih.gov/transcriptome/Anopheles_sialome/links/cluster-b/anopheline-sialome-cds-pep-larger-orf85-50SimCLU3.txt", 3)</f>
        <v>3</v>
      </c>
      <c r="CK271">
        <f>HYPERLINK("http://exon.niaid.nih.gov/transcriptome/Anopheles_sialome/links/cluster-b/anopheline-sialome-cds-pep-larger-orf85-50SimCLTL3.txt", 20)</f>
        <v>20</v>
      </c>
      <c r="CL271">
        <f>HYPERLINK("http://exon.niaid.nih.gov/transcriptome/Anopheles_sialome/links/cluster-b/anopheline-sialome-cds-pep-larger-orf90-50SimCLU21.txt", 21)</f>
        <v>21</v>
      </c>
      <c r="CM271">
        <f>HYPERLINK("http://exon.niaid.nih.gov/transcriptome/Anopheles_sialome/links/cluster-b/anopheline-sialome-cds-pep-larger-orf90-50SimCLTL21.txt", 6)</f>
        <v>6</v>
      </c>
      <c r="CN271">
        <f>HYPERLINK("http://exon.niaid.nih.gov/transcriptome/Anopheles_sialome/links/cluster-b/anopheline-sialome-cds-pep-larger-orf95-50SimCLU13.txt", 13)</f>
        <v>13</v>
      </c>
      <c r="CO271">
        <f>HYPERLINK("http://exon.niaid.nih.gov/transcriptome/Anopheles_sialome/links/cluster-b/anopheline-sialome-cds-pep-larger-orf95-50SimCLTL13.txt", 6)</f>
        <v>6</v>
      </c>
    </row>
    <row r="272" spans="1:93">
      <c r="A272" s="2" t="str">
        <f>HYPERLINK("http://exon.niaid.nih.gov/transcriptome/Anopheles_sialome/links/cds/anoara_D7L1-cds.txt","anoara_D7L1")</f>
        <v>anoara_D7L1</v>
      </c>
      <c r="B272">
        <v>936</v>
      </c>
      <c r="C272" t="s">
        <v>188</v>
      </c>
      <c r="D272" t="s">
        <v>7</v>
      </c>
      <c r="E272" t="s">
        <v>5</v>
      </c>
      <c r="F272" t="s">
        <v>1</v>
      </c>
      <c r="G272" t="str">
        <f>HYPERLINK("http://exon.niaid.nih.gov/transcriptome/Anopheles_sialome/links/pep/anoara_D7L1-pep.txt","anoara_D7L1")</f>
        <v>anoara_D7L1</v>
      </c>
      <c r="H272">
        <v>311</v>
      </c>
      <c r="I272">
        <v>1</v>
      </c>
      <c r="J272" s="3" t="str">
        <f>HYPERLINK("http://exon.niaid.nih.gov/transcriptome/Anopheles_sialome/links/Sigp/anoara_D7L1-SigP.txt","SIG")</f>
        <v>SIG</v>
      </c>
      <c r="K272" t="s">
        <v>689</v>
      </c>
      <c r="L272">
        <v>35.729999999999997</v>
      </c>
      <c r="M272">
        <v>5.9</v>
      </c>
      <c r="N272">
        <v>33.457999999999998</v>
      </c>
      <c r="O272">
        <v>6.06</v>
      </c>
      <c r="P272" t="s">
        <v>1138</v>
      </c>
      <c r="Q272" s="3">
        <v>0</v>
      </c>
      <c r="R272" t="s">
        <v>128</v>
      </c>
      <c r="S272" t="s">
        <v>128</v>
      </c>
      <c r="T272" t="s">
        <v>128</v>
      </c>
      <c r="U272" t="s">
        <v>128</v>
      </c>
      <c r="V272" t="s">
        <v>128</v>
      </c>
      <c r="W272" s="3" t="str">
        <f>HYPERLINK("http://exon.niaid.nih.gov/transcriptome/Anopheles_sialome/links/netoglyc/anoara_D7L1-netoglyc.txt","0")</f>
        <v>0</v>
      </c>
      <c r="X272">
        <v>10.6</v>
      </c>
      <c r="Y272">
        <v>5.0999999999999996</v>
      </c>
      <c r="Z272">
        <v>3.2</v>
      </c>
      <c r="AA272" t="s">
        <v>654</v>
      </c>
      <c r="AB272" t="s">
        <v>128</v>
      </c>
      <c r="AC272" s="2" t="str">
        <f>HYPERLINK("http://exon.niaid.nih.gov/transcriptome/Anopheles_sialome/links/DIPTERA/anoara_D7L1-DIPTERA.txt","long form D7 salivary protein")</f>
        <v>long form D7 salivary protein</v>
      </c>
      <c r="AD272" t="str">
        <f>HYPERLINK("http://www.ncbi.nlm.nih.gov/sutils/blink.cgi?pid=16225958","1E-179")</f>
        <v>1E-179</v>
      </c>
      <c r="AE272" t="str">
        <f>HYPERLINK("http://www.ncbi.nlm.nih.gov/protein/16225958","gi|16225958")</f>
        <v>gi|16225958</v>
      </c>
      <c r="AF272">
        <v>98</v>
      </c>
      <c r="AG272">
        <v>98</v>
      </c>
      <c r="AH272">
        <v>100</v>
      </c>
      <c r="AI272" t="s">
        <v>2453</v>
      </c>
      <c r="AJ272" s="2" t="str">
        <f>HYPERLINK("http://exon.niaid.nih.gov/transcriptome/Anopheles_sialome/links/CULICOMORPHA/anoara_D7L1-CULICOMORPHA.txt","long form D7 salivary protein")</f>
        <v>long form D7 salivary protein</v>
      </c>
      <c r="AK272" t="str">
        <f>HYPERLINK("http://www.ncbi.nlm.nih.gov/sutils/blink.cgi?pid=16225958","1E-180")</f>
        <v>1E-180</v>
      </c>
      <c r="AL272" t="str">
        <f>HYPERLINK("http://www.ncbi.nlm.nih.gov/protein/16225958","gi|16225958")</f>
        <v>gi|16225958</v>
      </c>
      <c r="AM272">
        <v>98</v>
      </c>
      <c r="AN272">
        <v>98</v>
      </c>
      <c r="AO272">
        <v>100</v>
      </c>
      <c r="AP272" t="s">
        <v>2453</v>
      </c>
      <c r="AQ272" s="2" t="str">
        <f>HYPERLINK("http://exon.niaid.nih.gov/transcriptome/Anopheles_sialome/links/NR-LIGHT/anoara_D7L1-NR-LIGHT.txt","long form D7 salivary protein")</f>
        <v>long form D7 salivary protein</v>
      </c>
      <c r="AR272" t="str">
        <f>HYPERLINK("http://www.ncbi.nlm.nih.gov/sutils/blink.cgi?pid=16225958","1E-178")</f>
        <v>1E-178</v>
      </c>
      <c r="AS272" t="str">
        <f>HYPERLINK("http://www.ncbi.nlm.nih.gov/protein/16225958","gi|16225958")</f>
        <v>gi|16225958</v>
      </c>
      <c r="AT272">
        <v>98</v>
      </c>
      <c r="AU272">
        <v>98</v>
      </c>
      <c r="AV272">
        <v>100</v>
      </c>
      <c r="AW272" t="s">
        <v>2453</v>
      </c>
      <c r="AX272" s="2" t="str">
        <f>HYPERLINK("http://exon.niaid.nih.gov/transcriptome/Anopheles_sialome/links/CDD/anoara_D7L1-CDD.txt","PBP_GOBP")</f>
        <v>PBP_GOBP</v>
      </c>
      <c r="AY272" t="str">
        <f>HYPERLINK("http://www.ncbi.nlm.nih.gov/Structure/cdd/cddsrv.cgi?uid=pfam01395&amp;version=v4.0","3E-008")</f>
        <v>3E-008</v>
      </c>
      <c r="AZ272" t="s">
        <v>2553</v>
      </c>
      <c r="BA272" s="2" t="str">
        <f>HYPERLINK("http://exon.niaid.nih.gov/transcriptome/Anopheles_sialome/links/KOG/anoara_D7L1-KOG.txt","RFX family transcription factor")</f>
        <v>RFX family transcription factor</v>
      </c>
      <c r="BB272" t="str">
        <f>HYPERLINK("http://www.ncbi.nlm.nih.gov/Structure/cdd/cddsrv.cgi?uid=KOG3712","0.65")</f>
        <v>0.65</v>
      </c>
      <c r="BC272" t="s">
        <v>2262</v>
      </c>
      <c r="BD272" t="str">
        <f>HYPERLINK("http://exon.niaid.nih.gov/transcriptome/Anopheles_sialome/links/KOG/anoara_D7L1-KOG.txt","KOG3712")</f>
        <v>KOG3712</v>
      </c>
      <c r="BE272" t="str">
        <f>HYPERLINK("http://exon.niaid.nih.gov/transcriptome/Anopheles_sialome/links/PFAM/anoara_D7L1-PFAM.txt","PBP_GOBP")</f>
        <v>PBP_GOBP</v>
      </c>
      <c r="BF272" t="str">
        <f>HYPERLINK("http://pfam.sanger.ac.uk/family?acc=PF01395","6E-009")</f>
        <v>6E-009</v>
      </c>
      <c r="BG272" s="2" t="str">
        <f>HYPERLINK("http://exon.niaid.nih.gov/transcriptome/Anopheles_sialome/links/SMART/anoara_D7L1-SMART.txt","PhBP")</f>
        <v>PhBP</v>
      </c>
      <c r="BH272" t="str">
        <f>HYPERLINK("http://smart.embl-heidelberg.de/smart/do_annotation.pl?DOMAIN=PhBP&amp;BLAST=DUMMY","4E-004")</f>
        <v>4E-004</v>
      </c>
      <c r="BI272" t="str">
        <f>HYPERLINK("http://exon.niaid.nih.gov/transcriptome/Anopheles_sialome/links/TICK-BLOCKS/anoara_D7L1-TICK-BLOCKS.txt","Lipid_binding_mosquito_D7_pattern |Lipid_binding_D7_WC_framework |")</f>
        <v>Lipid_binding_mosquito_D7_pattern |Lipid_binding_D7_WC_framework |</v>
      </c>
      <c r="BJ272" s="2" t="s">
        <v>2551</v>
      </c>
      <c r="BK272" t="s">
        <v>1145</v>
      </c>
      <c r="BL272">
        <f>HYPERLINK("http://exon.niaid.nih.gov/transcriptome/Anopheles_sialome/links/cluster-b/anopheline-sialome-cds-pep-larger-orf25-50SimCLU6.txt", 6)</f>
        <v>6</v>
      </c>
      <c r="BM272">
        <f>HYPERLINK("http://exon.niaid.nih.gov/transcriptome/Anopheles_sialome/links/cluster-b/anopheline-sialome-cds-pep-larger-orf25-50SimCLTL6.txt", 44)</f>
        <v>44</v>
      </c>
      <c r="BN272">
        <f>HYPERLINK("http://exon.niaid.nih.gov/transcriptome/Anopheles_sialome/links/cluster-b/anopheline-sialome-cds-pep-larger-orf30-50SimCLU5.txt", 5)</f>
        <v>5</v>
      </c>
      <c r="BO272">
        <f>HYPERLINK("http://exon.niaid.nih.gov/transcriptome/Anopheles_sialome/links/cluster-b/anopheline-sialome-cds-pep-larger-orf30-50SimCLTL5.txt", 44)</f>
        <v>44</v>
      </c>
      <c r="BP272">
        <f>HYPERLINK("http://exon.niaid.nih.gov/transcriptome/Anopheles_sialome/links/cluster-b/anopheline-sialome-cds-pep-larger-orf35-50SimCLU6.txt", 6)</f>
        <v>6</v>
      </c>
      <c r="BQ272">
        <f>HYPERLINK("http://exon.niaid.nih.gov/transcriptome/Anopheles_sialome/links/cluster-b/anopheline-sialome-cds-pep-larger-orf35-50SimCLTL6.txt", 44)</f>
        <v>44</v>
      </c>
      <c r="BR272">
        <f>HYPERLINK("http://exon.niaid.nih.gov/transcriptome/Anopheles_sialome/links/cluster-b/anopheline-sialome-cds-pep-larger-orf40-50SimCLU4.txt", 4)</f>
        <v>4</v>
      </c>
      <c r="BS272">
        <f>HYPERLINK("http://exon.niaid.nih.gov/transcriptome/Anopheles_sialome/links/cluster-b/anopheline-sialome-cds-pep-larger-orf40-50SimCLTL4.txt", 44)</f>
        <v>44</v>
      </c>
      <c r="BT272">
        <f>HYPERLINK("http://exon.niaid.nih.gov/transcriptome/Anopheles_sialome/links/cluster-b/anopheline-sialome-cds-pep-larger-orf45-50SimCLU10.txt", 10)</f>
        <v>10</v>
      </c>
      <c r="BU272">
        <f>HYPERLINK("http://exon.niaid.nih.gov/transcriptome/Anopheles_sialome/links/cluster-b/anopheline-sialome-cds-pep-larger-orf45-50SimCLTL10.txt", 26)</f>
        <v>26</v>
      </c>
      <c r="BV272">
        <f>HYPERLINK("http://exon.niaid.nih.gov/transcriptome/Anopheles_sialome/links/cluster-b/anopheline-sialome-cds-pep-larger-orf50-50SimCLU9.txt", 9)</f>
        <v>9</v>
      </c>
      <c r="BW272">
        <f>HYPERLINK("http://exon.niaid.nih.gov/transcriptome/Anopheles_sialome/links/cluster-b/anopheline-sialome-cds-pep-larger-orf50-50SimCLTL9.txt", 26)</f>
        <v>26</v>
      </c>
      <c r="BX272">
        <f>HYPERLINK("http://exon.niaid.nih.gov/transcriptome/Anopheles_sialome/links/cluster-b/anopheline-sialome-cds-pep-larger-orf55-50SimCLU10.txt", 10)</f>
        <v>10</v>
      </c>
      <c r="BY272">
        <f>HYPERLINK("http://exon.niaid.nih.gov/transcriptome/Anopheles_sialome/links/cluster-b/anopheline-sialome-cds-pep-larger-orf55-50SimCLTL10.txt", 26)</f>
        <v>26</v>
      </c>
      <c r="BZ272">
        <f>HYPERLINK("http://exon.niaid.nih.gov/transcriptome/Anopheles_sialome/links/cluster-b/anopheline-sialome-cds-pep-larger-orf60-50SimCLU8.txt", 8)</f>
        <v>8</v>
      </c>
      <c r="CA272">
        <f>HYPERLINK("http://exon.niaid.nih.gov/transcriptome/Anopheles_sialome/links/cluster-b/anopheline-sialome-cds-pep-larger-orf60-50SimCLTL8.txt", 26)</f>
        <v>26</v>
      </c>
      <c r="CB272">
        <f>HYPERLINK("http://exon.niaid.nih.gov/transcriptome/Anopheles_sialome/links/cluster-b/anopheline-sialome-cds-pep-larger-orf65-50SimCLU5.txt", 5)</f>
        <v>5</v>
      </c>
      <c r="CC272">
        <f>HYPERLINK("http://exon.niaid.nih.gov/transcriptome/Anopheles_sialome/links/cluster-b/anopheline-sialome-cds-pep-larger-orf65-50SimCLTL5.txt", 26)</f>
        <v>26</v>
      </c>
      <c r="CD272">
        <f>HYPERLINK("http://exon.niaid.nih.gov/transcriptome/Anopheles_sialome/links/cluster-b/anopheline-sialome-cds-pep-larger-orf70-50SimCLU4.txt", 4)</f>
        <v>4</v>
      </c>
      <c r="CE272">
        <f>HYPERLINK("http://exon.niaid.nih.gov/transcriptome/Anopheles_sialome/links/cluster-b/anopheline-sialome-cds-pep-larger-orf70-50SimCLTL4.txt", 26)</f>
        <v>26</v>
      </c>
      <c r="CF272">
        <f>HYPERLINK("http://exon.niaid.nih.gov/transcriptome/Anopheles_sialome/links/cluster-b/anopheline-sialome-cds-pep-larger-orf75-50SimCLU4.txt", 4)</f>
        <v>4</v>
      </c>
      <c r="CG272">
        <f>HYPERLINK("http://exon.niaid.nih.gov/transcriptome/Anopheles_sialome/links/cluster-b/anopheline-sialome-cds-pep-larger-orf75-50SimCLTL4.txt", 24)</f>
        <v>24</v>
      </c>
      <c r="CH272">
        <f>HYPERLINK("http://exon.niaid.nih.gov/transcriptome/Anopheles_sialome/links/cluster-b/anopheline-sialome-cds-pep-larger-orf80-50SimCLU4.txt", 4)</f>
        <v>4</v>
      </c>
      <c r="CI272">
        <f>HYPERLINK("http://exon.niaid.nih.gov/transcriptome/Anopheles_sialome/links/cluster-b/anopheline-sialome-cds-pep-larger-orf80-50SimCLTL4.txt", 20)</f>
        <v>20</v>
      </c>
      <c r="CJ272">
        <f>HYPERLINK("http://exon.niaid.nih.gov/transcriptome/Anopheles_sialome/links/cluster-b/anopheline-sialome-cds-pep-larger-orf85-50SimCLU3.txt", 3)</f>
        <v>3</v>
      </c>
      <c r="CK272">
        <f>HYPERLINK("http://exon.niaid.nih.gov/transcriptome/Anopheles_sialome/links/cluster-b/anopheline-sialome-cds-pep-larger-orf85-50SimCLTL3.txt", 20)</f>
        <v>20</v>
      </c>
      <c r="CL272">
        <f>HYPERLINK("http://exon.niaid.nih.gov/transcriptome/Anopheles_sialome/links/cluster-b/anopheline-sialome-cds-pep-larger-orf90-50SimCLU21.txt", 21)</f>
        <v>21</v>
      </c>
      <c r="CM272">
        <f>HYPERLINK("http://exon.niaid.nih.gov/transcriptome/Anopheles_sialome/links/cluster-b/anopheline-sialome-cds-pep-larger-orf90-50SimCLTL21.txt", 6)</f>
        <v>6</v>
      </c>
      <c r="CN272">
        <f>HYPERLINK("http://exon.niaid.nih.gov/transcriptome/Anopheles_sialome/links/cluster-b/anopheline-sialome-cds-pep-larger-orf95-50SimCLU13.txt", 13)</f>
        <v>13</v>
      </c>
      <c r="CO272">
        <f>HYPERLINK("http://exon.niaid.nih.gov/transcriptome/Anopheles_sialome/links/cluster-b/anopheline-sialome-cds-pep-larger-orf95-50SimCLTL13.txt", 6)</f>
        <v>6</v>
      </c>
    </row>
    <row r="273" spans="1:93">
      <c r="A273" s="2" t="str">
        <f>HYPERLINK("http://exon.niaid.nih.gov/transcriptome/Anopheles_sialome/links/cds/anoqua_D7L1-cds.txt","anoqua_D7L1")</f>
        <v>anoqua_D7L1</v>
      </c>
      <c r="B273">
        <v>936</v>
      </c>
      <c r="C273" t="s">
        <v>189</v>
      </c>
      <c r="D273" t="s">
        <v>7</v>
      </c>
      <c r="E273" t="s">
        <v>5</v>
      </c>
      <c r="F273" t="s">
        <v>1</v>
      </c>
      <c r="G273" t="str">
        <f>HYPERLINK("http://exon.niaid.nih.gov/transcriptome/Anopheles_sialome/links/pep/anoqua_D7L1-pep.txt","anoqua_D7L1")</f>
        <v>anoqua_D7L1</v>
      </c>
      <c r="H273">
        <v>311</v>
      </c>
      <c r="I273">
        <v>1</v>
      </c>
      <c r="J273" s="3" t="str">
        <f>HYPERLINK("http://exon.niaid.nih.gov/transcriptome/Anopheles_sialome/links/Sigp/anoqua_D7L1-SigP.txt","SIG")</f>
        <v>SIG</v>
      </c>
      <c r="K273" t="s">
        <v>689</v>
      </c>
      <c r="L273">
        <v>35.694000000000003</v>
      </c>
      <c r="M273">
        <v>5.9</v>
      </c>
      <c r="N273">
        <v>33.436</v>
      </c>
      <c r="O273">
        <v>6.06</v>
      </c>
      <c r="P273" t="s">
        <v>1144</v>
      </c>
      <c r="Q273" s="3">
        <v>0</v>
      </c>
      <c r="R273" t="s">
        <v>128</v>
      </c>
      <c r="S273" t="s">
        <v>128</v>
      </c>
      <c r="T273" t="s">
        <v>128</v>
      </c>
      <c r="U273" t="s">
        <v>128</v>
      </c>
      <c r="V273" t="s">
        <v>128</v>
      </c>
      <c r="W273" s="3" t="str">
        <f>HYPERLINK("http://exon.niaid.nih.gov/transcriptome/Anopheles_sialome/links/netoglyc/anoqua_D7L1-netoglyc.txt","0")</f>
        <v>0</v>
      </c>
      <c r="X273">
        <v>10.6</v>
      </c>
      <c r="Y273">
        <v>5.0999999999999996</v>
      </c>
      <c r="Z273">
        <v>3.5</v>
      </c>
      <c r="AA273" t="s">
        <v>654</v>
      </c>
      <c r="AB273" t="s">
        <v>128</v>
      </c>
      <c r="AC273" s="2" t="str">
        <f>HYPERLINK("http://exon.niaid.nih.gov/transcriptome/Anopheles_sialome/links/DIPTERA/anoqua_D7L1-DIPTERA.txt","AGAP008278-PA")</f>
        <v>AGAP008278-PA</v>
      </c>
      <c r="AD273" t="str">
        <f>HYPERLINK("http://www.ncbi.nlm.nih.gov/sutils/blink.cgi?pid=30175329","1E-180")</f>
        <v>1E-180</v>
      </c>
      <c r="AE273" t="str">
        <f>HYPERLINK("http://www.ncbi.nlm.nih.gov/protein/30175329","gi|30175329")</f>
        <v>gi|30175329</v>
      </c>
      <c r="AF273">
        <v>98</v>
      </c>
      <c r="AG273">
        <v>99</v>
      </c>
      <c r="AH273">
        <v>100</v>
      </c>
      <c r="AI273" t="s">
        <v>2285</v>
      </c>
      <c r="AJ273" s="2" t="str">
        <f>HYPERLINK("http://exon.niaid.nih.gov/transcriptome/Anopheles_sialome/links/CULICOMORPHA/anoqua_D7L1-CULICOMORPHA.txt","AGAP008278-PA")</f>
        <v>AGAP008278-PA</v>
      </c>
      <c r="AK273" t="str">
        <f>HYPERLINK("http://www.ncbi.nlm.nih.gov/sutils/blink.cgi?pid=30175329","0.0")</f>
        <v>0.0</v>
      </c>
      <c r="AL273" t="str">
        <f>HYPERLINK("http://www.ncbi.nlm.nih.gov/protein/30175329","gi|30175329")</f>
        <v>gi|30175329</v>
      </c>
      <c r="AM273">
        <v>98</v>
      </c>
      <c r="AN273">
        <v>99</v>
      </c>
      <c r="AO273">
        <v>100</v>
      </c>
      <c r="AP273" t="s">
        <v>2285</v>
      </c>
      <c r="AQ273" s="2" t="str">
        <f>HYPERLINK("http://exon.niaid.nih.gov/transcriptome/Anopheles_sialome/links/NR-LIGHT/anoqua_D7L1-NR-LIGHT.txt","AGAP008278-PA")</f>
        <v>AGAP008278-PA</v>
      </c>
      <c r="AR273" t="str">
        <f>HYPERLINK("http://www.ncbi.nlm.nih.gov/sutils/blink.cgi?pid=31222545","1E-179")</f>
        <v>1E-179</v>
      </c>
      <c r="AS273" t="str">
        <f>HYPERLINK("http://www.ncbi.nlm.nih.gov/protein/31222545","gi|31222545")</f>
        <v>gi|31222545</v>
      </c>
      <c r="AT273">
        <v>98</v>
      </c>
      <c r="AU273">
        <v>99</v>
      </c>
      <c r="AV273">
        <v>100</v>
      </c>
      <c r="AW273" t="s">
        <v>2285</v>
      </c>
      <c r="AX273" s="2" t="str">
        <f>HYPERLINK("http://exon.niaid.nih.gov/transcriptome/Anopheles_sialome/links/CDD/anoqua_D7L1-CDD.txt","PBP_GOBP")</f>
        <v>PBP_GOBP</v>
      </c>
      <c r="AY273" t="str">
        <f>HYPERLINK("http://www.ncbi.nlm.nih.gov/Structure/cdd/cddsrv.cgi?uid=pfam01395&amp;version=v4.0","5E-009")</f>
        <v>5E-009</v>
      </c>
      <c r="AZ273" t="s">
        <v>2554</v>
      </c>
      <c r="BA273" s="2" t="str">
        <f>HYPERLINK("http://exon.niaid.nih.gov/transcriptome/Anopheles_sialome/links/KOG/anoqua_D7L1-KOG.txt","RFX family transcription factor")</f>
        <v>RFX family transcription factor</v>
      </c>
      <c r="BB273" t="str">
        <f>HYPERLINK("http://www.ncbi.nlm.nih.gov/Structure/cdd/cddsrv.cgi?uid=KOG3712","1.1")</f>
        <v>1.1</v>
      </c>
      <c r="BC273" t="s">
        <v>2262</v>
      </c>
      <c r="BD273" t="str">
        <f>HYPERLINK("http://exon.niaid.nih.gov/transcriptome/Anopheles_sialome/links/KOG/anoqua_D7L1-KOG.txt","KOG3712")</f>
        <v>KOG3712</v>
      </c>
      <c r="BE273" t="str">
        <f>HYPERLINK("http://exon.niaid.nih.gov/transcriptome/Anopheles_sialome/links/PFAM/anoqua_D7L1-PFAM.txt","PBP_GOBP")</f>
        <v>PBP_GOBP</v>
      </c>
      <c r="BF273" t="str">
        <f>HYPERLINK("http://pfam.sanger.ac.uk/family?acc=PF01395","1E-009")</f>
        <v>1E-009</v>
      </c>
      <c r="BG273" s="2" t="str">
        <f>HYPERLINK("http://exon.niaid.nih.gov/transcriptome/Anopheles_sialome/links/SMART/anoqua_D7L1-SMART.txt","PhBP")</f>
        <v>PhBP</v>
      </c>
      <c r="BH273" t="str">
        <f>HYPERLINK("http://smart.embl-heidelberg.de/smart/do_annotation.pl?DOMAIN=PhBP&amp;BLAST=DUMMY","7E-005")</f>
        <v>7E-005</v>
      </c>
      <c r="BI273" t="str">
        <f>HYPERLINK("http://exon.niaid.nih.gov/transcriptome/Anopheles_sialome/links/TICK-BLOCKS/anoqua_D7L1-TICK-BLOCKS.txt","Lipid_binding_mosquito_D7_pattern |Lipid_binding_D7_WC_framework |")</f>
        <v>Lipid_binding_mosquito_D7_pattern |Lipid_binding_D7_WC_framework |</v>
      </c>
      <c r="BJ273" s="2" t="s">
        <v>2551</v>
      </c>
      <c r="BK273" t="s">
        <v>1146</v>
      </c>
      <c r="BL273">
        <f>HYPERLINK("http://exon.niaid.nih.gov/transcriptome/Anopheles_sialome/links/cluster-b/anopheline-sialome-cds-pep-larger-orf25-50SimCLU6.txt", 6)</f>
        <v>6</v>
      </c>
      <c r="BM273">
        <f>HYPERLINK("http://exon.niaid.nih.gov/transcriptome/Anopheles_sialome/links/cluster-b/anopheline-sialome-cds-pep-larger-orf25-50SimCLTL6.txt", 44)</f>
        <v>44</v>
      </c>
      <c r="BN273">
        <f>HYPERLINK("http://exon.niaid.nih.gov/transcriptome/Anopheles_sialome/links/cluster-b/anopheline-sialome-cds-pep-larger-orf30-50SimCLU5.txt", 5)</f>
        <v>5</v>
      </c>
      <c r="BO273">
        <f>HYPERLINK("http://exon.niaid.nih.gov/transcriptome/Anopheles_sialome/links/cluster-b/anopheline-sialome-cds-pep-larger-orf30-50SimCLTL5.txt", 44)</f>
        <v>44</v>
      </c>
      <c r="BP273">
        <f>HYPERLINK("http://exon.niaid.nih.gov/transcriptome/Anopheles_sialome/links/cluster-b/anopheline-sialome-cds-pep-larger-orf35-50SimCLU6.txt", 6)</f>
        <v>6</v>
      </c>
      <c r="BQ273">
        <f>HYPERLINK("http://exon.niaid.nih.gov/transcriptome/Anopheles_sialome/links/cluster-b/anopheline-sialome-cds-pep-larger-orf35-50SimCLTL6.txt", 44)</f>
        <v>44</v>
      </c>
      <c r="BR273">
        <f>HYPERLINK("http://exon.niaid.nih.gov/transcriptome/Anopheles_sialome/links/cluster-b/anopheline-sialome-cds-pep-larger-orf40-50SimCLU4.txt", 4)</f>
        <v>4</v>
      </c>
      <c r="BS273">
        <f>HYPERLINK("http://exon.niaid.nih.gov/transcriptome/Anopheles_sialome/links/cluster-b/anopheline-sialome-cds-pep-larger-orf40-50SimCLTL4.txt", 44)</f>
        <v>44</v>
      </c>
      <c r="BT273">
        <f>HYPERLINK("http://exon.niaid.nih.gov/transcriptome/Anopheles_sialome/links/cluster-b/anopheline-sialome-cds-pep-larger-orf45-50SimCLU10.txt", 10)</f>
        <v>10</v>
      </c>
      <c r="BU273">
        <f>HYPERLINK("http://exon.niaid.nih.gov/transcriptome/Anopheles_sialome/links/cluster-b/anopheline-sialome-cds-pep-larger-orf45-50SimCLTL10.txt", 26)</f>
        <v>26</v>
      </c>
      <c r="BV273">
        <f>HYPERLINK("http://exon.niaid.nih.gov/transcriptome/Anopheles_sialome/links/cluster-b/anopheline-sialome-cds-pep-larger-orf50-50SimCLU9.txt", 9)</f>
        <v>9</v>
      </c>
      <c r="BW273">
        <f>HYPERLINK("http://exon.niaid.nih.gov/transcriptome/Anopheles_sialome/links/cluster-b/anopheline-sialome-cds-pep-larger-orf50-50SimCLTL9.txt", 26)</f>
        <v>26</v>
      </c>
      <c r="BX273">
        <f>HYPERLINK("http://exon.niaid.nih.gov/transcriptome/Anopheles_sialome/links/cluster-b/anopheline-sialome-cds-pep-larger-orf55-50SimCLU10.txt", 10)</f>
        <v>10</v>
      </c>
      <c r="BY273">
        <f>HYPERLINK("http://exon.niaid.nih.gov/transcriptome/Anopheles_sialome/links/cluster-b/anopheline-sialome-cds-pep-larger-orf55-50SimCLTL10.txt", 26)</f>
        <v>26</v>
      </c>
      <c r="BZ273">
        <f>HYPERLINK("http://exon.niaid.nih.gov/transcriptome/Anopheles_sialome/links/cluster-b/anopheline-sialome-cds-pep-larger-orf60-50SimCLU8.txt", 8)</f>
        <v>8</v>
      </c>
      <c r="CA273">
        <f>HYPERLINK("http://exon.niaid.nih.gov/transcriptome/Anopheles_sialome/links/cluster-b/anopheline-sialome-cds-pep-larger-orf60-50SimCLTL8.txt", 26)</f>
        <v>26</v>
      </c>
      <c r="CB273">
        <f>HYPERLINK("http://exon.niaid.nih.gov/transcriptome/Anopheles_sialome/links/cluster-b/anopheline-sialome-cds-pep-larger-orf65-50SimCLU5.txt", 5)</f>
        <v>5</v>
      </c>
      <c r="CC273">
        <f>HYPERLINK("http://exon.niaid.nih.gov/transcriptome/Anopheles_sialome/links/cluster-b/anopheline-sialome-cds-pep-larger-orf65-50SimCLTL5.txt", 26)</f>
        <v>26</v>
      </c>
      <c r="CD273">
        <f>HYPERLINK("http://exon.niaid.nih.gov/transcriptome/Anopheles_sialome/links/cluster-b/anopheline-sialome-cds-pep-larger-orf70-50SimCLU4.txt", 4)</f>
        <v>4</v>
      </c>
      <c r="CE273">
        <f>HYPERLINK("http://exon.niaid.nih.gov/transcriptome/Anopheles_sialome/links/cluster-b/anopheline-sialome-cds-pep-larger-orf70-50SimCLTL4.txt", 26)</f>
        <v>26</v>
      </c>
      <c r="CF273">
        <f>HYPERLINK("http://exon.niaid.nih.gov/transcriptome/Anopheles_sialome/links/cluster-b/anopheline-sialome-cds-pep-larger-orf75-50SimCLU4.txt", 4)</f>
        <v>4</v>
      </c>
      <c r="CG273">
        <f>HYPERLINK("http://exon.niaid.nih.gov/transcriptome/Anopheles_sialome/links/cluster-b/anopheline-sialome-cds-pep-larger-orf75-50SimCLTL4.txt", 24)</f>
        <v>24</v>
      </c>
      <c r="CH273">
        <f>HYPERLINK("http://exon.niaid.nih.gov/transcriptome/Anopheles_sialome/links/cluster-b/anopheline-sialome-cds-pep-larger-orf80-50SimCLU4.txt", 4)</f>
        <v>4</v>
      </c>
      <c r="CI273">
        <f>HYPERLINK("http://exon.niaid.nih.gov/transcriptome/Anopheles_sialome/links/cluster-b/anopheline-sialome-cds-pep-larger-orf80-50SimCLTL4.txt", 20)</f>
        <v>20</v>
      </c>
      <c r="CJ273">
        <f>HYPERLINK("http://exon.niaid.nih.gov/transcriptome/Anopheles_sialome/links/cluster-b/anopheline-sialome-cds-pep-larger-orf85-50SimCLU3.txt", 3)</f>
        <v>3</v>
      </c>
      <c r="CK273">
        <f>HYPERLINK("http://exon.niaid.nih.gov/transcriptome/Anopheles_sialome/links/cluster-b/anopheline-sialome-cds-pep-larger-orf85-50SimCLTL3.txt", 20)</f>
        <v>20</v>
      </c>
      <c r="CL273">
        <f>HYPERLINK("http://exon.niaid.nih.gov/transcriptome/Anopheles_sialome/links/cluster-b/anopheline-sialome-cds-pep-larger-orf90-50SimCLU21.txt", 21)</f>
        <v>21</v>
      </c>
      <c r="CM273">
        <f>HYPERLINK("http://exon.niaid.nih.gov/transcriptome/Anopheles_sialome/links/cluster-b/anopheline-sialome-cds-pep-larger-orf90-50SimCLTL21.txt", 6)</f>
        <v>6</v>
      </c>
      <c r="CN273">
        <f>HYPERLINK("http://exon.niaid.nih.gov/transcriptome/Anopheles_sialome/links/cluster-b/anopheline-sialome-cds-pep-larger-orf95-50SimCLU13.txt", 13)</f>
        <v>13</v>
      </c>
      <c r="CO273">
        <f>HYPERLINK("http://exon.niaid.nih.gov/transcriptome/Anopheles_sialome/links/cluster-b/anopheline-sialome-cds-pep-larger-orf95-50SimCLTL13.txt", 6)</f>
        <v>6</v>
      </c>
    </row>
    <row r="274" spans="1:93">
      <c r="A274" s="2" t="str">
        <f>HYPERLINK("http://exon.niaid.nih.gov/transcriptome/Anopheles_sialome/links/cds/anomer_D7L1-cds.txt","anomer_D7L1")</f>
        <v>anomer_D7L1</v>
      </c>
      <c r="B274">
        <v>936</v>
      </c>
      <c r="C274" t="s">
        <v>190</v>
      </c>
      <c r="D274" t="s">
        <v>7</v>
      </c>
      <c r="E274" t="s">
        <v>5</v>
      </c>
      <c r="F274" t="s">
        <v>1</v>
      </c>
      <c r="G274" t="str">
        <f>HYPERLINK("http://exon.niaid.nih.gov/transcriptome/Anopheles_sialome/links/pep/anomer_D7L1-pep.txt","anomer_D7L1")</f>
        <v>anomer_D7L1</v>
      </c>
      <c r="H274">
        <v>311</v>
      </c>
      <c r="I274">
        <v>1</v>
      </c>
      <c r="J274" s="3" t="str">
        <f>HYPERLINK("http://exon.niaid.nih.gov/transcriptome/Anopheles_sialome/links/Sigp/anomer_D7L1-SigP.txt","SIG")</f>
        <v>SIG</v>
      </c>
      <c r="K274" t="s">
        <v>689</v>
      </c>
      <c r="L274">
        <v>35.743000000000002</v>
      </c>
      <c r="M274">
        <v>6.42</v>
      </c>
      <c r="N274">
        <v>33.451000000000001</v>
      </c>
      <c r="O274">
        <v>6.74</v>
      </c>
      <c r="P274" t="s">
        <v>1100</v>
      </c>
      <c r="Q274" s="3">
        <v>0</v>
      </c>
      <c r="R274" t="s">
        <v>128</v>
      </c>
      <c r="S274" t="s">
        <v>128</v>
      </c>
      <c r="T274" t="s">
        <v>128</v>
      </c>
      <c r="U274" t="s">
        <v>128</v>
      </c>
      <c r="V274" t="s">
        <v>128</v>
      </c>
      <c r="W274" s="3" t="str">
        <f>HYPERLINK("http://exon.niaid.nih.gov/transcriptome/Anopheles_sialome/links/netoglyc/anomer_D7L1-netoglyc.txt","0")</f>
        <v>0</v>
      </c>
      <c r="X274">
        <v>10.6</v>
      </c>
      <c r="Y274">
        <v>5.8</v>
      </c>
      <c r="Z274">
        <v>3.2</v>
      </c>
      <c r="AA274" t="s">
        <v>654</v>
      </c>
      <c r="AB274" t="s">
        <v>128</v>
      </c>
      <c r="AC274" s="2" t="str">
        <f>HYPERLINK("http://exon.niaid.nih.gov/transcriptome/Anopheles_sialome/links/DIPTERA/anomer_D7L1-DIPTERA.txt","AGAP008278-PA")</f>
        <v>AGAP008278-PA</v>
      </c>
      <c r="AD274" t="str">
        <f>HYPERLINK("http://www.ncbi.nlm.nih.gov/sutils/blink.cgi?pid=30175329","1E-175")</f>
        <v>1E-175</v>
      </c>
      <c r="AE274" t="str">
        <f>HYPERLINK("http://www.ncbi.nlm.nih.gov/protein/30175329","gi|30175329")</f>
        <v>gi|30175329</v>
      </c>
      <c r="AF274">
        <v>95</v>
      </c>
      <c r="AG274">
        <v>96</v>
      </c>
      <c r="AH274">
        <v>100</v>
      </c>
      <c r="AI274" t="s">
        <v>2285</v>
      </c>
      <c r="AJ274" s="2" t="str">
        <f>HYPERLINK("http://exon.niaid.nih.gov/transcriptome/Anopheles_sialome/links/CULICOMORPHA/anomer_D7L1-CULICOMORPHA.txt","AGAP008278-PA")</f>
        <v>AGAP008278-PA</v>
      </c>
      <c r="AK274" t="str">
        <f>HYPERLINK("http://www.ncbi.nlm.nih.gov/sutils/blink.cgi?pid=30175329","1E-176")</f>
        <v>1E-176</v>
      </c>
      <c r="AL274" t="str">
        <f>HYPERLINK("http://www.ncbi.nlm.nih.gov/protein/30175329","gi|30175329")</f>
        <v>gi|30175329</v>
      </c>
      <c r="AM274">
        <v>95</v>
      </c>
      <c r="AN274">
        <v>96</v>
      </c>
      <c r="AO274">
        <v>100</v>
      </c>
      <c r="AP274" t="s">
        <v>2285</v>
      </c>
      <c r="AQ274" s="2" t="str">
        <f>HYPERLINK("http://exon.niaid.nih.gov/transcriptome/Anopheles_sialome/links/NR-LIGHT/anomer_D7L1-NR-LIGHT.txt","AGAP008278-PA")</f>
        <v>AGAP008278-PA</v>
      </c>
      <c r="AR274" t="str">
        <f>HYPERLINK("http://www.ncbi.nlm.nih.gov/sutils/blink.cgi?pid=31222545","1E-174")</f>
        <v>1E-174</v>
      </c>
      <c r="AS274" t="str">
        <f>HYPERLINK("http://www.ncbi.nlm.nih.gov/protein/31222545","gi|31222545")</f>
        <v>gi|31222545</v>
      </c>
      <c r="AT274">
        <v>95</v>
      </c>
      <c r="AU274">
        <v>96</v>
      </c>
      <c r="AV274">
        <v>100</v>
      </c>
      <c r="AW274" t="s">
        <v>2285</v>
      </c>
      <c r="AX274" s="2" t="str">
        <f>HYPERLINK("http://exon.niaid.nih.gov/transcriptome/Anopheles_sialome/links/CDD/anomer_D7L1-CDD.txt","PBP_GOBP")</f>
        <v>PBP_GOBP</v>
      </c>
      <c r="AY274" t="str">
        <f>HYPERLINK("http://www.ncbi.nlm.nih.gov/Structure/cdd/cddsrv.cgi?uid=pfam01395&amp;version=v4.0","3E-009")</f>
        <v>3E-009</v>
      </c>
      <c r="AZ274" t="s">
        <v>2555</v>
      </c>
      <c r="BA274" s="2" t="str">
        <f>HYPERLINK("http://exon.niaid.nih.gov/transcriptome/Anopheles_sialome/links/KOG/anomer_D7L1-KOG.txt","RFX family transcription factor")</f>
        <v>RFX family transcription factor</v>
      </c>
      <c r="BB274" t="str">
        <f>HYPERLINK("http://www.ncbi.nlm.nih.gov/Structure/cdd/cddsrv.cgi?uid=KOG3712","2.0")</f>
        <v>2.0</v>
      </c>
      <c r="BC274" t="s">
        <v>2262</v>
      </c>
      <c r="BD274" t="str">
        <f>HYPERLINK("http://exon.niaid.nih.gov/transcriptome/Anopheles_sialome/links/KOG/anomer_D7L1-KOG.txt","KOG3712")</f>
        <v>KOG3712</v>
      </c>
      <c r="BE274" t="str">
        <f>HYPERLINK("http://exon.niaid.nih.gov/transcriptome/Anopheles_sialome/links/PFAM/anomer_D7L1-PFAM.txt","PBP_GOBP")</f>
        <v>PBP_GOBP</v>
      </c>
      <c r="BF274" t="str">
        <f>HYPERLINK("http://pfam.sanger.ac.uk/family?acc=PF01395","6E-010")</f>
        <v>6E-010</v>
      </c>
      <c r="BG274" s="2" t="str">
        <f>HYPERLINK("http://exon.niaid.nih.gov/transcriptome/Anopheles_sialome/links/SMART/anomer_D7L1-SMART.txt","PhBP")</f>
        <v>PhBP</v>
      </c>
      <c r="BH274" t="str">
        <f>HYPERLINK("http://smart.embl-heidelberg.de/smart/do_annotation.pl?DOMAIN=PhBP&amp;BLAST=DUMMY","2E-004")</f>
        <v>2E-004</v>
      </c>
      <c r="BI274" t="str">
        <f>HYPERLINK("http://exon.niaid.nih.gov/transcriptome/Anopheles_sialome/links/TICK-BLOCKS/anomer_D7L1-TICK-BLOCKS.txt","Lipid_binding_mosquito_D7_pattern |Lipid_binding_D7_WC_framework |")</f>
        <v>Lipid_binding_mosquito_D7_pattern |Lipid_binding_D7_WC_framework |</v>
      </c>
      <c r="BJ274" s="2" t="s">
        <v>2551</v>
      </c>
      <c r="BK274" t="s">
        <v>1147</v>
      </c>
      <c r="BL274">
        <f>HYPERLINK("http://exon.niaid.nih.gov/transcriptome/Anopheles_sialome/links/cluster-b/anopheline-sialome-cds-pep-larger-orf25-50SimCLU6.txt", 6)</f>
        <v>6</v>
      </c>
      <c r="BM274">
        <f>HYPERLINK("http://exon.niaid.nih.gov/transcriptome/Anopheles_sialome/links/cluster-b/anopheline-sialome-cds-pep-larger-orf25-50SimCLTL6.txt", 44)</f>
        <v>44</v>
      </c>
      <c r="BN274">
        <f>HYPERLINK("http://exon.niaid.nih.gov/transcriptome/Anopheles_sialome/links/cluster-b/anopheline-sialome-cds-pep-larger-orf30-50SimCLU5.txt", 5)</f>
        <v>5</v>
      </c>
      <c r="BO274">
        <f>HYPERLINK("http://exon.niaid.nih.gov/transcriptome/Anopheles_sialome/links/cluster-b/anopheline-sialome-cds-pep-larger-orf30-50SimCLTL5.txt", 44)</f>
        <v>44</v>
      </c>
      <c r="BP274">
        <f>HYPERLINK("http://exon.niaid.nih.gov/transcriptome/Anopheles_sialome/links/cluster-b/anopheline-sialome-cds-pep-larger-orf35-50SimCLU6.txt", 6)</f>
        <v>6</v>
      </c>
      <c r="BQ274">
        <f>HYPERLINK("http://exon.niaid.nih.gov/transcriptome/Anopheles_sialome/links/cluster-b/anopheline-sialome-cds-pep-larger-orf35-50SimCLTL6.txt", 44)</f>
        <v>44</v>
      </c>
      <c r="BR274">
        <f>HYPERLINK("http://exon.niaid.nih.gov/transcriptome/Anopheles_sialome/links/cluster-b/anopheline-sialome-cds-pep-larger-orf40-50SimCLU4.txt", 4)</f>
        <v>4</v>
      </c>
      <c r="BS274">
        <f>HYPERLINK("http://exon.niaid.nih.gov/transcriptome/Anopheles_sialome/links/cluster-b/anopheline-sialome-cds-pep-larger-orf40-50SimCLTL4.txt", 44)</f>
        <v>44</v>
      </c>
      <c r="BT274">
        <f>HYPERLINK("http://exon.niaid.nih.gov/transcriptome/Anopheles_sialome/links/cluster-b/anopheline-sialome-cds-pep-larger-orf45-50SimCLU10.txt", 10)</f>
        <v>10</v>
      </c>
      <c r="BU274">
        <f>HYPERLINK("http://exon.niaid.nih.gov/transcriptome/Anopheles_sialome/links/cluster-b/anopheline-sialome-cds-pep-larger-orf45-50SimCLTL10.txt", 26)</f>
        <v>26</v>
      </c>
      <c r="BV274">
        <f>HYPERLINK("http://exon.niaid.nih.gov/transcriptome/Anopheles_sialome/links/cluster-b/anopheline-sialome-cds-pep-larger-orf50-50SimCLU9.txt", 9)</f>
        <v>9</v>
      </c>
      <c r="BW274">
        <f>HYPERLINK("http://exon.niaid.nih.gov/transcriptome/Anopheles_sialome/links/cluster-b/anopheline-sialome-cds-pep-larger-orf50-50SimCLTL9.txt", 26)</f>
        <v>26</v>
      </c>
      <c r="BX274">
        <f>HYPERLINK("http://exon.niaid.nih.gov/transcriptome/Anopheles_sialome/links/cluster-b/anopheline-sialome-cds-pep-larger-orf55-50SimCLU10.txt", 10)</f>
        <v>10</v>
      </c>
      <c r="BY274">
        <f>HYPERLINK("http://exon.niaid.nih.gov/transcriptome/Anopheles_sialome/links/cluster-b/anopheline-sialome-cds-pep-larger-orf55-50SimCLTL10.txt", 26)</f>
        <v>26</v>
      </c>
      <c r="BZ274">
        <f>HYPERLINK("http://exon.niaid.nih.gov/transcriptome/Anopheles_sialome/links/cluster-b/anopheline-sialome-cds-pep-larger-orf60-50SimCLU8.txt", 8)</f>
        <v>8</v>
      </c>
      <c r="CA274">
        <f>HYPERLINK("http://exon.niaid.nih.gov/transcriptome/Anopheles_sialome/links/cluster-b/anopheline-sialome-cds-pep-larger-orf60-50SimCLTL8.txt", 26)</f>
        <v>26</v>
      </c>
      <c r="CB274">
        <f>HYPERLINK("http://exon.niaid.nih.gov/transcriptome/Anopheles_sialome/links/cluster-b/anopheline-sialome-cds-pep-larger-orf65-50SimCLU5.txt", 5)</f>
        <v>5</v>
      </c>
      <c r="CC274">
        <f>HYPERLINK("http://exon.niaid.nih.gov/transcriptome/Anopheles_sialome/links/cluster-b/anopheline-sialome-cds-pep-larger-orf65-50SimCLTL5.txt", 26)</f>
        <v>26</v>
      </c>
      <c r="CD274">
        <f>HYPERLINK("http://exon.niaid.nih.gov/transcriptome/Anopheles_sialome/links/cluster-b/anopheline-sialome-cds-pep-larger-orf70-50SimCLU4.txt", 4)</f>
        <v>4</v>
      </c>
      <c r="CE274">
        <f>HYPERLINK("http://exon.niaid.nih.gov/transcriptome/Anopheles_sialome/links/cluster-b/anopheline-sialome-cds-pep-larger-orf70-50SimCLTL4.txt", 26)</f>
        <v>26</v>
      </c>
      <c r="CF274">
        <f>HYPERLINK("http://exon.niaid.nih.gov/transcriptome/Anopheles_sialome/links/cluster-b/anopheline-sialome-cds-pep-larger-orf75-50SimCLU4.txt", 4)</f>
        <v>4</v>
      </c>
      <c r="CG274">
        <f>HYPERLINK("http://exon.niaid.nih.gov/transcriptome/Anopheles_sialome/links/cluster-b/anopheline-sialome-cds-pep-larger-orf75-50SimCLTL4.txt", 24)</f>
        <v>24</v>
      </c>
      <c r="CH274">
        <f>HYPERLINK("http://exon.niaid.nih.gov/transcriptome/Anopheles_sialome/links/cluster-b/anopheline-sialome-cds-pep-larger-orf80-50SimCLU4.txt", 4)</f>
        <v>4</v>
      </c>
      <c r="CI274">
        <f>HYPERLINK("http://exon.niaid.nih.gov/transcriptome/Anopheles_sialome/links/cluster-b/anopheline-sialome-cds-pep-larger-orf80-50SimCLTL4.txt", 20)</f>
        <v>20</v>
      </c>
      <c r="CJ274">
        <f>HYPERLINK("http://exon.niaid.nih.gov/transcriptome/Anopheles_sialome/links/cluster-b/anopheline-sialome-cds-pep-larger-orf85-50SimCLU3.txt", 3)</f>
        <v>3</v>
      </c>
      <c r="CK274">
        <f>HYPERLINK("http://exon.niaid.nih.gov/transcriptome/Anopheles_sialome/links/cluster-b/anopheline-sialome-cds-pep-larger-orf85-50SimCLTL3.txt", 20)</f>
        <v>20</v>
      </c>
      <c r="CL274">
        <f>HYPERLINK("http://exon.niaid.nih.gov/transcriptome/Anopheles_sialome/links/cluster-b/anopheline-sialome-cds-pep-larger-orf90-50SimCLU21.txt", 21)</f>
        <v>21</v>
      </c>
      <c r="CM274">
        <f>HYPERLINK("http://exon.niaid.nih.gov/transcriptome/Anopheles_sialome/links/cluster-b/anopheline-sialome-cds-pep-larger-orf90-50SimCLTL21.txt", 6)</f>
        <v>6</v>
      </c>
      <c r="CN274">
        <f>HYPERLINK("http://exon.niaid.nih.gov/transcriptome/Anopheles_sialome/links/cluster-b/anopheline-sialome-cds-pep-larger-orf95-50SimCLU13.txt", 13)</f>
        <v>13</v>
      </c>
      <c r="CO274">
        <f>HYPERLINK("http://exon.niaid.nih.gov/transcriptome/Anopheles_sialome/links/cluster-b/anopheline-sialome-cds-pep-larger-orf95-50SimCLTL13.txt", 6)</f>
        <v>6</v>
      </c>
    </row>
    <row r="275" spans="1:93">
      <c r="A275" s="2" t="str">
        <f>HYPERLINK("http://exon.niaid.nih.gov/transcriptome/Anopheles_sialome/links/cds/anomel_D7L1-cds.txt","anomel_D7L1")</f>
        <v>anomel_D7L1</v>
      </c>
      <c r="B275">
        <v>936</v>
      </c>
      <c r="C275" t="s">
        <v>4</v>
      </c>
      <c r="D275" s="8" t="s">
        <v>3178</v>
      </c>
      <c r="E275" t="s">
        <v>5</v>
      </c>
      <c r="F275" t="s">
        <v>1</v>
      </c>
      <c r="G275" t="str">
        <f>HYPERLINK("http://exon.niaid.nih.gov/transcriptome/Anopheles_sialome/links/pep/anomel_D7L1-pep.txt","anomel_D7L1")</f>
        <v>anomel_D7L1</v>
      </c>
      <c r="H275">
        <v>311</v>
      </c>
      <c r="I275">
        <v>1</v>
      </c>
      <c r="J275" s="3" t="str">
        <f>HYPERLINK("http://exon.niaid.nih.gov/transcriptome/Anopheles_sialome/links/Sigp/anomel_D7L1-SigP.txt","SIG")</f>
        <v>SIG</v>
      </c>
      <c r="K275" t="s">
        <v>689</v>
      </c>
      <c r="L275">
        <v>35.610999999999997</v>
      </c>
      <c r="M275">
        <v>5.9</v>
      </c>
      <c r="N275">
        <v>33.229999999999997</v>
      </c>
      <c r="O275">
        <v>5.9</v>
      </c>
      <c r="P275" t="s">
        <v>1072</v>
      </c>
      <c r="Q275" s="3">
        <v>0</v>
      </c>
      <c r="R275" t="s">
        <v>128</v>
      </c>
      <c r="S275" t="s">
        <v>128</v>
      </c>
      <c r="T275" t="s">
        <v>128</v>
      </c>
      <c r="U275" t="s">
        <v>128</v>
      </c>
      <c r="V275" t="s">
        <v>128</v>
      </c>
      <c r="W275" s="3" t="str">
        <f>HYPERLINK("http://exon.niaid.nih.gov/transcriptome/Anopheles_sialome/links/netoglyc/anomel_D7L1-netoglyc.txt","0")</f>
        <v>0</v>
      </c>
      <c r="X275">
        <v>10.3</v>
      </c>
      <c r="Y275">
        <v>4.8</v>
      </c>
      <c r="Z275">
        <v>3.5</v>
      </c>
      <c r="AA275" t="s">
        <v>654</v>
      </c>
      <c r="AB275" t="s">
        <v>128</v>
      </c>
      <c r="AC275" s="2" t="str">
        <f>HYPERLINK("http://exon.niaid.nih.gov/transcriptome/Anopheles_sialome/links/DIPTERA/anomel_D7L1-DIPTERA.txt","long form D7 salivary protein")</f>
        <v>long form D7 salivary protein</v>
      </c>
      <c r="AD275" t="str">
        <f>HYPERLINK("http://www.ncbi.nlm.nih.gov/sutils/blink.cgi?pid=16225958","1E-177")</f>
        <v>1E-177</v>
      </c>
      <c r="AE275" t="str">
        <f>HYPERLINK("http://www.ncbi.nlm.nih.gov/protein/16225958","gi|16225958")</f>
        <v>gi|16225958</v>
      </c>
      <c r="AF275">
        <v>96</v>
      </c>
      <c r="AG275">
        <v>99</v>
      </c>
      <c r="AH275">
        <v>100</v>
      </c>
      <c r="AI275" t="s">
        <v>2453</v>
      </c>
      <c r="AJ275" s="2" t="str">
        <f>HYPERLINK("http://exon.niaid.nih.gov/transcriptome/Anopheles_sialome/links/CULICOMORPHA/anomel_D7L1-CULICOMORPHA.txt","long form D7 salivary protein")</f>
        <v>long form D7 salivary protein</v>
      </c>
      <c r="AK275" t="str">
        <f>HYPERLINK("http://www.ncbi.nlm.nih.gov/sutils/blink.cgi?pid=16225958","1E-178")</f>
        <v>1E-178</v>
      </c>
      <c r="AL275" t="str">
        <f>HYPERLINK("http://www.ncbi.nlm.nih.gov/protein/16225958","gi|16225958")</f>
        <v>gi|16225958</v>
      </c>
      <c r="AM275">
        <v>96</v>
      </c>
      <c r="AN275">
        <v>99</v>
      </c>
      <c r="AO275">
        <v>100</v>
      </c>
      <c r="AP275" t="s">
        <v>2453</v>
      </c>
      <c r="AQ275" s="2" t="str">
        <f>HYPERLINK("http://exon.niaid.nih.gov/transcriptome/Anopheles_sialome/links/NR-LIGHT/anomel_D7L1-NR-LIGHT.txt","long form D7 salivary protein")</f>
        <v>long form D7 salivary protein</v>
      </c>
      <c r="AR275" t="str">
        <f>HYPERLINK("http://www.ncbi.nlm.nih.gov/sutils/blink.cgi?pid=16225958","1E-177")</f>
        <v>1E-177</v>
      </c>
      <c r="AS275" t="str">
        <f>HYPERLINK("http://www.ncbi.nlm.nih.gov/protein/16225958","gi|16225958")</f>
        <v>gi|16225958</v>
      </c>
      <c r="AT275">
        <v>96</v>
      </c>
      <c r="AU275">
        <v>99</v>
      </c>
      <c r="AV275">
        <v>100</v>
      </c>
      <c r="AW275" t="s">
        <v>2453</v>
      </c>
      <c r="AX275" s="2" t="str">
        <f>HYPERLINK("http://exon.niaid.nih.gov/transcriptome/Anopheles_sialome/links/CDD/anomel_D7L1-CDD.txt","PBP_GOBP")</f>
        <v>PBP_GOBP</v>
      </c>
      <c r="AY275" t="str">
        <f>HYPERLINK("http://www.ncbi.nlm.nih.gov/Structure/cdd/cddsrv.cgi?uid=pfam01395&amp;version=v4.0","1E-008")</f>
        <v>1E-008</v>
      </c>
      <c r="AZ275" t="s">
        <v>2556</v>
      </c>
      <c r="BA275" s="2" t="str">
        <f>HYPERLINK("http://exon.niaid.nih.gov/transcriptome/Anopheles_sialome/links/KOG/anomel_D7L1-KOG.txt","Leucine rich repeat proteins, some proteins contain F-box")</f>
        <v>Leucine rich repeat proteins, some proteins contain F-box</v>
      </c>
      <c r="BB275" t="str">
        <f>HYPERLINK("http://www.ncbi.nlm.nih.gov/Structure/cdd/cddsrv.cgi?uid=KOG1947","1.3")</f>
        <v>1.3</v>
      </c>
      <c r="BC275" t="s">
        <v>2310</v>
      </c>
      <c r="BD275" t="str">
        <f>HYPERLINK("http://exon.niaid.nih.gov/transcriptome/Anopheles_sialome/links/KOG/anomel_D7L1-KOG.txt","KOG1947")</f>
        <v>KOG1947</v>
      </c>
      <c r="BE275" t="str">
        <f>HYPERLINK("http://exon.niaid.nih.gov/transcriptome/Anopheles_sialome/links/PFAM/anomel_D7L1-PFAM.txt","PBP_GOBP")</f>
        <v>PBP_GOBP</v>
      </c>
      <c r="BF275" t="str">
        <f>HYPERLINK("http://pfam.sanger.ac.uk/family?acc=PF01395","3E-009")</f>
        <v>3E-009</v>
      </c>
      <c r="BG275" s="2" t="str">
        <f>HYPERLINK("http://exon.niaid.nih.gov/transcriptome/Anopheles_sialome/links/SMART/anomel_D7L1-SMART.txt","PhBP")</f>
        <v>PhBP</v>
      </c>
      <c r="BH275" t="str">
        <f>HYPERLINK("http://smart.embl-heidelberg.de/smart/do_annotation.pl?DOMAIN=PhBP&amp;BLAST=DUMMY","2E-004")</f>
        <v>2E-004</v>
      </c>
      <c r="BI275" t="str">
        <f>HYPERLINK("http://exon.niaid.nih.gov/transcriptome/Anopheles_sialome/links/TICK-BLOCKS/anomel_D7L1-TICK-BLOCKS.txt","Lipid_binding_mosquito_D7_pattern |Lipid_binding_D7_WC_framework |")</f>
        <v>Lipid_binding_mosquito_D7_pattern |Lipid_binding_D7_WC_framework |</v>
      </c>
      <c r="BJ275" s="2" t="s">
        <v>2551</v>
      </c>
      <c r="BK275" t="s">
        <v>1148</v>
      </c>
      <c r="BL275">
        <f>HYPERLINK("http://exon.niaid.nih.gov/transcriptome/Anopheles_sialome/links/cluster-b/anopheline-sialome-cds-pep-larger-orf25-50SimCLU6.txt", 6)</f>
        <v>6</v>
      </c>
      <c r="BM275">
        <f>HYPERLINK("http://exon.niaid.nih.gov/transcriptome/Anopheles_sialome/links/cluster-b/anopheline-sialome-cds-pep-larger-orf25-50SimCLTL6.txt", 44)</f>
        <v>44</v>
      </c>
      <c r="BN275">
        <f>HYPERLINK("http://exon.niaid.nih.gov/transcriptome/Anopheles_sialome/links/cluster-b/anopheline-sialome-cds-pep-larger-orf30-50SimCLU5.txt", 5)</f>
        <v>5</v>
      </c>
      <c r="BO275">
        <f>HYPERLINK("http://exon.niaid.nih.gov/transcriptome/Anopheles_sialome/links/cluster-b/anopheline-sialome-cds-pep-larger-orf30-50SimCLTL5.txt", 44)</f>
        <v>44</v>
      </c>
      <c r="BP275">
        <f>HYPERLINK("http://exon.niaid.nih.gov/transcriptome/Anopheles_sialome/links/cluster-b/anopheline-sialome-cds-pep-larger-orf35-50SimCLU6.txt", 6)</f>
        <v>6</v>
      </c>
      <c r="BQ275">
        <f>HYPERLINK("http://exon.niaid.nih.gov/transcriptome/Anopheles_sialome/links/cluster-b/anopheline-sialome-cds-pep-larger-orf35-50SimCLTL6.txt", 44)</f>
        <v>44</v>
      </c>
      <c r="BR275">
        <f>HYPERLINK("http://exon.niaid.nih.gov/transcriptome/Anopheles_sialome/links/cluster-b/anopheline-sialome-cds-pep-larger-orf40-50SimCLU4.txt", 4)</f>
        <v>4</v>
      </c>
      <c r="BS275">
        <f>HYPERLINK("http://exon.niaid.nih.gov/transcriptome/Anopheles_sialome/links/cluster-b/anopheline-sialome-cds-pep-larger-orf40-50SimCLTL4.txt", 44)</f>
        <v>44</v>
      </c>
      <c r="BT275">
        <f>HYPERLINK("http://exon.niaid.nih.gov/transcriptome/Anopheles_sialome/links/cluster-b/anopheline-sialome-cds-pep-larger-orf45-50SimCLU10.txt", 10)</f>
        <v>10</v>
      </c>
      <c r="BU275">
        <f>HYPERLINK("http://exon.niaid.nih.gov/transcriptome/Anopheles_sialome/links/cluster-b/anopheline-sialome-cds-pep-larger-orf45-50SimCLTL10.txt", 26)</f>
        <v>26</v>
      </c>
      <c r="BV275">
        <f>HYPERLINK("http://exon.niaid.nih.gov/transcriptome/Anopheles_sialome/links/cluster-b/anopheline-sialome-cds-pep-larger-orf50-50SimCLU9.txt", 9)</f>
        <v>9</v>
      </c>
      <c r="BW275">
        <f>HYPERLINK("http://exon.niaid.nih.gov/transcriptome/Anopheles_sialome/links/cluster-b/anopheline-sialome-cds-pep-larger-orf50-50SimCLTL9.txt", 26)</f>
        <v>26</v>
      </c>
      <c r="BX275">
        <f>HYPERLINK("http://exon.niaid.nih.gov/transcriptome/Anopheles_sialome/links/cluster-b/anopheline-sialome-cds-pep-larger-orf55-50SimCLU10.txt", 10)</f>
        <v>10</v>
      </c>
      <c r="BY275">
        <f>HYPERLINK("http://exon.niaid.nih.gov/transcriptome/Anopheles_sialome/links/cluster-b/anopheline-sialome-cds-pep-larger-orf55-50SimCLTL10.txt", 26)</f>
        <v>26</v>
      </c>
      <c r="BZ275">
        <f>HYPERLINK("http://exon.niaid.nih.gov/transcriptome/Anopheles_sialome/links/cluster-b/anopheline-sialome-cds-pep-larger-orf60-50SimCLU8.txt", 8)</f>
        <v>8</v>
      </c>
      <c r="CA275">
        <f>HYPERLINK("http://exon.niaid.nih.gov/transcriptome/Anopheles_sialome/links/cluster-b/anopheline-sialome-cds-pep-larger-orf60-50SimCLTL8.txt", 26)</f>
        <v>26</v>
      </c>
      <c r="CB275">
        <f>HYPERLINK("http://exon.niaid.nih.gov/transcriptome/Anopheles_sialome/links/cluster-b/anopheline-sialome-cds-pep-larger-orf65-50SimCLU5.txt", 5)</f>
        <v>5</v>
      </c>
      <c r="CC275">
        <f>HYPERLINK("http://exon.niaid.nih.gov/transcriptome/Anopheles_sialome/links/cluster-b/anopheline-sialome-cds-pep-larger-orf65-50SimCLTL5.txt", 26)</f>
        <v>26</v>
      </c>
      <c r="CD275">
        <f>HYPERLINK("http://exon.niaid.nih.gov/transcriptome/Anopheles_sialome/links/cluster-b/anopheline-sialome-cds-pep-larger-orf70-50SimCLU4.txt", 4)</f>
        <v>4</v>
      </c>
      <c r="CE275">
        <f>HYPERLINK("http://exon.niaid.nih.gov/transcriptome/Anopheles_sialome/links/cluster-b/anopheline-sialome-cds-pep-larger-orf70-50SimCLTL4.txt", 26)</f>
        <v>26</v>
      </c>
      <c r="CF275">
        <f>HYPERLINK("http://exon.niaid.nih.gov/transcriptome/Anopheles_sialome/links/cluster-b/anopheline-sialome-cds-pep-larger-orf75-50SimCLU4.txt", 4)</f>
        <v>4</v>
      </c>
      <c r="CG275">
        <f>HYPERLINK("http://exon.niaid.nih.gov/transcriptome/Anopheles_sialome/links/cluster-b/anopheline-sialome-cds-pep-larger-orf75-50SimCLTL4.txt", 24)</f>
        <v>24</v>
      </c>
      <c r="CH275">
        <f>HYPERLINK("http://exon.niaid.nih.gov/transcriptome/Anopheles_sialome/links/cluster-b/anopheline-sialome-cds-pep-larger-orf80-50SimCLU4.txt", 4)</f>
        <v>4</v>
      </c>
      <c r="CI275">
        <f>HYPERLINK("http://exon.niaid.nih.gov/transcriptome/Anopheles_sialome/links/cluster-b/anopheline-sialome-cds-pep-larger-orf80-50SimCLTL4.txt", 20)</f>
        <v>20</v>
      </c>
      <c r="CJ275">
        <f>HYPERLINK("http://exon.niaid.nih.gov/transcriptome/Anopheles_sialome/links/cluster-b/anopheline-sialome-cds-pep-larger-orf85-50SimCLU3.txt", 3)</f>
        <v>3</v>
      </c>
      <c r="CK275">
        <f>HYPERLINK("http://exon.niaid.nih.gov/transcriptome/Anopheles_sialome/links/cluster-b/anopheline-sialome-cds-pep-larger-orf85-50SimCLTL3.txt", 20)</f>
        <v>20</v>
      </c>
      <c r="CL275">
        <f>HYPERLINK("http://exon.niaid.nih.gov/transcriptome/Anopheles_sialome/links/cluster-b/anopheline-sialome-cds-pep-larger-orf90-50SimCLU21.txt", 21)</f>
        <v>21</v>
      </c>
      <c r="CM275">
        <f>HYPERLINK("http://exon.niaid.nih.gov/transcriptome/Anopheles_sialome/links/cluster-b/anopheline-sialome-cds-pep-larger-orf90-50SimCLTL21.txt", 6)</f>
        <v>6</v>
      </c>
      <c r="CN275">
        <f>HYPERLINK("http://exon.niaid.nih.gov/transcriptome/Anopheles_sialome/links/cluster-b/anopheline-sialome-cds-pep-larger-orf95-50SimCLU13.txt", 13)</f>
        <v>13</v>
      </c>
      <c r="CO275">
        <f>HYPERLINK("http://exon.niaid.nih.gov/transcriptome/Anopheles_sialome/links/cluster-b/anopheline-sialome-cds-pep-larger-orf95-50SimCLTL13.txt", 6)</f>
        <v>6</v>
      </c>
    </row>
    <row r="276" spans="1:93">
      <c r="A276" s="2" t="str">
        <f>HYPERLINK("http://exon.niaid.nih.gov/transcriptome/Anopheles_sialome/links/cds/anoepi_D7L1-cds.txt","anoepi_D7L1")</f>
        <v>anoepi_D7L1</v>
      </c>
      <c r="B276">
        <v>942</v>
      </c>
      <c r="C276" t="s">
        <v>191</v>
      </c>
      <c r="D276" t="s">
        <v>7</v>
      </c>
      <c r="E276" t="s">
        <v>5</v>
      </c>
      <c r="F276" t="s">
        <v>1</v>
      </c>
      <c r="G276" t="str">
        <f>HYPERLINK("http://exon.niaid.nih.gov/transcriptome/Anopheles_sialome/links/pep/anoepi_D7L1-pep.txt","anoepi_D7L1")</f>
        <v>anoepi_D7L1</v>
      </c>
      <c r="H276">
        <v>313</v>
      </c>
      <c r="I276">
        <v>2</v>
      </c>
      <c r="J276" s="3" t="str">
        <f>HYPERLINK("http://exon.niaid.nih.gov/transcriptome/Anopheles_sialome/links/Sigp/anoepi_D7L1-SigP.txt","SIG")</f>
        <v>SIG</v>
      </c>
      <c r="K276" t="s">
        <v>919</v>
      </c>
      <c r="L276">
        <v>35.761000000000003</v>
      </c>
      <c r="M276">
        <v>8.6999999999999993</v>
      </c>
      <c r="N276">
        <v>33.895000000000003</v>
      </c>
      <c r="O276">
        <v>8.6999999999999993</v>
      </c>
      <c r="P276" t="s">
        <v>891</v>
      </c>
      <c r="Q276" s="3">
        <v>0</v>
      </c>
      <c r="R276" t="s">
        <v>128</v>
      </c>
      <c r="S276" t="s">
        <v>128</v>
      </c>
      <c r="T276" t="s">
        <v>128</v>
      </c>
      <c r="U276" t="s">
        <v>128</v>
      </c>
      <c r="V276" t="s">
        <v>128</v>
      </c>
      <c r="W276" s="3" t="str">
        <f>HYPERLINK("http://exon.niaid.nih.gov/transcriptome/Anopheles_sialome/links/netoglyc/anoepi_D7L1-netoglyc.txt","0")</f>
        <v>0</v>
      </c>
      <c r="X276">
        <v>12.8</v>
      </c>
      <c r="Y276">
        <v>5.0999999999999996</v>
      </c>
      <c r="Z276">
        <v>3.8</v>
      </c>
      <c r="AA276" t="s">
        <v>654</v>
      </c>
      <c r="AB276" t="s">
        <v>1150</v>
      </c>
      <c r="AC276" s="2" t="str">
        <f>HYPERLINK("http://exon.niaid.nih.gov/transcriptome/Anopheles_sialome/links/DIPTERA/anoepi_D7L1-DIPTERA.txt","D7 protein")</f>
        <v>D7 protein</v>
      </c>
      <c r="AD276" t="str">
        <f>HYPERLINK("http://www.ncbi.nlm.nih.gov/sutils/blink.cgi?pid=15718081","1E-121")</f>
        <v>1E-121</v>
      </c>
      <c r="AE276" t="str">
        <f>HYPERLINK("http://www.ncbi.nlm.nih.gov/protein/15718081","gi|15718081")</f>
        <v>gi|15718081</v>
      </c>
      <c r="AF276">
        <v>64</v>
      </c>
      <c r="AG276">
        <v>80</v>
      </c>
      <c r="AH276">
        <v>100</v>
      </c>
      <c r="AI276" t="s">
        <v>2271</v>
      </c>
      <c r="AJ276" s="2" t="str">
        <f>HYPERLINK("http://exon.niaid.nih.gov/transcriptome/Anopheles_sialome/links/CULICOMORPHA/anoepi_D7L1-CULICOMORPHA.txt","D7 protein")</f>
        <v>D7 protein</v>
      </c>
      <c r="AK276" t="str">
        <f>HYPERLINK("http://www.ncbi.nlm.nih.gov/sutils/blink.cgi?pid=15718081","1E-122")</f>
        <v>1E-122</v>
      </c>
      <c r="AL276" t="str">
        <f>HYPERLINK("http://www.ncbi.nlm.nih.gov/protein/15718081","gi|15718081")</f>
        <v>gi|15718081</v>
      </c>
      <c r="AM276">
        <v>64</v>
      </c>
      <c r="AN276">
        <v>80</v>
      </c>
      <c r="AO276">
        <v>100</v>
      </c>
      <c r="AP276" t="s">
        <v>2271</v>
      </c>
      <c r="AQ276" s="2" t="str">
        <f>HYPERLINK("http://exon.niaid.nih.gov/transcriptome/Anopheles_sialome/links/NR-LIGHT/anoepi_D7L1-NR-LIGHT.txt","D7 protein")</f>
        <v>D7 protein</v>
      </c>
      <c r="AR276" t="str">
        <f>HYPERLINK("http://www.ncbi.nlm.nih.gov/sutils/blink.cgi?pid=15718081","1E-121")</f>
        <v>1E-121</v>
      </c>
      <c r="AS276" t="str">
        <f>HYPERLINK("http://www.ncbi.nlm.nih.gov/protein/15718081","gi|15718081")</f>
        <v>gi|15718081</v>
      </c>
      <c r="AT276">
        <v>64</v>
      </c>
      <c r="AU276">
        <v>80</v>
      </c>
      <c r="AV276">
        <v>100</v>
      </c>
      <c r="AW276" t="s">
        <v>2271</v>
      </c>
      <c r="AX276" s="2" t="str">
        <f>HYPERLINK("http://exon.niaid.nih.gov/transcriptome/Anopheles_sialome/links/CDD/anoepi_D7L1-CDD.txt","PBP_GOBP")</f>
        <v>PBP_GOBP</v>
      </c>
      <c r="AY276" t="str">
        <f>HYPERLINK("http://www.ncbi.nlm.nih.gov/Structure/cdd/cddsrv.cgi?uid=pfam01395&amp;version=v4.0","1E-008")</f>
        <v>1E-008</v>
      </c>
      <c r="AZ276" t="s">
        <v>2557</v>
      </c>
      <c r="BA276" s="2" t="str">
        <f>HYPERLINK("http://exon.niaid.nih.gov/transcriptome/Anopheles_sialome/links/KOG/anoepi_D7L1-KOG.txt","Mismatch repair MSH3")</f>
        <v>Mismatch repair MSH3</v>
      </c>
      <c r="BB276" t="str">
        <f>HYPERLINK("http://www.ncbi.nlm.nih.gov/Structure/cdd/cddsrv.cgi?uid=KOG0218","0.89")</f>
        <v>0.89</v>
      </c>
      <c r="BC276" t="s">
        <v>2290</v>
      </c>
      <c r="BD276" t="str">
        <f>HYPERLINK("http://exon.niaid.nih.gov/transcriptome/Anopheles_sialome/links/KOG/anoepi_D7L1-KOG.txt","KOG0218")</f>
        <v>KOG0218</v>
      </c>
      <c r="BE276" t="str">
        <f>HYPERLINK("http://exon.niaid.nih.gov/transcriptome/Anopheles_sialome/links/PFAM/anoepi_D7L1-PFAM.txt","PBP_GOBP")</f>
        <v>PBP_GOBP</v>
      </c>
      <c r="BF276" t="str">
        <f>HYPERLINK("http://pfam.sanger.ac.uk/family?acc=PF01395","3E-009")</f>
        <v>3E-009</v>
      </c>
      <c r="BG276" s="2" t="str">
        <f>HYPERLINK("http://exon.niaid.nih.gov/transcriptome/Anopheles_sialome/links/SMART/anoepi_D7L1-SMART.txt","PhBP")</f>
        <v>PhBP</v>
      </c>
      <c r="BH276" t="str">
        <f>HYPERLINK("http://smart.embl-heidelberg.de/smart/do_annotation.pl?DOMAIN=PhBP&amp;BLAST=DUMMY","3E-005")</f>
        <v>3E-005</v>
      </c>
      <c r="BI276" t="str">
        <f>HYPERLINK("http://exon.niaid.nih.gov/transcriptome/Anopheles_sialome/links/TICK-BLOCKS/anoepi_D7L1-TICK-BLOCKS.txt","Lipid_binding_mosquito_D7_pattern |Lipid_binding_D7_WC_framework |")</f>
        <v>Lipid_binding_mosquito_D7_pattern |Lipid_binding_D7_WC_framework |</v>
      </c>
      <c r="BJ276" s="2" t="s">
        <v>2551</v>
      </c>
      <c r="BK276" t="s">
        <v>1149</v>
      </c>
      <c r="BL276">
        <f>HYPERLINK("http://exon.niaid.nih.gov/transcriptome/Anopheles_sialome/links/cluster-b/anopheline-sialome-cds-pep-larger-orf25-50SimCLU6.txt", 6)</f>
        <v>6</v>
      </c>
      <c r="BM276">
        <f>HYPERLINK("http://exon.niaid.nih.gov/transcriptome/Anopheles_sialome/links/cluster-b/anopheline-sialome-cds-pep-larger-orf25-50SimCLTL6.txt", 44)</f>
        <v>44</v>
      </c>
      <c r="BN276">
        <f>HYPERLINK("http://exon.niaid.nih.gov/transcriptome/Anopheles_sialome/links/cluster-b/anopheline-sialome-cds-pep-larger-orf30-50SimCLU5.txt", 5)</f>
        <v>5</v>
      </c>
      <c r="BO276">
        <f>HYPERLINK("http://exon.niaid.nih.gov/transcriptome/Anopheles_sialome/links/cluster-b/anopheline-sialome-cds-pep-larger-orf30-50SimCLTL5.txt", 44)</f>
        <v>44</v>
      </c>
      <c r="BP276">
        <f>HYPERLINK("http://exon.niaid.nih.gov/transcriptome/Anopheles_sialome/links/cluster-b/anopheline-sialome-cds-pep-larger-orf35-50SimCLU6.txt", 6)</f>
        <v>6</v>
      </c>
      <c r="BQ276">
        <f>HYPERLINK("http://exon.niaid.nih.gov/transcriptome/Anopheles_sialome/links/cluster-b/anopheline-sialome-cds-pep-larger-orf35-50SimCLTL6.txt", 44)</f>
        <v>44</v>
      </c>
      <c r="BR276">
        <f>HYPERLINK("http://exon.niaid.nih.gov/transcriptome/Anopheles_sialome/links/cluster-b/anopheline-sialome-cds-pep-larger-orf40-50SimCLU4.txt", 4)</f>
        <v>4</v>
      </c>
      <c r="BS276">
        <f>HYPERLINK("http://exon.niaid.nih.gov/transcriptome/Anopheles_sialome/links/cluster-b/anopheline-sialome-cds-pep-larger-orf40-50SimCLTL4.txt", 44)</f>
        <v>44</v>
      </c>
      <c r="BT276">
        <f>HYPERLINK("http://exon.niaid.nih.gov/transcriptome/Anopheles_sialome/links/cluster-b/anopheline-sialome-cds-pep-larger-orf45-50SimCLU10.txt", 10)</f>
        <v>10</v>
      </c>
      <c r="BU276">
        <f>HYPERLINK("http://exon.niaid.nih.gov/transcriptome/Anopheles_sialome/links/cluster-b/anopheline-sialome-cds-pep-larger-orf45-50SimCLTL10.txt", 26)</f>
        <v>26</v>
      </c>
      <c r="BV276">
        <f>HYPERLINK("http://exon.niaid.nih.gov/transcriptome/Anopheles_sialome/links/cluster-b/anopheline-sialome-cds-pep-larger-orf50-50SimCLU9.txt", 9)</f>
        <v>9</v>
      </c>
      <c r="BW276">
        <f>HYPERLINK("http://exon.niaid.nih.gov/transcriptome/Anopheles_sialome/links/cluster-b/anopheline-sialome-cds-pep-larger-orf50-50SimCLTL9.txt", 26)</f>
        <v>26</v>
      </c>
      <c r="BX276">
        <f>HYPERLINK("http://exon.niaid.nih.gov/transcriptome/Anopheles_sialome/links/cluster-b/anopheline-sialome-cds-pep-larger-orf55-50SimCLU10.txt", 10)</f>
        <v>10</v>
      </c>
      <c r="BY276">
        <f>HYPERLINK("http://exon.niaid.nih.gov/transcriptome/Anopheles_sialome/links/cluster-b/anopheline-sialome-cds-pep-larger-orf55-50SimCLTL10.txt", 26)</f>
        <v>26</v>
      </c>
      <c r="BZ276">
        <f>HYPERLINK("http://exon.niaid.nih.gov/transcriptome/Anopheles_sialome/links/cluster-b/anopheline-sialome-cds-pep-larger-orf60-50SimCLU8.txt", 8)</f>
        <v>8</v>
      </c>
      <c r="CA276">
        <f>HYPERLINK("http://exon.niaid.nih.gov/transcriptome/Anopheles_sialome/links/cluster-b/anopheline-sialome-cds-pep-larger-orf60-50SimCLTL8.txt", 26)</f>
        <v>26</v>
      </c>
      <c r="CB276">
        <f>HYPERLINK("http://exon.niaid.nih.gov/transcriptome/Anopheles_sialome/links/cluster-b/anopheline-sialome-cds-pep-larger-orf65-50SimCLU5.txt", 5)</f>
        <v>5</v>
      </c>
      <c r="CC276">
        <f>HYPERLINK("http://exon.niaid.nih.gov/transcriptome/Anopheles_sialome/links/cluster-b/anopheline-sialome-cds-pep-larger-orf65-50SimCLTL5.txt", 26)</f>
        <v>26</v>
      </c>
      <c r="CD276">
        <f>HYPERLINK("http://exon.niaid.nih.gov/transcriptome/Anopheles_sialome/links/cluster-b/anopheline-sialome-cds-pep-larger-orf70-50SimCLU4.txt", 4)</f>
        <v>4</v>
      </c>
      <c r="CE276">
        <f>HYPERLINK("http://exon.niaid.nih.gov/transcriptome/Anopheles_sialome/links/cluster-b/anopheline-sialome-cds-pep-larger-orf70-50SimCLTL4.txt", 26)</f>
        <v>26</v>
      </c>
      <c r="CF276">
        <f>HYPERLINK("http://exon.niaid.nih.gov/transcriptome/Anopheles_sialome/links/cluster-b/anopheline-sialome-cds-pep-larger-orf75-50SimCLU4.txt", 4)</f>
        <v>4</v>
      </c>
      <c r="CG276">
        <f>HYPERLINK("http://exon.niaid.nih.gov/transcriptome/Anopheles_sialome/links/cluster-b/anopheline-sialome-cds-pep-larger-orf75-50SimCLTL4.txt", 24)</f>
        <v>24</v>
      </c>
      <c r="CH276">
        <f>HYPERLINK("http://exon.niaid.nih.gov/transcriptome/Anopheles_sialome/links/cluster-b/anopheline-sialome-cds-pep-larger-orf80-50SimCLU4.txt", 4)</f>
        <v>4</v>
      </c>
      <c r="CI276">
        <f>HYPERLINK("http://exon.niaid.nih.gov/transcriptome/Anopheles_sialome/links/cluster-b/anopheline-sialome-cds-pep-larger-orf80-50SimCLTL4.txt", 20)</f>
        <v>20</v>
      </c>
      <c r="CJ276">
        <f>HYPERLINK("http://exon.niaid.nih.gov/transcriptome/Anopheles_sialome/links/cluster-b/anopheline-sialome-cds-pep-larger-orf85-50SimCLU3.txt", 3)</f>
        <v>3</v>
      </c>
      <c r="CK276">
        <f>HYPERLINK("http://exon.niaid.nih.gov/transcriptome/Anopheles_sialome/links/cluster-b/anopheline-sialome-cds-pep-larger-orf85-50SimCLTL3.txt", 20)</f>
        <v>20</v>
      </c>
      <c r="CL276">
        <v>188</v>
      </c>
      <c r="CM276">
        <v>1</v>
      </c>
      <c r="CN276">
        <v>202</v>
      </c>
      <c r="CO276">
        <v>1</v>
      </c>
    </row>
    <row r="277" spans="1:93">
      <c r="A277" s="2" t="str">
        <f>HYPERLINK("http://exon.niaid.nih.gov/transcriptome/Anopheles_sialome/links/cds/anoste_D7L1-cds.txt","anoste_D7L1")</f>
        <v>anoste_D7L1</v>
      </c>
      <c r="B277">
        <v>948</v>
      </c>
      <c r="C277" t="s">
        <v>192</v>
      </c>
      <c r="D277" t="s">
        <v>7</v>
      </c>
      <c r="E277" t="s">
        <v>5</v>
      </c>
      <c r="F277" t="s">
        <v>1</v>
      </c>
      <c r="G277" t="str">
        <f>HYPERLINK("http://exon.niaid.nih.gov/transcriptome/Anopheles_sialome/links/pep/anoste_D7L1-pep.txt","anoste_D7L1")</f>
        <v>anoste_D7L1</v>
      </c>
      <c r="H277">
        <v>315</v>
      </c>
      <c r="I277">
        <v>1</v>
      </c>
      <c r="J277" s="3" t="str">
        <f>HYPERLINK("http://exon.niaid.nih.gov/transcriptome/Anopheles_sialome/links/Sigp/anoste_D7L1-SigP.txt","SIG")</f>
        <v>SIG</v>
      </c>
      <c r="K277" t="s">
        <v>925</v>
      </c>
      <c r="L277">
        <v>36.453000000000003</v>
      </c>
      <c r="M277">
        <v>8.7899999999999991</v>
      </c>
      <c r="N277">
        <v>34.521999999999998</v>
      </c>
      <c r="O277">
        <v>8.7899999999999991</v>
      </c>
      <c r="P277" t="s">
        <v>1144</v>
      </c>
      <c r="Q277" s="3">
        <v>0</v>
      </c>
      <c r="R277" t="s">
        <v>128</v>
      </c>
      <c r="S277" t="s">
        <v>128</v>
      </c>
      <c r="T277" t="s">
        <v>128</v>
      </c>
      <c r="U277" t="s">
        <v>128</v>
      </c>
      <c r="V277" t="s">
        <v>128</v>
      </c>
      <c r="W277" s="3" t="str">
        <f>HYPERLINK("http://exon.niaid.nih.gov/transcriptome/Anopheles_sialome/links/netoglyc/anoste_D7L1-netoglyc.txt","0")</f>
        <v>0</v>
      </c>
      <c r="X277">
        <v>9.5</v>
      </c>
      <c r="Y277">
        <v>4.0999999999999996</v>
      </c>
      <c r="Z277">
        <v>3.2</v>
      </c>
      <c r="AA277" t="s">
        <v>654</v>
      </c>
      <c r="AB277" t="s">
        <v>128</v>
      </c>
      <c r="AC277" s="2" t="str">
        <f>HYPERLINK("http://exon.niaid.nih.gov/transcriptome/Anopheles_sialome/links/DIPTERA/anoste_D7L1-DIPTERA.txt","D7 protein")</f>
        <v>D7 protein</v>
      </c>
      <c r="AD277" t="str">
        <f>HYPERLINK("http://www.ncbi.nlm.nih.gov/sutils/blink.cgi?pid=15718081","0.0")</f>
        <v>0.0</v>
      </c>
      <c r="AE277" t="str">
        <f>HYPERLINK("http://www.ncbi.nlm.nih.gov/protein/15718081","gi|15718081")</f>
        <v>gi|15718081</v>
      </c>
      <c r="AF277">
        <v>100</v>
      </c>
      <c r="AG277">
        <v>100</v>
      </c>
      <c r="AH277">
        <v>100</v>
      </c>
      <c r="AI277" t="s">
        <v>2271</v>
      </c>
      <c r="AJ277" s="2" t="str">
        <f>HYPERLINK("http://exon.niaid.nih.gov/transcriptome/Anopheles_sialome/links/CULICOMORPHA/anoste_D7L1-CULICOMORPHA.txt","D7 protein")</f>
        <v>D7 protein</v>
      </c>
      <c r="AK277" t="str">
        <f>HYPERLINK("http://www.ncbi.nlm.nih.gov/sutils/blink.cgi?pid=15718081","0.0")</f>
        <v>0.0</v>
      </c>
      <c r="AL277" t="str">
        <f>HYPERLINK("http://www.ncbi.nlm.nih.gov/protein/15718081","gi|15718081")</f>
        <v>gi|15718081</v>
      </c>
      <c r="AM277">
        <v>100</v>
      </c>
      <c r="AN277">
        <v>100</v>
      </c>
      <c r="AO277">
        <v>100</v>
      </c>
      <c r="AP277" t="s">
        <v>2271</v>
      </c>
      <c r="AQ277" s="2" t="str">
        <f>HYPERLINK("http://exon.niaid.nih.gov/transcriptome/Anopheles_sialome/links/NR-LIGHT/anoste_D7L1-NR-LIGHT.txt","D7 protein")</f>
        <v>D7 protein</v>
      </c>
      <c r="AR277" t="str">
        <f>HYPERLINK("http://www.ncbi.nlm.nih.gov/sutils/blink.cgi?pid=15718081","0.0")</f>
        <v>0.0</v>
      </c>
      <c r="AS277" t="str">
        <f>HYPERLINK("http://www.ncbi.nlm.nih.gov/protein/15718081","gi|15718081")</f>
        <v>gi|15718081</v>
      </c>
      <c r="AT277">
        <v>100</v>
      </c>
      <c r="AU277">
        <v>100</v>
      </c>
      <c r="AV277">
        <v>100</v>
      </c>
      <c r="AW277" t="s">
        <v>2271</v>
      </c>
      <c r="AX277" s="2" t="str">
        <f>HYPERLINK("http://exon.niaid.nih.gov/transcriptome/Anopheles_sialome/links/CDD/anoste_D7L1-CDD.txt","PBP_GOBP")</f>
        <v>PBP_GOBP</v>
      </c>
      <c r="AY277" t="str">
        <f>HYPERLINK("http://www.ncbi.nlm.nih.gov/Structure/cdd/cddsrv.cgi?uid=pfam01395&amp;version=v4.0","6E-007")</f>
        <v>6E-007</v>
      </c>
      <c r="AZ277" t="s">
        <v>2558</v>
      </c>
      <c r="BA277" s="2" t="str">
        <f>HYPERLINK("http://exon.niaid.nih.gov/transcriptome/Anopheles_sialome/links/KOG/anoste_D7L1-KOG.txt","Predicted RNA-binding protein")</f>
        <v>Predicted RNA-binding protein</v>
      </c>
      <c r="BB277" t="str">
        <f>HYPERLINK("http://www.ncbi.nlm.nih.gov/Structure/cdd/cddsrv.cgi?uid=KOG1855","1.4")</f>
        <v>1.4</v>
      </c>
      <c r="BC277" t="s">
        <v>2310</v>
      </c>
      <c r="BD277" t="str">
        <f>HYPERLINK("http://exon.niaid.nih.gov/transcriptome/Anopheles_sialome/links/KOG/anoste_D7L1-KOG.txt","KOG1855")</f>
        <v>KOG1855</v>
      </c>
      <c r="BE277" t="str">
        <f>HYPERLINK("http://exon.niaid.nih.gov/transcriptome/Anopheles_sialome/links/PFAM/anoste_D7L1-PFAM.txt","PBP_GOBP")</f>
        <v>PBP_GOBP</v>
      </c>
      <c r="BF277" t="str">
        <f>HYPERLINK("http://pfam.sanger.ac.uk/family?acc=PF01395","1E-007")</f>
        <v>1E-007</v>
      </c>
      <c r="BG277" s="2" t="str">
        <f>HYPERLINK("http://exon.niaid.nih.gov/transcriptome/Anopheles_sialome/links/SMART/anoste_D7L1-SMART.txt","PhBP")</f>
        <v>PhBP</v>
      </c>
      <c r="BH277" t="str">
        <f>HYPERLINK("http://smart.embl-heidelberg.de/smart/do_annotation.pl?DOMAIN=PhBP&amp;BLAST=DUMMY","1E-004")</f>
        <v>1E-004</v>
      </c>
      <c r="BI277" t="str">
        <f>HYPERLINK("http://exon.niaid.nih.gov/transcriptome/Anopheles_sialome/links/TICK-BLOCKS/anoste_D7L1-TICK-BLOCKS.txt","Lipid_binding_mosquito_D7_pattern |Lipid_binding_D7_WC_framework |")</f>
        <v>Lipid_binding_mosquito_D7_pattern |Lipid_binding_D7_WC_framework |</v>
      </c>
      <c r="BJ277" s="2" t="s">
        <v>2551</v>
      </c>
      <c r="BK277" t="s">
        <v>1151</v>
      </c>
      <c r="BL277">
        <f>HYPERLINK("http://exon.niaid.nih.gov/transcriptome/Anopheles_sialome/links/cluster-b/anopheline-sialome-cds-pep-larger-orf25-50SimCLU6.txt", 6)</f>
        <v>6</v>
      </c>
      <c r="BM277">
        <f>HYPERLINK("http://exon.niaid.nih.gov/transcriptome/Anopheles_sialome/links/cluster-b/anopheline-sialome-cds-pep-larger-orf25-50SimCLTL6.txt", 44)</f>
        <v>44</v>
      </c>
      <c r="BN277">
        <f>HYPERLINK("http://exon.niaid.nih.gov/transcriptome/Anopheles_sialome/links/cluster-b/anopheline-sialome-cds-pep-larger-orf30-50SimCLU5.txt", 5)</f>
        <v>5</v>
      </c>
      <c r="BO277">
        <f>HYPERLINK("http://exon.niaid.nih.gov/transcriptome/Anopheles_sialome/links/cluster-b/anopheline-sialome-cds-pep-larger-orf30-50SimCLTL5.txt", 44)</f>
        <v>44</v>
      </c>
      <c r="BP277">
        <f>HYPERLINK("http://exon.niaid.nih.gov/transcriptome/Anopheles_sialome/links/cluster-b/anopheline-sialome-cds-pep-larger-orf35-50SimCLU6.txt", 6)</f>
        <v>6</v>
      </c>
      <c r="BQ277">
        <f>HYPERLINK("http://exon.niaid.nih.gov/transcriptome/Anopheles_sialome/links/cluster-b/anopheline-sialome-cds-pep-larger-orf35-50SimCLTL6.txt", 44)</f>
        <v>44</v>
      </c>
      <c r="BR277">
        <f>HYPERLINK("http://exon.niaid.nih.gov/transcriptome/Anopheles_sialome/links/cluster-b/anopheline-sialome-cds-pep-larger-orf40-50SimCLU4.txt", 4)</f>
        <v>4</v>
      </c>
      <c r="BS277">
        <f>HYPERLINK("http://exon.niaid.nih.gov/transcriptome/Anopheles_sialome/links/cluster-b/anopheline-sialome-cds-pep-larger-orf40-50SimCLTL4.txt", 44)</f>
        <v>44</v>
      </c>
      <c r="BT277">
        <f>HYPERLINK("http://exon.niaid.nih.gov/transcriptome/Anopheles_sialome/links/cluster-b/anopheline-sialome-cds-pep-larger-orf45-50SimCLU10.txt", 10)</f>
        <v>10</v>
      </c>
      <c r="BU277">
        <f>HYPERLINK("http://exon.niaid.nih.gov/transcriptome/Anopheles_sialome/links/cluster-b/anopheline-sialome-cds-pep-larger-orf45-50SimCLTL10.txt", 26)</f>
        <v>26</v>
      </c>
      <c r="BV277">
        <f>HYPERLINK("http://exon.niaid.nih.gov/transcriptome/Anopheles_sialome/links/cluster-b/anopheline-sialome-cds-pep-larger-orf50-50SimCLU9.txt", 9)</f>
        <v>9</v>
      </c>
      <c r="BW277">
        <f>HYPERLINK("http://exon.niaid.nih.gov/transcriptome/Anopheles_sialome/links/cluster-b/anopheline-sialome-cds-pep-larger-orf50-50SimCLTL9.txt", 26)</f>
        <v>26</v>
      </c>
      <c r="BX277">
        <f>HYPERLINK("http://exon.niaid.nih.gov/transcriptome/Anopheles_sialome/links/cluster-b/anopheline-sialome-cds-pep-larger-orf55-50SimCLU10.txt", 10)</f>
        <v>10</v>
      </c>
      <c r="BY277">
        <f>HYPERLINK("http://exon.niaid.nih.gov/transcriptome/Anopheles_sialome/links/cluster-b/anopheline-sialome-cds-pep-larger-orf55-50SimCLTL10.txt", 26)</f>
        <v>26</v>
      </c>
      <c r="BZ277">
        <f>HYPERLINK("http://exon.niaid.nih.gov/transcriptome/Anopheles_sialome/links/cluster-b/anopheline-sialome-cds-pep-larger-orf60-50SimCLU8.txt", 8)</f>
        <v>8</v>
      </c>
      <c r="CA277">
        <f>HYPERLINK("http://exon.niaid.nih.gov/transcriptome/Anopheles_sialome/links/cluster-b/anopheline-sialome-cds-pep-larger-orf60-50SimCLTL8.txt", 26)</f>
        <v>26</v>
      </c>
      <c r="CB277">
        <f>HYPERLINK("http://exon.niaid.nih.gov/transcriptome/Anopheles_sialome/links/cluster-b/anopheline-sialome-cds-pep-larger-orf65-50SimCLU5.txt", 5)</f>
        <v>5</v>
      </c>
      <c r="CC277">
        <f>HYPERLINK("http://exon.niaid.nih.gov/transcriptome/Anopheles_sialome/links/cluster-b/anopheline-sialome-cds-pep-larger-orf65-50SimCLTL5.txt", 26)</f>
        <v>26</v>
      </c>
      <c r="CD277">
        <f>HYPERLINK("http://exon.niaid.nih.gov/transcriptome/Anopheles_sialome/links/cluster-b/anopheline-sialome-cds-pep-larger-orf70-50SimCLU4.txt", 4)</f>
        <v>4</v>
      </c>
      <c r="CE277">
        <f>HYPERLINK("http://exon.niaid.nih.gov/transcriptome/Anopheles_sialome/links/cluster-b/anopheline-sialome-cds-pep-larger-orf70-50SimCLTL4.txt", 26)</f>
        <v>26</v>
      </c>
      <c r="CF277">
        <f>HYPERLINK("http://exon.niaid.nih.gov/transcriptome/Anopheles_sialome/links/cluster-b/anopheline-sialome-cds-pep-larger-orf75-50SimCLU4.txt", 4)</f>
        <v>4</v>
      </c>
      <c r="CG277">
        <f>HYPERLINK("http://exon.niaid.nih.gov/transcriptome/Anopheles_sialome/links/cluster-b/anopheline-sialome-cds-pep-larger-orf75-50SimCLTL4.txt", 24)</f>
        <v>24</v>
      </c>
      <c r="CH277">
        <f>HYPERLINK("http://exon.niaid.nih.gov/transcriptome/Anopheles_sialome/links/cluster-b/anopheline-sialome-cds-pep-larger-orf80-50SimCLU4.txt", 4)</f>
        <v>4</v>
      </c>
      <c r="CI277">
        <f>HYPERLINK("http://exon.niaid.nih.gov/transcriptome/Anopheles_sialome/links/cluster-b/anopheline-sialome-cds-pep-larger-orf80-50SimCLTL4.txt", 20)</f>
        <v>20</v>
      </c>
      <c r="CJ277">
        <f>HYPERLINK("http://exon.niaid.nih.gov/transcriptome/Anopheles_sialome/links/cluster-b/anopheline-sialome-cds-pep-larger-orf85-50SimCLU3.txt", 3)</f>
        <v>3</v>
      </c>
      <c r="CK277">
        <f>HYPERLINK("http://exon.niaid.nih.gov/transcriptome/Anopheles_sialome/links/cluster-b/anopheline-sialome-cds-pep-larger-orf85-50SimCLTL3.txt", 20)</f>
        <v>20</v>
      </c>
      <c r="CL277">
        <f>HYPERLINK("http://exon.niaid.nih.gov/transcriptome/Anopheles_sialome/links/cluster-b/anopheline-sialome-cds-pep-larger-orf90-50SimCLU50.txt", 50)</f>
        <v>50</v>
      </c>
      <c r="CM277">
        <f>HYPERLINK("http://exon.niaid.nih.gov/transcriptome/Anopheles_sialome/links/cluster-b/anopheline-sialome-cds-pep-larger-orf90-50SimCLTL50.txt", 4)</f>
        <v>4</v>
      </c>
      <c r="CN277">
        <v>203</v>
      </c>
      <c r="CO277">
        <v>1</v>
      </c>
    </row>
    <row r="278" spans="1:93">
      <c r="A278" s="2" t="str">
        <f>HYPERLINK("http://exon.niaid.nih.gov/transcriptome/Anopheles_sialome/links/cds/anoatro_D7L1-cds.txt","anoatro_D7L1")</f>
        <v>anoatro_D7L1</v>
      </c>
      <c r="B278">
        <v>951</v>
      </c>
      <c r="C278" t="s">
        <v>193</v>
      </c>
      <c r="D278" t="s">
        <v>4</v>
      </c>
      <c r="E278" t="s">
        <v>5</v>
      </c>
      <c r="F278" t="s">
        <v>1</v>
      </c>
      <c r="G278" t="str">
        <f>HYPERLINK("http://exon.niaid.nih.gov/transcriptome/Anopheles_sialome/links/pep/anoatro_D7L1-pep.txt","anoatro_D7L1")</f>
        <v>anoatro_D7L1</v>
      </c>
      <c r="H278">
        <v>316</v>
      </c>
      <c r="I278">
        <v>3</v>
      </c>
      <c r="J278" s="3" t="str">
        <f>HYPERLINK("http://exon.niaid.nih.gov/transcriptome/Anopheles_sialome/links/Sigp/anoatro_D7L1-SigP.txt","SIG")</f>
        <v>SIG</v>
      </c>
      <c r="K278" t="s">
        <v>708</v>
      </c>
      <c r="L278">
        <v>36.051000000000002</v>
      </c>
      <c r="M278">
        <v>8.32</v>
      </c>
      <c r="N278">
        <v>33.645000000000003</v>
      </c>
      <c r="O278">
        <v>8.3800000000000008</v>
      </c>
      <c r="P278" t="s">
        <v>1153</v>
      </c>
      <c r="Q278" s="3" t="str">
        <f>HYPERLINK("http://exon.niaid.nih.gov/transcriptome/Anopheles_sialome/links/tmhmm/anoatro_D7L1-tmhmm.txt","1")</f>
        <v>1</v>
      </c>
      <c r="R278">
        <v>7</v>
      </c>
      <c r="S278">
        <v>90.8</v>
      </c>
      <c r="T278">
        <v>2.2000000000000002</v>
      </c>
      <c r="U278" t="s">
        <v>128</v>
      </c>
      <c r="V278">
        <v>287</v>
      </c>
      <c r="W278" s="3" t="str">
        <f>HYPERLINK("http://exon.niaid.nih.gov/transcriptome/Anopheles_sialome/links/netoglyc/anoatro_D7L1-netoglyc.txt","0")</f>
        <v>0</v>
      </c>
      <c r="X278">
        <v>9.5</v>
      </c>
      <c r="Y278">
        <v>4.0999999999999996</v>
      </c>
      <c r="Z278">
        <v>3.2</v>
      </c>
      <c r="AA278" t="s">
        <v>654</v>
      </c>
      <c r="AB278" t="s">
        <v>1154</v>
      </c>
      <c r="AC278" s="2" t="str">
        <f>HYPERLINK("http://exon.niaid.nih.gov/transcriptome/Anopheles_sialome/links/DIPTERA/anoatro_D7L1-DIPTERA.txt","hypothetical protein ZHAS_00010617")</f>
        <v>hypothetical protein ZHAS_00010617</v>
      </c>
      <c r="AD278" t="str">
        <f>HYPERLINK("http://www.ncbi.nlm.nih.gov/sutils/blink.cgi?pid=668454401","1E-149")</f>
        <v>1E-149</v>
      </c>
      <c r="AE278" t="str">
        <f>HYPERLINK("http://www.ncbi.nlm.nih.gov/protein/668454401","gi|668454401")</f>
        <v>gi|668454401</v>
      </c>
      <c r="AF278">
        <v>84</v>
      </c>
      <c r="AG278">
        <v>91</v>
      </c>
      <c r="AH278">
        <v>91</v>
      </c>
      <c r="AI278" t="s">
        <v>2277</v>
      </c>
      <c r="AJ278" s="2" t="str">
        <f>HYPERLINK("http://exon.niaid.nih.gov/transcriptome/Anopheles_sialome/links/CULICOMORPHA/anoatro_D7L1-CULICOMORPHA.txt","hypothetical protein ZHAS_00010617")</f>
        <v>hypothetical protein ZHAS_00010617</v>
      </c>
      <c r="AK278" t="str">
        <f>HYPERLINK("http://www.ncbi.nlm.nih.gov/sutils/blink.cgi?pid=668454401","1E-150")</f>
        <v>1E-150</v>
      </c>
      <c r="AL278" t="str">
        <f>HYPERLINK("http://www.ncbi.nlm.nih.gov/protein/668454401","gi|668454401")</f>
        <v>gi|668454401</v>
      </c>
      <c r="AM278">
        <v>84</v>
      </c>
      <c r="AN278">
        <v>91</v>
      </c>
      <c r="AO278">
        <v>91</v>
      </c>
      <c r="AP278" t="s">
        <v>2277</v>
      </c>
      <c r="AQ278" s="2" t="str">
        <f>HYPERLINK("http://exon.niaid.nih.gov/transcriptome/Anopheles_sialome/links/NR-LIGHT/anoatro_D7L1-NR-LIGHT.txt","hypothetical protein ZHAS_00010617")</f>
        <v>hypothetical protein ZHAS_00010617</v>
      </c>
      <c r="AR278" t="str">
        <f>HYPERLINK("http://www.ncbi.nlm.nih.gov/sutils/blink.cgi?pid=668454401","1E-148")</f>
        <v>1E-148</v>
      </c>
      <c r="AS278" t="str">
        <f>HYPERLINK("http://www.ncbi.nlm.nih.gov/protein/668454401","gi|668454401")</f>
        <v>gi|668454401</v>
      </c>
      <c r="AT278">
        <v>84</v>
      </c>
      <c r="AU278">
        <v>91</v>
      </c>
      <c r="AV278">
        <v>91</v>
      </c>
      <c r="AW278" t="s">
        <v>2277</v>
      </c>
      <c r="AX278" s="2" t="str">
        <f>HYPERLINK("http://exon.niaid.nih.gov/transcriptome/Anopheles_sialome/links/CDD/anoatro_D7L1-CDD.txt","PBP_GOBP")</f>
        <v>PBP_GOBP</v>
      </c>
      <c r="AY278" t="str">
        <f>HYPERLINK("http://www.ncbi.nlm.nih.gov/Structure/cdd/cddsrv.cgi?uid=pfam01395&amp;version=v4.0","5E-007")</f>
        <v>5E-007</v>
      </c>
      <c r="AZ278" t="s">
        <v>2559</v>
      </c>
      <c r="BA278" s="2" t="str">
        <f>HYPERLINK("http://exon.niaid.nih.gov/transcriptome/Anopheles_sialome/links/KOG/anoatro_D7L1-KOG.txt","RNA polymerase III (C) subunit")</f>
        <v>RNA polymerase III (C) subunit</v>
      </c>
      <c r="BB278" t="str">
        <f>HYPERLINK("http://www.ncbi.nlm.nih.gov/Structure/cdd/cddsrv.cgi?uid=KOG2587","3.3")</f>
        <v>3.3</v>
      </c>
      <c r="BC278" t="s">
        <v>2262</v>
      </c>
      <c r="BD278" t="str">
        <f>HYPERLINK("http://exon.niaid.nih.gov/transcriptome/Anopheles_sialome/links/KOG/anoatro_D7L1-KOG.txt","KOG2587")</f>
        <v>KOG2587</v>
      </c>
      <c r="BE278" t="str">
        <f>HYPERLINK("http://exon.niaid.nih.gov/transcriptome/Anopheles_sialome/links/PFAM/anoatro_D7L1-PFAM.txt","PBP_GOBP")</f>
        <v>PBP_GOBP</v>
      </c>
      <c r="BF278" t="str">
        <f>HYPERLINK("http://pfam.sanger.ac.uk/family?acc=PF01395","9E-008")</f>
        <v>9E-008</v>
      </c>
      <c r="BG278" s="2" t="str">
        <f>HYPERLINK("http://exon.niaid.nih.gov/transcriptome/Anopheles_sialome/links/SMART/anoatro_D7L1-SMART.txt","PhBP")</f>
        <v>PhBP</v>
      </c>
      <c r="BH278" t="str">
        <f>HYPERLINK("http://smart.embl-heidelberg.de/smart/do_annotation.pl?DOMAIN=PhBP&amp;BLAST=DUMMY","1E-004")</f>
        <v>1E-004</v>
      </c>
      <c r="BI278" t="str">
        <f>HYPERLINK("http://exon.niaid.nih.gov/transcriptome/Anopheles_sialome/links/TICK-BLOCKS/anoatro_D7L1-TICK-BLOCKS.txt","Lipid_binding_mosquito_D7_pattern |Lipid_binding_D7_WC_framework |")</f>
        <v>Lipid_binding_mosquito_D7_pattern |Lipid_binding_D7_WC_framework |</v>
      </c>
      <c r="BJ278" s="2" t="s">
        <v>2551</v>
      </c>
      <c r="BK278" t="s">
        <v>1152</v>
      </c>
      <c r="BL278">
        <f>HYPERLINK("http://exon.niaid.nih.gov/transcriptome/Anopheles_sialome/links/cluster-b/anopheline-sialome-cds-pep-larger-orf25-50SimCLU6.txt", 6)</f>
        <v>6</v>
      </c>
      <c r="BM278">
        <f>HYPERLINK("http://exon.niaid.nih.gov/transcriptome/Anopheles_sialome/links/cluster-b/anopheline-sialome-cds-pep-larger-orf25-50SimCLTL6.txt", 44)</f>
        <v>44</v>
      </c>
      <c r="BN278">
        <f>HYPERLINK("http://exon.niaid.nih.gov/transcriptome/Anopheles_sialome/links/cluster-b/anopheline-sialome-cds-pep-larger-orf30-50SimCLU5.txt", 5)</f>
        <v>5</v>
      </c>
      <c r="BO278">
        <f>HYPERLINK("http://exon.niaid.nih.gov/transcriptome/Anopheles_sialome/links/cluster-b/anopheline-sialome-cds-pep-larger-orf30-50SimCLTL5.txt", 44)</f>
        <v>44</v>
      </c>
      <c r="BP278">
        <f>HYPERLINK("http://exon.niaid.nih.gov/transcriptome/Anopheles_sialome/links/cluster-b/anopheline-sialome-cds-pep-larger-orf35-50SimCLU6.txt", 6)</f>
        <v>6</v>
      </c>
      <c r="BQ278">
        <f>HYPERLINK("http://exon.niaid.nih.gov/transcriptome/Anopheles_sialome/links/cluster-b/anopheline-sialome-cds-pep-larger-orf35-50SimCLTL6.txt", 44)</f>
        <v>44</v>
      </c>
      <c r="BR278">
        <f>HYPERLINK("http://exon.niaid.nih.gov/transcriptome/Anopheles_sialome/links/cluster-b/anopheline-sialome-cds-pep-larger-orf40-50SimCLU4.txt", 4)</f>
        <v>4</v>
      </c>
      <c r="BS278">
        <f>HYPERLINK("http://exon.niaid.nih.gov/transcriptome/Anopheles_sialome/links/cluster-b/anopheline-sialome-cds-pep-larger-orf40-50SimCLTL4.txt", 44)</f>
        <v>44</v>
      </c>
      <c r="BT278">
        <f>HYPERLINK("http://exon.niaid.nih.gov/transcriptome/Anopheles_sialome/links/cluster-b/anopheline-sialome-cds-pep-larger-orf45-50SimCLU10.txt", 10)</f>
        <v>10</v>
      </c>
      <c r="BU278">
        <f>HYPERLINK("http://exon.niaid.nih.gov/transcriptome/Anopheles_sialome/links/cluster-b/anopheline-sialome-cds-pep-larger-orf45-50SimCLTL10.txt", 26)</f>
        <v>26</v>
      </c>
      <c r="BV278">
        <f>HYPERLINK("http://exon.niaid.nih.gov/transcriptome/Anopheles_sialome/links/cluster-b/anopheline-sialome-cds-pep-larger-orf50-50SimCLU9.txt", 9)</f>
        <v>9</v>
      </c>
      <c r="BW278">
        <f>HYPERLINK("http://exon.niaid.nih.gov/transcriptome/Anopheles_sialome/links/cluster-b/anopheline-sialome-cds-pep-larger-orf50-50SimCLTL9.txt", 26)</f>
        <v>26</v>
      </c>
      <c r="BX278">
        <f>HYPERLINK("http://exon.niaid.nih.gov/transcriptome/Anopheles_sialome/links/cluster-b/anopheline-sialome-cds-pep-larger-orf55-50SimCLU10.txt", 10)</f>
        <v>10</v>
      </c>
      <c r="BY278">
        <f>HYPERLINK("http://exon.niaid.nih.gov/transcriptome/Anopheles_sialome/links/cluster-b/anopheline-sialome-cds-pep-larger-orf55-50SimCLTL10.txt", 26)</f>
        <v>26</v>
      </c>
      <c r="BZ278">
        <f>HYPERLINK("http://exon.niaid.nih.gov/transcriptome/Anopheles_sialome/links/cluster-b/anopheline-sialome-cds-pep-larger-orf60-50SimCLU8.txt", 8)</f>
        <v>8</v>
      </c>
      <c r="CA278">
        <f>HYPERLINK("http://exon.niaid.nih.gov/transcriptome/Anopheles_sialome/links/cluster-b/anopheline-sialome-cds-pep-larger-orf60-50SimCLTL8.txt", 26)</f>
        <v>26</v>
      </c>
      <c r="CB278">
        <f>HYPERLINK("http://exon.niaid.nih.gov/transcriptome/Anopheles_sialome/links/cluster-b/anopheline-sialome-cds-pep-larger-orf65-50SimCLU5.txt", 5)</f>
        <v>5</v>
      </c>
      <c r="CC278">
        <f>HYPERLINK("http://exon.niaid.nih.gov/transcriptome/Anopheles_sialome/links/cluster-b/anopheline-sialome-cds-pep-larger-orf65-50SimCLTL5.txt", 26)</f>
        <v>26</v>
      </c>
      <c r="CD278">
        <f>HYPERLINK("http://exon.niaid.nih.gov/transcriptome/Anopheles_sialome/links/cluster-b/anopheline-sialome-cds-pep-larger-orf70-50SimCLU4.txt", 4)</f>
        <v>4</v>
      </c>
      <c r="CE278">
        <f>HYPERLINK("http://exon.niaid.nih.gov/transcriptome/Anopheles_sialome/links/cluster-b/anopheline-sialome-cds-pep-larger-orf70-50SimCLTL4.txt", 26)</f>
        <v>26</v>
      </c>
      <c r="CF278">
        <f>HYPERLINK("http://exon.niaid.nih.gov/transcriptome/Anopheles_sialome/links/cluster-b/anopheline-sialome-cds-pep-larger-orf75-50SimCLU4.txt", 4)</f>
        <v>4</v>
      </c>
      <c r="CG278">
        <f>HYPERLINK("http://exon.niaid.nih.gov/transcriptome/Anopheles_sialome/links/cluster-b/anopheline-sialome-cds-pep-larger-orf75-50SimCLTL4.txt", 24)</f>
        <v>24</v>
      </c>
      <c r="CH278">
        <f>HYPERLINK("http://exon.niaid.nih.gov/transcriptome/Anopheles_sialome/links/cluster-b/anopheline-sialome-cds-pep-larger-orf80-50SimCLU70.txt", 70)</f>
        <v>70</v>
      </c>
      <c r="CI278">
        <f>HYPERLINK("http://exon.niaid.nih.gov/transcriptome/Anopheles_sialome/links/cluster-b/anopheline-sialome-cds-pep-larger-orf80-50SimCLTL70.txt", 2)</f>
        <v>2</v>
      </c>
      <c r="CJ278">
        <f>HYPERLINK("http://exon.niaid.nih.gov/transcriptome/Anopheles_sialome/links/cluster-b/anopheline-sialome-cds-pep-larger-orf85-50SimCLU74.txt", 74)</f>
        <v>74</v>
      </c>
      <c r="CK278">
        <f>HYPERLINK("http://exon.niaid.nih.gov/transcriptome/Anopheles_sialome/links/cluster-b/anopheline-sialome-cds-pep-larger-orf85-50SimCLTL74.txt", 2)</f>
        <v>2</v>
      </c>
      <c r="CL278">
        <v>189</v>
      </c>
      <c r="CM278">
        <v>1</v>
      </c>
      <c r="CN278">
        <v>204</v>
      </c>
      <c r="CO278">
        <v>1</v>
      </c>
    </row>
    <row r="279" spans="1:93">
      <c r="A279" s="2" t="str">
        <f>HYPERLINK("http://exon.niaid.nih.gov/transcriptome/Anopheles_sialome/links/cds/anosin_D7L1-cds.txt","anosin_D7L1")</f>
        <v>anosin_D7L1</v>
      </c>
      <c r="B279">
        <v>939</v>
      </c>
      <c r="C279" t="s">
        <v>194</v>
      </c>
      <c r="D279" t="s">
        <v>7</v>
      </c>
      <c r="E279" t="s">
        <v>5</v>
      </c>
      <c r="F279" t="s">
        <v>1</v>
      </c>
      <c r="G279" t="str">
        <f>HYPERLINK("http://exon.niaid.nih.gov/transcriptome/Anopheles_sialome/links/pep/anosin_D7L1-pep.txt","anosin_D7L1")</f>
        <v>anosin_D7L1</v>
      </c>
      <c r="H279">
        <v>312</v>
      </c>
      <c r="I279">
        <v>4</v>
      </c>
      <c r="J279" s="3" t="str">
        <f>HYPERLINK("http://exon.niaid.nih.gov/transcriptome/Anopheles_sialome/links/Sigp/anosin_D7L1-SigP.txt","SIG")</f>
        <v>SIG</v>
      </c>
      <c r="K279" t="s">
        <v>708</v>
      </c>
      <c r="L279">
        <v>35.386000000000003</v>
      </c>
      <c r="M279">
        <v>8.5299999999999994</v>
      </c>
      <c r="N279">
        <v>33.061</v>
      </c>
      <c r="O279">
        <v>8.5399999999999991</v>
      </c>
      <c r="P279" t="s">
        <v>1156</v>
      </c>
      <c r="Q279" s="3">
        <v>0</v>
      </c>
      <c r="R279" t="s">
        <v>128</v>
      </c>
      <c r="S279" t="s">
        <v>128</v>
      </c>
      <c r="T279" t="s">
        <v>128</v>
      </c>
      <c r="U279" t="s">
        <v>128</v>
      </c>
      <c r="V279" t="s">
        <v>128</v>
      </c>
      <c r="W279" s="3" t="str">
        <f>HYPERLINK("http://exon.niaid.nih.gov/transcriptome/Anopheles_sialome/links/netoglyc/anosin_D7L1-netoglyc.txt","0")</f>
        <v>0</v>
      </c>
      <c r="X279">
        <v>9.6</v>
      </c>
      <c r="Y279">
        <v>4.8</v>
      </c>
      <c r="Z279">
        <v>3.2</v>
      </c>
      <c r="AA279" t="s">
        <v>654</v>
      </c>
      <c r="AB279" t="s">
        <v>1157</v>
      </c>
      <c r="AC279" s="2" t="str">
        <f>HYPERLINK("http://exon.niaid.nih.gov/transcriptome/Anopheles_sialome/links/DIPTERA/anosin_D7L1-DIPTERA.txt","hypothetical protein ZHAS_00010617")</f>
        <v>hypothetical protein ZHAS_00010617</v>
      </c>
      <c r="AD279" t="str">
        <f>HYPERLINK("http://www.ncbi.nlm.nih.gov/sutils/blink.cgi?pid=668454401","1E-172")</f>
        <v>1E-172</v>
      </c>
      <c r="AE279" t="str">
        <f>HYPERLINK("http://www.ncbi.nlm.nih.gov/protein/668454401","gi|668454401")</f>
        <v>gi|668454401</v>
      </c>
      <c r="AF279">
        <v>99</v>
      </c>
      <c r="AG279">
        <v>99</v>
      </c>
      <c r="AH279">
        <v>91</v>
      </c>
      <c r="AI279" t="s">
        <v>2277</v>
      </c>
      <c r="AJ279" s="2" t="str">
        <f>HYPERLINK("http://exon.niaid.nih.gov/transcriptome/Anopheles_sialome/links/CULICOMORPHA/anosin_D7L1-CULICOMORPHA.txt","hypothetical protein ZHAS_00010617")</f>
        <v>hypothetical protein ZHAS_00010617</v>
      </c>
      <c r="AK279" t="str">
        <f>HYPERLINK("http://www.ncbi.nlm.nih.gov/sutils/blink.cgi?pid=668454401","1E-173")</f>
        <v>1E-173</v>
      </c>
      <c r="AL279" t="str">
        <f>HYPERLINK("http://www.ncbi.nlm.nih.gov/protein/668454401","gi|668454401")</f>
        <v>gi|668454401</v>
      </c>
      <c r="AM279">
        <v>99</v>
      </c>
      <c r="AN279">
        <v>99</v>
      </c>
      <c r="AO279">
        <v>91</v>
      </c>
      <c r="AP279" t="s">
        <v>2277</v>
      </c>
      <c r="AQ279" s="2" t="str">
        <f>HYPERLINK("http://exon.niaid.nih.gov/transcriptome/Anopheles_sialome/links/NR-LIGHT/anosin_D7L1-NR-LIGHT.txt","hypothetical protein ZHAS_00010617")</f>
        <v>hypothetical protein ZHAS_00010617</v>
      </c>
      <c r="AR279" t="str">
        <f>HYPERLINK("http://www.ncbi.nlm.nih.gov/sutils/blink.cgi?pid=668454401","1E-172")</f>
        <v>1E-172</v>
      </c>
      <c r="AS279" t="str">
        <f>HYPERLINK("http://www.ncbi.nlm.nih.gov/protein/668454401","gi|668454401")</f>
        <v>gi|668454401</v>
      </c>
      <c r="AT279">
        <v>99</v>
      </c>
      <c r="AU279">
        <v>99</v>
      </c>
      <c r="AV279">
        <v>91</v>
      </c>
      <c r="AW279" t="s">
        <v>2277</v>
      </c>
      <c r="AX279" s="2" t="str">
        <f>HYPERLINK("http://exon.niaid.nih.gov/transcriptome/Anopheles_sialome/links/CDD/anosin_D7L1-CDD.txt","PBP_GOBP")</f>
        <v>PBP_GOBP</v>
      </c>
      <c r="AY279" t="str">
        <f>HYPERLINK("http://www.ncbi.nlm.nih.gov/Structure/cdd/cddsrv.cgi?uid=pfam01395&amp;version=v4.0","6E-007")</f>
        <v>6E-007</v>
      </c>
      <c r="AZ279" t="s">
        <v>2560</v>
      </c>
      <c r="BA279" s="2" t="str">
        <f>HYPERLINK("http://exon.niaid.nih.gov/transcriptome/Anopheles_sialome/links/KOG/anosin_D7L1-KOG.txt","3-Methylcrotonyl-CoA carboxylase, non-biotin containing subunit/Acetyl-CoA carboxylase carboxyl transferase, subunit beta")</f>
        <v>3-Methylcrotonyl-CoA carboxylase, non-biotin containing subunit/Acetyl-CoA carboxylase carboxyl transferase, subunit beta</v>
      </c>
      <c r="BB279" t="str">
        <f>HYPERLINK("http://www.ncbi.nlm.nih.gov/Structure/cdd/cddsrv.cgi?uid=KOG0540","0.27")</f>
        <v>0.27</v>
      </c>
      <c r="BC279" t="s">
        <v>2561</v>
      </c>
      <c r="BD279" t="str">
        <f>HYPERLINK("http://exon.niaid.nih.gov/transcriptome/Anopheles_sialome/links/KOG/anosin_D7L1-KOG.txt","KOG0540")</f>
        <v>KOG0540</v>
      </c>
      <c r="BE279" t="str">
        <f>HYPERLINK("http://exon.niaid.nih.gov/transcriptome/Anopheles_sialome/links/PFAM/anosin_D7L1-PFAM.txt","PBP_GOBP")</f>
        <v>PBP_GOBP</v>
      </c>
      <c r="BF279" t="str">
        <f>HYPERLINK("http://pfam.sanger.ac.uk/family?acc=PF01395","1E-007")</f>
        <v>1E-007</v>
      </c>
      <c r="BG279" s="2" t="str">
        <f>HYPERLINK("http://exon.niaid.nih.gov/transcriptome/Anopheles_sialome/links/SMART/anosin_D7L1-SMART.txt","PhBP")</f>
        <v>PhBP</v>
      </c>
      <c r="BH279" t="str">
        <f>HYPERLINK("http://smart.embl-heidelberg.de/smart/do_annotation.pl?DOMAIN=PhBP&amp;BLAST=DUMMY","5E-004")</f>
        <v>5E-004</v>
      </c>
      <c r="BI279" t="str">
        <f>HYPERLINK("http://exon.niaid.nih.gov/transcriptome/Anopheles_sialome/links/TICK-BLOCKS/anosin_D7L1-TICK-BLOCKS.txt","Lipid_binding_D7_WC_framework |")</f>
        <v>Lipid_binding_D7_WC_framework |</v>
      </c>
      <c r="BJ279" s="2" t="s">
        <v>2562</v>
      </c>
      <c r="BK279" t="s">
        <v>1155</v>
      </c>
      <c r="BL279">
        <f>HYPERLINK("http://exon.niaid.nih.gov/transcriptome/Anopheles_sialome/links/cluster-b/anopheline-sialome-cds-pep-larger-orf25-50SimCLU6.txt", 6)</f>
        <v>6</v>
      </c>
      <c r="BM279">
        <f>HYPERLINK("http://exon.niaid.nih.gov/transcriptome/Anopheles_sialome/links/cluster-b/anopheline-sialome-cds-pep-larger-orf25-50SimCLTL6.txt", 44)</f>
        <v>44</v>
      </c>
      <c r="BN279">
        <f>HYPERLINK("http://exon.niaid.nih.gov/transcriptome/Anopheles_sialome/links/cluster-b/anopheline-sialome-cds-pep-larger-orf30-50SimCLU5.txt", 5)</f>
        <v>5</v>
      </c>
      <c r="BO279">
        <f>HYPERLINK("http://exon.niaid.nih.gov/transcriptome/Anopheles_sialome/links/cluster-b/anopheline-sialome-cds-pep-larger-orf30-50SimCLTL5.txt", 44)</f>
        <v>44</v>
      </c>
      <c r="BP279">
        <f>HYPERLINK("http://exon.niaid.nih.gov/transcriptome/Anopheles_sialome/links/cluster-b/anopheline-sialome-cds-pep-larger-orf35-50SimCLU6.txt", 6)</f>
        <v>6</v>
      </c>
      <c r="BQ279">
        <f>HYPERLINK("http://exon.niaid.nih.gov/transcriptome/Anopheles_sialome/links/cluster-b/anopheline-sialome-cds-pep-larger-orf35-50SimCLTL6.txt", 44)</f>
        <v>44</v>
      </c>
      <c r="BR279">
        <f>HYPERLINK("http://exon.niaid.nih.gov/transcriptome/Anopheles_sialome/links/cluster-b/anopheline-sialome-cds-pep-larger-orf40-50SimCLU4.txt", 4)</f>
        <v>4</v>
      </c>
      <c r="BS279">
        <f>HYPERLINK("http://exon.niaid.nih.gov/transcriptome/Anopheles_sialome/links/cluster-b/anopheline-sialome-cds-pep-larger-orf40-50SimCLTL4.txt", 44)</f>
        <v>44</v>
      </c>
      <c r="BT279">
        <f>HYPERLINK("http://exon.niaid.nih.gov/transcriptome/Anopheles_sialome/links/cluster-b/anopheline-sialome-cds-pep-larger-orf45-50SimCLU10.txt", 10)</f>
        <v>10</v>
      </c>
      <c r="BU279">
        <f>HYPERLINK("http://exon.niaid.nih.gov/transcriptome/Anopheles_sialome/links/cluster-b/anopheline-sialome-cds-pep-larger-orf45-50SimCLTL10.txt", 26)</f>
        <v>26</v>
      </c>
      <c r="BV279">
        <f>HYPERLINK("http://exon.niaid.nih.gov/transcriptome/Anopheles_sialome/links/cluster-b/anopheline-sialome-cds-pep-larger-orf50-50SimCLU9.txt", 9)</f>
        <v>9</v>
      </c>
      <c r="BW279">
        <f>HYPERLINK("http://exon.niaid.nih.gov/transcriptome/Anopheles_sialome/links/cluster-b/anopheline-sialome-cds-pep-larger-orf50-50SimCLTL9.txt", 26)</f>
        <v>26</v>
      </c>
      <c r="BX279">
        <f>HYPERLINK("http://exon.niaid.nih.gov/transcriptome/Anopheles_sialome/links/cluster-b/anopheline-sialome-cds-pep-larger-orf55-50SimCLU10.txt", 10)</f>
        <v>10</v>
      </c>
      <c r="BY279">
        <f>HYPERLINK("http://exon.niaid.nih.gov/transcriptome/Anopheles_sialome/links/cluster-b/anopheline-sialome-cds-pep-larger-orf55-50SimCLTL10.txt", 26)</f>
        <v>26</v>
      </c>
      <c r="BZ279">
        <f>HYPERLINK("http://exon.niaid.nih.gov/transcriptome/Anopheles_sialome/links/cluster-b/anopheline-sialome-cds-pep-larger-orf60-50SimCLU8.txt", 8)</f>
        <v>8</v>
      </c>
      <c r="CA279">
        <f>HYPERLINK("http://exon.niaid.nih.gov/transcriptome/Anopheles_sialome/links/cluster-b/anopheline-sialome-cds-pep-larger-orf60-50SimCLTL8.txt", 26)</f>
        <v>26</v>
      </c>
      <c r="CB279">
        <f>HYPERLINK("http://exon.niaid.nih.gov/transcriptome/Anopheles_sialome/links/cluster-b/anopheline-sialome-cds-pep-larger-orf65-50SimCLU5.txt", 5)</f>
        <v>5</v>
      </c>
      <c r="CC279">
        <f>HYPERLINK("http://exon.niaid.nih.gov/transcriptome/Anopheles_sialome/links/cluster-b/anopheline-sialome-cds-pep-larger-orf65-50SimCLTL5.txt", 26)</f>
        <v>26</v>
      </c>
      <c r="CD279">
        <f>HYPERLINK("http://exon.niaid.nih.gov/transcriptome/Anopheles_sialome/links/cluster-b/anopheline-sialome-cds-pep-larger-orf70-50SimCLU4.txt", 4)</f>
        <v>4</v>
      </c>
      <c r="CE279">
        <f>HYPERLINK("http://exon.niaid.nih.gov/transcriptome/Anopheles_sialome/links/cluster-b/anopheline-sialome-cds-pep-larger-orf70-50SimCLTL4.txt", 26)</f>
        <v>26</v>
      </c>
      <c r="CF279">
        <f>HYPERLINK("http://exon.niaid.nih.gov/transcriptome/Anopheles_sialome/links/cluster-b/anopheline-sialome-cds-pep-larger-orf75-50SimCLU4.txt", 4)</f>
        <v>4</v>
      </c>
      <c r="CG279">
        <f>HYPERLINK("http://exon.niaid.nih.gov/transcriptome/Anopheles_sialome/links/cluster-b/anopheline-sialome-cds-pep-larger-orf75-50SimCLTL4.txt", 24)</f>
        <v>24</v>
      </c>
      <c r="CH279">
        <f>HYPERLINK("http://exon.niaid.nih.gov/transcriptome/Anopheles_sialome/links/cluster-b/anopheline-sialome-cds-pep-larger-orf80-50SimCLU70.txt", 70)</f>
        <v>70</v>
      </c>
      <c r="CI279">
        <f>HYPERLINK("http://exon.niaid.nih.gov/transcriptome/Anopheles_sialome/links/cluster-b/anopheline-sialome-cds-pep-larger-orf80-50SimCLTL70.txt", 2)</f>
        <v>2</v>
      </c>
      <c r="CJ279">
        <f>HYPERLINK("http://exon.niaid.nih.gov/transcriptome/Anopheles_sialome/links/cluster-b/anopheline-sialome-cds-pep-larger-orf85-50SimCLU74.txt", 74)</f>
        <v>74</v>
      </c>
      <c r="CK279">
        <f>HYPERLINK("http://exon.niaid.nih.gov/transcriptome/Anopheles_sialome/links/cluster-b/anopheline-sialome-cds-pep-larger-orf85-50SimCLTL74.txt", 2)</f>
        <v>2</v>
      </c>
      <c r="CL279">
        <v>190</v>
      </c>
      <c r="CM279">
        <v>1</v>
      </c>
      <c r="CN279">
        <v>205</v>
      </c>
      <c r="CO279">
        <v>1</v>
      </c>
    </row>
    <row r="280" spans="1:93">
      <c r="A280" s="6" t="s">
        <v>3198</v>
      </c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</row>
    <row r="281" spans="1:93">
      <c r="A281" s="2" t="str">
        <f>HYPERLINK("http://exon.niaid.nih.gov/transcriptome/Anopheles_sialome/links/cds/anoga_D7L2-cds.txt","anoga_D7L2")</f>
        <v>anoga_D7L2</v>
      </c>
      <c r="B281">
        <v>948</v>
      </c>
      <c r="C281" t="s">
        <v>195</v>
      </c>
      <c r="D281" t="s">
        <v>4</v>
      </c>
      <c r="E281" t="s">
        <v>5</v>
      </c>
      <c r="F281" t="s">
        <v>1</v>
      </c>
      <c r="G281" t="str">
        <f>HYPERLINK("http://exon.niaid.nih.gov/transcriptome/Anopheles_sialome/links/pep/anoga_D7L2-pep.txt","anoga_D7L2")</f>
        <v>anoga_D7L2</v>
      </c>
      <c r="H281">
        <v>315</v>
      </c>
      <c r="I281">
        <v>1</v>
      </c>
      <c r="J281" s="3" t="str">
        <f>HYPERLINK("http://exon.niaid.nih.gov/transcriptome/Anopheles_sialome/links/Sigp/anoga_D7L2-SigP.txt","SIG")</f>
        <v>SIG</v>
      </c>
      <c r="K281" t="s">
        <v>925</v>
      </c>
      <c r="L281">
        <v>36.137999999999998</v>
      </c>
      <c r="M281">
        <v>7.99</v>
      </c>
      <c r="N281">
        <v>34.170999999999999</v>
      </c>
      <c r="O281">
        <v>8.0399999999999991</v>
      </c>
      <c r="P281" t="s">
        <v>1159</v>
      </c>
      <c r="Q281" s="3">
        <v>0</v>
      </c>
      <c r="R281" t="s">
        <v>128</v>
      </c>
      <c r="S281" t="s">
        <v>128</v>
      </c>
      <c r="T281" t="s">
        <v>128</v>
      </c>
      <c r="U281" t="s">
        <v>128</v>
      </c>
      <c r="V281" t="s">
        <v>128</v>
      </c>
      <c r="W281" s="3" t="str">
        <f>HYPERLINK("http://exon.niaid.nih.gov/transcriptome/Anopheles_sialome/links/netoglyc/anoga_D7L2-netoglyc.txt","0")</f>
        <v>0</v>
      </c>
      <c r="X281">
        <v>9.1999999999999993</v>
      </c>
      <c r="Y281">
        <v>5.0999999999999996</v>
      </c>
      <c r="Z281">
        <v>3.5</v>
      </c>
      <c r="AA281">
        <v>1</v>
      </c>
      <c r="AB281" t="s">
        <v>128</v>
      </c>
      <c r="AC281" s="2" t="str">
        <f>HYPERLINK("http://exon.niaid.nih.gov/transcriptome/Anopheles_sialome/links/DIPTERA/anoga_D7L2-DIPTERA.txt","long form D7 salivary protein")</f>
        <v>long form D7 salivary protein</v>
      </c>
      <c r="AD281" t="str">
        <f>HYPERLINK("http://www.ncbi.nlm.nih.gov/sutils/blink.cgi?pid=114864717","1E-144")</f>
        <v>1E-144</v>
      </c>
      <c r="AE281" t="str">
        <f t="shared" ref="AE281:AE290" si="129">HYPERLINK("http://www.ncbi.nlm.nih.gov/protein/114864717","gi|114864717")</f>
        <v>gi|114864717</v>
      </c>
      <c r="AF281">
        <v>75</v>
      </c>
      <c r="AG281">
        <v>87</v>
      </c>
      <c r="AH281">
        <v>100</v>
      </c>
      <c r="AI281" t="s">
        <v>2266</v>
      </c>
      <c r="AJ281" s="2" t="str">
        <f>HYPERLINK("http://exon.niaid.nih.gov/transcriptome/Anopheles_sialome/links/CULICOMORPHA/anoga_D7L2-CULICOMORPHA.txt","long form D7 salivary protein")</f>
        <v>long form D7 salivary protein</v>
      </c>
      <c r="AK281" t="str">
        <f>HYPERLINK("http://www.ncbi.nlm.nih.gov/sutils/blink.cgi?pid=114864717","1E-145")</f>
        <v>1E-145</v>
      </c>
      <c r="AL281" t="str">
        <f t="shared" ref="AL281:AL290" si="130">HYPERLINK("http://www.ncbi.nlm.nih.gov/protein/114864717","gi|114864717")</f>
        <v>gi|114864717</v>
      </c>
      <c r="AM281">
        <v>75</v>
      </c>
      <c r="AN281">
        <v>87</v>
      </c>
      <c r="AO281">
        <v>100</v>
      </c>
      <c r="AP281" t="s">
        <v>2266</v>
      </c>
      <c r="AQ281" s="2" t="str">
        <f>HYPERLINK("http://exon.niaid.nih.gov/transcriptome/Anopheles_sialome/links/NR-LIGHT/anoga_D7L2-NR-LIGHT.txt","long form D7 salivary protein")</f>
        <v>long form D7 salivary protein</v>
      </c>
      <c r="AR281" t="str">
        <f>HYPERLINK("http://www.ncbi.nlm.nih.gov/sutils/blink.cgi?pid=114864717","1E-143")</f>
        <v>1E-143</v>
      </c>
      <c r="AS281" t="str">
        <f t="shared" ref="AS281:AS291" si="131">HYPERLINK("http://www.ncbi.nlm.nih.gov/protein/114864717","gi|114864717")</f>
        <v>gi|114864717</v>
      </c>
      <c r="AT281">
        <v>75</v>
      </c>
      <c r="AU281">
        <v>87</v>
      </c>
      <c r="AV281">
        <v>100</v>
      </c>
      <c r="AW281" t="s">
        <v>2266</v>
      </c>
      <c r="AX281" s="2" t="str">
        <f>HYPERLINK("http://exon.niaid.nih.gov/transcriptome/Anopheles_sialome/links/CDD/anoga_D7L2-CDD.txt","PBP_GOBP")</f>
        <v>PBP_GOBP</v>
      </c>
      <c r="AY281" t="str">
        <f>HYPERLINK("http://www.ncbi.nlm.nih.gov/Structure/cdd/cddsrv.cgi?uid=pfam01395&amp;version=v4.0","8E-010")</f>
        <v>8E-010</v>
      </c>
      <c r="AZ281" t="s">
        <v>2563</v>
      </c>
      <c r="BA281" s="2" t="str">
        <f>HYPERLINK("http://exon.niaid.nih.gov/transcriptome/Anopheles_sialome/links/KOG/anoga_D7L2-KOG.txt","Discoidin domain receptor DDR1")</f>
        <v>Discoidin domain receptor DDR1</v>
      </c>
      <c r="BB281" t="str">
        <f>HYPERLINK("http://www.ncbi.nlm.nih.gov/Structure/cdd/cddsrv.cgi?uid=KOG1094","1.8")</f>
        <v>1.8</v>
      </c>
      <c r="BC281" t="s">
        <v>2292</v>
      </c>
      <c r="BD281" t="str">
        <f>HYPERLINK("http://exon.niaid.nih.gov/transcriptome/Anopheles_sialome/links/KOG/anoga_D7L2-KOG.txt","KOG1094")</f>
        <v>KOG1094</v>
      </c>
      <c r="BE281" t="str">
        <f>HYPERLINK("http://exon.niaid.nih.gov/transcriptome/Anopheles_sialome/links/PFAM/anoga_D7L2-PFAM.txt","PBP_GOBP")</f>
        <v>PBP_GOBP</v>
      </c>
      <c r="BF281" t="str">
        <f>HYPERLINK("http://pfam.sanger.ac.uk/family?acc=PF01395","2E-010")</f>
        <v>2E-010</v>
      </c>
      <c r="BG281" s="2" t="str">
        <f>HYPERLINK("http://exon.niaid.nih.gov/transcriptome/Anopheles_sialome/links/SMART/anoga_D7L2-SMART.txt","PhBP")</f>
        <v>PhBP</v>
      </c>
      <c r="BH281" t="str">
        <f>HYPERLINK("http://smart.embl-heidelberg.de/smart/do_annotation.pl?DOMAIN=PhBP&amp;BLAST=DUMMY","0.002")</f>
        <v>0.002</v>
      </c>
      <c r="BI281" t="str">
        <f>HYPERLINK("http://exon.niaid.nih.gov/transcriptome/Anopheles_sialome/links/TICK-BLOCKS/anoga_D7L2-TICK-BLOCKS.txt","Lipid_binding_mosquito_D7_pattern |Lipid_binding_D7_WC_framework |")</f>
        <v>Lipid_binding_mosquito_D7_pattern |Lipid_binding_D7_WC_framework |</v>
      </c>
      <c r="BJ281" s="2" t="s">
        <v>2551</v>
      </c>
      <c r="BK281" t="s">
        <v>1158</v>
      </c>
      <c r="BL281">
        <f>HYPERLINK("http://exon.niaid.nih.gov/transcriptome/Anopheles_sialome/links/cluster-b/anopheline-sialome-cds-pep-larger-orf25-50SimCLU6.txt", 6)</f>
        <v>6</v>
      </c>
      <c r="BM281">
        <f>HYPERLINK("http://exon.niaid.nih.gov/transcriptome/Anopheles_sialome/links/cluster-b/anopheline-sialome-cds-pep-larger-orf25-50SimCLTL6.txt", 44)</f>
        <v>44</v>
      </c>
      <c r="BN281">
        <f>HYPERLINK("http://exon.niaid.nih.gov/transcriptome/Anopheles_sialome/links/cluster-b/anopheline-sialome-cds-pep-larger-orf30-50SimCLU5.txt", 5)</f>
        <v>5</v>
      </c>
      <c r="BO281">
        <f>HYPERLINK("http://exon.niaid.nih.gov/transcriptome/Anopheles_sialome/links/cluster-b/anopheline-sialome-cds-pep-larger-orf30-50SimCLTL5.txt", 44)</f>
        <v>44</v>
      </c>
      <c r="BP281">
        <f>HYPERLINK("http://exon.niaid.nih.gov/transcriptome/Anopheles_sialome/links/cluster-b/anopheline-sialome-cds-pep-larger-orf35-50SimCLU6.txt", 6)</f>
        <v>6</v>
      </c>
      <c r="BQ281">
        <f>HYPERLINK("http://exon.niaid.nih.gov/transcriptome/Anopheles_sialome/links/cluster-b/anopheline-sialome-cds-pep-larger-orf35-50SimCLTL6.txt", 44)</f>
        <v>44</v>
      </c>
      <c r="BR281">
        <f>HYPERLINK("http://exon.niaid.nih.gov/transcriptome/Anopheles_sialome/links/cluster-b/anopheline-sialome-cds-pep-larger-orf40-50SimCLU4.txt", 4)</f>
        <v>4</v>
      </c>
      <c r="BS281">
        <f>HYPERLINK("http://exon.niaid.nih.gov/transcriptome/Anopheles_sialome/links/cluster-b/anopheline-sialome-cds-pep-larger-orf40-50SimCLTL4.txt", 44)</f>
        <v>44</v>
      </c>
      <c r="BT281">
        <f>HYPERLINK("http://exon.niaid.nih.gov/transcriptome/Anopheles_sialome/links/cluster-b/anopheline-sialome-cds-pep-larger-orf45-50SimCLU10.txt", 10)</f>
        <v>10</v>
      </c>
      <c r="BU281">
        <f>HYPERLINK("http://exon.niaid.nih.gov/transcriptome/Anopheles_sialome/links/cluster-b/anopheline-sialome-cds-pep-larger-orf45-50SimCLTL10.txt", 26)</f>
        <v>26</v>
      </c>
      <c r="BV281">
        <f>HYPERLINK("http://exon.niaid.nih.gov/transcriptome/Anopheles_sialome/links/cluster-b/anopheline-sialome-cds-pep-larger-orf50-50SimCLU9.txt", 9)</f>
        <v>9</v>
      </c>
      <c r="BW281">
        <f>HYPERLINK("http://exon.niaid.nih.gov/transcriptome/Anopheles_sialome/links/cluster-b/anopheline-sialome-cds-pep-larger-orf50-50SimCLTL9.txt", 26)</f>
        <v>26</v>
      </c>
      <c r="BX281">
        <f>HYPERLINK("http://exon.niaid.nih.gov/transcriptome/Anopheles_sialome/links/cluster-b/anopheline-sialome-cds-pep-larger-orf55-50SimCLU10.txt", 10)</f>
        <v>10</v>
      </c>
      <c r="BY281">
        <f>HYPERLINK("http://exon.niaid.nih.gov/transcriptome/Anopheles_sialome/links/cluster-b/anopheline-sialome-cds-pep-larger-orf55-50SimCLTL10.txt", 26)</f>
        <v>26</v>
      </c>
      <c r="BZ281">
        <f>HYPERLINK("http://exon.niaid.nih.gov/transcriptome/Anopheles_sialome/links/cluster-b/anopheline-sialome-cds-pep-larger-orf60-50SimCLU8.txt", 8)</f>
        <v>8</v>
      </c>
      <c r="CA281">
        <f>HYPERLINK("http://exon.niaid.nih.gov/transcriptome/Anopheles_sialome/links/cluster-b/anopheline-sialome-cds-pep-larger-orf60-50SimCLTL8.txt", 26)</f>
        <v>26</v>
      </c>
      <c r="CB281">
        <f>HYPERLINK("http://exon.niaid.nih.gov/transcriptome/Anopheles_sialome/links/cluster-b/anopheline-sialome-cds-pep-larger-orf65-50SimCLU5.txt", 5)</f>
        <v>5</v>
      </c>
      <c r="CC281">
        <f>HYPERLINK("http://exon.niaid.nih.gov/transcriptome/Anopheles_sialome/links/cluster-b/anopheline-sialome-cds-pep-larger-orf65-50SimCLTL5.txt", 26)</f>
        <v>26</v>
      </c>
      <c r="CD281">
        <f>HYPERLINK("http://exon.niaid.nih.gov/transcriptome/Anopheles_sialome/links/cluster-b/anopheline-sialome-cds-pep-larger-orf70-50SimCLU4.txt", 4)</f>
        <v>4</v>
      </c>
      <c r="CE281">
        <f>HYPERLINK("http://exon.niaid.nih.gov/transcriptome/Anopheles_sialome/links/cluster-b/anopheline-sialome-cds-pep-larger-orf70-50SimCLTL4.txt", 26)</f>
        <v>26</v>
      </c>
      <c r="CF281">
        <f>HYPERLINK("http://exon.niaid.nih.gov/transcriptome/Anopheles_sialome/links/cluster-b/anopheline-sialome-cds-pep-larger-orf75-50SimCLU4.txt", 4)</f>
        <v>4</v>
      </c>
      <c r="CG281">
        <f>HYPERLINK("http://exon.niaid.nih.gov/transcriptome/Anopheles_sialome/links/cluster-b/anopheline-sialome-cds-pep-larger-orf75-50SimCLTL4.txt", 24)</f>
        <v>24</v>
      </c>
      <c r="CH281">
        <f>HYPERLINK("http://exon.niaid.nih.gov/transcriptome/Anopheles_sialome/links/cluster-b/anopheline-sialome-cds-pep-larger-orf80-50SimCLU4.txt", 4)</f>
        <v>4</v>
      </c>
      <c r="CI281">
        <f>HYPERLINK("http://exon.niaid.nih.gov/transcriptome/Anopheles_sialome/links/cluster-b/anopheline-sialome-cds-pep-larger-orf80-50SimCLTL4.txt", 20)</f>
        <v>20</v>
      </c>
      <c r="CJ281">
        <f>HYPERLINK("http://exon.niaid.nih.gov/transcriptome/Anopheles_sialome/links/cluster-b/anopheline-sialome-cds-pep-larger-orf85-50SimCLU3.txt", 3)</f>
        <v>3</v>
      </c>
      <c r="CK281">
        <f>HYPERLINK("http://exon.niaid.nih.gov/transcriptome/Anopheles_sialome/links/cluster-b/anopheline-sialome-cds-pep-larger-orf85-50SimCLTL3.txt", 20)</f>
        <v>20</v>
      </c>
      <c r="CL281">
        <f>HYPERLINK("http://exon.niaid.nih.gov/transcriptome/Anopheles_sialome/links/cluster-b/anopheline-sialome-cds-pep-larger-orf90-50SimCLU15.txt", 15)</f>
        <v>15</v>
      </c>
      <c r="CM281">
        <f>HYPERLINK("http://exon.niaid.nih.gov/transcriptome/Anopheles_sialome/links/cluster-b/anopheline-sialome-cds-pep-larger-orf90-50SimCLTL15.txt", 7)</f>
        <v>7</v>
      </c>
      <c r="CN281">
        <f>HYPERLINK("http://exon.niaid.nih.gov/transcriptome/Anopheles_sialome/links/cluster-b/anopheline-sialome-cds-pep-larger-orf95-50SimCLU14.txt", 14)</f>
        <v>14</v>
      </c>
      <c r="CO281">
        <f>HYPERLINK("http://exon.niaid.nih.gov/transcriptome/Anopheles_sialome/links/cluster-b/anopheline-sialome-cds-pep-larger-orf95-50SimCLTL14.txt", 6)</f>
        <v>6</v>
      </c>
    </row>
    <row r="282" spans="1:93">
      <c r="A282" s="2" t="str">
        <f>HYPERLINK("http://exon.niaid.nih.gov/transcriptome/Anopheles_sialome/links/cds/anocol_D7L2-cds.txt","anocol_D7L2")</f>
        <v>anocol_D7L2</v>
      </c>
      <c r="B282">
        <v>948</v>
      </c>
      <c r="C282" t="s">
        <v>196</v>
      </c>
      <c r="D282" t="s">
        <v>7</v>
      </c>
      <c r="E282" t="s">
        <v>5</v>
      </c>
      <c r="F282" t="s">
        <v>1</v>
      </c>
      <c r="G282" t="str">
        <f>HYPERLINK("http://exon.niaid.nih.gov/transcriptome/Anopheles_sialome/links/pep/anocol_D7L2-pep.txt","anocol_D7L2")</f>
        <v>anocol_D7L2</v>
      </c>
      <c r="H282">
        <v>315</v>
      </c>
      <c r="I282">
        <v>1</v>
      </c>
      <c r="J282" s="3" t="str">
        <f>HYPERLINK("http://exon.niaid.nih.gov/transcriptome/Anopheles_sialome/links/Sigp/anocol_D7L2-SigP.txt","SIG")</f>
        <v>SIG</v>
      </c>
      <c r="K282" t="s">
        <v>925</v>
      </c>
      <c r="L282">
        <v>36.139000000000003</v>
      </c>
      <c r="M282">
        <v>7.99</v>
      </c>
      <c r="N282">
        <v>34.170999999999999</v>
      </c>
      <c r="O282">
        <v>8.0399999999999991</v>
      </c>
      <c r="P282" t="s">
        <v>1159</v>
      </c>
      <c r="Q282" s="3">
        <v>0</v>
      </c>
      <c r="R282" t="s">
        <v>128</v>
      </c>
      <c r="S282" t="s">
        <v>128</v>
      </c>
      <c r="T282" t="s">
        <v>128</v>
      </c>
      <c r="U282" t="s">
        <v>128</v>
      </c>
      <c r="V282" t="s">
        <v>128</v>
      </c>
      <c r="W282" s="3" t="str">
        <f>HYPERLINK("http://exon.niaid.nih.gov/transcriptome/Anopheles_sialome/links/netoglyc/anocol_D7L2-netoglyc.txt","0")</f>
        <v>0</v>
      </c>
      <c r="X282">
        <v>9.1999999999999993</v>
      </c>
      <c r="Y282">
        <v>5.0999999999999996</v>
      </c>
      <c r="Z282">
        <v>3.5</v>
      </c>
      <c r="AA282">
        <v>1</v>
      </c>
      <c r="AB282" t="s">
        <v>128</v>
      </c>
      <c r="AC282" s="2" t="str">
        <f>HYPERLINK("http://exon.niaid.nih.gov/transcriptome/Anopheles_sialome/links/DIPTERA/anocol_D7L2-DIPTERA.txt","long form D7 salivary protein")</f>
        <v>long form D7 salivary protein</v>
      </c>
      <c r="AD282" t="str">
        <f>HYPERLINK("http://www.ncbi.nlm.nih.gov/sutils/blink.cgi?pid=114864717","1E-144")</f>
        <v>1E-144</v>
      </c>
      <c r="AE282" t="str">
        <f t="shared" si="129"/>
        <v>gi|114864717</v>
      </c>
      <c r="AF282">
        <v>75</v>
      </c>
      <c r="AG282">
        <v>87</v>
      </c>
      <c r="AH282">
        <v>100</v>
      </c>
      <c r="AI282" t="s">
        <v>2266</v>
      </c>
      <c r="AJ282" s="2" t="str">
        <f>HYPERLINK("http://exon.niaid.nih.gov/transcriptome/Anopheles_sialome/links/CULICOMORPHA/anocol_D7L2-CULICOMORPHA.txt","long form D7 salivary protein")</f>
        <v>long form D7 salivary protein</v>
      </c>
      <c r="AK282" t="str">
        <f>HYPERLINK("http://www.ncbi.nlm.nih.gov/sutils/blink.cgi?pid=114864717","1E-145")</f>
        <v>1E-145</v>
      </c>
      <c r="AL282" t="str">
        <f t="shared" si="130"/>
        <v>gi|114864717</v>
      </c>
      <c r="AM282">
        <v>75</v>
      </c>
      <c r="AN282">
        <v>87</v>
      </c>
      <c r="AO282">
        <v>100</v>
      </c>
      <c r="AP282" t="s">
        <v>2266</v>
      </c>
      <c r="AQ282" s="2" t="str">
        <f>HYPERLINK("http://exon.niaid.nih.gov/transcriptome/Anopheles_sialome/links/NR-LIGHT/anocol_D7L2-NR-LIGHT.txt","long form D7 salivary protein")</f>
        <v>long form D7 salivary protein</v>
      </c>
      <c r="AR282" t="str">
        <f>HYPERLINK("http://www.ncbi.nlm.nih.gov/sutils/blink.cgi?pid=114864717","1E-143")</f>
        <v>1E-143</v>
      </c>
      <c r="AS282" t="str">
        <f t="shared" si="131"/>
        <v>gi|114864717</v>
      </c>
      <c r="AT282">
        <v>75</v>
      </c>
      <c r="AU282">
        <v>87</v>
      </c>
      <c r="AV282">
        <v>100</v>
      </c>
      <c r="AW282" t="s">
        <v>2266</v>
      </c>
      <c r="AX282" s="2" t="str">
        <f>HYPERLINK("http://exon.niaid.nih.gov/transcriptome/Anopheles_sialome/links/CDD/anocol_D7L2-CDD.txt","PBP_GOBP")</f>
        <v>PBP_GOBP</v>
      </c>
      <c r="AY282" t="str">
        <f>HYPERLINK("http://www.ncbi.nlm.nih.gov/Structure/cdd/cddsrv.cgi?uid=pfam01395&amp;version=v4.0","8E-010")</f>
        <v>8E-010</v>
      </c>
      <c r="AZ282" t="s">
        <v>2563</v>
      </c>
      <c r="BA282" s="2" t="str">
        <f>HYPERLINK("http://exon.niaid.nih.gov/transcriptome/Anopheles_sialome/links/KOG/anocol_D7L2-KOG.txt","Discoidin domain receptor DDR1")</f>
        <v>Discoidin domain receptor DDR1</v>
      </c>
      <c r="BB282" t="str">
        <f>HYPERLINK("http://www.ncbi.nlm.nih.gov/Structure/cdd/cddsrv.cgi?uid=KOG1094","1.8")</f>
        <v>1.8</v>
      </c>
      <c r="BC282" t="s">
        <v>2292</v>
      </c>
      <c r="BD282" t="str">
        <f>HYPERLINK("http://exon.niaid.nih.gov/transcriptome/Anopheles_sialome/links/KOG/anocol_D7L2-KOG.txt","KOG1094")</f>
        <v>KOG1094</v>
      </c>
      <c r="BE282" t="str">
        <f>HYPERLINK("http://exon.niaid.nih.gov/transcriptome/Anopheles_sialome/links/PFAM/anocol_D7L2-PFAM.txt","PBP_GOBP")</f>
        <v>PBP_GOBP</v>
      </c>
      <c r="BF282" t="str">
        <f>HYPERLINK("http://pfam.sanger.ac.uk/family?acc=PF01395","2E-010")</f>
        <v>2E-010</v>
      </c>
      <c r="BG282" s="2" t="str">
        <f>HYPERLINK("http://exon.niaid.nih.gov/transcriptome/Anopheles_sialome/links/SMART/anocol_D7L2-SMART.txt","PhBP")</f>
        <v>PhBP</v>
      </c>
      <c r="BH282" t="str">
        <f>HYPERLINK("http://smart.embl-heidelberg.de/smart/do_annotation.pl?DOMAIN=PhBP&amp;BLAST=DUMMY","0.002")</f>
        <v>0.002</v>
      </c>
      <c r="BI282" t="str">
        <f>HYPERLINK("http://exon.niaid.nih.gov/transcriptome/Anopheles_sialome/links/TICK-BLOCKS/anocol_D7L2-TICK-BLOCKS.txt","Lipid_binding_mosquito_D7_pattern |Lipid_binding_D7_WC_framework |")</f>
        <v>Lipid_binding_mosquito_D7_pattern |Lipid_binding_D7_WC_framework |</v>
      </c>
      <c r="BJ282" s="2" t="s">
        <v>2551</v>
      </c>
      <c r="BK282" t="s">
        <v>1160</v>
      </c>
      <c r="BL282">
        <f>HYPERLINK("http://exon.niaid.nih.gov/transcriptome/Anopheles_sialome/links/cluster-b/anopheline-sialome-cds-pep-larger-orf25-50SimCLU6.txt", 6)</f>
        <v>6</v>
      </c>
      <c r="BM282">
        <f>HYPERLINK("http://exon.niaid.nih.gov/transcriptome/Anopheles_sialome/links/cluster-b/anopheline-sialome-cds-pep-larger-orf25-50SimCLTL6.txt", 44)</f>
        <v>44</v>
      </c>
      <c r="BN282">
        <f>HYPERLINK("http://exon.niaid.nih.gov/transcriptome/Anopheles_sialome/links/cluster-b/anopheline-sialome-cds-pep-larger-orf30-50SimCLU5.txt", 5)</f>
        <v>5</v>
      </c>
      <c r="BO282">
        <f>HYPERLINK("http://exon.niaid.nih.gov/transcriptome/Anopheles_sialome/links/cluster-b/anopheline-sialome-cds-pep-larger-orf30-50SimCLTL5.txt", 44)</f>
        <v>44</v>
      </c>
      <c r="BP282">
        <f>HYPERLINK("http://exon.niaid.nih.gov/transcriptome/Anopheles_sialome/links/cluster-b/anopheline-sialome-cds-pep-larger-orf35-50SimCLU6.txt", 6)</f>
        <v>6</v>
      </c>
      <c r="BQ282">
        <f>HYPERLINK("http://exon.niaid.nih.gov/transcriptome/Anopheles_sialome/links/cluster-b/anopheline-sialome-cds-pep-larger-orf35-50SimCLTL6.txt", 44)</f>
        <v>44</v>
      </c>
      <c r="BR282">
        <f>HYPERLINK("http://exon.niaid.nih.gov/transcriptome/Anopheles_sialome/links/cluster-b/anopheline-sialome-cds-pep-larger-orf40-50SimCLU4.txt", 4)</f>
        <v>4</v>
      </c>
      <c r="BS282">
        <f>HYPERLINK("http://exon.niaid.nih.gov/transcriptome/Anopheles_sialome/links/cluster-b/anopheline-sialome-cds-pep-larger-orf40-50SimCLTL4.txt", 44)</f>
        <v>44</v>
      </c>
      <c r="BT282">
        <f>HYPERLINK("http://exon.niaid.nih.gov/transcriptome/Anopheles_sialome/links/cluster-b/anopheline-sialome-cds-pep-larger-orf45-50SimCLU10.txt", 10)</f>
        <v>10</v>
      </c>
      <c r="BU282">
        <f>HYPERLINK("http://exon.niaid.nih.gov/transcriptome/Anopheles_sialome/links/cluster-b/anopheline-sialome-cds-pep-larger-orf45-50SimCLTL10.txt", 26)</f>
        <v>26</v>
      </c>
      <c r="BV282">
        <f>HYPERLINK("http://exon.niaid.nih.gov/transcriptome/Anopheles_sialome/links/cluster-b/anopheline-sialome-cds-pep-larger-orf50-50SimCLU9.txt", 9)</f>
        <v>9</v>
      </c>
      <c r="BW282">
        <f>HYPERLINK("http://exon.niaid.nih.gov/transcriptome/Anopheles_sialome/links/cluster-b/anopheline-sialome-cds-pep-larger-orf50-50SimCLTL9.txt", 26)</f>
        <v>26</v>
      </c>
      <c r="BX282">
        <f>HYPERLINK("http://exon.niaid.nih.gov/transcriptome/Anopheles_sialome/links/cluster-b/anopheline-sialome-cds-pep-larger-orf55-50SimCLU10.txt", 10)</f>
        <v>10</v>
      </c>
      <c r="BY282">
        <f>HYPERLINK("http://exon.niaid.nih.gov/transcriptome/Anopheles_sialome/links/cluster-b/anopheline-sialome-cds-pep-larger-orf55-50SimCLTL10.txt", 26)</f>
        <v>26</v>
      </c>
      <c r="BZ282">
        <f>HYPERLINK("http://exon.niaid.nih.gov/transcriptome/Anopheles_sialome/links/cluster-b/anopheline-sialome-cds-pep-larger-orf60-50SimCLU8.txt", 8)</f>
        <v>8</v>
      </c>
      <c r="CA282">
        <f>HYPERLINK("http://exon.niaid.nih.gov/transcriptome/Anopheles_sialome/links/cluster-b/anopheline-sialome-cds-pep-larger-orf60-50SimCLTL8.txt", 26)</f>
        <v>26</v>
      </c>
      <c r="CB282">
        <f>HYPERLINK("http://exon.niaid.nih.gov/transcriptome/Anopheles_sialome/links/cluster-b/anopheline-sialome-cds-pep-larger-orf65-50SimCLU5.txt", 5)</f>
        <v>5</v>
      </c>
      <c r="CC282">
        <f>HYPERLINK("http://exon.niaid.nih.gov/transcriptome/Anopheles_sialome/links/cluster-b/anopheline-sialome-cds-pep-larger-orf65-50SimCLTL5.txt", 26)</f>
        <v>26</v>
      </c>
      <c r="CD282">
        <f>HYPERLINK("http://exon.niaid.nih.gov/transcriptome/Anopheles_sialome/links/cluster-b/anopheline-sialome-cds-pep-larger-orf70-50SimCLU4.txt", 4)</f>
        <v>4</v>
      </c>
      <c r="CE282">
        <f>HYPERLINK("http://exon.niaid.nih.gov/transcriptome/Anopheles_sialome/links/cluster-b/anopheline-sialome-cds-pep-larger-orf70-50SimCLTL4.txt", 26)</f>
        <v>26</v>
      </c>
      <c r="CF282">
        <f>HYPERLINK("http://exon.niaid.nih.gov/transcriptome/Anopheles_sialome/links/cluster-b/anopheline-sialome-cds-pep-larger-orf75-50SimCLU4.txt", 4)</f>
        <v>4</v>
      </c>
      <c r="CG282">
        <f>HYPERLINK("http://exon.niaid.nih.gov/transcriptome/Anopheles_sialome/links/cluster-b/anopheline-sialome-cds-pep-larger-orf75-50SimCLTL4.txt", 24)</f>
        <v>24</v>
      </c>
      <c r="CH282">
        <f>HYPERLINK("http://exon.niaid.nih.gov/transcriptome/Anopheles_sialome/links/cluster-b/anopheline-sialome-cds-pep-larger-orf80-50SimCLU4.txt", 4)</f>
        <v>4</v>
      </c>
      <c r="CI282">
        <f>HYPERLINK("http://exon.niaid.nih.gov/transcriptome/Anopheles_sialome/links/cluster-b/anopheline-sialome-cds-pep-larger-orf80-50SimCLTL4.txt", 20)</f>
        <v>20</v>
      </c>
      <c r="CJ282">
        <f>HYPERLINK("http://exon.niaid.nih.gov/transcriptome/Anopheles_sialome/links/cluster-b/anopheline-sialome-cds-pep-larger-orf85-50SimCLU3.txt", 3)</f>
        <v>3</v>
      </c>
      <c r="CK282">
        <f>HYPERLINK("http://exon.niaid.nih.gov/transcriptome/Anopheles_sialome/links/cluster-b/anopheline-sialome-cds-pep-larger-orf85-50SimCLTL3.txt", 20)</f>
        <v>20</v>
      </c>
      <c r="CL282">
        <f>HYPERLINK("http://exon.niaid.nih.gov/transcriptome/Anopheles_sialome/links/cluster-b/anopheline-sialome-cds-pep-larger-orf90-50SimCLU15.txt", 15)</f>
        <v>15</v>
      </c>
      <c r="CM282">
        <f>HYPERLINK("http://exon.niaid.nih.gov/transcriptome/Anopheles_sialome/links/cluster-b/anopheline-sialome-cds-pep-larger-orf90-50SimCLTL15.txt", 7)</f>
        <v>7</v>
      </c>
      <c r="CN282">
        <f>HYPERLINK("http://exon.niaid.nih.gov/transcriptome/Anopheles_sialome/links/cluster-b/anopheline-sialome-cds-pep-larger-orf95-50SimCLU14.txt", 14)</f>
        <v>14</v>
      </c>
      <c r="CO282">
        <f>HYPERLINK("http://exon.niaid.nih.gov/transcriptome/Anopheles_sialome/links/cluster-b/anopheline-sialome-cds-pep-larger-orf95-50SimCLTL14.txt", 6)</f>
        <v>6</v>
      </c>
    </row>
    <row r="283" spans="1:93">
      <c r="A283" s="2" t="str">
        <f>HYPERLINK("http://exon.niaid.nih.gov/transcriptome/Anopheles_sialome/links/cds/anoara_D7L2-cds.txt","anoara_D7L2")</f>
        <v>anoara_D7L2</v>
      </c>
      <c r="B283">
        <v>948</v>
      </c>
      <c r="C283" t="s">
        <v>188</v>
      </c>
      <c r="D283" t="s">
        <v>7</v>
      </c>
      <c r="E283" t="s">
        <v>5</v>
      </c>
      <c r="F283" t="s">
        <v>1</v>
      </c>
      <c r="G283" t="str">
        <f>HYPERLINK("http://exon.niaid.nih.gov/transcriptome/Anopheles_sialome/links/pep/anoara_D7L2-pep.txt","anoara_D7L2")</f>
        <v>anoara_D7L2</v>
      </c>
      <c r="H283">
        <v>315</v>
      </c>
      <c r="I283">
        <v>1</v>
      </c>
      <c r="J283" s="3" t="str">
        <f>HYPERLINK("http://exon.niaid.nih.gov/transcriptome/Anopheles_sialome/links/Sigp/anoara_D7L2-SigP.txt","SIG")</f>
        <v>SIG</v>
      </c>
      <c r="K283" t="s">
        <v>925</v>
      </c>
      <c r="L283">
        <v>36.137999999999998</v>
      </c>
      <c r="M283">
        <v>7.99</v>
      </c>
      <c r="N283">
        <v>34.17</v>
      </c>
      <c r="O283">
        <v>8.0399999999999991</v>
      </c>
      <c r="P283" t="s">
        <v>1162</v>
      </c>
      <c r="Q283" s="3">
        <v>0</v>
      </c>
      <c r="R283" t="s">
        <v>128</v>
      </c>
      <c r="S283" t="s">
        <v>128</v>
      </c>
      <c r="T283" t="s">
        <v>128</v>
      </c>
      <c r="U283" t="s">
        <v>128</v>
      </c>
      <c r="V283" t="s">
        <v>128</v>
      </c>
      <c r="W283" s="3" t="str">
        <f>HYPERLINK("http://exon.niaid.nih.gov/transcriptome/Anopheles_sialome/links/netoglyc/anoara_D7L2-netoglyc.txt","0")</f>
        <v>0</v>
      </c>
      <c r="X283">
        <v>8.9</v>
      </c>
      <c r="Y283">
        <v>5.0999999999999996</v>
      </c>
      <c r="Z283">
        <v>3.5</v>
      </c>
      <c r="AA283">
        <v>1</v>
      </c>
      <c r="AB283" t="s">
        <v>128</v>
      </c>
      <c r="AC283" s="2" t="str">
        <f>HYPERLINK("http://exon.niaid.nih.gov/transcriptome/Anopheles_sialome/links/DIPTERA/anoara_D7L2-DIPTERA.txt","long form D7 salivary protein")</f>
        <v>long form D7 salivary protein</v>
      </c>
      <c r="AD283" t="str">
        <f>HYPERLINK("http://www.ncbi.nlm.nih.gov/sutils/blink.cgi?pid=114864717","1E-144")</f>
        <v>1E-144</v>
      </c>
      <c r="AE283" t="str">
        <f t="shared" si="129"/>
        <v>gi|114864717</v>
      </c>
      <c r="AF283">
        <v>75</v>
      </c>
      <c r="AG283">
        <v>87</v>
      </c>
      <c r="AH283">
        <v>100</v>
      </c>
      <c r="AI283" t="s">
        <v>2266</v>
      </c>
      <c r="AJ283" s="2" t="str">
        <f>HYPERLINK("http://exon.niaid.nih.gov/transcriptome/Anopheles_sialome/links/CULICOMORPHA/anoara_D7L2-CULICOMORPHA.txt","long form D7 salivary protein")</f>
        <v>long form D7 salivary protein</v>
      </c>
      <c r="AK283" t="str">
        <f>HYPERLINK("http://www.ncbi.nlm.nih.gov/sutils/blink.cgi?pid=114864717","1E-145")</f>
        <v>1E-145</v>
      </c>
      <c r="AL283" t="str">
        <f t="shared" si="130"/>
        <v>gi|114864717</v>
      </c>
      <c r="AM283">
        <v>75</v>
      </c>
      <c r="AN283">
        <v>87</v>
      </c>
      <c r="AO283">
        <v>100</v>
      </c>
      <c r="AP283" t="s">
        <v>2266</v>
      </c>
      <c r="AQ283" s="2" t="str">
        <f>HYPERLINK("http://exon.niaid.nih.gov/transcriptome/Anopheles_sialome/links/NR-LIGHT/anoara_D7L2-NR-LIGHT.txt","long form D7 salivary protein")</f>
        <v>long form D7 salivary protein</v>
      </c>
      <c r="AR283" t="str">
        <f>HYPERLINK("http://www.ncbi.nlm.nih.gov/sutils/blink.cgi?pid=114864717","1E-144")</f>
        <v>1E-144</v>
      </c>
      <c r="AS283" t="str">
        <f t="shared" si="131"/>
        <v>gi|114864717</v>
      </c>
      <c r="AT283">
        <v>75</v>
      </c>
      <c r="AU283">
        <v>87</v>
      </c>
      <c r="AV283">
        <v>100</v>
      </c>
      <c r="AW283" t="s">
        <v>2266</v>
      </c>
      <c r="AX283" s="2" t="str">
        <f>HYPERLINK("http://exon.niaid.nih.gov/transcriptome/Anopheles_sialome/links/CDD/anoara_D7L2-CDD.txt","PBP_GOBP")</f>
        <v>PBP_GOBP</v>
      </c>
      <c r="AY283" t="str">
        <f>HYPERLINK("http://www.ncbi.nlm.nih.gov/Structure/cdd/cddsrv.cgi?uid=pfam01395&amp;version=v4.0","9E-010")</f>
        <v>9E-010</v>
      </c>
      <c r="AZ283" t="s">
        <v>2564</v>
      </c>
      <c r="BA283" s="2" t="str">
        <f>HYPERLINK("http://exon.niaid.nih.gov/transcriptome/Anopheles_sialome/links/KOG/anoara_D7L2-KOG.txt","Discoidin domain receptor DDR1")</f>
        <v>Discoidin domain receptor DDR1</v>
      </c>
      <c r="BB283" t="str">
        <f>HYPERLINK("http://www.ncbi.nlm.nih.gov/Structure/cdd/cddsrv.cgi?uid=KOG1094","1.8")</f>
        <v>1.8</v>
      </c>
      <c r="BC283" t="s">
        <v>2292</v>
      </c>
      <c r="BD283" t="str">
        <f>HYPERLINK("http://exon.niaid.nih.gov/transcriptome/Anopheles_sialome/links/KOG/anoara_D7L2-KOG.txt","KOG1094")</f>
        <v>KOG1094</v>
      </c>
      <c r="BE283" t="str">
        <f>HYPERLINK("http://exon.niaid.nih.gov/transcriptome/Anopheles_sialome/links/PFAM/anoara_D7L2-PFAM.txt","PBP_GOBP")</f>
        <v>PBP_GOBP</v>
      </c>
      <c r="BF283" t="str">
        <f>HYPERLINK("http://pfam.sanger.ac.uk/family?acc=PF01395","2E-010")</f>
        <v>2E-010</v>
      </c>
      <c r="BG283" s="2" t="str">
        <f>HYPERLINK("http://exon.niaid.nih.gov/transcriptome/Anopheles_sialome/links/SMART/anoara_D7L2-SMART.txt","PhBP")</f>
        <v>PhBP</v>
      </c>
      <c r="BH283" t="str">
        <f>HYPERLINK("http://smart.embl-heidelberg.de/smart/do_annotation.pl?DOMAIN=PhBP&amp;BLAST=DUMMY","0.002")</f>
        <v>0.002</v>
      </c>
      <c r="BI283" t="str">
        <f>HYPERLINK("http://exon.niaid.nih.gov/transcriptome/Anopheles_sialome/links/TICK-BLOCKS/anoara_D7L2-TICK-BLOCKS.txt","Lipid_binding_mosquito_D7_pattern |Lipid_binding_D7_WC_framework |")</f>
        <v>Lipid_binding_mosquito_D7_pattern |Lipid_binding_D7_WC_framework |</v>
      </c>
      <c r="BJ283" s="2" t="s">
        <v>2551</v>
      </c>
      <c r="BK283" t="s">
        <v>1161</v>
      </c>
      <c r="BL283">
        <f>HYPERLINK("http://exon.niaid.nih.gov/transcriptome/Anopheles_sialome/links/cluster-b/anopheline-sialome-cds-pep-larger-orf25-50SimCLU6.txt", 6)</f>
        <v>6</v>
      </c>
      <c r="BM283">
        <f>HYPERLINK("http://exon.niaid.nih.gov/transcriptome/Anopheles_sialome/links/cluster-b/anopheline-sialome-cds-pep-larger-orf25-50SimCLTL6.txt", 44)</f>
        <v>44</v>
      </c>
      <c r="BN283">
        <f>HYPERLINK("http://exon.niaid.nih.gov/transcriptome/Anopheles_sialome/links/cluster-b/anopheline-sialome-cds-pep-larger-orf30-50SimCLU5.txt", 5)</f>
        <v>5</v>
      </c>
      <c r="BO283">
        <f>HYPERLINK("http://exon.niaid.nih.gov/transcriptome/Anopheles_sialome/links/cluster-b/anopheline-sialome-cds-pep-larger-orf30-50SimCLTL5.txt", 44)</f>
        <v>44</v>
      </c>
      <c r="BP283">
        <f>HYPERLINK("http://exon.niaid.nih.gov/transcriptome/Anopheles_sialome/links/cluster-b/anopheline-sialome-cds-pep-larger-orf35-50SimCLU6.txt", 6)</f>
        <v>6</v>
      </c>
      <c r="BQ283">
        <f>HYPERLINK("http://exon.niaid.nih.gov/transcriptome/Anopheles_sialome/links/cluster-b/anopheline-sialome-cds-pep-larger-orf35-50SimCLTL6.txt", 44)</f>
        <v>44</v>
      </c>
      <c r="BR283">
        <f>HYPERLINK("http://exon.niaid.nih.gov/transcriptome/Anopheles_sialome/links/cluster-b/anopheline-sialome-cds-pep-larger-orf40-50SimCLU4.txt", 4)</f>
        <v>4</v>
      </c>
      <c r="BS283">
        <f>HYPERLINK("http://exon.niaid.nih.gov/transcriptome/Anopheles_sialome/links/cluster-b/anopheline-sialome-cds-pep-larger-orf40-50SimCLTL4.txt", 44)</f>
        <v>44</v>
      </c>
      <c r="BT283">
        <f>HYPERLINK("http://exon.niaid.nih.gov/transcriptome/Anopheles_sialome/links/cluster-b/anopheline-sialome-cds-pep-larger-orf45-50SimCLU10.txt", 10)</f>
        <v>10</v>
      </c>
      <c r="BU283">
        <f>HYPERLINK("http://exon.niaid.nih.gov/transcriptome/Anopheles_sialome/links/cluster-b/anopheline-sialome-cds-pep-larger-orf45-50SimCLTL10.txt", 26)</f>
        <v>26</v>
      </c>
      <c r="BV283">
        <f>HYPERLINK("http://exon.niaid.nih.gov/transcriptome/Anopheles_sialome/links/cluster-b/anopheline-sialome-cds-pep-larger-orf50-50SimCLU9.txt", 9)</f>
        <v>9</v>
      </c>
      <c r="BW283">
        <f>HYPERLINK("http://exon.niaid.nih.gov/transcriptome/Anopheles_sialome/links/cluster-b/anopheline-sialome-cds-pep-larger-orf50-50SimCLTL9.txt", 26)</f>
        <v>26</v>
      </c>
      <c r="BX283">
        <f>HYPERLINK("http://exon.niaid.nih.gov/transcriptome/Anopheles_sialome/links/cluster-b/anopheline-sialome-cds-pep-larger-orf55-50SimCLU10.txt", 10)</f>
        <v>10</v>
      </c>
      <c r="BY283">
        <f>HYPERLINK("http://exon.niaid.nih.gov/transcriptome/Anopheles_sialome/links/cluster-b/anopheline-sialome-cds-pep-larger-orf55-50SimCLTL10.txt", 26)</f>
        <v>26</v>
      </c>
      <c r="BZ283">
        <f>HYPERLINK("http://exon.niaid.nih.gov/transcriptome/Anopheles_sialome/links/cluster-b/anopheline-sialome-cds-pep-larger-orf60-50SimCLU8.txt", 8)</f>
        <v>8</v>
      </c>
      <c r="CA283">
        <f>HYPERLINK("http://exon.niaid.nih.gov/transcriptome/Anopheles_sialome/links/cluster-b/anopheline-sialome-cds-pep-larger-orf60-50SimCLTL8.txt", 26)</f>
        <v>26</v>
      </c>
      <c r="CB283">
        <f>HYPERLINK("http://exon.niaid.nih.gov/transcriptome/Anopheles_sialome/links/cluster-b/anopheline-sialome-cds-pep-larger-orf65-50SimCLU5.txt", 5)</f>
        <v>5</v>
      </c>
      <c r="CC283">
        <f>HYPERLINK("http://exon.niaid.nih.gov/transcriptome/Anopheles_sialome/links/cluster-b/anopheline-sialome-cds-pep-larger-orf65-50SimCLTL5.txt", 26)</f>
        <v>26</v>
      </c>
      <c r="CD283">
        <f>HYPERLINK("http://exon.niaid.nih.gov/transcriptome/Anopheles_sialome/links/cluster-b/anopheline-sialome-cds-pep-larger-orf70-50SimCLU4.txt", 4)</f>
        <v>4</v>
      </c>
      <c r="CE283">
        <f>HYPERLINK("http://exon.niaid.nih.gov/transcriptome/Anopheles_sialome/links/cluster-b/anopheline-sialome-cds-pep-larger-orf70-50SimCLTL4.txt", 26)</f>
        <v>26</v>
      </c>
      <c r="CF283">
        <f>HYPERLINK("http://exon.niaid.nih.gov/transcriptome/Anopheles_sialome/links/cluster-b/anopheline-sialome-cds-pep-larger-orf75-50SimCLU4.txt", 4)</f>
        <v>4</v>
      </c>
      <c r="CG283">
        <f>HYPERLINK("http://exon.niaid.nih.gov/transcriptome/Anopheles_sialome/links/cluster-b/anopheline-sialome-cds-pep-larger-orf75-50SimCLTL4.txt", 24)</f>
        <v>24</v>
      </c>
      <c r="CH283">
        <f>HYPERLINK("http://exon.niaid.nih.gov/transcriptome/Anopheles_sialome/links/cluster-b/anopheline-sialome-cds-pep-larger-orf80-50SimCLU4.txt", 4)</f>
        <v>4</v>
      </c>
      <c r="CI283">
        <f>HYPERLINK("http://exon.niaid.nih.gov/transcriptome/Anopheles_sialome/links/cluster-b/anopheline-sialome-cds-pep-larger-orf80-50SimCLTL4.txt", 20)</f>
        <v>20</v>
      </c>
      <c r="CJ283">
        <f>HYPERLINK("http://exon.niaid.nih.gov/transcriptome/Anopheles_sialome/links/cluster-b/anopheline-sialome-cds-pep-larger-orf85-50SimCLU3.txt", 3)</f>
        <v>3</v>
      </c>
      <c r="CK283">
        <f>HYPERLINK("http://exon.niaid.nih.gov/transcriptome/Anopheles_sialome/links/cluster-b/anopheline-sialome-cds-pep-larger-orf85-50SimCLTL3.txt", 20)</f>
        <v>20</v>
      </c>
      <c r="CL283">
        <f>HYPERLINK("http://exon.niaid.nih.gov/transcriptome/Anopheles_sialome/links/cluster-b/anopheline-sialome-cds-pep-larger-orf90-50SimCLU15.txt", 15)</f>
        <v>15</v>
      </c>
      <c r="CM283">
        <f>HYPERLINK("http://exon.niaid.nih.gov/transcriptome/Anopheles_sialome/links/cluster-b/anopheline-sialome-cds-pep-larger-orf90-50SimCLTL15.txt", 7)</f>
        <v>7</v>
      </c>
      <c r="CN283">
        <f>HYPERLINK("http://exon.niaid.nih.gov/transcriptome/Anopheles_sialome/links/cluster-b/anopheline-sialome-cds-pep-larger-orf95-50SimCLU14.txt", 14)</f>
        <v>14</v>
      </c>
      <c r="CO283">
        <f>HYPERLINK("http://exon.niaid.nih.gov/transcriptome/Anopheles_sialome/links/cluster-b/anopheline-sialome-cds-pep-larger-orf95-50SimCLTL14.txt", 6)</f>
        <v>6</v>
      </c>
    </row>
    <row r="284" spans="1:93">
      <c r="A284" s="2" t="str">
        <f>HYPERLINK("http://exon.niaid.nih.gov/transcriptome/Anopheles_sialome/links/cds/anoqua_D7L2-cds.txt","anoqua_D7L2")</f>
        <v>anoqua_D7L2</v>
      </c>
      <c r="B284">
        <v>948</v>
      </c>
      <c r="C284" t="s">
        <v>189</v>
      </c>
      <c r="D284" t="s">
        <v>7</v>
      </c>
      <c r="E284" t="s">
        <v>5</v>
      </c>
      <c r="F284" t="s">
        <v>1</v>
      </c>
      <c r="G284" t="str">
        <f>HYPERLINK("http://exon.niaid.nih.gov/transcriptome/Anopheles_sialome/links/pep/anoqua_D7L2-pep.txt","anoqua_D7L2")</f>
        <v>anoqua_D7L2</v>
      </c>
      <c r="H284">
        <v>315</v>
      </c>
      <c r="I284">
        <v>1</v>
      </c>
      <c r="J284" s="3" t="str">
        <f>HYPERLINK("http://exon.niaid.nih.gov/transcriptome/Anopheles_sialome/links/Sigp/anoqua_D7L2-SigP.txt","SIG")</f>
        <v>SIG</v>
      </c>
      <c r="K284" t="s">
        <v>925</v>
      </c>
      <c r="L284">
        <v>36.149000000000001</v>
      </c>
      <c r="M284">
        <v>7.99</v>
      </c>
      <c r="N284">
        <v>34.180999999999997</v>
      </c>
      <c r="O284">
        <v>8.0399999999999991</v>
      </c>
      <c r="P284" t="s">
        <v>1159</v>
      </c>
      <c r="Q284" s="3">
        <v>0</v>
      </c>
      <c r="R284" t="s">
        <v>128</v>
      </c>
      <c r="S284" t="s">
        <v>128</v>
      </c>
      <c r="T284" t="s">
        <v>128</v>
      </c>
      <c r="U284" t="s">
        <v>128</v>
      </c>
      <c r="V284" t="s">
        <v>128</v>
      </c>
      <c r="W284" s="3" t="str">
        <f>HYPERLINK("http://exon.niaid.nih.gov/transcriptome/Anopheles_sialome/links/netoglyc/anoqua_D7L2-netoglyc.txt","0")</f>
        <v>0</v>
      </c>
      <c r="X284">
        <v>8.9</v>
      </c>
      <c r="Y284">
        <v>5.0999999999999996</v>
      </c>
      <c r="Z284">
        <v>3.8</v>
      </c>
      <c r="AA284">
        <v>1</v>
      </c>
      <c r="AB284" t="s">
        <v>128</v>
      </c>
      <c r="AC284" s="2" t="str">
        <f>HYPERLINK("http://exon.niaid.nih.gov/transcriptome/Anopheles_sialome/links/DIPTERA/anoqua_D7L2-DIPTERA.txt","long form D7 salivary protein")</f>
        <v>long form D7 salivary protein</v>
      </c>
      <c r="AD284" t="str">
        <f>HYPERLINK("http://www.ncbi.nlm.nih.gov/sutils/blink.cgi?pid=114864717","1E-144")</f>
        <v>1E-144</v>
      </c>
      <c r="AE284" t="str">
        <f t="shared" si="129"/>
        <v>gi|114864717</v>
      </c>
      <c r="AF284">
        <v>75</v>
      </c>
      <c r="AG284">
        <v>88</v>
      </c>
      <c r="AH284">
        <v>100</v>
      </c>
      <c r="AI284" t="s">
        <v>2266</v>
      </c>
      <c r="AJ284" s="2" t="str">
        <f>HYPERLINK("http://exon.niaid.nih.gov/transcriptome/Anopheles_sialome/links/CULICOMORPHA/anoqua_D7L2-CULICOMORPHA.txt","long form D7 salivary protein")</f>
        <v>long form D7 salivary protein</v>
      </c>
      <c r="AK284" t="str">
        <f>HYPERLINK("http://www.ncbi.nlm.nih.gov/sutils/blink.cgi?pid=114864717","1E-145")</f>
        <v>1E-145</v>
      </c>
      <c r="AL284" t="str">
        <f t="shared" si="130"/>
        <v>gi|114864717</v>
      </c>
      <c r="AM284">
        <v>75</v>
      </c>
      <c r="AN284">
        <v>88</v>
      </c>
      <c r="AO284">
        <v>100</v>
      </c>
      <c r="AP284" t="s">
        <v>2266</v>
      </c>
      <c r="AQ284" s="2" t="str">
        <f>HYPERLINK("http://exon.niaid.nih.gov/transcriptome/Anopheles_sialome/links/NR-LIGHT/anoqua_D7L2-NR-LIGHT.txt","long form D7 salivary protein")</f>
        <v>long form D7 salivary protein</v>
      </c>
      <c r="AR284" t="str">
        <f>HYPERLINK("http://www.ncbi.nlm.nih.gov/sutils/blink.cgi?pid=114864717","1E-144")</f>
        <v>1E-144</v>
      </c>
      <c r="AS284" t="str">
        <f t="shared" si="131"/>
        <v>gi|114864717</v>
      </c>
      <c r="AT284">
        <v>75</v>
      </c>
      <c r="AU284">
        <v>88</v>
      </c>
      <c r="AV284">
        <v>100</v>
      </c>
      <c r="AW284" t="s">
        <v>2266</v>
      </c>
      <c r="AX284" s="2" t="str">
        <f>HYPERLINK("http://exon.niaid.nih.gov/transcriptome/Anopheles_sialome/links/CDD/anoqua_D7L2-CDD.txt","PBP_GOBP")</f>
        <v>PBP_GOBP</v>
      </c>
      <c r="AY284" t="str">
        <f>HYPERLINK("http://www.ncbi.nlm.nih.gov/Structure/cdd/cddsrv.cgi?uid=pfam01395&amp;version=v4.0","8E-010")</f>
        <v>8E-010</v>
      </c>
      <c r="AZ284" t="s">
        <v>2565</v>
      </c>
      <c r="BA284" s="2" t="str">
        <f>HYPERLINK("http://exon.niaid.nih.gov/transcriptome/Anopheles_sialome/links/KOG/anoqua_D7L2-KOG.txt","Discoidin domain receptor DDR1")</f>
        <v>Discoidin domain receptor DDR1</v>
      </c>
      <c r="BB284" t="str">
        <f>HYPERLINK("http://www.ncbi.nlm.nih.gov/Structure/cdd/cddsrv.cgi?uid=KOG1094","1.9")</f>
        <v>1.9</v>
      </c>
      <c r="BC284" t="s">
        <v>2292</v>
      </c>
      <c r="BD284" t="str">
        <f>HYPERLINK("http://exon.niaid.nih.gov/transcriptome/Anopheles_sialome/links/KOG/anoqua_D7L2-KOG.txt","KOG1094")</f>
        <v>KOG1094</v>
      </c>
      <c r="BE284" t="str">
        <f>HYPERLINK("http://exon.niaid.nih.gov/transcriptome/Anopheles_sialome/links/PFAM/anoqua_D7L2-PFAM.txt","PBP_GOBP")</f>
        <v>PBP_GOBP</v>
      </c>
      <c r="BF284" t="str">
        <f>HYPERLINK("http://pfam.sanger.ac.uk/family?acc=PF01395","2E-010")</f>
        <v>2E-010</v>
      </c>
      <c r="BG284" s="2" t="str">
        <f>HYPERLINK("http://exon.niaid.nih.gov/transcriptome/Anopheles_sialome/links/SMART/anoqua_D7L2-SMART.txt","PhBP")</f>
        <v>PhBP</v>
      </c>
      <c r="BH284" t="str">
        <f>HYPERLINK("http://smart.embl-heidelberg.de/smart/do_annotation.pl?DOMAIN=PhBP&amp;BLAST=DUMMY","0.001")</f>
        <v>0.001</v>
      </c>
      <c r="BI284" t="str">
        <f>HYPERLINK("http://exon.niaid.nih.gov/transcriptome/Anopheles_sialome/links/TICK-BLOCKS/anoqua_D7L2-TICK-BLOCKS.txt","Lipid_binding_mosquito_D7_pattern |Lipid_binding_D7_WC_framework |")</f>
        <v>Lipid_binding_mosquito_D7_pattern |Lipid_binding_D7_WC_framework |</v>
      </c>
      <c r="BJ284" s="2" t="s">
        <v>2551</v>
      </c>
      <c r="BK284" t="s">
        <v>1163</v>
      </c>
      <c r="BL284">
        <f>HYPERLINK("http://exon.niaid.nih.gov/transcriptome/Anopheles_sialome/links/cluster-b/anopheline-sialome-cds-pep-larger-orf25-50SimCLU6.txt", 6)</f>
        <v>6</v>
      </c>
      <c r="BM284">
        <f>HYPERLINK("http://exon.niaid.nih.gov/transcriptome/Anopheles_sialome/links/cluster-b/anopheline-sialome-cds-pep-larger-orf25-50SimCLTL6.txt", 44)</f>
        <v>44</v>
      </c>
      <c r="BN284">
        <f>HYPERLINK("http://exon.niaid.nih.gov/transcriptome/Anopheles_sialome/links/cluster-b/anopheline-sialome-cds-pep-larger-orf30-50SimCLU5.txt", 5)</f>
        <v>5</v>
      </c>
      <c r="BO284">
        <f>HYPERLINK("http://exon.niaid.nih.gov/transcriptome/Anopheles_sialome/links/cluster-b/anopheline-sialome-cds-pep-larger-orf30-50SimCLTL5.txt", 44)</f>
        <v>44</v>
      </c>
      <c r="BP284">
        <f>HYPERLINK("http://exon.niaid.nih.gov/transcriptome/Anopheles_sialome/links/cluster-b/anopheline-sialome-cds-pep-larger-orf35-50SimCLU6.txt", 6)</f>
        <v>6</v>
      </c>
      <c r="BQ284">
        <f>HYPERLINK("http://exon.niaid.nih.gov/transcriptome/Anopheles_sialome/links/cluster-b/anopheline-sialome-cds-pep-larger-orf35-50SimCLTL6.txt", 44)</f>
        <v>44</v>
      </c>
      <c r="BR284">
        <f>HYPERLINK("http://exon.niaid.nih.gov/transcriptome/Anopheles_sialome/links/cluster-b/anopheline-sialome-cds-pep-larger-orf40-50SimCLU4.txt", 4)</f>
        <v>4</v>
      </c>
      <c r="BS284">
        <f>HYPERLINK("http://exon.niaid.nih.gov/transcriptome/Anopheles_sialome/links/cluster-b/anopheline-sialome-cds-pep-larger-orf40-50SimCLTL4.txt", 44)</f>
        <v>44</v>
      </c>
      <c r="BT284">
        <f>HYPERLINK("http://exon.niaid.nih.gov/transcriptome/Anopheles_sialome/links/cluster-b/anopheline-sialome-cds-pep-larger-orf45-50SimCLU10.txt", 10)</f>
        <v>10</v>
      </c>
      <c r="BU284">
        <f>HYPERLINK("http://exon.niaid.nih.gov/transcriptome/Anopheles_sialome/links/cluster-b/anopheline-sialome-cds-pep-larger-orf45-50SimCLTL10.txt", 26)</f>
        <v>26</v>
      </c>
      <c r="BV284">
        <f>HYPERLINK("http://exon.niaid.nih.gov/transcriptome/Anopheles_sialome/links/cluster-b/anopheline-sialome-cds-pep-larger-orf50-50SimCLU9.txt", 9)</f>
        <v>9</v>
      </c>
      <c r="BW284">
        <f>HYPERLINK("http://exon.niaid.nih.gov/transcriptome/Anopheles_sialome/links/cluster-b/anopheline-sialome-cds-pep-larger-orf50-50SimCLTL9.txt", 26)</f>
        <v>26</v>
      </c>
      <c r="BX284">
        <f>HYPERLINK("http://exon.niaid.nih.gov/transcriptome/Anopheles_sialome/links/cluster-b/anopheline-sialome-cds-pep-larger-orf55-50SimCLU10.txt", 10)</f>
        <v>10</v>
      </c>
      <c r="BY284">
        <f>HYPERLINK("http://exon.niaid.nih.gov/transcriptome/Anopheles_sialome/links/cluster-b/anopheline-sialome-cds-pep-larger-orf55-50SimCLTL10.txt", 26)</f>
        <v>26</v>
      </c>
      <c r="BZ284">
        <f>HYPERLINK("http://exon.niaid.nih.gov/transcriptome/Anopheles_sialome/links/cluster-b/anopheline-sialome-cds-pep-larger-orf60-50SimCLU8.txt", 8)</f>
        <v>8</v>
      </c>
      <c r="CA284">
        <f>HYPERLINK("http://exon.niaid.nih.gov/transcriptome/Anopheles_sialome/links/cluster-b/anopheline-sialome-cds-pep-larger-orf60-50SimCLTL8.txt", 26)</f>
        <v>26</v>
      </c>
      <c r="CB284">
        <f>HYPERLINK("http://exon.niaid.nih.gov/transcriptome/Anopheles_sialome/links/cluster-b/anopheline-sialome-cds-pep-larger-orf65-50SimCLU5.txt", 5)</f>
        <v>5</v>
      </c>
      <c r="CC284">
        <f>HYPERLINK("http://exon.niaid.nih.gov/transcriptome/Anopheles_sialome/links/cluster-b/anopheline-sialome-cds-pep-larger-orf65-50SimCLTL5.txt", 26)</f>
        <v>26</v>
      </c>
      <c r="CD284">
        <f>HYPERLINK("http://exon.niaid.nih.gov/transcriptome/Anopheles_sialome/links/cluster-b/anopheline-sialome-cds-pep-larger-orf70-50SimCLU4.txt", 4)</f>
        <v>4</v>
      </c>
      <c r="CE284">
        <f>HYPERLINK("http://exon.niaid.nih.gov/transcriptome/Anopheles_sialome/links/cluster-b/anopheline-sialome-cds-pep-larger-orf70-50SimCLTL4.txt", 26)</f>
        <v>26</v>
      </c>
      <c r="CF284">
        <f>HYPERLINK("http://exon.niaid.nih.gov/transcriptome/Anopheles_sialome/links/cluster-b/anopheline-sialome-cds-pep-larger-orf75-50SimCLU4.txt", 4)</f>
        <v>4</v>
      </c>
      <c r="CG284">
        <f>HYPERLINK("http://exon.niaid.nih.gov/transcriptome/Anopheles_sialome/links/cluster-b/anopheline-sialome-cds-pep-larger-orf75-50SimCLTL4.txt", 24)</f>
        <v>24</v>
      </c>
      <c r="CH284">
        <f>HYPERLINK("http://exon.niaid.nih.gov/transcriptome/Anopheles_sialome/links/cluster-b/anopheline-sialome-cds-pep-larger-orf80-50SimCLU4.txt", 4)</f>
        <v>4</v>
      </c>
      <c r="CI284">
        <f>HYPERLINK("http://exon.niaid.nih.gov/transcriptome/Anopheles_sialome/links/cluster-b/anopheline-sialome-cds-pep-larger-orf80-50SimCLTL4.txt", 20)</f>
        <v>20</v>
      </c>
      <c r="CJ284">
        <f>HYPERLINK("http://exon.niaid.nih.gov/transcriptome/Anopheles_sialome/links/cluster-b/anopheline-sialome-cds-pep-larger-orf85-50SimCLU3.txt", 3)</f>
        <v>3</v>
      </c>
      <c r="CK284">
        <f>HYPERLINK("http://exon.niaid.nih.gov/transcriptome/Anopheles_sialome/links/cluster-b/anopheline-sialome-cds-pep-larger-orf85-50SimCLTL3.txt", 20)</f>
        <v>20</v>
      </c>
      <c r="CL284">
        <f>HYPERLINK("http://exon.niaid.nih.gov/transcriptome/Anopheles_sialome/links/cluster-b/anopheline-sialome-cds-pep-larger-orf90-50SimCLU15.txt", 15)</f>
        <v>15</v>
      </c>
      <c r="CM284">
        <f>HYPERLINK("http://exon.niaid.nih.gov/transcriptome/Anopheles_sialome/links/cluster-b/anopheline-sialome-cds-pep-larger-orf90-50SimCLTL15.txt", 7)</f>
        <v>7</v>
      </c>
      <c r="CN284">
        <f>HYPERLINK("http://exon.niaid.nih.gov/transcriptome/Anopheles_sialome/links/cluster-b/anopheline-sialome-cds-pep-larger-orf95-50SimCLU14.txt", 14)</f>
        <v>14</v>
      </c>
      <c r="CO284">
        <f>HYPERLINK("http://exon.niaid.nih.gov/transcriptome/Anopheles_sialome/links/cluster-b/anopheline-sialome-cds-pep-larger-orf95-50SimCLTL14.txt", 6)</f>
        <v>6</v>
      </c>
    </row>
    <row r="285" spans="1:93">
      <c r="A285" s="2" t="str">
        <f>HYPERLINK("http://exon.niaid.nih.gov/transcriptome/Anopheles_sialome/links/cds/anomer_D7L2-cds.txt","anomer_D7L2")</f>
        <v>anomer_D7L2</v>
      </c>
      <c r="B285">
        <v>948</v>
      </c>
      <c r="C285" t="s">
        <v>197</v>
      </c>
      <c r="D285" t="s">
        <v>4</v>
      </c>
      <c r="E285" t="s">
        <v>5</v>
      </c>
      <c r="F285" t="s">
        <v>1</v>
      </c>
      <c r="G285" t="str">
        <f>HYPERLINK("http://exon.niaid.nih.gov/transcriptome/Anopheles_sialome/links/pep/anomer_D7L2-pep.txt","anomer_D7L2")</f>
        <v>anomer_D7L2</v>
      </c>
      <c r="H285">
        <v>315</v>
      </c>
      <c r="I285">
        <v>1</v>
      </c>
      <c r="J285" s="3" t="str">
        <f>HYPERLINK("http://exon.niaid.nih.gov/transcriptome/Anopheles_sialome/links/Sigp/anomer_D7L2-SigP.txt","SIG")</f>
        <v>SIG</v>
      </c>
      <c r="K285" t="s">
        <v>925</v>
      </c>
      <c r="L285">
        <v>36.119999999999997</v>
      </c>
      <c r="M285">
        <v>8.58</v>
      </c>
      <c r="N285">
        <v>34.152000000000001</v>
      </c>
      <c r="O285">
        <v>8.58</v>
      </c>
      <c r="P285" t="s">
        <v>1159</v>
      </c>
      <c r="Q285" s="3">
        <v>0</v>
      </c>
      <c r="R285" t="s">
        <v>128</v>
      </c>
      <c r="S285" t="s">
        <v>128</v>
      </c>
      <c r="T285" t="s">
        <v>128</v>
      </c>
      <c r="U285" t="s">
        <v>128</v>
      </c>
      <c r="V285" t="s">
        <v>128</v>
      </c>
      <c r="W285" s="3" t="str">
        <f>HYPERLINK("http://exon.niaid.nih.gov/transcriptome/Anopheles_sialome/links/netoglyc/anomer_D7L2-netoglyc.txt","0")</f>
        <v>0</v>
      </c>
      <c r="X285">
        <v>8.9</v>
      </c>
      <c r="Y285">
        <v>5.0999999999999996</v>
      </c>
      <c r="Z285">
        <v>3.8</v>
      </c>
      <c r="AA285">
        <v>1</v>
      </c>
      <c r="AB285" t="s">
        <v>128</v>
      </c>
      <c r="AC285" s="2" t="str">
        <f>HYPERLINK("http://exon.niaid.nih.gov/transcriptome/Anopheles_sialome/links/DIPTERA/anomer_D7L2-DIPTERA.txt","long form D7 salivary protein")</f>
        <v>long form D7 salivary protein</v>
      </c>
      <c r="AD285" t="str">
        <f>HYPERLINK("http://www.ncbi.nlm.nih.gov/sutils/blink.cgi?pid=114864717","1E-143")</f>
        <v>1E-143</v>
      </c>
      <c r="AE285" t="str">
        <f t="shared" si="129"/>
        <v>gi|114864717</v>
      </c>
      <c r="AF285">
        <v>75</v>
      </c>
      <c r="AG285">
        <v>87</v>
      </c>
      <c r="AH285">
        <v>100</v>
      </c>
      <c r="AI285" t="s">
        <v>2266</v>
      </c>
      <c r="AJ285" s="2" t="str">
        <f>HYPERLINK("http://exon.niaid.nih.gov/transcriptome/Anopheles_sialome/links/CULICOMORPHA/anomer_D7L2-CULICOMORPHA.txt","long form D7 salivary protein")</f>
        <v>long form D7 salivary protein</v>
      </c>
      <c r="AK285" t="str">
        <f>HYPERLINK("http://www.ncbi.nlm.nih.gov/sutils/blink.cgi?pid=114864717","1E-144")</f>
        <v>1E-144</v>
      </c>
      <c r="AL285" t="str">
        <f t="shared" si="130"/>
        <v>gi|114864717</v>
      </c>
      <c r="AM285">
        <v>75</v>
      </c>
      <c r="AN285">
        <v>87</v>
      </c>
      <c r="AO285">
        <v>100</v>
      </c>
      <c r="AP285" t="s">
        <v>2266</v>
      </c>
      <c r="AQ285" s="2" t="str">
        <f>HYPERLINK("http://exon.niaid.nih.gov/transcriptome/Anopheles_sialome/links/NR-LIGHT/anomer_D7L2-NR-LIGHT.txt","long form D7 salivary protein")</f>
        <v>long form D7 salivary protein</v>
      </c>
      <c r="AR285" t="str">
        <f>HYPERLINK("http://www.ncbi.nlm.nih.gov/sutils/blink.cgi?pid=114864717","1E-143")</f>
        <v>1E-143</v>
      </c>
      <c r="AS285" t="str">
        <f t="shared" si="131"/>
        <v>gi|114864717</v>
      </c>
      <c r="AT285">
        <v>75</v>
      </c>
      <c r="AU285">
        <v>87</v>
      </c>
      <c r="AV285">
        <v>100</v>
      </c>
      <c r="AW285" t="s">
        <v>2266</v>
      </c>
      <c r="AX285" s="2" t="str">
        <f>HYPERLINK("http://exon.niaid.nih.gov/transcriptome/Anopheles_sialome/links/CDD/anomer_D7L2-CDD.txt","PBP_GOBP")</f>
        <v>PBP_GOBP</v>
      </c>
      <c r="AY285" t="str">
        <f>HYPERLINK("http://www.ncbi.nlm.nih.gov/Structure/cdd/cddsrv.cgi?uid=pfam01395&amp;version=v4.0","6E-010")</f>
        <v>6E-010</v>
      </c>
      <c r="AZ285" t="s">
        <v>2566</v>
      </c>
      <c r="BA285" s="2" t="str">
        <f>HYPERLINK("http://exon.niaid.nih.gov/transcriptome/Anopheles_sialome/links/KOG/anomer_D7L2-KOG.txt","40S ribosomal protein S2")</f>
        <v>40S ribosomal protein S2</v>
      </c>
      <c r="BB285" t="str">
        <f>HYPERLINK("http://www.ncbi.nlm.nih.gov/Structure/cdd/cddsrv.cgi?uid=KOG0886","1.8")</f>
        <v>1.8</v>
      </c>
      <c r="BC285" t="s">
        <v>2260</v>
      </c>
      <c r="BD285" t="str">
        <f>HYPERLINK("http://exon.niaid.nih.gov/transcriptome/Anopheles_sialome/links/KOG/anomer_D7L2-KOG.txt","KOG0886")</f>
        <v>KOG0886</v>
      </c>
      <c r="BE285" t="str">
        <f>HYPERLINK("http://exon.niaid.nih.gov/transcriptome/Anopheles_sialome/links/PFAM/anomer_D7L2-PFAM.txt","PBP_GOBP")</f>
        <v>PBP_GOBP</v>
      </c>
      <c r="BF285" t="str">
        <f>HYPERLINK("http://pfam.sanger.ac.uk/family?acc=PF01395","1E-010")</f>
        <v>1E-010</v>
      </c>
      <c r="BG285" s="2" t="str">
        <f>HYPERLINK("http://exon.niaid.nih.gov/transcriptome/Anopheles_sialome/links/SMART/anomer_D7L2-SMART.txt","PhBP")</f>
        <v>PhBP</v>
      </c>
      <c r="BH285" t="str">
        <f>HYPERLINK("http://smart.embl-heidelberg.de/smart/do_annotation.pl?DOMAIN=PhBP&amp;BLAST=DUMMY","0.001")</f>
        <v>0.001</v>
      </c>
      <c r="BI285" t="str">
        <f>HYPERLINK("http://exon.niaid.nih.gov/transcriptome/Anopheles_sialome/links/TICK-BLOCKS/anomer_D7L2-TICK-BLOCKS.txt","Lipid_binding_mosquito_D7_pattern |Lipid_binding_D7_WC_framework |")</f>
        <v>Lipid_binding_mosquito_D7_pattern |Lipid_binding_D7_WC_framework |</v>
      </c>
      <c r="BJ285" s="2" t="s">
        <v>2551</v>
      </c>
      <c r="BK285" t="s">
        <v>1164</v>
      </c>
      <c r="BL285">
        <f>HYPERLINK("http://exon.niaid.nih.gov/transcriptome/Anopheles_sialome/links/cluster-b/anopheline-sialome-cds-pep-larger-orf25-50SimCLU6.txt", 6)</f>
        <v>6</v>
      </c>
      <c r="BM285">
        <f>HYPERLINK("http://exon.niaid.nih.gov/transcriptome/Anopheles_sialome/links/cluster-b/anopheline-sialome-cds-pep-larger-orf25-50SimCLTL6.txt", 44)</f>
        <v>44</v>
      </c>
      <c r="BN285">
        <f>HYPERLINK("http://exon.niaid.nih.gov/transcriptome/Anopheles_sialome/links/cluster-b/anopheline-sialome-cds-pep-larger-orf30-50SimCLU5.txt", 5)</f>
        <v>5</v>
      </c>
      <c r="BO285">
        <f>HYPERLINK("http://exon.niaid.nih.gov/transcriptome/Anopheles_sialome/links/cluster-b/anopheline-sialome-cds-pep-larger-orf30-50SimCLTL5.txt", 44)</f>
        <v>44</v>
      </c>
      <c r="BP285">
        <f>HYPERLINK("http://exon.niaid.nih.gov/transcriptome/Anopheles_sialome/links/cluster-b/anopheline-sialome-cds-pep-larger-orf35-50SimCLU6.txt", 6)</f>
        <v>6</v>
      </c>
      <c r="BQ285">
        <f>HYPERLINK("http://exon.niaid.nih.gov/transcriptome/Anopheles_sialome/links/cluster-b/anopheline-sialome-cds-pep-larger-orf35-50SimCLTL6.txt", 44)</f>
        <v>44</v>
      </c>
      <c r="BR285">
        <f>HYPERLINK("http://exon.niaid.nih.gov/transcriptome/Anopheles_sialome/links/cluster-b/anopheline-sialome-cds-pep-larger-orf40-50SimCLU4.txt", 4)</f>
        <v>4</v>
      </c>
      <c r="BS285">
        <f>HYPERLINK("http://exon.niaid.nih.gov/transcriptome/Anopheles_sialome/links/cluster-b/anopheline-sialome-cds-pep-larger-orf40-50SimCLTL4.txt", 44)</f>
        <v>44</v>
      </c>
      <c r="BT285">
        <f>HYPERLINK("http://exon.niaid.nih.gov/transcriptome/Anopheles_sialome/links/cluster-b/anopheline-sialome-cds-pep-larger-orf45-50SimCLU10.txt", 10)</f>
        <v>10</v>
      </c>
      <c r="BU285">
        <f>HYPERLINK("http://exon.niaid.nih.gov/transcriptome/Anopheles_sialome/links/cluster-b/anopheline-sialome-cds-pep-larger-orf45-50SimCLTL10.txt", 26)</f>
        <v>26</v>
      </c>
      <c r="BV285">
        <f>HYPERLINK("http://exon.niaid.nih.gov/transcriptome/Anopheles_sialome/links/cluster-b/anopheline-sialome-cds-pep-larger-orf50-50SimCLU9.txt", 9)</f>
        <v>9</v>
      </c>
      <c r="BW285">
        <f>HYPERLINK("http://exon.niaid.nih.gov/transcriptome/Anopheles_sialome/links/cluster-b/anopheline-sialome-cds-pep-larger-orf50-50SimCLTL9.txt", 26)</f>
        <v>26</v>
      </c>
      <c r="BX285">
        <f>HYPERLINK("http://exon.niaid.nih.gov/transcriptome/Anopheles_sialome/links/cluster-b/anopheline-sialome-cds-pep-larger-orf55-50SimCLU10.txt", 10)</f>
        <v>10</v>
      </c>
      <c r="BY285">
        <f>HYPERLINK("http://exon.niaid.nih.gov/transcriptome/Anopheles_sialome/links/cluster-b/anopheline-sialome-cds-pep-larger-orf55-50SimCLTL10.txt", 26)</f>
        <v>26</v>
      </c>
      <c r="BZ285">
        <f>HYPERLINK("http://exon.niaid.nih.gov/transcriptome/Anopheles_sialome/links/cluster-b/anopheline-sialome-cds-pep-larger-orf60-50SimCLU8.txt", 8)</f>
        <v>8</v>
      </c>
      <c r="CA285">
        <f>HYPERLINK("http://exon.niaid.nih.gov/transcriptome/Anopheles_sialome/links/cluster-b/anopheline-sialome-cds-pep-larger-orf60-50SimCLTL8.txt", 26)</f>
        <v>26</v>
      </c>
      <c r="CB285">
        <f>HYPERLINK("http://exon.niaid.nih.gov/transcriptome/Anopheles_sialome/links/cluster-b/anopheline-sialome-cds-pep-larger-orf65-50SimCLU5.txt", 5)</f>
        <v>5</v>
      </c>
      <c r="CC285">
        <f>HYPERLINK("http://exon.niaid.nih.gov/transcriptome/Anopheles_sialome/links/cluster-b/anopheline-sialome-cds-pep-larger-orf65-50SimCLTL5.txt", 26)</f>
        <v>26</v>
      </c>
      <c r="CD285">
        <f>HYPERLINK("http://exon.niaid.nih.gov/transcriptome/Anopheles_sialome/links/cluster-b/anopheline-sialome-cds-pep-larger-orf70-50SimCLU4.txt", 4)</f>
        <v>4</v>
      </c>
      <c r="CE285">
        <f>HYPERLINK("http://exon.niaid.nih.gov/transcriptome/Anopheles_sialome/links/cluster-b/anopheline-sialome-cds-pep-larger-orf70-50SimCLTL4.txt", 26)</f>
        <v>26</v>
      </c>
      <c r="CF285">
        <f>HYPERLINK("http://exon.niaid.nih.gov/transcriptome/Anopheles_sialome/links/cluster-b/anopheline-sialome-cds-pep-larger-orf75-50SimCLU4.txt", 4)</f>
        <v>4</v>
      </c>
      <c r="CG285">
        <f>HYPERLINK("http://exon.niaid.nih.gov/transcriptome/Anopheles_sialome/links/cluster-b/anopheline-sialome-cds-pep-larger-orf75-50SimCLTL4.txt", 24)</f>
        <v>24</v>
      </c>
      <c r="CH285">
        <f>HYPERLINK("http://exon.niaid.nih.gov/transcriptome/Anopheles_sialome/links/cluster-b/anopheline-sialome-cds-pep-larger-orf80-50SimCLU4.txt", 4)</f>
        <v>4</v>
      </c>
      <c r="CI285">
        <f>HYPERLINK("http://exon.niaid.nih.gov/transcriptome/Anopheles_sialome/links/cluster-b/anopheline-sialome-cds-pep-larger-orf80-50SimCLTL4.txt", 20)</f>
        <v>20</v>
      </c>
      <c r="CJ285">
        <f>HYPERLINK("http://exon.niaid.nih.gov/transcriptome/Anopheles_sialome/links/cluster-b/anopheline-sialome-cds-pep-larger-orf85-50SimCLU3.txt", 3)</f>
        <v>3</v>
      </c>
      <c r="CK285">
        <f>HYPERLINK("http://exon.niaid.nih.gov/transcriptome/Anopheles_sialome/links/cluster-b/anopheline-sialome-cds-pep-larger-orf85-50SimCLTL3.txt", 20)</f>
        <v>20</v>
      </c>
      <c r="CL285">
        <f>HYPERLINK("http://exon.niaid.nih.gov/transcriptome/Anopheles_sialome/links/cluster-b/anopheline-sialome-cds-pep-larger-orf90-50SimCLU15.txt", 15)</f>
        <v>15</v>
      </c>
      <c r="CM285">
        <f>HYPERLINK("http://exon.niaid.nih.gov/transcriptome/Anopheles_sialome/links/cluster-b/anopheline-sialome-cds-pep-larger-orf90-50SimCLTL15.txt", 7)</f>
        <v>7</v>
      </c>
      <c r="CN285">
        <f>HYPERLINK("http://exon.niaid.nih.gov/transcriptome/Anopheles_sialome/links/cluster-b/anopheline-sialome-cds-pep-larger-orf95-50SimCLU14.txt", 14)</f>
        <v>14</v>
      </c>
      <c r="CO285">
        <f>HYPERLINK("http://exon.niaid.nih.gov/transcriptome/Anopheles_sialome/links/cluster-b/anopheline-sialome-cds-pep-larger-orf95-50SimCLTL14.txt", 6)</f>
        <v>6</v>
      </c>
    </row>
    <row r="286" spans="1:93">
      <c r="A286" s="2" t="str">
        <f>HYPERLINK("http://exon.niaid.nih.gov/transcriptome/Anopheles_sialome/links/cds/anomel_D7L2-cds.txt","anomel_D7L2")</f>
        <v>anomel_D7L2</v>
      </c>
      <c r="B286">
        <v>948</v>
      </c>
      <c r="C286" t="s">
        <v>198</v>
      </c>
      <c r="D286" t="s">
        <v>7</v>
      </c>
      <c r="E286" t="s">
        <v>5</v>
      </c>
      <c r="F286" t="s">
        <v>1</v>
      </c>
      <c r="G286" t="str">
        <f>HYPERLINK("http://exon.niaid.nih.gov/transcriptome/Anopheles_sialome/links/pep/anomel_D7L2-pep.txt","anomel_D7L2")</f>
        <v>anomel_D7L2</v>
      </c>
      <c r="H286">
        <v>315</v>
      </c>
      <c r="I286">
        <v>1</v>
      </c>
      <c r="J286" s="3" t="str">
        <f>HYPERLINK("http://exon.niaid.nih.gov/transcriptome/Anopheles_sialome/links/Sigp/anomel_D7L2-SigP.txt","SIG")</f>
        <v>SIG</v>
      </c>
      <c r="K286" t="s">
        <v>925</v>
      </c>
      <c r="L286">
        <v>36.082999999999998</v>
      </c>
      <c r="M286">
        <v>7.99</v>
      </c>
      <c r="N286">
        <v>34.113999999999997</v>
      </c>
      <c r="O286">
        <v>8.0399999999999991</v>
      </c>
      <c r="P286" t="s">
        <v>1159</v>
      </c>
      <c r="Q286" s="3">
        <v>0</v>
      </c>
      <c r="R286" t="s">
        <v>128</v>
      </c>
      <c r="S286" t="s">
        <v>128</v>
      </c>
      <c r="T286" t="s">
        <v>128</v>
      </c>
      <c r="U286" t="s">
        <v>128</v>
      </c>
      <c r="V286" t="s">
        <v>128</v>
      </c>
      <c r="W286" s="3" t="str">
        <f>HYPERLINK("http://exon.niaid.nih.gov/transcriptome/Anopheles_sialome/links/netoglyc/anomel_D7L2-netoglyc.txt","0")</f>
        <v>0</v>
      </c>
      <c r="X286">
        <v>9.1999999999999993</v>
      </c>
      <c r="Y286">
        <v>5.0999999999999996</v>
      </c>
      <c r="Z286">
        <v>3.5</v>
      </c>
      <c r="AA286">
        <v>1</v>
      </c>
      <c r="AB286" t="s">
        <v>128</v>
      </c>
      <c r="AC286" s="2" t="str">
        <f>HYPERLINK("http://exon.niaid.nih.gov/transcriptome/Anopheles_sialome/links/DIPTERA/anomel_D7L2-DIPTERA.txt","long form D7 salivary protein")</f>
        <v>long form D7 salivary protein</v>
      </c>
      <c r="AD286" t="str">
        <f>HYPERLINK("http://www.ncbi.nlm.nih.gov/sutils/blink.cgi?pid=114864717","1E-143")</f>
        <v>1E-143</v>
      </c>
      <c r="AE286" t="str">
        <f t="shared" si="129"/>
        <v>gi|114864717</v>
      </c>
      <c r="AF286">
        <v>75</v>
      </c>
      <c r="AG286">
        <v>87</v>
      </c>
      <c r="AH286">
        <v>100</v>
      </c>
      <c r="AI286" t="s">
        <v>2266</v>
      </c>
      <c r="AJ286" s="2" t="str">
        <f>HYPERLINK("http://exon.niaid.nih.gov/transcriptome/Anopheles_sialome/links/CULICOMORPHA/anomel_D7L2-CULICOMORPHA.txt","long form D7 salivary protein")</f>
        <v>long form D7 salivary protein</v>
      </c>
      <c r="AK286" t="str">
        <f>HYPERLINK("http://www.ncbi.nlm.nih.gov/sutils/blink.cgi?pid=114864717","1E-144")</f>
        <v>1E-144</v>
      </c>
      <c r="AL286" t="str">
        <f t="shared" si="130"/>
        <v>gi|114864717</v>
      </c>
      <c r="AM286">
        <v>75</v>
      </c>
      <c r="AN286">
        <v>87</v>
      </c>
      <c r="AO286">
        <v>100</v>
      </c>
      <c r="AP286" t="s">
        <v>2266</v>
      </c>
      <c r="AQ286" s="2" t="str">
        <f>HYPERLINK("http://exon.niaid.nih.gov/transcriptome/Anopheles_sialome/links/NR-LIGHT/anomel_D7L2-NR-LIGHT.txt","long form D7 salivary protein")</f>
        <v>long form D7 salivary protein</v>
      </c>
      <c r="AR286" t="str">
        <f>HYPERLINK("http://www.ncbi.nlm.nih.gov/sutils/blink.cgi?pid=114864717","1E-143")</f>
        <v>1E-143</v>
      </c>
      <c r="AS286" t="str">
        <f t="shared" si="131"/>
        <v>gi|114864717</v>
      </c>
      <c r="AT286">
        <v>75</v>
      </c>
      <c r="AU286">
        <v>87</v>
      </c>
      <c r="AV286">
        <v>100</v>
      </c>
      <c r="AW286" t="s">
        <v>2266</v>
      </c>
      <c r="AX286" s="2" t="str">
        <f>HYPERLINK("http://exon.niaid.nih.gov/transcriptome/Anopheles_sialome/links/CDD/anomel_D7L2-CDD.txt","PBP_GOBP")</f>
        <v>PBP_GOBP</v>
      </c>
      <c r="AY286" t="str">
        <f>HYPERLINK("http://www.ncbi.nlm.nih.gov/Structure/cdd/cddsrv.cgi?uid=pfam01395&amp;version=v4.0","8E-010")</f>
        <v>8E-010</v>
      </c>
      <c r="AZ286" t="s">
        <v>2567</v>
      </c>
      <c r="BA286" s="2" t="str">
        <f>HYPERLINK("http://exon.niaid.nih.gov/transcriptome/Anopheles_sialome/links/KOG/anomel_D7L2-KOG.txt","40S ribosomal protein S2")</f>
        <v>40S ribosomal protein S2</v>
      </c>
      <c r="BB286" t="str">
        <f>HYPERLINK("http://www.ncbi.nlm.nih.gov/Structure/cdd/cddsrv.cgi?uid=KOG0886","1.6")</f>
        <v>1.6</v>
      </c>
      <c r="BC286" t="s">
        <v>2260</v>
      </c>
      <c r="BD286" t="str">
        <f>HYPERLINK("http://exon.niaid.nih.gov/transcriptome/Anopheles_sialome/links/KOG/anomel_D7L2-KOG.txt","KOG0886")</f>
        <v>KOG0886</v>
      </c>
      <c r="BE286" t="str">
        <f>HYPERLINK("http://exon.niaid.nih.gov/transcriptome/Anopheles_sialome/links/PFAM/anomel_D7L2-PFAM.txt","PBP_GOBP")</f>
        <v>PBP_GOBP</v>
      </c>
      <c r="BF286" t="str">
        <f>HYPERLINK("http://pfam.sanger.ac.uk/family?acc=PF01395","2E-010")</f>
        <v>2E-010</v>
      </c>
      <c r="BG286" s="2" t="str">
        <f>HYPERLINK("http://exon.niaid.nih.gov/transcriptome/Anopheles_sialome/links/SMART/anomel_D7L2-SMART.txt","PhBP")</f>
        <v>PhBP</v>
      </c>
      <c r="BH286" t="str">
        <f>HYPERLINK("http://smart.embl-heidelberg.de/smart/do_annotation.pl?DOMAIN=PhBP&amp;BLAST=DUMMY","0.002")</f>
        <v>0.002</v>
      </c>
      <c r="BI286" t="str">
        <f>HYPERLINK("http://exon.niaid.nih.gov/transcriptome/Anopheles_sialome/links/TICK-BLOCKS/anomel_D7L2-TICK-BLOCKS.txt","Lipid_binding_mosquito_D7_pattern |Lipid_binding_D7_WC_framework |")</f>
        <v>Lipid_binding_mosquito_D7_pattern |Lipid_binding_D7_WC_framework |</v>
      </c>
      <c r="BJ286" s="2" t="s">
        <v>2551</v>
      </c>
      <c r="BK286" t="s">
        <v>1165</v>
      </c>
      <c r="BL286">
        <f>HYPERLINK("http://exon.niaid.nih.gov/transcriptome/Anopheles_sialome/links/cluster-b/anopheline-sialome-cds-pep-larger-orf25-50SimCLU6.txt", 6)</f>
        <v>6</v>
      </c>
      <c r="BM286">
        <f>HYPERLINK("http://exon.niaid.nih.gov/transcriptome/Anopheles_sialome/links/cluster-b/anopheline-sialome-cds-pep-larger-orf25-50SimCLTL6.txt", 44)</f>
        <v>44</v>
      </c>
      <c r="BN286">
        <f>HYPERLINK("http://exon.niaid.nih.gov/transcriptome/Anopheles_sialome/links/cluster-b/anopheline-sialome-cds-pep-larger-orf30-50SimCLU5.txt", 5)</f>
        <v>5</v>
      </c>
      <c r="BO286">
        <f>HYPERLINK("http://exon.niaid.nih.gov/transcriptome/Anopheles_sialome/links/cluster-b/anopheline-sialome-cds-pep-larger-orf30-50SimCLTL5.txt", 44)</f>
        <v>44</v>
      </c>
      <c r="BP286">
        <f>HYPERLINK("http://exon.niaid.nih.gov/transcriptome/Anopheles_sialome/links/cluster-b/anopheline-sialome-cds-pep-larger-orf35-50SimCLU6.txt", 6)</f>
        <v>6</v>
      </c>
      <c r="BQ286">
        <f>HYPERLINK("http://exon.niaid.nih.gov/transcriptome/Anopheles_sialome/links/cluster-b/anopheline-sialome-cds-pep-larger-orf35-50SimCLTL6.txt", 44)</f>
        <v>44</v>
      </c>
      <c r="BR286">
        <f>HYPERLINK("http://exon.niaid.nih.gov/transcriptome/Anopheles_sialome/links/cluster-b/anopheline-sialome-cds-pep-larger-orf40-50SimCLU4.txt", 4)</f>
        <v>4</v>
      </c>
      <c r="BS286">
        <f>HYPERLINK("http://exon.niaid.nih.gov/transcriptome/Anopheles_sialome/links/cluster-b/anopheline-sialome-cds-pep-larger-orf40-50SimCLTL4.txt", 44)</f>
        <v>44</v>
      </c>
      <c r="BT286">
        <f>HYPERLINK("http://exon.niaid.nih.gov/transcriptome/Anopheles_sialome/links/cluster-b/anopheline-sialome-cds-pep-larger-orf45-50SimCLU10.txt", 10)</f>
        <v>10</v>
      </c>
      <c r="BU286">
        <f>HYPERLINK("http://exon.niaid.nih.gov/transcriptome/Anopheles_sialome/links/cluster-b/anopheline-sialome-cds-pep-larger-orf45-50SimCLTL10.txt", 26)</f>
        <v>26</v>
      </c>
      <c r="BV286">
        <f>HYPERLINK("http://exon.niaid.nih.gov/transcriptome/Anopheles_sialome/links/cluster-b/anopheline-sialome-cds-pep-larger-orf50-50SimCLU9.txt", 9)</f>
        <v>9</v>
      </c>
      <c r="BW286">
        <f>HYPERLINK("http://exon.niaid.nih.gov/transcriptome/Anopheles_sialome/links/cluster-b/anopheline-sialome-cds-pep-larger-orf50-50SimCLTL9.txt", 26)</f>
        <v>26</v>
      </c>
      <c r="BX286">
        <f>HYPERLINK("http://exon.niaid.nih.gov/transcriptome/Anopheles_sialome/links/cluster-b/anopheline-sialome-cds-pep-larger-orf55-50SimCLU10.txt", 10)</f>
        <v>10</v>
      </c>
      <c r="BY286">
        <f>HYPERLINK("http://exon.niaid.nih.gov/transcriptome/Anopheles_sialome/links/cluster-b/anopheline-sialome-cds-pep-larger-orf55-50SimCLTL10.txt", 26)</f>
        <v>26</v>
      </c>
      <c r="BZ286">
        <f>HYPERLINK("http://exon.niaid.nih.gov/transcriptome/Anopheles_sialome/links/cluster-b/anopheline-sialome-cds-pep-larger-orf60-50SimCLU8.txt", 8)</f>
        <v>8</v>
      </c>
      <c r="CA286">
        <f>HYPERLINK("http://exon.niaid.nih.gov/transcriptome/Anopheles_sialome/links/cluster-b/anopheline-sialome-cds-pep-larger-orf60-50SimCLTL8.txt", 26)</f>
        <v>26</v>
      </c>
      <c r="CB286">
        <f>HYPERLINK("http://exon.niaid.nih.gov/transcriptome/Anopheles_sialome/links/cluster-b/anopheline-sialome-cds-pep-larger-orf65-50SimCLU5.txt", 5)</f>
        <v>5</v>
      </c>
      <c r="CC286">
        <f>HYPERLINK("http://exon.niaid.nih.gov/transcriptome/Anopheles_sialome/links/cluster-b/anopheline-sialome-cds-pep-larger-orf65-50SimCLTL5.txt", 26)</f>
        <v>26</v>
      </c>
      <c r="CD286">
        <f>HYPERLINK("http://exon.niaid.nih.gov/transcriptome/Anopheles_sialome/links/cluster-b/anopheline-sialome-cds-pep-larger-orf70-50SimCLU4.txt", 4)</f>
        <v>4</v>
      </c>
      <c r="CE286">
        <f>HYPERLINK("http://exon.niaid.nih.gov/transcriptome/Anopheles_sialome/links/cluster-b/anopheline-sialome-cds-pep-larger-orf70-50SimCLTL4.txt", 26)</f>
        <v>26</v>
      </c>
      <c r="CF286">
        <f>HYPERLINK("http://exon.niaid.nih.gov/transcriptome/Anopheles_sialome/links/cluster-b/anopheline-sialome-cds-pep-larger-orf75-50SimCLU4.txt", 4)</f>
        <v>4</v>
      </c>
      <c r="CG286">
        <f>HYPERLINK("http://exon.niaid.nih.gov/transcriptome/Anopheles_sialome/links/cluster-b/anopheline-sialome-cds-pep-larger-orf75-50SimCLTL4.txt", 24)</f>
        <v>24</v>
      </c>
      <c r="CH286">
        <f>HYPERLINK("http://exon.niaid.nih.gov/transcriptome/Anopheles_sialome/links/cluster-b/anopheline-sialome-cds-pep-larger-orf80-50SimCLU4.txt", 4)</f>
        <v>4</v>
      </c>
      <c r="CI286">
        <f>HYPERLINK("http://exon.niaid.nih.gov/transcriptome/Anopheles_sialome/links/cluster-b/anopheline-sialome-cds-pep-larger-orf80-50SimCLTL4.txt", 20)</f>
        <v>20</v>
      </c>
      <c r="CJ286">
        <f>HYPERLINK("http://exon.niaid.nih.gov/transcriptome/Anopheles_sialome/links/cluster-b/anopheline-sialome-cds-pep-larger-orf85-50SimCLU3.txt", 3)</f>
        <v>3</v>
      </c>
      <c r="CK286">
        <f>HYPERLINK("http://exon.niaid.nih.gov/transcriptome/Anopheles_sialome/links/cluster-b/anopheline-sialome-cds-pep-larger-orf85-50SimCLTL3.txt", 20)</f>
        <v>20</v>
      </c>
      <c r="CL286">
        <f>HYPERLINK("http://exon.niaid.nih.gov/transcriptome/Anopheles_sialome/links/cluster-b/anopheline-sialome-cds-pep-larger-orf90-50SimCLU15.txt", 15)</f>
        <v>15</v>
      </c>
      <c r="CM286">
        <f>HYPERLINK("http://exon.niaid.nih.gov/transcriptome/Anopheles_sialome/links/cluster-b/anopheline-sialome-cds-pep-larger-orf90-50SimCLTL15.txt", 7)</f>
        <v>7</v>
      </c>
      <c r="CN286">
        <f>HYPERLINK("http://exon.niaid.nih.gov/transcriptome/Anopheles_sialome/links/cluster-b/anopheline-sialome-cds-pep-larger-orf95-50SimCLU14.txt", 14)</f>
        <v>14</v>
      </c>
      <c r="CO286">
        <f>HYPERLINK("http://exon.niaid.nih.gov/transcriptome/Anopheles_sialome/links/cluster-b/anopheline-sialome-cds-pep-larger-orf95-50SimCLTL14.txt", 6)</f>
        <v>6</v>
      </c>
    </row>
    <row r="287" spans="1:93">
      <c r="A287" s="2" t="str">
        <f>HYPERLINK("http://exon.niaid.nih.gov/transcriptome/Anopheles_sialome/links/cds/anoepi_D7L2-cds.txt","anoepi_D7L2")</f>
        <v>anoepi_D7L2</v>
      </c>
      <c r="B287">
        <v>945</v>
      </c>
      <c r="C287" t="s">
        <v>191</v>
      </c>
      <c r="D287" t="s">
        <v>7</v>
      </c>
      <c r="E287" t="s">
        <v>5</v>
      </c>
      <c r="F287" t="s">
        <v>1</v>
      </c>
      <c r="G287" t="str">
        <f>HYPERLINK("http://exon.niaid.nih.gov/transcriptome/Anopheles_sialome/links/pep/anoepi_D7L2-pep.txt","anoepi_D7L2")</f>
        <v>anoepi_D7L2</v>
      </c>
      <c r="H287">
        <v>314</v>
      </c>
      <c r="I287">
        <v>2</v>
      </c>
      <c r="J287" s="3" t="str">
        <f>HYPERLINK("http://exon.niaid.nih.gov/transcriptome/Anopheles_sialome/links/Sigp/anoepi_D7L2-SigP.txt","SIG")</f>
        <v>SIG</v>
      </c>
      <c r="K287" t="s">
        <v>715</v>
      </c>
      <c r="L287">
        <v>36.039000000000001</v>
      </c>
      <c r="M287">
        <v>8.25</v>
      </c>
      <c r="N287">
        <v>33.445</v>
      </c>
      <c r="O287">
        <v>8.2799999999999994</v>
      </c>
      <c r="P287" t="s">
        <v>1167</v>
      </c>
      <c r="Q287" s="3">
        <v>0</v>
      </c>
      <c r="R287" t="s">
        <v>128</v>
      </c>
      <c r="S287" t="s">
        <v>128</v>
      </c>
      <c r="T287" t="s">
        <v>128</v>
      </c>
      <c r="U287" t="s">
        <v>128</v>
      </c>
      <c r="V287" t="s">
        <v>128</v>
      </c>
      <c r="W287" s="3" t="str">
        <f>HYPERLINK("http://exon.niaid.nih.gov/transcriptome/Anopheles_sialome/links/netoglyc/anoepi_D7L2-netoglyc.txt","0")</f>
        <v>0</v>
      </c>
      <c r="X287">
        <v>10.199999999999999</v>
      </c>
      <c r="Y287">
        <v>4.5</v>
      </c>
      <c r="Z287">
        <v>4.0999999999999996</v>
      </c>
      <c r="AA287" t="s">
        <v>654</v>
      </c>
      <c r="AB287" t="s">
        <v>1168</v>
      </c>
      <c r="AC287" s="2" t="str">
        <f>HYPERLINK("http://exon.niaid.nih.gov/transcriptome/Anopheles_sialome/links/DIPTERA/anoepi_D7L2-DIPTERA.txt","long form D7 salivary protein")</f>
        <v>long form D7 salivary protein</v>
      </c>
      <c r="AD287" t="str">
        <f>HYPERLINK("http://www.ncbi.nlm.nih.gov/sutils/blink.cgi?pid=114864717","1E-140")</f>
        <v>1E-140</v>
      </c>
      <c r="AE287" t="str">
        <f t="shared" si="129"/>
        <v>gi|114864717</v>
      </c>
      <c r="AF287">
        <v>73</v>
      </c>
      <c r="AG287">
        <v>87</v>
      </c>
      <c r="AH287">
        <v>100</v>
      </c>
      <c r="AI287" t="s">
        <v>2266</v>
      </c>
      <c r="AJ287" s="2" t="str">
        <f>HYPERLINK("http://exon.niaid.nih.gov/transcriptome/Anopheles_sialome/links/CULICOMORPHA/anoepi_D7L2-CULICOMORPHA.txt","long form D7 salivary protein")</f>
        <v>long form D7 salivary protein</v>
      </c>
      <c r="AK287" t="str">
        <f>HYPERLINK("http://www.ncbi.nlm.nih.gov/sutils/blink.cgi?pid=114864717","1E-140")</f>
        <v>1E-140</v>
      </c>
      <c r="AL287" t="str">
        <f t="shared" si="130"/>
        <v>gi|114864717</v>
      </c>
      <c r="AM287">
        <v>73</v>
      </c>
      <c r="AN287">
        <v>87</v>
      </c>
      <c r="AO287">
        <v>100</v>
      </c>
      <c r="AP287" t="s">
        <v>2266</v>
      </c>
      <c r="AQ287" s="2" t="str">
        <f>HYPERLINK("http://exon.niaid.nih.gov/transcriptome/Anopheles_sialome/links/NR-LIGHT/anoepi_D7L2-NR-LIGHT.txt","long form D7 salivary protein")</f>
        <v>long form D7 salivary protein</v>
      </c>
      <c r="AR287" t="str">
        <f>HYPERLINK("http://www.ncbi.nlm.nih.gov/sutils/blink.cgi?pid=114864717","1E-139")</f>
        <v>1E-139</v>
      </c>
      <c r="AS287" t="str">
        <f t="shared" si="131"/>
        <v>gi|114864717</v>
      </c>
      <c r="AT287">
        <v>73</v>
      </c>
      <c r="AU287">
        <v>87</v>
      </c>
      <c r="AV287">
        <v>100</v>
      </c>
      <c r="AW287" t="s">
        <v>2266</v>
      </c>
      <c r="AX287" s="2" t="str">
        <f>HYPERLINK("http://exon.niaid.nih.gov/transcriptome/Anopheles_sialome/links/CDD/anoepi_D7L2-CDD.txt","PBP_GOBP")</f>
        <v>PBP_GOBP</v>
      </c>
      <c r="AY287" t="str">
        <f>HYPERLINK("http://www.ncbi.nlm.nih.gov/Structure/cdd/cddsrv.cgi?uid=pfam01395&amp;version=v4.0","6E-009")</f>
        <v>6E-009</v>
      </c>
      <c r="AZ287" t="s">
        <v>2568</v>
      </c>
      <c r="BA287" s="2" t="str">
        <f>HYPERLINK("http://exon.niaid.nih.gov/transcriptome/Anopheles_sialome/links/KOG/anoepi_D7L2-KOG.txt","Inhibitor of type V adenylyl cyclases/Neuronal presynaptic protein Highwire/PAM/RPM-1")</f>
        <v>Inhibitor of type V adenylyl cyclases/Neuronal presynaptic protein Highwire/PAM/RPM-1</v>
      </c>
      <c r="BB287" t="str">
        <f>HYPERLINK("http://www.ncbi.nlm.nih.gov/Structure/cdd/cddsrv.cgi?uid=KOG1428","0.98")</f>
        <v>0.98</v>
      </c>
      <c r="BC287" t="s">
        <v>2292</v>
      </c>
      <c r="BD287" t="str">
        <f>HYPERLINK("http://exon.niaid.nih.gov/transcriptome/Anopheles_sialome/links/KOG/anoepi_D7L2-KOG.txt","KOG1428")</f>
        <v>KOG1428</v>
      </c>
      <c r="BE287" t="str">
        <f>HYPERLINK("http://exon.niaid.nih.gov/transcriptome/Anopheles_sialome/links/PFAM/anoepi_D7L2-PFAM.txt","PBP_GOBP")</f>
        <v>PBP_GOBP</v>
      </c>
      <c r="BF287" t="str">
        <f>HYPERLINK("http://pfam.sanger.ac.uk/family?acc=PF01395","1E-009")</f>
        <v>1E-009</v>
      </c>
      <c r="BG287" s="2" t="str">
        <f>HYPERLINK("http://exon.niaid.nih.gov/transcriptome/Anopheles_sialome/links/SMART/anoepi_D7L2-SMART.txt","PhBP")</f>
        <v>PhBP</v>
      </c>
      <c r="BH287" t="str">
        <f>HYPERLINK("http://smart.embl-heidelberg.de/smart/do_annotation.pl?DOMAIN=PhBP&amp;BLAST=DUMMY","4E-005")</f>
        <v>4E-005</v>
      </c>
      <c r="BI287" t="str">
        <f>HYPERLINK("http://exon.niaid.nih.gov/transcriptome/Anopheles_sialome/links/TICK-BLOCKS/anoepi_D7L2-TICK-BLOCKS.txt","Lipid_binding_mosquito_D7_pattern |Lipid_binding_D7_WC_framework |")</f>
        <v>Lipid_binding_mosquito_D7_pattern |Lipid_binding_D7_WC_framework |</v>
      </c>
      <c r="BJ287" s="2" t="s">
        <v>2551</v>
      </c>
      <c r="BK287" t="s">
        <v>1166</v>
      </c>
      <c r="BL287">
        <f>HYPERLINK("http://exon.niaid.nih.gov/transcriptome/Anopheles_sialome/links/cluster-b/anopheline-sialome-cds-pep-larger-orf25-50SimCLU6.txt", 6)</f>
        <v>6</v>
      </c>
      <c r="BM287">
        <f>HYPERLINK("http://exon.niaid.nih.gov/transcriptome/Anopheles_sialome/links/cluster-b/anopheline-sialome-cds-pep-larger-orf25-50SimCLTL6.txt", 44)</f>
        <v>44</v>
      </c>
      <c r="BN287">
        <f>HYPERLINK("http://exon.niaid.nih.gov/transcriptome/Anopheles_sialome/links/cluster-b/anopheline-sialome-cds-pep-larger-orf30-50SimCLU5.txt", 5)</f>
        <v>5</v>
      </c>
      <c r="BO287">
        <f>HYPERLINK("http://exon.niaid.nih.gov/transcriptome/Anopheles_sialome/links/cluster-b/anopheline-sialome-cds-pep-larger-orf30-50SimCLTL5.txt", 44)</f>
        <v>44</v>
      </c>
      <c r="BP287">
        <f>HYPERLINK("http://exon.niaid.nih.gov/transcriptome/Anopheles_sialome/links/cluster-b/anopheline-sialome-cds-pep-larger-orf35-50SimCLU6.txt", 6)</f>
        <v>6</v>
      </c>
      <c r="BQ287">
        <f>HYPERLINK("http://exon.niaid.nih.gov/transcriptome/Anopheles_sialome/links/cluster-b/anopheline-sialome-cds-pep-larger-orf35-50SimCLTL6.txt", 44)</f>
        <v>44</v>
      </c>
      <c r="BR287">
        <f>HYPERLINK("http://exon.niaid.nih.gov/transcriptome/Anopheles_sialome/links/cluster-b/anopheline-sialome-cds-pep-larger-orf40-50SimCLU4.txt", 4)</f>
        <v>4</v>
      </c>
      <c r="BS287">
        <f>HYPERLINK("http://exon.niaid.nih.gov/transcriptome/Anopheles_sialome/links/cluster-b/anopheline-sialome-cds-pep-larger-orf40-50SimCLTL4.txt", 44)</f>
        <v>44</v>
      </c>
      <c r="BT287">
        <f>HYPERLINK("http://exon.niaid.nih.gov/transcriptome/Anopheles_sialome/links/cluster-b/anopheline-sialome-cds-pep-larger-orf45-50SimCLU10.txt", 10)</f>
        <v>10</v>
      </c>
      <c r="BU287">
        <f>HYPERLINK("http://exon.niaid.nih.gov/transcriptome/Anopheles_sialome/links/cluster-b/anopheline-sialome-cds-pep-larger-orf45-50SimCLTL10.txt", 26)</f>
        <v>26</v>
      </c>
      <c r="BV287">
        <f>HYPERLINK("http://exon.niaid.nih.gov/transcriptome/Anopheles_sialome/links/cluster-b/anopheline-sialome-cds-pep-larger-orf50-50SimCLU9.txt", 9)</f>
        <v>9</v>
      </c>
      <c r="BW287">
        <f>HYPERLINK("http://exon.niaid.nih.gov/transcriptome/Anopheles_sialome/links/cluster-b/anopheline-sialome-cds-pep-larger-orf50-50SimCLTL9.txt", 26)</f>
        <v>26</v>
      </c>
      <c r="BX287">
        <f>HYPERLINK("http://exon.niaid.nih.gov/transcriptome/Anopheles_sialome/links/cluster-b/anopheline-sialome-cds-pep-larger-orf55-50SimCLU10.txt", 10)</f>
        <v>10</v>
      </c>
      <c r="BY287">
        <f>HYPERLINK("http://exon.niaid.nih.gov/transcriptome/Anopheles_sialome/links/cluster-b/anopheline-sialome-cds-pep-larger-orf55-50SimCLTL10.txt", 26)</f>
        <v>26</v>
      </c>
      <c r="BZ287">
        <f>HYPERLINK("http://exon.niaid.nih.gov/transcriptome/Anopheles_sialome/links/cluster-b/anopheline-sialome-cds-pep-larger-orf60-50SimCLU8.txt", 8)</f>
        <v>8</v>
      </c>
      <c r="CA287">
        <f>HYPERLINK("http://exon.niaid.nih.gov/transcriptome/Anopheles_sialome/links/cluster-b/anopheline-sialome-cds-pep-larger-orf60-50SimCLTL8.txt", 26)</f>
        <v>26</v>
      </c>
      <c r="CB287">
        <f>HYPERLINK("http://exon.niaid.nih.gov/transcriptome/Anopheles_sialome/links/cluster-b/anopheline-sialome-cds-pep-larger-orf65-50SimCLU5.txt", 5)</f>
        <v>5</v>
      </c>
      <c r="CC287">
        <f>HYPERLINK("http://exon.niaid.nih.gov/transcriptome/Anopheles_sialome/links/cluster-b/anopheline-sialome-cds-pep-larger-orf65-50SimCLTL5.txt", 26)</f>
        <v>26</v>
      </c>
      <c r="CD287">
        <f>HYPERLINK("http://exon.niaid.nih.gov/transcriptome/Anopheles_sialome/links/cluster-b/anopheline-sialome-cds-pep-larger-orf70-50SimCLU4.txt", 4)</f>
        <v>4</v>
      </c>
      <c r="CE287">
        <f>HYPERLINK("http://exon.niaid.nih.gov/transcriptome/Anopheles_sialome/links/cluster-b/anopheline-sialome-cds-pep-larger-orf70-50SimCLTL4.txt", 26)</f>
        <v>26</v>
      </c>
      <c r="CF287">
        <f>HYPERLINK("http://exon.niaid.nih.gov/transcriptome/Anopheles_sialome/links/cluster-b/anopheline-sialome-cds-pep-larger-orf75-50SimCLU4.txt", 4)</f>
        <v>4</v>
      </c>
      <c r="CG287">
        <f>HYPERLINK("http://exon.niaid.nih.gov/transcriptome/Anopheles_sialome/links/cluster-b/anopheline-sialome-cds-pep-larger-orf75-50SimCLTL4.txt", 24)</f>
        <v>24</v>
      </c>
      <c r="CH287">
        <f>HYPERLINK("http://exon.niaid.nih.gov/transcriptome/Anopheles_sialome/links/cluster-b/anopheline-sialome-cds-pep-larger-orf80-50SimCLU4.txt", 4)</f>
        <v>4</v>
      </c>
      <c r="CI287">
        <f>HYPERLINK("http://exon.niaid.nih.gov/transcriptome/Anopheles_sialome/links/cluster-b/anopheline-sialome-cds-pep-larger-orf80-50SimCLTL4.txt", 20)</f>
        <v>20</v>
      </c>
      <c r="CJ287">
        <f>HYPERLINK("http://exon.niaid.nih.gov/transcriptome/Anopheles_sialome/links/cluster-b/anopheline-sialome-cds-pep-larger-orf85-50SimCLU3.txt", 3)</f>
        <v>3</v>
      </c>
      <c r="CK287">
        <f>HYPERLINK("http://exon.niaid.nih.gov/transcriptome/Anopheles_sialome/links/cluster-b/anopheline-sialome-cds-pep-larger-orf85-50SimCLTL3.txt", 20)</f>
        <v>20</v>
      </c>
      <c r="CL287">
        <f>HYPERLINK("http://exon.niaid.nih.gov/transcriptome/Anopheles_sialome/links/cluster-b/anopheline-sialome-cds-pep-larger-orf90-50SimCLU15.txt", 15)</f>
        <v>15</v>
      </c>
      <c r="CM287">
        <f>HYPERLINK("http://exon.niaid.nih.gov/transcriptome/Anopheles_sialome/links/cluster-b/anopheline-sialome-cds-pep-larger-orf90-50SimCLTL15.txt", 7)</f>
        <v>7</v>
      </c>
      <c r="CN287">
        <v>206</v>
      </c>
      <c r="CO287">
        <v>1</v>
      </c>
    </row>
    <row r="288" spans="1:93">
      <c r="A288" s="2" t="str">
        <f>HYPERLINK("http://exon.niaid.nih.gov/transcriptome/Anopheles_sialome/links/cds/anofun_D7L2-cds.txt","anofun_D7L2")</f>
        <v>anofun_D7L2</v>
      </c>
      <c r="B288">
        <v>948</v>
      </c>
      <c r="C288" s="7">
        <v>114864716</v>
      </c>
      <c r="D288" t="s">
        <v>4</v>
      </c>
      <c r="E288" t="s">
        <v>5</v>
      </c>
      <c r="F288" t="s">
        <v>1</v>
      </c>
      <c r="G288" t="str">
        <f>HYPERLINK("http://exon.niaid.nih.gov/transcriptome/Anopheles_sialome/links/pep/anofun_D7L2-pep.txt","anofun_D7L2")</f>
        <v>anofun_D7L2</v>
      </c>
      <c r="H288">
        <v>315</v>
      </c>
      <c r="I288">
        <v>1</v>
      </c>
      <c r="J288" s="3" t="str">
        <f>HYPERLINK("http://exon.niaid.nih.gov/transcriptome/Anopheles_sialome/links/Sigp/anofun_D7L2-SigP.txt","SIG")</f>
        <v>SIG</v>
      </c>
      <c r="K288" t="s">
        <v>925</v>
      </c>
      <c r="L288">
        <v>36.32</v>
      </c>
      <c r="M288">
        <v>8.4499999999999993</v>
      </c>
      <c r="N288">
        <v>34.430999999999997</v>
      </c>
      <c r="O288">
        <v>8.4499999999999993</v>
      </c>
      <c r="P288" t="s">
        <v>687</v>
      </c>
      <c r="Q288" s="3">
        <v>0</v>
      </c>
      <c r="R288" t="s">
        <v>128</v>
      </c>
      <c r="S288" t="s">
        <v>128</v>
      </c>
      <c r="T288" t="s">
        <v>128</v>
      </c>
      <c r="U288" t="s">
        <v>128</v>
      </c>
      <c r="V288" t="s">
        <v>128</v>
      </c>
      <c r="W288" s="3" t="str">
        <f>HYPERLINK("http://exon.niaid.nih.gov/transcriptome/Anopheles_sialome/links/netoglyc/anofun_D7L2-netoglyc.txt","1")</f>
        <v>1</v>
      </c>
      <c r="X288">
        <v>8.6</v>
      </c>
      <c r="Y288">
        <v>4.8</v>
      </c>
      <c r="Z288">
        <v>4.0999999999999996</v>
      </c>
      <c r="AA288" t="s">
        <v>654</v>
      </c>
      <c r="AB288" t="s">
        <v>128</v>
      </c>
      <c r="AC288" s="2" t="str">
        <f>HYPERLINK("http://exon.niaid.nih.gov/transcriptome/Anopheles_sialome/links/DIPTERA/anofun_D7L2-DIPTERA.txt","long form D7 salivary protein")</f>
        <v>long form D7 salivary protein</v>
      </c>
      <c r="AD288" t="str">
        <f>HYPERLINK("http://www.ncbi.nlm.nih.gov/sutils/blink.cgi?pid=114864717","0.0")</f>
        <v>0.0</v>
      </c>
      <c r="AE288" t="str">
        <f t="shared" si="129"/>
        <v>gi|114864717</v>
      </c>
      <c r="AF288">
        <v>100</v>
      </c>
      <c r="AG288">
        <v>100</v>
      </c>
      <c r="AH288">
        <v>100</v>
      </c>
      <c r="AI288" t="s">
        <v>2266</v>
      </c>
      <c r="AJ288" s="2" t="str">
        <f>HYPERLINK("http://exon.niaid.nih.gov/transcriptome/Anopheles_sialome/links/CULICOMORPHA/anofun_D7L2-CULICOMORPHA.txt","long form D7 salivary protein")</f>
        <v>long form D7 salivary protein</v>
      </c>
      <c r="AK288" t="str">
        <f>HYPERLINK("http://www.ncbi.nlm.nih.gov/sutils/blink.cgi?pid=114864717","0.0")</f>
        <v>0.0</v>
      </c>
      <c r="AL288" t="str">
        <f t="shared" si="130"/>
        <v>gi|114864717</v>
      </c>
      <c r="AM288">
        <v>100</v>
      </c>
      <c r="AN288">
        <v>100</v>
      </c>
      <c r="AO288">
        <v>100</v>
      </c>
      <c r="AP288" t="s">
        <v>2266</v>
      </c>
      <c r="AQ288" s="2" t="str">
        <f>HYPERLINK("http://exon.niaid.nih.gov/transcriptome/Anopheles_sialome/links/NR-LIGHT/anofun_D7L2-NR-LIGHT.txt","long form D7 salivary protein")</f>
        <v>long form D7 salivary protein</v>
      </c>
      <c r="AR288" t="str">
        <f>HYPERLINK("http://www.ncbi.nlm.nih.gov/sutils/blink.cgi?pid=114864717","0.0")</f>
        <v>0.0</v>
      </c>
      <c r="AS288" t="str">
        <f t="shared" si="131"/>
        <v>gi|114864717</v>
      </c>
      <c r="AT288">
        <v>100</v>
      </c>
      <c r="AU288">
        <v>100</v>
      </c>
      <c r="AV288">
        <v>100</v>
      </c>
      <c r="AW288" t="s">
        <v>2266</v>
      </c>
      <c r="AX288" s="2" t="str">
        <f>HYPERLINK("http://exon.niaid.nih.gov/transcriptome/Anopheles_sialome/links/CDD/anofun_D7L2-CDD.txt","PBP_GOBP")</f>
        <v>PBP_GOBP</v>
      </c>
      <c r="AY288" t="str">
        <f>HYPERLINK("http://www.ncbi.nlm.nih.gov/Structure/cdd/cddsrv.cgi?uid=pfam01395&amp;version=v4.0","4E-009")</f>
        <v>4E-009</v>
      </c>
      <c r="AZ288" t="s">
        <v>2569</v>
      </c>
      <c r="BA288" s="2" t="str">
        <f>HYPERLINK("http://exon.niaid.nih.gov/transcriptome/Anopheles_sialome/links/KOG/anofun_D7L2-KOG.txt","Serpin")</f>
        <v>Serpin</v>
      </c>
      <c r="BB288" t="str">
        <f>HYPERLINK("http://www.ncbi.nlm.nih.gov/Structure/cdd/cddsrv.cgi?uid=KOG2392","2.9")</f>
        <v>2.9</v>
      </c>
      <c r="BC288" t="s">
        <v>2514</v>
      </c>
      <c r="BD288" t="str">
        <f>HYPERLINK("http://exon.niaid.nih.gov/transcriptome/Anopheles_sialome/links/KOG/anofun_D7L2-KOG.txt","KOG2392")</f>
        <v>KOG2392</v>
      </c>
      <c r="BE288" t="str">
        <f>HYPERLINK("http://exon.niaid.nih.gov/transcriptome/Anopheles_sialome/links/PFAM/anofun_D7L2-PFAM.txt","PBP_GOBP")</f>
        <v>PBP_GOBP</v>
      </c>
      <c r="BF288" t="str">
        <f>HYPERLINK("http://pfam.sanger.ac.uk/family?acc=PF01395","8E-010")</f>
        <v>8E-010</v>
      </c>
      <c r="BG288" s="2" t="str">
        <f>HYPERLINK("http://exon.niaid.nih.gov/transcriptome/Anopheles_sialome/links/SMART/anofun_D7L2-SMART.txt","PhBP")</f>
        <v>PhBP</v>
      </c>
      <c r="BH288" t="str">
        <f>HYPERLINK("http://smart.embl-heidelberg.de/smart/do_annotation.pl?DOMAIN=PhBP&amp;BLAST=DUMMY","4E-006")</f>
        <v>4E-006</v>
      </c>
      <c r="BI288" t="str">
        <f>HYPERLINK("http://exon.niaid.nih.gov/transcriptome/Anopheles_sialome/links/TICK-BLOCKS/anofun_D7L2-TICK-BLOCKS.txt","Lipid_binding_mosquito_D7_pattern |Lipid_binding_D7_WC_framework |")</f>
        <v>Lipid_binding_mosquito_D7_pattern |Lipid_binding_D7_WC_framework |</v>
      </c>
      <c r="BJ288" s="2" t="s">
        <v>2551</v>
      </c>
      <c r="BK288" t="s">
        <v>1169</v>
      </c>
      <c r="BL288">
        <f>HYPERLINK("http://exon.niaid.nih.gov/transcriptome/Anopheles_sialome/links/cluster-b/anopheline-sialome-cds-pep-larger-orf25-50SimCLU6.txt", 6)</f>
        <v>6</v>
      </c>
      <c r="BM288">
        <f>HYPERLINK("http://exon.niaid.nih.gov/transcriptome/Anopheles_sialome/links/cluster-b/anopheline-sialome-cds-pep-larger-orf25-50SimCLTL6.txt", 44)</f>
        <v>44</v>
      </c>
      <c r="BN288">
        <f>HYPERLINK("http://exon.niaid.nih.gov/transcriptome/Anopheles_sialome/links/cluster-b/anopheline-sialome-cds-pep-larger-orf30-50SimCLU5.txt", 5)</f>
        <v>5</v>
      </c>
      <c r="BO288">
        <f>HYPERLINK("http://exon.niaid.nih.gov/transcriptome/Anopheles_sialome/links/cluster-b/anopheline-sialome-cds-pep-larger-orf30-50SimCLTL5.txt", 44)</f>
        <v>44</v>
      </c>
      <c r="BP288">
        <f>HYPERLINK("http://exon.niaid.nih.gov/transcriptome/Anopheles_sialome/links/cluster-b/anopheline-sialome-cds-pep-larger-orf35-50SimCLU6.txt", 6)</f>
        <v>6</v>
      </c>
      <c r="BQ288">
        <f>HYPERLINK("http://exon.niaid.nih.gov/transcriptome/Anopheles_sialome/links/cluster-b/anopheline-sialome-cds-pep-larger-orf35-50SimCLTL6.txt", 44)</f>
        <v>44</v>
      </c>
      <c r="BR288">
        <f>HYPERLINK("http://exon.niaid.nih.gov/transcriptome/Anopheles_sialome/links/cluster-b/anopheline-sialome-cds-pep-larger-orf40-50SimCLU4.txt", 4)</f>
        <v>4</v>
      </c>
      <c r="BS288">
        <f>HYPERLINK("http://exon.niaid.nih.gov/transcriptome/Anopheles_sialome/links/cluster-b/anopheline-sialome-cds-pep-larger-orf40-50SimCLTL4.txt", 44)</f>
        <v>44</v>
      </c>
      <c r="BT288">
        <f>HYPERLINK("http://exon.niaid.nih.gov/transcriptome/Anopheles_sialome/links/cluster-b/anopheline-sialome-cds-pep-larger-orf45-50SimCLU10.txt", 10)</f>
        <v>10</v>
      </c>
      <c r="BU288">
        <f>HYPERLINK("http://exon.niaid.nih.gov/transcriptome/Anopheles_sialome/links/cluster-b/anopheline-sialome-cds-pep-larger-orf45-50SimCLTL10.txt", 26)</f>
        <v>26</v>
      </c>
      <c r="BV288">
        <f>HYPERLINK("http://exon.niaid.nih.gov/transcriptome/Anopheles_sialome/links/cluster-b/anopheline-sialome-cds-pep-larger-orf50-50SimCLU9.txt", 9)</f>
        <v>9</v>
      </c>
      <c r="BW288">
        <f>HYPERLINK("http://exon.niaid.nih.gov/transcriptome/Anopheles_sialome/links/cluster-b/anopheline-sialome-cds-pep-larger-orf50-50SimCLTL9.txt", 26)</f>
        <v>26</v>
      </c>
      <c r="BX288">
        <f>HYPERLINK("http://exon.niaid.nih.gov/transcriptome/Anopheles_sialome/links/cluster-b/anopheline-sialome-cds-pep-larger-orf55-50SimCLU10.txt", 10)</f>
        <v>10</v>
      </c>
      <c r="BY288">
        <f>HYPERLINK("http://exon.niaid.nih.gov/transcriptome/Anopheles_sialome/links/cluster-b/anopheline-sialome-cds-pep-larger-orf55-50SimCLTL10.txt", 26)</f>
        <v>26</v>
      </c>
      <c r="BZ288">
        <f>HYPERLINK("http://exon.niaid.nih.gov/transcriptome/Anopheles_sialome/links/cluster-b/anopheline-sialome-cds-pep-larger-orf60-50SimCLU8.txt", 8)</f>
        <v>8</v>
      </c>
      <c r="CA288">
        <f>HYPERLINK("http://exon.niaid.nih.gov/transcriptome/Anopheles_sialome/links/cluster-b/anopheline-sialome-cds-pep-larger-orf60-50SimCLTL8.txt", 26)</f>
        <v>26</v>
      </c>
      <c r="CB288">
        <f>HYPERLINK("http://exon.niaid.nih.gov/transcriptome/Anopheles_sialome/links/cluster-b/anopheline-sialome-cds-pep-larger-orf65-50SimCLU5.txt", 5)</f>
        <v>5</v>
      </c>
      <c r="CC288">
        <f>HYPERLINK("http://exon.niaid.nih.gov/transcriptome/Anopheles_sialome/links/cluster-b/anopheline-sialome-cds-pep-larger-orf65-50SimCLTL5.txt", 26)</f>
        <v>26</v>
      </c>
      <c r="CD288">
        <f>HYPERLINK("http://exon.niaid.nih.gov/transcriptome/Anopheles_sialome/links/cluster-b/anopheline-sialome-cds-pep-larger-orf70-50SimCLU4.txt", 4)</f>
        <v>4</v>
      </c>
      <c r="CE288">
        <f>HYPERLINK("http://exon.niaid.nih.gov/transcriptome/Anopheles_sialome/links/cluster-b/anopheline-sialome-cds-pep-larger-orf70-50SimCLTL4.txt", 26)</f>
        <v>26</v>
      </c>
      <c r="CF288">
        <f>HYPERLINK("http://exon.niaid.nih.gov/transcriptome/Anopheles_sialome/links/cluster-b/anopheline-sialome-cds-pep-larger-orf75-50SimCLU4.txt", 4)</f>
        <v>4</v>
      </c>
      <c r="CG288">
        <f>HYPERLINK("http://exon.niaid.nih.gov/transcriptome/Anopheles_sialome/links/cluster-b/anopheline-sialome-cds-pep-larger-orf75-50SimCLTL4.txt", 24)</f>
        <v>24</v>
      </c>
      <c r="CH288">
        <f>HYPERLINK("http://exon.niaid.nih.gov/transcriptome/Anopheles_sialome/links/cluster-b/anopheline-sialome-cds-pep-larger-orf80-50SimCLU4.txt", 4)</f>
        <v>4</v>
      </c>
      <c r="CI288">
        <f>HYPERLINK("http://exon.niaid.nih.gov/transcriptome/Anopheles_sialome/links/cluster-b/anopheline-sialome-cds-pep-larger-orf80-50SimCLTL4.txt", 20)</f>
        <v>20</v>
      </c>
      <c r="CJ288">
        <f>HYPERLINK("http://exon.niaid.nih.gov/transcriptome/Anopheles_sialome/links/cluster-b/anopheline-sialome-cds-pep-larger-orf85-50SimCLU3.txt", 3)</f>
        <v>3</v>
      </c>
      <c r="CK288">
        <f>HYPERLINK("http://exon.niaid.nih.gov/transcriptome/Anopheles_sialome/links/cluster-b/anopheline-sialome-cds-pep-larger-orf85-50SimCLTL3.txt", 20)</f>
        <v>20</v>
      </c>
      <c r="CL288">
        <f>HYPERLINK("http://exon.niaid.nih.gov/transcriptome/Anopheles_sialome/links/cluster-b/anopheline-sialome-cds-pep-larger-orf90-50SimCLU50.txt", 50)</f>
        <v>50</v>
      </c>
      <c r="CM288">
        <f>HYPERLINK("http://exon.niaid.nih.gov/transcriptome/Anopheles_sialome/links/cluster-b/anopheline-sialome-cds-pep-larger-orf90-50SimCLTL50.txt", 4)</f>
        <v>4</v>
      </c>
      <c r="CN288">
        <v>207</v>
      </c>
      <c r="CO288">
        <v>1</v>
      </c>
    </row>
    <row r="289" spans="1:93">
      <c r="A289" s="2" t="str">
        <f>HYPERLINK("http://exon.niaid.nih.gov/transcriptome/Anopheles_sialome/links/cds/anomin_D7L2-cds.txt","anomin_D7L2")</f>
        <v>anomin_D7L2</v>
      </c>
      <c r="B289">
        <v>948</v>
      </c>
      <c r="C289" t="s">
        <v>199</v>
      </c>
      <c r="D289" t="s">
        <v>4</v>
      </c>
      <c r="E289" t="s">
        <v>5</v>
      </c>
      <c r="F289" t="s">
        <v>1</v>
      </c>
      <c r="G289" t="str">
        <f>HYPERLINK("http://exon.niaid.nih.gov/transcriptome/Anopheles_sialome/links/pep/anomin_D7L2-pep.txt","anomin_D7L2")</f>
        <v>anomin_D7L2</v>
      </c>
      <c r="H289">
        <v>315</v>
      </c>
      <c r="I289">
        <v>2</v>
      </c>
      <c r="J289" s="3" t="str">
        <f>HYPERLINK("http://exon.niaid.nih.gov/transcriptome/Anopheles_sialome/links/Sigp/anomin_D7L2-SigP.txt","SIG")</f>
        <v>SIG</v>
      </c>
      <c r="K289" t="s">
        <v>925</v>
      </c>
      <c r="L289">
        <v>36.540999999999997</v>
      </c>
      <c r="M289">
        <v>9.0399999999999991</v>
      </c>
      <c r="N289">
        <v>34.554000000000002</v>
      </c>
      <c r="O289">
        <v>9.0399999999999991</v>
      </c>
      <c r="P289" t="s">
        <v>1072</v>
      </c>
      <c r="Q289" s="3">
        <v>0</v>
      </c>
      <c r="R289" t="s">
        <v>128</v>
      </c>
      <c r="S289" t="s">
        <v>128</v>
      </c>
      <c r="T289" t="s">
        <v>128</v>
      </c>
      <c r="U289" t="s">
        <v>128</v>
      </c>
      <c r="V289" t="s">
        <v>128</v>
      </c>
      <c r="W289" s="3" t="str">
        <f>HYPERLINK("http://exon.niaid.nih.gov/transcriptome/Anopheles_sialome/links/netoglyc/anomin_D7L2-netoglyc.txt","0")</f>
        <v>0</v>
      </c>
      <c r="X289">
        <v>10.8</v>
      </c>
      <c r="Y289">
        <v>5.0999999999999996</v>
      </c>
      <c r="Z289">
        <v>3.5</v>
      </c>
      <c r="AA289" t="s">
        <v>654</v>
      </c>
      <c r="AB289" t="s">
        <v>128</v>
      </c>
      <c r="AC289" s="2" t="str">
        <f>HYPERLINK("http://exon.niaid.nih.gov/transcriptome/Anopheles_sialome/links/DIPTERA/anomin_D7L2-DIPTERA.txt","long form D7 salivary protein")</f>
        <v>long form D7 salivary protein</v>
      </c>
      <c r="AD289" t="str">
        <f>HYPERLINK("http://www.ncbi.nlm.nih.gov/sutils/blink.cgi?pid=114864717","1E-155")</f>
        <v>1E-155</v>
      </c>
      <c r="AE289" t="str">
        <f t="shared" si="129"/>
        <v>gi|114864717</v>
      </c>
      <c r="AF289">
        <v>80</v>
      </c>
      <c r="AG289">
        <v>92</v>
      </c>
      <c r="AH289">
        <v>100</v>
      </c>
      <c r="AI289" t="s">
        <v>2266</v>
      </c>
      <c r="AJ289" s="2" t="str">
        <f>HYPERLINK("http://exon.niaid.nih.gov/transcriptome/Anopheles_sialome/links/CULICOMORPHA/anomin_D7L2-CULICOMORPHA.txt","long form D7 salivary protein")</f>
        <v>long form D7 salivary protein</v>
      </c>
      <c r="AK289" t="str">
        <f>HYPERLINK("http://www.ncbi.nlm.nih.gov/sutils/blink.cgi?pid=114864717","1E-156")</f>
        <v>1E-156</v>
      </c>
      <c r="AL289" t="str">
        <f t="shared" si="130"/>
        <v>gi|114864717</v>
      </c>
      <c r="AM289">
        <v>80</v>
      </c>
      <c r="AN289">
        <v>92</v>
      </c>
      <c r="AO289">
        <v>100</v>
      </c>
      <c r="AP289" t="s">
        <v>2266</v>
      </c>
      <c r="AQ289" s="2" t="str">
        <f>HYPERLINK("http://exon.niaid.nih.gov/transcriptome/Anopheles_sialome/links/NR-LIGHT/anomin_D7L2-NR-LIGHT.txt","long form D7 salivary protein")</f>
        <v>long form D7 salivary protein</v>
      </c>
      <c r="AR289" t="str">
        <f>HYPERLINK("http://www.ncbi.nlm.nih.gov/sutils/blink.cgi?pid=114864717","1E-154")</f>
        <v>1E-154</v>
      </c>
      <c r="AS289" t="str">
        <f t="shared" si="131"/>
        <v>gi|114864717</v>
      </c>
      <c r="AT289">
        <v>80</v>
      </c>
      <c r="AU289">
        <v>92</v>
      </c>
      <c r="AV289">
        <v>100</v>
      </c>
      <c r="AW289" t="s">
        <v>2266</v>
      </c>
      <c r="AX289" s="2" t="str">
        <f>HYPERLINK("http://exon.niaid.nih.gov/transcriptome/Anopheles_sialome/links/CDD/anomin_D7L2-CDD.txt","PBP_GOBP")</f>
        <v>PBP_GOBP</v>
      </c>
      <c r="AY289" t="str">
        <f>HYPERLINK("http://www.ncbi.nlm.nih.gov/Structure/cdd/cddsrv.cgi?uid=pfam01395&amp;version=v4.0","2E-009")</f>
        <v>2E-009</v>
      </c>
      <c r="AZ289" t="s">
        <v>2570</v>
      </c>
      <c r="BA289" s="2" t="str">
        <f>HYPERLINK("http://exon.niaid.nih.gov/transcriptome/Anopheles_sialome/links/KOG/anomin_D7L2-KOG.txt","ACK and related non-receptor tyrosine kinases")</f>
        <v>ACK and related non-receptor tyrosine kinases</v>
      </c>
      <c r="BB289" t="str">
        <f>HYPERLINK("http://www.ncbi.nlm.nih.gov/Structure/cdd/cddsrv.cgi?uid=KOG0199","0.61")</f>
        <v>0.61</v>
      </c>
      <c r="BC289" t="s">
        <v>2292</v>
      </c>
      <c r="BD289" t="str">
        <f>HYPERLINK("http://exon.niaid.nih.gov/transcriptome/Anopheles_sialome/links/KOG/anomin_D7L2-KOG.txt","KOG0199")</f>
        <v>KOG0199</v>
      </c>
      <c r="BE289" t="str">
        <f>HYPERLINK("http://exon.niaid.nih.gov/transcriptome/Anopheles_sialome/links/PFAM/anomin_D7L2-PFAM.txt","PBP_GOBP")</f>
        <v>PBP_GOBP</v>
      </c>
      <c r="BF289" t="str">
        <f>HYPERLINK("http://pfam.sanger.ac.uk/family?acc=PF01395","4E-010")</f>
        <v>4E-010</v>
      </c>
      <c r="BG289" s="2" t="str">
        <f>HYPERLINK("http://exon.niaid.nih.gov/transcriptome/Anopheles_sialome/links/SMART/anomin_D7L2-SMART.txt","PhBP")</f>
        <v>PhBP</v>
      </c>
      <c r="BH289" t="str">
        <f>HYPERLINK("http://smart.embl-heidelberg.de/smart/do_annotation.pl?DOMAIN=PhBP&amp;BLAST=DUMMY","1E-005")</f>
        <v>1E-005</v>
      </c>
      <c r="BI289" t="str">
        <f>HYPERLINK("http://exon.niaid.nih.gov/transcriptome/Anopheles_sialome/links/TICK-BLOCKS/anomin_D7L2-TICK-BLOCKS.txt","Lipid_binding_mosquito_D7_pattern |Lipid_binding_D7_WC_framework |")</f>
        <v>Lipid_binding_mosquito_D7_pattern |Lipid_binding_D7_WC_framework |</v>
      </c>
      <c r="BJ289" s="2" t="s">
        <v>2551</v>
      </c>
      <c r="BK289" t="s">
        <v>1170</v>
      </c>
      <c r="BL289">
        <f>HYPERLINK("http://exon.niaid.nih.gov/transcriptome/Anopheles_sialome/links/cluster-b/anopheline-sialome-cds-pep-larger-orf25-50SimCLU6.txt", 6)</f>
        <v>6</v>
      </c>
      <c r="BM289">
        <f>HYPERLINK("http://exon.niaid.nih.gov/transcriptome/Anopheles_sialome/links/cluster-b/anopheline-sialome-cds-pep-larger-orf25-50SimCLTL6.txt", 44)</f>
        <v>44</v>
      </c>
      <c r="BN289">
        <f>HYPERLINK("http://exon.niaid.nih.gov/transcriptome/Anopheles_sialome/links/cluster-b/anopheline-sialome-cds-pep-larger-orf30-50SimCLU5.txt", 5)</f>
        <v>5</v>
      </c>
      <c r="BO289">
        <f>HYPERLINK("http://exon.niaid.nih.gov/transcriptome/Anopheles_sialome/links/cluster-b/anopheline-sialome-cds-pep-larger-orf30-50SimCLTL5.txt", 44)</f>
        <v>44</v>
      </c>
      <c r="BP289">
        <f>HYPERLINK("http://exon.niaid.nih.gov/transcriptome/Anopheles_sialome/links/cluster-b/anopheline-sialome-cds-pep-larger-orf35-50SimCLU6.txt", 6)</f>
        <v>6</v>
      </c>
      <c r="BQ289">
        <f>HYPERLINK("http://exon.niaid.nih.gov/transcriptome/Anopheles_sialome/links/cluster-b/anopheline-sialome-cds-pep-larger-orf35-50SimCLTL6.txt", 44)</f>
        <v>44</v>
      </c>
      <c r="BR289">
        <f>HYPERLINK("http://exon.niaid.nih.gov/transcriptome/Anopheles_sialome/links/cluster-b/anopheline-sialome-cds-pep-larger-orf40-50SimCLU4.txt", 4)</f>
        <v>4</v>
      </c>
      <c r="BS289">
        <f>HYPERLINK("http://exon.niaid.nih.gov/transcriptome/Anopheles_sialome/links/cluster-b/anopheline-sialome-cds-pep-larger-orf40-50SimCLTL4.txt", 44)</f>
        <v>44</v>
      </c>
      <c r="BT289">
        <f>HYPERLINK("http://exon.niaid.nih.gov/transcriptome/Anopheles_sialome/links/cluster-b/anopheline-sialome-cds-pep-larger-orf45-50SimCLU10.txt", 10)</f>
        <v>10</v>
      </c>
      <c r="BU289">
        <f>HYPERLINK("http://exon.niaid.nih.gov/transcriptome/Anopheles_sialome/links/cluster-b/anopheline-sialome-cds-pep-larger-orf45-50SimCLTL10.txt", 26)</f>
        <v>26</v>
      </c>
      <c r="BV289">
        <f>HYPERLINK("http://exon.niaid.nih.gov/transcriptome/Anopheles_sialome/links/cluster-b/anopheline-sialome-cds-pep-larger-orf50-50SimCLU9.txt", 9)</f>
        <v>9</v>
      </c>
      <c r="BW289">
        <f>HYPERLINK("http://exon.niaid.nih.gov/transcriptome/Anopheles_sialome/links/cluster-b/anopheline-sialome-cds-pep-larger-orf50-50SimCLTL9.txt", 26)</f>
        <v>26</v>
      </c>
      <c r="BX289">
        <f>HYPERLINK("http://exon.niaid.nih.gov/transcriptome/Anopheles_sialome/links/cluster-b/anopheline-sialome-cds-pep-larger-orf55-50SimCLU10.txt", 10)</f>
        <v>10</v>
      </c>
      <c r="BY289">
        <f>HYPERLINK("http://exon.niaid.nih.gov/transcriptome/Anopheles_sialome/links/cluster-b/anopheline-sialome-cds-pep-larger-orf55-50SimCLTL10.txt", 26)</f>
        <v>26</v>
      </c>
      <c r="BZ289">
        <f>HYPERLINK("http://exon.niaid.nih.gov/transcriptome/Anopheles_sialome/links/cluster-b/anopheline-sialome-cds-pep-larger-orf60-50SimCLU8.txt", 8)</f>
        <v>8</v>
      </c>
      <c r="CA289">
        <f>HYPERLINK("http://exon.niaid.nih.gov/transcriptome/Anopheles_sialome/links/cluster-b/anopheline-sialome-cds-pep-larger-orf60-50SimCLTL8.txt", 26)</f>
        <v>26</v>
      </c>
      <c r="CB289">
        <f>HYPERLINK("http://exon.niaid.nih.gov/transcriptome/Anopheles_sialome/links/cluster-b/anopheline-sialome-cds-pep-larger-orf65-50SimCLU5.txt", 5)</f>
        <v>5</v>
      </c>
      <c r="CC289">
        <f>HYPERLINK("http://exon.niaid.nih.gov/transcriptome/Anopheles_sialome/links/cluster-b/anopheline-sialome-cds-pep-larger-orf65-50SimCLTL5.txt", 26)</f>
        <v>26</v>
      </c>
      <c r="CD289">
        <f>HYPERLINK("http://exon.niaid.nih.gov/transcriptome/Anopheles_sialome/links/cluster-b/anopheline-sialome-cds-pep-larger-orf70-50SimCLU4.txt", 4)</f>
        <v>4</v>
      </c>
      <c r="CE289">
        <f>HYPERLINK("http://exon.niaid.nih.gov/transcriptome/Anopheles_sialome/links/cluster-b/anopheline-sialome-cds-pep-larger-orf70-50SimCLTL4.txt", 26)</f>
        <v>26</v>
      </c>
      <c r="CF289">
        <f>HYPERLINK("http://exon.niaid.nih.gov/transcriptome/Anopheles_sialome/links/cluster-b/anopheline-sialome-cds-pep-larger-orf75-50SimCLU4.txt", 4)</f>
        <v>4</v>
      </c>
      <c r="CG289">
        <f>HYPERLINK("http://exon.niaid.nih.gov/transcriptome/Anopheles_sialome/links/cluster-b/anopheline-sialome-cds-pep-larger-orf75-50SimCLTL4.txt", 24)</f>
        <v>24</v>
      </c>
      <c r="CH289">
        <f>HYPERLINK("http://exon.niaid.nih.gov/transcriptome/Anopheles_sialome/links/cluster-b/anopheline-sialome-cds-pep-larger-orf80-50SimCLU4.txt", 4)</f>
        <v>4</v>
      </c>
      <c r="CI289">
        <f>HYPERLINK("http://exon.niaid.nih.gov/transcriptome/Anopheles_sialome/links/cluster-b/anopheline-sialome-cds-pep-larger-orf80-50SimCLTL4.txt", 20)</f>
        <v>20</v>
      </c>
      <c r="CJ289">
        <f>HYPERLINK("http://exon.niaid.nih.gov/transcriptome/Anopheles_sialome/links/cluster-b/anopheline-sialome-cds-pep-larger-orf85-50SimCLU3.txt", 3)</f>
        <v>3</v>
      </c>
      <c r="CK289">
        <f>HYPERLINK("http://exon.niaid.nih.gov/transcriptome/Anopheles_sialome/links/cluster-b/anopheline-sialome-cds-pep-larger-orf85-50SimCLTL3.txt", 20)</f>
        <v>20</v>
      </c>
      <c r="CL289">
        <f>HYPERLINK("http://exon.niaid.nih.gov/transcriptome/Anopheles_sialome/links/cluster-b/anopheline-sialome-cds-pep-larger-orf90-50SimCLU50.txt", 50)</f>
        <v>50</v>
      </c>
      <c r="CM289">
        <f>HYPERLINK("http://exon.niaid.nih.gov/transcriptome/Anopheles_sialome/links/cluster-b/anopheline-sialome-cds-pep-larger-orf90-50SimCLTL50.txt", 4)</f>
        <v>4</v>
      </c>
      <c r="CN289">
        <v>208</v>
      </c>
      <c r="CO289">
        <v>1</v>
      </c>
    </row>
    <row r="290" spans="1:93">
      <c r="A290" s="2" t="str">
        <f>HYPERLINK("http://exon.niaid.nih.gov/transcriptome/Anopheles_sialome/links/cds/anocul_D7L2-cds.txt","anocul_D7L2")</f>
        <v>anocul_D7L2</v>
      </c>
      <c r="B290">
        <v>948</v>
      </c>
      <c r="C290" t="s">
        <v>200</v>
      </c>
      <c r="D290" t="s">
        <v>7</v>
      </c>
      <c r="E290" t="s">
        <v>5</v>
      </c>
      <c r="F290" t="s">
        <v>1</v>
      </c>
      <c r="G290" t="str">
        <f>HYPERLINK("http://exon.niaid.nih.gov/transcriptome/Anopheles_sialome/links/pep/anocul_D7L2-pep.txt","anocul_D7L2")</f>
        <v>anocul_D7L2</v>
      </c>
      <c r="H290">
        <v>315</v>
      </c>
      <c r="I290">
        <v>1</v>
      </c>
      <c r="J290" s="3" t="str">
        <f>HYPERLINK("http://exon.niaid.nih.gov/transcriptome/Anopheles_sialome/links/Sigp/anocul_D7L2-SigP.txt","SIG")</f>
        <v>SIG</v>
      </c>
      <c r="K290" t="s">
        <v>925</v>
      </c>
      <c r="L290">
        <v>36.506</v>
      </c>
      <c r="M290">
        <v>8.8800000000000008</v>
      </c>
      <c r="N290">
        <v>34.488</v>
      </c>
      <c r="O290">
        <v>8.89</v>
      </c>
      <c r="P290" t="s">
        <v>1172</v>
      </c>
      <c r="Q290" s="3">
        <v>0</v>
      </c>
      <c r="R290" t="s">
        <v>128</v>
      </c>
      <c r="S290" t="s">
        <v>128</v>
      </c>
      <c r="T290" t="s">
        <v>128</v>
      </c>
      <c r="U290" t="s">
        <v>128</v>
      </c>
      <c r="V290" t="s">
        <v>128</v>
      </c>
      <c r="W290" s="3" t="str">
        <f>HYPERLINK("http://exon.niaid.nih.gov/transcriptome/Anopheles_sialome/links/netoglyc/anocul_D7L2-netoglyc.txt","0")</f>
        <v>0</v>
      </c>
      <c r="X290">
        <v>10.199999999999999</v>
      </c>
      <c r="Y290">
        <v>4.8</v>
      </c>
      <c r="Z290">
        <v>4.4000000000000004</v>
      </c>
      <c r="AA290" t="s">
        <v>654</v>
      </c>
      <c r="AB290" t="s">
        <v>128</v>
      </c>
      <c r="AC290" s="2" t="str">
        <f>HYPERLINK("http://exon.niaid.nih.gov/transcriptome/Anopheles_sialome/links/DIPTERA/anocul_D7L2-DIPTERA.txt","long form D7 salivary protein")</f>
        <v>long form D7 salivary protein</v>
      </c>
      <c r="AD290" t="str">
        <f>HYPERLINK("http://www.ncbi.nlm.nih.gov/sutils/blink.cgi?pid=114864717","1E-145")</f>
        <v>1E-145</v>
      </c>
      <c r="AE290" t="str">
        <f t="shared" si="129"/>
        <v>gi|114864717</v>
      </c>
      <c r="AF290">
        <v>76</v>
      </c>
      <c r="AG290">
        <v>89</v>
      </c>
      <c r="AH290">
        <v>100</v>
      </c>
      <c r="AI290" t="s">
        <v>2266</v>
      </c>
      <c r="AJ290" s="2" t="str">
        <f>HYPERLINK("http://exon.niaid.nih.gov/transcriptome/Anopheles_sialome/links/CULICOMORPHA/anocul_D7L2-CULICOMORPHA.txt","long form D7 salivary protein")</f>
        <v>long form D7 salivary protein</v>
      </c>
      <c r="AK290" t="str">
        <f>HYPERLINK("http://www.ncbi.nlm.nih.gov/sutils/blink.cgi?pid=114864717","1E-146")</f>
        <v>1E-146</v>
      </c>
      <c r="AL290" t="str">
        <f t="shared" si="130"/>
        <v>gi|114864717</v>
      </c>
      <c r="AM290">
        <v>76</v>
      </c>
      <c r="AN290">
        <v>89</v>
      </c>
      <c r="AO290">
        <v>100</v>
      </c>
      <c r="AP290" t="s">
        <v>2266</v>
      </c>
      <c r="AQ290" s="2" t="str">
        <f>HYPERLINK("http://exon.niaid.nih.gov/transcriptome/Anopheles_sialome/links/NR-LIGHT/anocul_D7L2-NR-LIGHT.txt","long form D7 salivary protein")</f>
        <v>long form D7 salivary protein</v>
      </c>
      <c r="AR290" t="str">
        <f>HYPERLINK("http://www.ncbi.nlm.nih.gov/sutils/blink.cgi?pid=114864717","1E-145")</f>
        <v>1E-145</v>
      </c>
      <c r="AS290" t="str">
        <f t="shared" si="131"/>
        <v>gi|114864717</v>
      </c>
      <c r="AT290">
        <v>76</v>
      </c>
      <c r="AU290">
        <v>89</v>
      </c>
      <c r="AV290">
        <v>100</v>
      </c>
      <c r="AW290" t="s">
        <v>2266</v>
      </c>
      <c r="AX290" s="2" t="str">
        <f>HYPERLINK("http://exon.niaid.nih.gov/transcriptome/Anopheles_sialome/links/CDD/anocul_D7L2-CDD.txt","PBP_GOBP")</f>
        <v>PBP_GOBP</v>
      </c>
      <c r="AY290" t="str">
        <f>HYPERLINK("http://www.ncbi.nlm.nih.gov/Structure/cdd/cddsrv.cgi?uid=pfam01395&amp;version=v4.0","9E-007")</f>
        <v>9E-007</v>
      </c>
      <c r="AZ290" t="s">
        <v>2571</v>
      </c>
      <c r="BA290" s="2" t="str">
        <f>HYPERLINK("http://exon.niaid.nih.gov/transcriptome/Anopheles_sialome/links/KOG/anocul_D7L2-KOG.txt","Decapping enzyme complex component DCP1")</f>
        <v>Decapping enzyme complex component DCP1</v>
      </c>
      <c r="BB290" t="str">
        <f>HYPERLINK("http://www.ncbi.nlm.nih.gov/Structure/cdd/cddsrv.cgi?uid=KOG2868","1.2")</f>
        <v>1.2</v>
      </c>
      <c r="BC290" t="s">
        <v>2572</v>
      </c>
      <c r="BD290" t="str">
        <f>HYPERLINK("http://exon.niaid.nih.gov/transcriptome/Anopheles_sialome/links/KOG/anocul_D7L2-KOG.txt","KOG2868")</f>
        <v>KOG2868</v>
      </c>
      <c r="BE290" t="str">
        <f>HYPERLINK("http://exon.niaid.nih.gov/transcriptome/Anopheles_sialome/links/PFAM/anocul_D7L2-PFAM.txt","PBP_GOBP")</f>
        <v>PBP_GOBP</v>
      </c>
      <c r="BF290" t="str">
        <f>HYPERLINK("http://pfam.sanger.ac.uk/family?acc=PF01395","2E-007")</f>
        <v>2E-007</v>
      </c>
      <c r="BG290" s="2" t="str">
        <f>HYPERLINK("http://exon.niaid.nih.gov/transcriptome/Anopheles_sialome/links/SMART/anocul_D7L2-SMART.txt","PhBP")</f>
        <v>PhBP</v>
      </c>
      <c r="BH290" t="str">
        <f>HYPERLINK("http://smart.embl-heidelberg.de/smart/do_annotation.pl?DOMAIN=PhBP&amp;BLAST=DUMMY","4E-005")</f>
        <v>4E-005</v>
      </c>
      <c r="BI290" t="str">
        <f>HYPERLINK("http://exon.niaid.nih.gov/transcriptome/Anopheles_sialome/links/TICK-BLOCKS/anocul_D7L2-TICK-BLOCKS.txt","Lipid_binding_mosquito_D7_pattern |Lipid_binding_D7_WC_framework |")</f>
        <v>Lipid_binding_mosquito_D7_pattern |Lipid_binding_D7_WC_framework |</v>
      </c>
      <c r="BJ290" s="2" t="s">
        <v>2551</v>
      </c>
      <c r="BK290" t="s">
        <v>1171</v>
      </c>
      <c r="BL290">
        <f>HYPERLINK("http://exon.niaid.nih.gov/transcriptome/Anopheles_sialome/links/cluster-b/anopheline-sialome-cds-pep-larger-orf25-50SimCLU6.txt", 6)</f>
        <v>6</v>
      </c>
      <c r="BM290">
        <f>HYPERLINK("http://exon.niaid.nih.gov/transcriptome/Anopheles_sialome/links/cluster-b/anopheline-sialome-cds-pep-larger-orf25-50SimCLTL6.txt", 44)</f>
        <v>44</v>
      </c>
      <c r="BN290">
        <f>HYPERLINK("http://exon.niaid.nih.gov/transcriptome/Anopheles_sialome/links/cluster-b/anopheline-sialome-cds-pep-larger-orf30-50SimCLU5.txt", 5)</f>
        <v>5</v>
      </c>
      <c r="BO290">
        <f>HYPERLINK("http://exon.niaid.nih.gov/transcriptome/Anopheles_sialome/links/cluster-b/anopheline-sialome-cds-pep-larger-orf30-50SimCLTL5.txt", 44)</f>
        <v>44</v>
      </c>
      <c r="BP290">
        <f>HYPERLINK("http://exon.niaid.nih.gov/transcriptome/Anopheles_sialome/links/cluster-b/anopheline-sialome-cds-pep-larger-orf35-50SimCLU6.txt", 6)</f>
        <v>6</v>
      </c>
      <c r="BQ290">
        <f>HYPERLINK("http://exon.niaid.nih.gov/transcriptome/Anopheles_sialome/links/cluster-b/anopheline-sialome-cds-pep-larger-orf35-50SimCLTL6.txt", 44)</f>
        <v>44</v>
      </c>
      <c r="BR290">
        <f>HYPERLINK("http://exon.niaid.nih.gov/transcriptome/Anopheles_sialome/links/cluster-b/anopheline-sialome-cds-pep-larger-orf40-50SimCLU4.txt", 4)</f>
        <v>4</v>
      </c>
      <c r="BS290">
        <f>HYPERLINK("http://exon.niaid.nih.gov/transcriptome/Anopheles_sialome/links/cluster-b/anopheline-sialome-cds-pep-larger-orf40-50SimCLTL4.txt", 44)</f>
        <v>44</v>
      </c>
      <c r="BT290">
        <f>HYPERLINK("http://exon.niaid.nih.gov/transcriptome/Anopheles_sialome/links/cluster-b/anopheline-sialome-cds-pep-larger-orf45-50SimCLU10.txt", 10)</f>
        <v>10</v>
      </c>
      <c r="BU290">
        <f>HYPERLINK("http://exon.niaid.nih.gov/transcriptome/Anopheles_sialome/links/cluster-b/anopheline-sialome-cds-pep-larger-orf45-50SimCLTL10.txt", 26)</f>
        <v>26</v>
      </c>
      <c r="BV290">
        <f>HYPERLINK("http://exon.niaid.nih.gov/transcriptome/Anopheles_sialome/links/cluster-b/anopheline-sialome-cds-pep-larger-orf50-50SimCLU9.txt", 9)</f>
        <v>9</v>
      </c>
      <c r="BW290">
        <f>HYPERLINK("http://exon.niaid.nih.gov/transcriptome/Anopheles_sialome/links/cluster-b/anopheline-sialome-cds-pep-larger-orf50-50SimCLTL9.txt", 26)</f>
        <v>26</v>
      </c>
      <c r="BX290">
        <f>HYPERLINK("http://exon.niaid.nih.gov/transcriptome/Anopheles_sialome/links/cluster-b/anopheline-sialome-cds-pep-larger-orf55-50SimCLU10.txt", 10)</f>
        <v>10</v>
      </c>
      <c r="BY290">
        <f>HYPERLINK("http://exon.niaid.nih.gov/transcriptome/Anopheles_sialome/links/cluster-b/anopheline-sialome-cds-pep-larger-orf55-50SimCLTL10.txt", 26)</f>
        <v>26</v>
      </c>
      <c r="BZ290">
        <f>HYPERLINK("http://exon.niaid.nih.gov/transcriptome/Anopheles_sialome/links/cluster-b/anopheline-sialome-cds-pep-larger-orf60-50SimCLU8.txt", 8)</f>
        <v>8</v>
      </c>
      <c r="CA290">
        <f>HYPERLINK("http://exon.niaid.nih.gov/transcriptome/Anopheles_sialome/links/cluster-b/anopheline-sialome-cds-pep-larger-orf60-50SimCLTL8.txt", 26)</f>
        <v>26</v>
      </c>
      <c r="CB290">
        <f>HYPERLINK("http://exon.niaid.nih.gov/transcriptome/Anopheles_sialome/links/cluster-b/anopheline-sialome-cds-pep-larger-orf65-50SimCLU5.txt", 5)</f>
        <v>5</v>
      </c>
      <c r="CC290">
        <f>HYPERLINK("http://exon.niaid.nih.gov/transcriptome/Anopheles_sialome/links/cluster-b/anopheline-sialome-cds-pep-larger-orf65-50SimCLTL5.txt", 26)</f>
        <v>26</v>
      </c>
      <c r="CD290">
        <f>HYPERLINK("http://exon.niaid.nih.gov/transcriptome/Anopheles_sialome/links/cluster-b/anopheline-sialome-cds-pep-larger-orf70-50SimCLU4.txt", 4)</f>
        <v>4</v>
      </c>
      <c r="CE290">
        <f>HYPERLINK("http://exon.niaid.nih.gov/transcriptome/Anopheles_sialome/links/cluster-b/anopheline-sialome-cds-pep-larger-orf70-50SimCLTL4.txt", 26)</f>
        <v>26</v>
      </c>
      <c r="CF290">
        <f>HYPERLINK("http://exon.niaid.nih.gov/transcriptome/Anopheles_sialome/links/cluster-b/anopheline-sialome-cds-pep-larger-orf75-50SimCLU4.txt", 4)</f>
        <v>4</v>
      </c>
      <c r="CG290">
        <f>HYPERLINK("http://exon.niaid.nih.gov/transcriptome/Anopheles_sialome/links/cluster-b/anopheline-sialome-cds-pep-larger-orf75-50SimCLTL4.txt", 24)</f>
        <v>24</v>
      </c>
      <c r="CH290">
        <f>HYPERLINK("http://exon.niaid.nih.gov/transcriptome/Anopheles_sialome/links/cluster-b/anopheline-sialome-cds-pep-larger-orf80-50SimCLU4.txt", 4)</f>
        <v>4</v>
      </c>
      <c r="CI290">
        <f>HYPERLINK("http://exon.niaid.nih.gov/transcriptome/Anopheles_sialome/links/cluster-b/anopheline-sialome-cds-pep-larger-orf80-50SimCLTL4.txt", 20)</f>
        <v>20</v>
      </c>
      <c r="CJ290">
        <f>HYPERLINK("http://exon.niaid.nih.gov/transcriptome/Anopheles_sialome/links/cluster-b/anopheline-sialome-cds-pep-larger-orf85-50SimCLU3.txt", 3)</f>
        <v>3</v>
      </c>
      <c r="CK290">
        <f>HYPERLINK("http://exon.niaid.nih.gov/transcriptome/Anopheles_sialome/links/cluster-b/anopheline-sialome-cds-pep-larger-orf85-50SimCLTL3.txt", 20)</f>
        <v>20</v>
      </c>
      <c r="CL290">
        <f>HYPERLINK("http://exon.niaid.nih.gov/transcriptome/Anopheles_sialome/links/cluster-b/anopheline-sialome-cds-pep-larger-orf90-50SimCLU50.txt", 50)</f>
        <v>50</v>
      </c>
      <c r="CM290">
        <f>HYPERLINK("http://exon.niaid.nih.gov/transcriptome/Anopheles_sialome/links/cluster-b/anopheline-sialome-cds-pep-larger-orf90-50SimCLTL50.txt", 4)</f>
        <v>4</v>
      </c>
      <c r="CN290">
        <v>209</v>
      </c>
      <c r="CO290">
        <v>1</v>
      </c>
    </row>
    <row r="291" spans="1:93">
      <c r="A291" s="2" t="str">
        <f>HYPERLINK("http://exon.niaid.nih.gov/transcriptome/Anopheles_sialome/links/cds/anofar_D7L2-cds.txt","anofar_D7L2")</f>
        <v>anofar_D7L2</v>
      </c>
      <c r="B291">
        <v>936</v>
      </c>
      <c r="C291" t="s">
        <v>201</v>
      </c>
      <c r="D291" t="s">
        <v>4</v>
      </c>
      <c r="E291" t="s">
        <v>5</v>
      </c>
      <c r="F291" t="s">
        <v>1</v>
      </c>
      <c r="G291" t="str">
        <f>HYPERLINK("http://exon.niaid.nih.gov/transcriptome/Anopheles_sialome/links/pep/anofar_D7L2-pep.txt","anofar_D7L2")</f>
        <v>anofar_D7L2</v>
      </c>
      <c r="H291">
        <v>311</v>
      </c>
      <c r="I291">
        <v>1</v>
      </c>
      <c r="J291" s="3" t="str">
        <f>HYPERLINK("http://exon.niaid.nih.gov/transcriptome/Anopheles_sialome/links/Sigp/anofar_D7L2-SigP.txt","SIG")</f>
        <v>SIG</v>
      </c>
      <c r="K291" t="s">
        <v>692</v>
      </c>
      <c r="L291">
        <v>35.622</v>
      </c>
      <c r="M291">
        <v>8.58</v>
      </c>
      <c r="N291">
        <v>33.594999999999999</v>
      </c>
      <c r="O291">
        <v>8.4499999999999993</v>
      </c>
      <c r="P291" t="s">
        <v>1174</v>
      </c>
      <c r="Q291" s="3">
        <v>0</v>
      </c>
      <c r="R291" t="s">
        <v>128</v>
      </c>
      <c r="S291" t="s">
        <v>128</v>
      </c>
      <c r="T291" t="s">
        <v>128</v>
      </c>
      <c r="U291" t="s">
        <v>128</v>
      </c>
      <c r="V291" t="s">
        <v>128</v>
      </c>
      <c r="W291" s="3" t="str">
        <f>HYPERLINK("http://exon.niaid.nih.gov/transcriptome/Anopheles_sialome/links/netoglyc/anofar_D7L2-netoglyc.txt","0")</f>
        <v>0</v>
      </c>
      <c r="X291">
        <v>8.6999999999999993</v>
      </c>
      <c r="Y291">
        <v>4.8</v>
      </c>
      <c r="Z291">
        <v>3.2</v>
      </c>
      <c r="AA291" t="s">
        <v>654</v>
      </c>
      <c r="AB291" t="s">
        <v>128</v>
      </c>
      <c r="AC291" s="2" t="str">
        <f>HYPERLINK("http://exon.niaid.nih.gov/transcriptome/Anopheles_sialome/links/DIPTERA/anofar_D7L2-DIPTERA.txt","putative long d7 salivary protein, partial")</f>
        <v>putative long d7 salivary protein, partial</v>
      </c>
      <c r="AD291" t="str">
        <f>HYPERLINK("http://www.ncbi.nlm.nih.gov/sutils/blink.cgi?pid=520836607","1E-140")</f>
        <v>1E-140</v>
      </c>
      <c r="AE291" t="str">
        <f>HYPERLINK("http://www.ncbi.nlm.nih.gov/protein/520836607","gi|520836607")</f>
        <v>gi|520836607</v>
      </c>
      <c r="AF291">
        <v>75</v>
      </c>
      <c r="AG291">
        <v>87</v>
      </c>
      <c r="AH291">
        <v>99</v>
      </c>
      <c r="AI291" t="s">
        <v>2573</v>
      </c>
      <c r="AJ291" s="2" t="str">
        <f>HYPERLINK("http://exon.niaid.nih.gov/transcriptome/Anopheles_sialome/links/CULICOMORPHA/anofar_D7L2-CULICOMORPHA.txt","putative long d7 salivary protein, partial")</f>
        <v>putative long d7 salivary protein, partial</v>
      </c>
      <c r="AK291" t="str">
        <f>HYPERLINK("http://www.ncbi.nlm.nih.gov/sutils/blink.cgi?pid=520836607","1E-141")</f>
        <v>1E-141</v>
      </c>
      <c r="AL291" t="str">
        <f>HYPERLINK("http://www.ncbi.nlm.nih.gov/protein/520836607","gi|520836607")</f>
        <v>gi|520836607</v>
      </c>
      <c r="AM291">
        <v>75</v>
      </c>
      <c r="AN291">
        <v>87</v>
      </c>
      <c r="AO291">
        <v>99</v>
      </c>
      <c r="AP291" t="s">
        <v>2573</v>
      </c>
      <c r="AQ291" s="2" t="str">
        <f>HYPERLINK("http://exon.niaid.nih.gov/transcriptome/Anopheles_sialome/links/NR-LIGHT/anofar_D7L2-NR-LIGHT.txt","long form D7 salivary protein")</f>
        <v>long form D7 salivary protein</v>
      </c>
      <c r="AR291" t="str">
        <f>HYPERLINK("http://www.ncbi.nlm.nih.gov/sutils/blink.cgi?pid=114864717","1E-131")</f>
        <v>1E-131</v>
      </c>
      <c r="AS291" t="str">
        <f t="shared" si="131"/>
        <v>gi|114864717</v>
      </c>
      <c r="AT291">
        <v>69</v>
      </c>
      <c r="AU291">
        <v>84</v>
      </c>
      <c r="AV291">
        <v>99</v>
      </c>
      <c r="AW291" t="s">
        <v>2266</v>
      </c>
      <c r="AX291" s="2" t="str">
        <f>HYPERLINK("http://exon.niaid.nih.gov/transcriptome/Anopheles_sialome/links/CDD/anofar_D7L2-CDD.txt","PBP_GOBP")</f>
        <v>PBP_GOBP</v>
      </c>
      <c r="AY291" t="str">
        <f>HYPERLINK("http://www.ncbi.nlm.nih.gov/Structure/cdd/cddsrv.cgi?uid=pfam01395&amp;version=v4.0","2E-004")</f>
        <v>2E-004</v>
      </c>
      <c r="AZ291" t="s">
        <v>2574</v>
      </c>
      <c r="BA291" s="2" t="str">
        <f>HYPERLINK("http://exon.niaid.nih.gov/transcriptome/Anopheles_sialome/links/KOG/anofar_D7L2-KOG.txt","dsRNA-activated protein kinase inhibitor P58, contains TPR and DnaJ domains")</f>
        <v>dsRNA-activated protein kinase inhibitor P58, contains TPR and DnaJ domains</v>
      </c>
      <c r="BB291" t="str">
        <f>HYPERLINK("http://www.ncbi.nlm.nih.gov/Structure/cdd/cddsrv.cgi?uid=KOG0624","0.44")</f>
        <v>0.44</v>
      </c>
      <c r="BC291" t="s">
        <v>2514</v>
      </c>
      <c r="BD291" t="str">
        <f>HYPERLINK("http://exon.niaid.nih.gov/transcriptome/Anopheles_sialome/links/KOG/anofar_D7L2-KOG.txt","KOG0624")</f>
        <v>KOG0624</v>
      </c>
      <c r="BE291" t="str">
        <f>HYPERLINK("http://exon.niaid.nih.gov/transcriptome/Anopheles_sialome/links/PFAM/anofar_D7L2-PFAM.txt","PBP_GOBP")</f>
        <v>PBP_GOBP</v>
      </c>
      <c r="BF291" t="str">
        <f>HYPERLINK("http://pfam.sanger.ac.uk/family?acc=PF01395","4E-005")</f>
        <v>4E-005</v>
      </c>
      <c r="BG291" s="2" t="str">
        <f>HYPERLINK("http://exon.niaid.nih.gov/transcriptome/Anopheles_sialome/links/SMART/anofar_D7L2-SMART.txt","PhBP")</f>
        <v>PhBP</v>
      </c>
      <c r="BH291" t="str">
        <f>HYPERLINK("http://smart.embl-heidelberg.de/smart/do_annotation.pl?DOMAIN=PhBP&amp;BLAST=DUMMY","7E-004")</f>
        <v>7E-004</v>
      </c>
      <c r="BI291" t="str">
        <f>HYPERLINK("http://exon.niaid.nih.gov/transcriptome/Anopheles_sialome/links/TICK-BLOCKS/anofar_D7L2-TICK-BLOCKS.txt","Lipid_binding_mosquito_D7_pattern |Lipid_binding_D7_WC_framework |")</f>
        <v>Lipid_binding_mosquito_D7_pattern |Lipid_binding_D7_WC_framework |</v>
      </c>
      <c r="BJ291" s="2" t="s">
        <v>2551</v>
      </c>
      <c r="BK291" t="s">
        <v>1173</v>
      </c>
      <c r="BL291">
        <f>HYPERLINK("http://exon.niaid.nih.gov/transcriptome/Anopheles_sialome/links/cluster-b/anopheline-sialome-cds-pep-larger-orf25-50SimCLU6.txt", 6)</f>
        <v>6</v>
      </c>
      <c r="BM291">
        <f>HYPERLINK("http://exon.niaid.nih.gov/transcriptome/Anopheles_sialome/links/cluster-b/anopheline-sialome-cds-pep-larger-orf25-50SimCLTL6.txt", 44)</f>
        <v>44</v>
      </c>
      <c r="BN291">
        <f>HYPERLINK("http://exon.niaid.nih.gov/transcriptome/Anopheles_sialome/links/cluster-b/anopheline-sialome-cds-pep-larger-orf30-50SimCLU5.txt", 5)</f>
        <v>5</v>
      </c>
      <c r="BO291">
        <f>HYPERLINK("http://exon.niaid.nih.gov/transcriptome/Anopheles_sialome/links/cluster-b/anopheline-sialome-cds-pep-larger-orf30-50SimCLTL5.txt", 44)</f>
        <v>44</v>
      </c>
      <c r="BP291">
        <f>HYPERLINK("http://exon.niaid.nih.gov/transcriptome/Anopheles_sialome/links/cluster-b/anopheline-sialome-cds-pep-larger-orf35-50SimCLU6.txt", 6)</f>
        <v>6</v>
      </c>
      <c r="BQ291">
        <f>HYPERLINK("http://exon.niaid.nih.gov/transcriptome/Anopheles_sialome/links/cluster-b/anopheline-sialome-cds-pep-larger-orf35-50SimCLTL6.txt", 44)</f>
        <v>44</v>
      </c>
      <c r="BR291">
        <f>HYPERLINK("http://exon.niaid.nih.gov/transcriptome/Anopheles_sialome/links/cluster-b/anopheline-sialome-cds-pep-larger-orf40-50SimCLU4.txt", 4)</f>
        <v>4</v>
      </c>
      <c r="BS291">
        <f>HYPERLINK("http://exon.niaid.nih.gov/transcriptome/Anopheles_sialome/links/cluster-b/anopheline-sialome-cds-pep-larger-orf40-50SimCLTL4.txt", 44)</f>
        <v>44</v>
      </c>
      <c r="BT291">
        <f>HYPERLINK("http://exon.niaid.nih.gov/transcriptome/Anopheles_sialome/links/cluster-b/anopheline-sialome-cds-pep-larger-orf45-50SimCLU10.txt", 10)</f>
        <v>10</v>
      </c>
      <c r="BU291">
        <f>HYPERLINK("http://exon.niaid.nih.gov/transcriptome/Anopheles_sialome/links/cluster-b/anopheline-sialome-cds-pep-larger-orf45-50SimCLTL10.txt", 26)</f>
        <v>26</v>
      </c>
      <c r="BV291">
        <f>HYPERLINK("http://exon.niaid.nih.gov/transcriptome/Anopheles_sialome/links/cluster-b/anopheline-sialome-cds-pep-larger-orf50-50SimCLU9.txt", 9)</f>
        <v>9</v>
      </c>
      <c r="BW291">
        <f>HYPERLINK("http://exon.niaid.nih.gov/transcriptome/Anopheles_sialome/links/cluster-b/anopheline-sialome-cds-pep-larger-orf50-50SimCLTL9.txt", 26)</f>
        <v>26</v>
      </c>
      <c r="BX291">
        <f>HYPERLINK("http://exon.niaid.nih.gov/transcriptome/Anopheles_sialome/links/cluster-b/anopheline-sialome-cds-pep-larger-orf55-50SimCLU10.txt", 10)</f>
        <v>10</v>
      </c>
      <c r="BY291">
        <f>HYPERLINK("http://exon.niaid.nih.gov/transcriptome/Anopheles_sialome/links/cluster-b/anopheline-sialome-cds-pep-larger-orf55-50SimCLTL10.txt", 26)</f>
        <v>26</v>
      </c>
      <c r="BZ291">
        <f>HYPERLINK("http://exon.niaid.nih.gov/transcriptome/Anopheles_sialome/links/cluster-b/anopheline-sialome-cds-pep-larger-orf60-50SimCLU8.txt", 8)</f>
        <v>8</v>
      </c>
      <c r="CA291">
        <f>HYPERLINK("http://exon.niaid.nih.gov/transcriptome/Anopheles_sialome/links/cluster-b/anopheline-sialome-cds-pep-larger-orf60-50SimCLTL8.txt", 26)</f>
        <v>26</v>
      </c>
      <c r="CB291">
        <f>HYPERLINK("http://exon.niaid.nih.gov/transcriptome/Anopheles_sialome/links/cluster-b/anopheline-sialome-cds-pep-larger-orf65-50SimCLU5.txt", 5)</f>
        <v>5</v>
      </c>
      <c r="CC291">
        <f>HYPERLINK("http://exon.niaid.nih.gov/transcriptome/Anopheles_sialome/links/cluster-b/anopheline-sialome-cds-pep-larger-orf65-50SimCLTL5.txt", 26)</f>
        <v>26</v>
      </c>
      <c r="CD291">
        <f>HYPERLINK("http://exon.niaid.nih.gov/transcriptome/Anopheles_sialome/links/cluster-b/anopheline-sialome-cds-pep-larger-orf70-50SimCLU4.txt", 4)</f>
        <v>4</v>
      </c>
      <c r="CE291">
        <f>HYPERLINK("http://exon.niaid.nih.gov/transcriptome/Anopheles_sialome/links/cluster-b/anopheline-sialome-cds-pep-larger-orf70-50SimCLTL4.txt", 26)</f>
        <v>26</v>
      </c>
      <c r="CF291">
        <f>HYPERLINK("http://exon.niaid.nih.gov/transcriptome/Anopheles_sialome/links/cluster-b/anopheline-sialome-cds-pep-larger-orf75-50SimCLU4.txt", 4)</f>
        <v>4</v>
      </c>
      <c r="CG291">
        <f>HYPERLINK("http://exon.niaid.nih.gov/transcriptome/Anopheles_sialome/links/cluster-b/anopheline-sialome-cds-pep-larger-orf75-50SimCLTL4.txt", 24)</f>
        <v>24</v>
      </c>
      <c r="CH291">
        <f>HYPERLINK("http://exon.niaid.nih.gov/transcriptome/Anopheles_sialome/links/cluster-b/anopheline-sialome-cds-pep-larger-orf80-50SimCLU4.txt", 4)</f>
        <v>4</v>
      </c>
      <c r="CI291">
        <f>HYPERLINK("http://exon.niaid.nih.gov/transcriptome/Anopheles_sialome/links/cluster-b/anopheline-sialome-cds-pep-larger-orf80-50SimCLTL4.txt", 20)</f>
        <v>20</v>
      </c>
      <c r="CJ291">
        <f>HYPERLINK("http://exon.niaid.nih.gov/transcriptome/Anopheles_sialome/links/cluster-b/anopheline-sialome-cds-pep-larger-orf85-50SimCLU3.txt", 3)</f>
        <v>3</v>
      </c>
      <c r="CK291">
        <f>HYPERLINK("http://exon.niaid.nih.gov/transcriptome/Anopheles_sialome/links/cluster-b/anopheline-sialome-cds-pep-larger-orf85-50SimCLTL3.txt", 20)</f>
        <v>20</v>
      </c>
      <c r="CL291">
        <v>191</v>
      </c>
      <c r="CM291">
        <v>1</v>
      </c>
      <c r="CN291">
        <v>210</v>
      </c>
      <c r="CO291">
        <v>1</v>
      </c>
    </row>
    <row r="292" spans="1:93">
      <c r="A292" s="2" t="str">
        <f>HYPERLINK("http://exon.niaid.nih.gov/transcriptome/Anopheles_sialome/links/cds/anodir_D7L2-cds.txt","anodir_D7L2")</f>
        <v>anodir_D7L2</v>
      </c>
      <c r="B292">
        <v>942</v>
      </c>
      <c r="C292" t="s">
        <v>202</v>
      </c>
      <c r="D292" t="s">
        <v>7</v>
      </c>
      <c r="E292" t="s">
        <v>5</v>
      </c>
      <c r="F292" t="s">
        <v>1</v>
      </c>
      <c r="G292" t="str">
        <f>HYPERLINK("http://exon.niaid.nih.gov/transcriptome/Anopheles_sialome/links/pep/anodir_D7L2-pep.txt","anodir_D7L2")</f>
        <v>anodir_D7L2</v>
      </c>
      <c r="H292">
        <v>313</v>
      </c>
      <c r="I292">
        <v>1</v>
      </c>
      <c r="J292" s="3" t="str">
        <f>HYPERLINK("http://exon.niaid.nih.gov/transcriptome/Anopheles_sialome/links/Sigp/anodir_D7L2-SigP.txt","SIG")</f>
        <v>SIG</v>
      </c>
      <c r="K292" t="s">
        <v>718</v>
      </c>
      <c r="L292">
        <v>35.945999999999998</v>
      </c>
      <c r="M292">
        <v>8.4600000000000009</v>
      </c>
      <c r="N292">
        <v>34.290999999999997</v>
      </c>
      <c r="O292">
        <v>8.2899999999999991</v>
      </c>
      <c r="P292" t="s">
        <v>841</v>
      </c>
      <c r="Q292" s="3">
        <v>0</v>
      </c>
      <c r="R292" t="s">
        <v>128</v>
      </c>
      <c r="S292" t="s">
        <v>128</v>
      </c>
      <c r="T292" t="s">
        <v>128</v>
      </c>
      <c r="U292" t="s">
        <v>128</v>
      </c>
      <c r="V292" t="s">
        <v>128</v>
      </c>
      <c r="W292" s="3" t="str">
        <f>HYPERLINK("http://exon.niaid.nih.gov/transcriptome/Anopheles_sialome/links/netoglyc/anodir_D7L2-netoglyc.txt","0")</f>
        <v>0</v>
      </c>
      <c r="X292">
        <v>9.3000000000000007</v>
      </c>
      <c r="Y292">
        <v>6.1</v>
      </c>
      <c r="Z292">
        <v>2.9</v>
      </c>
      <c r="AA292" t="s">
        <v>654</v>
      </c>
      <c r="AB292" t="s">
        <v>128</v>
      </c>
      <c r="AC292" s="2" t="str">
        <f>HYPERLINK("http://exon.niaid.nih.gov/transcriptome/Anopheles_sialome/links/DIPTERA/anodir_D7L2-DIPTERA.txt","putative long d7 salivary protein, partial")</f>
        <v>putative long d7 salivary protein, partial</v>
      </c>
      <c r="AD292" t="str">
        <f>HYPERLINK("http://www.ncbi.nlm.nih.gov/sutils/blink.cgi?pid=520836607","1E-177")</f>
        <v>1E-177</v>
      </c>
      <c r="AE292" t="str">
        <f>HYPERLINK("http://www.ncbi.nlm.nih.gov/protein/520836607","gi|520836607")</f>
        <v>gi|520836607</v>
      </c>
      <c r="AF292">
        <v>97</v>
      </c>
      <c r="AG292">
        <v>98</v>
      </c>
      <c r="AH292">
        <v>100</v>
      </c>
      <c r="AI292" t="s">
        <v>2573</v>
      </c>
      <c r="AJ292" s="2" t="str">
        <f>HYPERLINK("http://exon.niaid.nih.gov/transcriptome/Anopheles_sialome/links/CULICOMORPHA/anodir_D7L2-CULICOMORPHA.txt","putative long d7 salivary protein, partial")</f>
        <v>putative long d7 salivary protein, partial</v>
      </c>
      <c r="AK292" t="str">
        <f>HYPERLINK("http://www.ncbi.nlm.nih.gov/sutils/blink.cgi?pid=520836607","1E-178")</f>
        <v>1E-178</v>
      </c>
      <c r="AL292" t="str">
        <f>HYPERLINK("http://www.ncbi.nlm.nih.gov/protein/520836607","gi|520836607")</f>
        <v>gi|520836607</v>
      </c>
      <c r="AM292">
        <v>97</v>
      </c>
      <c r="AN292">
        <v>98</v>
      </c>
      <c r="AO292">
        <v>100</v>
      </c>
      <c r="AP292" t="s">
        <v>2573</v>
      </c>
      <c r="AQ292" s="2" t="str">
        <f>HYPERLINK("http://exon.niaid.nih.gov/transcriptome/Anopheles_sialome/links/NR-LIGHT/anodir_D7L2-NR-LIGHT.txt","D7 protein")</f>
        <v>D7 protein</v>
      </c>
      <c r="AR292" t="str">
        <f>HYPERLINK("http://www.ncbi.nlm.nih.gov/sutils/blink.cgi?pid=15718081","1E-129")</f>
        <v>1E-129</v>
      </c>
      <c r="AS292" t="str">
        <f>HYPERLINK("http://www.ncbi.nlm.nih.gov/protein/15718081","gi|15718081")</f>
        <v>gi|15718081</v>
      </c>
      <c r="AT292">
        <v>69</v>
      </c>
      <c r="AU292">
        <v>81</v>
      </c>
      <c r="AV292">
        <v>100</v>
      </c>
      <c r="AW292" t="s">
        <v>2271</v>
      </c>
      <c r="AX292" s="2" t="str">
        <f>HYPERLINK("http://exon.niaid.nih.gov/transcriptome/Anopheles_sialome/links/CDD/anodir_D7L2-CDD.txt","PBP_GOBP")</f>
        <v>PBP_GOBP</v>
      </c>
      <c r="AY292" t="str">
        <f>HYPERLINK("http://www.ncbi.nlm.nih.gov/Structure/cdd/cddsrv.cgi?uid=pfam01395&amp;version=v4.0","1E-006")</f>
        <v>1E-006</v>
      </c>
      <c r="AZ292" t="s">
        <v>2575</v>
      </c>
      <c r="BA292" s="2" t="str">
        <f>HYPERLINK("http://exon.niaid.nih.gov/transcriptome/Anopheles_sialome/links/KOG/anodir_D7L2-KOG.txt","Protein kinase ATM/Tel1, involved in telomere length regulation and DNA repair")</f>
        <v>Protein kinase ATM/Tel1, involved in telomere length regulation and DNA repair</v>
      </c>
      <c r="BB292" t="str">
        <f>HYPERLINK("http://www.ncbi.nlm.nih.gov/Structure/cdd/cddsrv.cgi?uid=KOG0892","0.55")</f>
        <v>0.55</v>
      </c>
      <c r="BC292" t="s">
        <v>2300</v>
      </c>
      <c r="BD292" t="str">
        <f>HYPERLINK("http://exon.niaid.nih.gov/transcriptome/Anopheles_sialome/links/KOG/anodir_D7L2-KOG.txt","KOG0892")</f>
        <v>KOG0892</v>
      </c>
      <c r="BE292" t="str">
        <f>HYPERLINK("http://exon.niaid.nih.gov/transcriptome/Anopheles_sialome/links/PFAM/anodir_D7L2-PFAM.txt","PBP_GOBP")</f>
        <v>PBP_GOBP</v>
      </c>
      <c r="BF292" t="str">
        <f>HYPERLINK("http://pfam.sanger.ac.uk/family?acc=PF01395","2E-007")</f>
        <v>2E-007</v>
      </c>
      <c r="BG292" s="2" t="str">
        <f>HYPERLINK("http://exon.niaid.nih.gov/transcriptome/Anopheles_sialome/links/SMART/anodir_D7L2-SMART.txt","PhBP")</f>
        <v>PhBP</v>
      </c>
      <c r="BH292" t="str">
        <f>HYPERLINK("http://smart.embl-heidelberg.de/smart/do_annotation.pl?DOMAIN=PhBP&amp;BLAST=DUMMY","2E-004")</f>
        <v>2E-004</v>
      </c>
      <c r="BI292" t="str">
        <f>HYPERLINK("http://exon.niaid.nih.gov/transcriptome/Anopheles_sialome/links/TICK-BLOCKS/anodir_D7L2-TICK-BLOCKS.txt","Lipid_binding_mosquito_D7_pattern |Lipid_binding_D7_WC_framework |")</f>
        <v>Lipid_binding_mosquito_D7_pattern |Lipid_binding_D7_WC_framework |</v>
      </c>
      <c r="BJ292" s="2" t="s">
        <v>2551</v>
      </c>
      <c r="BK292" t="s">
        <v>1175</v>
      </c>
      <c r="BL292">
        <f>HYPERLINK("http://exon.niaid.nih.gov/transcriptome/Anopheles_sialome/links/cluster-b/anopheline-sialome-cds-pep-larger-orf25-50SimCLU6.txt", 6)</f>
        <v>6</v>
      </c>
      <c r="BM292">
        <f>HYPERLINK("http://exon.niaid.nih.gov/transcriptome/Anopheles_sialome/links/cluster-b/anopheline-sialome-cds-pep-larger-orf25-50SimCLTL6.txt", 44)</f>
        <v>44</v>
      </c>
      <c r="BN292">
        <f>HYPERLINK("http://exon.niaid.nih.gov/transcriptome/Anopheles_sialome/links/cluster-b/anopheline-sialome-cds-pep-larger-orf30-50SimCLU5.txt", 5)</f>
        <v>5</v>
      </c>
      <c r="BO292">
        <f>HYPERLINK("http://exon.niaid.nih.gov/transcriptome/Anopheles_sialome/links/cluster-b/anopheline-sialome-cds-pep-larger-orf30-50SimCLTL5.txt", 44)</f>
        <v>44</v>
      </c>
      <c r="BP292">
        <f>HYPERLINK("http://exon.niaid.nih.gov/transcriptome/Anopheles_sialome/links/cluster-b/anopheline-sialome-cds-pep-larger-orf35-50SimCLU6.txt", 6)</f>
        <v>6</v>
      </c>
      <c r="BQ292">
        <f>HYPERLINK("http://exon.niaid.nih.gov/transcriptome/Anopheles_sialome/links/cluster-b/anopheline-sialome-cds-pep-larger-orf35-50SimCLTL6.txt", 44)</f>
        <v>44</v>
      </c>
      <c r="BR292">
        <f>HYPERLINK("http://exon.niaid.nih.gov/transcriptome/Anopheles_sialome/links/cluster-b/anopheline-sialome-cds-pep-larger-orf40-50SimCLU4.txt", 4)</f>
        <v>4</v>
      </c>
      <c r="BS292">
        <f>HYPERLINK("http://exon.niaid.nih.gov/transcriptome/Anopheles_sialome/links/cluster-b/anopheline-sialome-cds-pep-larger-orf40-50SimCLTL4.txt", 44)</f>
        <v>44</v>
      </c>
      <c r="BT292">
        <f>HYPERLINK("http://exon.niaid.nih.gov/transcriptome/Anopheles_sialome/links/cluster-b/anopheline-sialome-cds-pep-larger-orf45-50SimCLU10.txt", 10)</f>
        <v>10</v>
      </c>
      <c r="BU292">
        <f>HYPERLINK("http://exon.niaid.nih.gov/transcriptome/Anopheles_sialome/links/cluster-b/anopheline-sialome-cds-pep-larger-orf45-50SimCLTL10.txt", 26)</f>
        <v>26</v>
      </c>
      <c r="BV292">
        <f>HYPERLINK("http://exon.niaid.nih.gov/transcriptome/Anopheles_sialome/links/cluster-b/anopheline-sialome-cds-pep-larger-orf50-50SimCLU9.txt", 9)</f>
        <v>9</v>
      </c>
      <c r="BW292">
        <f>HYPERLINK("http://exon.niaid.nih.gov/transcriptome/Anopheles_sialome/links/cluster-b/anopheline-sialome-cds-pep-larger-orf50-50SimCLTL9.txt", 26)</f>
        <v>26</v>
      </c>
      <c r="BX292">
        <f>HYPERLINK("http://exon.niaid.nih.gov/transcriptome/Anopheles_sialome/links/cluster-b/anopheline-sialome-cds-pep-larger-orf55-50SimCLU10.txt", 10)</f>
        <v>10</v>
      </c>
      <c r="BY292">
        <f>HYPERLINK("http://exon.niaid.nih.gov/transcriptome/Anopheles_sialome/links/cluster-b/anopheline-sialome-cds-pep-larger-orf55-50SimCLTL10.txt", 26)</f>
        <v>26</v>
      </c>
      <c r="BZ292">
        <f>HYPERLINK("http://exon.niaid.nih.gov/transcriptome/Anopheles_sialome/links/cluster-b/anopheline-sialome-cds-pep-larger-orf60-50SimCLU8.txt", 8)</f>
        <v>8</v>
      </c>
      <c r="CA292">
        <f>HYPERLINK("http://exon.niaid.nih.gov/transcriptome/Anopheles_sialome/links/cluster-b/anopheline-sialome-cds-pep-larger-orf60-50SimCLTL8.txt", 26)</f>
        <v>26</v>
      </c>
      <c r="CB292">
        <f>HYPERLINK("http://exon.niaid.nih.gov/transcriptome/Anopheles_sialome/links/cluster-b/anopheline-sialome-cds-pep-larger-orf65-50SimCLU5.txt", 5)</f>
        <v>5</v>
      </c>
      <c r="CC292">
        <f>HYPERLINK("http://exon.niaid.nih.gov/transcriptome/Anopheles_sialome/links/cluster-b/anopheline-sialome-cds-pep-larger-orf65-50SimCLTL5.txt", 26)</f>
        <v>26</v>
      </c>
      <c r="CD292">
        <f>HYPERLINK("http://exon.niaid.nih.gov/transcriptome/Anopheles_sialome/links/cluster-b/anopheline-sialome-cds-pep-larger-orf70-50SimCLU4.txt", 4)</f>
        <v>4</v>
      </c>
      <c r="CE292">
        <f>HYPERLINK("http://exon.niaid.nih.gov/transcriptome/Anopheles_sialome/links/cluster-b/anopheline-sialome-cds-pep-larger-orf70-50SimCLTL4.txt", 26)</f>
        <v>26</v>
      </c>
      <c r="CF292">
        <f>HYPERLINK("http://exon.niaid.nih.gov/transcriptome/Anopheles_sialome/links/cluster-b/anopheline-sialome-cds-pep-larger-orf75-50SimCLU4.txt", 4)</f>
        <v>4</v>
      </c>
      <c r="CG292">
        <f>HYPERLINK("http://exon.niaid.nih.gov/transcriptome/Anopheles_sialome/links/cluster-b/anopheline-sialome-cds-pep-larger-orf75-50SimCLTL4.txt", 24)</f>
        <v>24</v>
      </c>
      <c r="CH292">
        <f>HYPERLINK("http://exon.niaid.nih.gov/transcriptome/Anopheles_sialome/links/cluster-b/anopheline-sialome-cds-pep-larger-orf80-50SimCLU4.txt", 4)</f>
        <v>4</v>
      </c>
      <c r="CI292">
        <f>HYPERLINK("http://exon.niaid.nih.gov/transcriptome/Anopheles_sialome/links/cluster-b/anopheline-sialome-cds-pep-larger-orf80-50SimCLTL4.txt", 20)</f>
        <v>20</v>
      </c>
      <c r="CJ292">
        <f>HYPERLINK("http://exon.niaid.nih.gov/transcriptome/Anopheles_sialome/links/cluster-b/anopheline-sialome-cds-pep-larger-orf85-50SimCLU3.txt", 3)</f>
        <v>3</v>
      </c>
      <c r="CK292">
        <f>HYPERLINK("http://exon.niaid.nih.gov/transcriptome/Anopheles_sialome/links/cluster-b/anopheline-sialome-cds-pep-larger-orf85-50SimCLTL3.txt", 20)</f>
        <v>20</v>
      </c>
      <c r="CL292">
        <v>192</v>
      </c>
      <c r="CM292">
        <v>1</v>
      </c>
      <c r="CN292">
        <v>211</v>
      </c>
      <c r="CO292">
        <v>1</v>
      </c>
    </row>
    <row r="293" spans="1:93">
      <c r="A293" s="2" t="str">
        <f>HYPERLINK("http://exon.niaid.nih.gov/transcriptome/Anopheles_sialome/links/cds/anoatro_D7L2-cds.txt","anoatro_D7L2")</f>
        <v>anoatro_D7L2</v>
      </c>
      <c r="B293">
        <v>942</v>
      </c>
      <c r="C293" t="s">
        <v>203</v>
      </c>
      <c r="D293" t="s">
        <v>4</v>
      </c>
      <c r="E293" t="s">
        <v>5</v>
      </c>
      <c r="F293" t="s">
        <v>1</v>
      </c>
      <c r="G293" t="str">
        <f>HYPERLINK("http://exon.niaid.nih.gov/transcriptome/Anopheles_sialome/links/pep/anoatro_D7L2-pep.txt","anoatro_D7L2")</f>
        <v>anoatro_D7L2</v>
      </c>
      <c r="H293">
        <v>313</v>
      </c>
      <c r="I293">
        <v>2</v>
      </c>
      <c r="J293" s="3" t="str">
        <f>HYPERLINK("http://exon.niaid.nih.gov/transcriptome/Anopheles_sialome/links/Sigp/anoatro_D7L2-SigP.txt","SIG")</f>
        <v>SIG</v>
      </c>
      <c r="K293" t="s">
        <v>925</v>
      </c>
      <c r="L293">
        <v>35.027999999999999</v>
      </c>
      <c r="M293">
        <v>8.74</v>
      </c>
      <c r="N293">
        <v>33.271000000000001</v>
      </c>
      <c r="O293">
        <v>8.74</v>
      </c>
      <c r="P293" t="s">
        <v>1177</v>
      </c>
      <c r="Q293" s="3">
        <v>0</v>
      </c>
      <c r="R293" t="s">
        <v>128</v>
      </c>
      <c r="S293" t="s">
        <v>128</v>
      </c>
      <c r="T293" t="s">
        <v>128</v>
      </c>
      <c r="U293" t="s">
        <v>128</v>
      </c>
      <c r="V293" t="s">
        <v>128</v>
      </c>
      <c r="W293" s="3" t="str">
        <f>HYPERLINK("http://exon.niaid.nih.gov/transcriptome/Anopheles_sialome/links/netoglyc/anoatro_D7L2-netoglyc.txt","1")</f>
        <v>1</v>
      </c>
      <c r="X293">
        <v>8.9</v>
      </c>
      <c r="Y293">
        <v>6.7</v>
      </c>
      <c r="Z293">
        <v>2.2000000000000002</v>
      </c>
      <c r="AA293" t="s">
        <v>654</v>
      </c>
      <c r="AB293" t="s">
        <v>128</v>
      </c>
      <c r="AC293" s="2" t="str">
        <f>HYPERLINK("http://exon.niaid.nih.gov/transcriptome/Anopheles_sialome/links/DIPTERA/anoatro_D7L2-DIPTERA.txt","long form D7 salivary protein")</f>
        <v>long form D7 salivary protein</v>
      </c>
      <c r="AD293" t="str">
        <f>HYPERLINK("http://www.ncbi.nlm.nih.gov/sutils/blink.cgi?pid=668454400","1E-141")</f>
        <v>1E-141</v>
      </c>
      <c r="AE293" t="str">
        <f>HYPERLINK("http://www.ncbi.nlm.nih.gov/protein/668454400","gi|668454400")</f>
        <v>gi|668454400</v>
      </c>
      <c r="AF293">
        <v>75</v>
      </c>
      <c r="AG293">
        <v>86</v>
      </c>
      <c r="AH293">
        <v>100</v>
      </c>
      <c r="AI293" t="s">
        <v>2277</v>
      </c>
      <c r="AJ293" s="2" t="str">
        <f>HYPERLINK("http://exon.niaid.nih.gov/transcriptome/Anopheles_sialome/links/CULICOMORPHA/anoatro_D7L2-CULICOMORPHA.txt","long form D7 salivary protein")</f>
        <v>long form D7 salivary protein</v>
      </c>
      <c r="AK293" t="str">
        <f>HYPERLINK("http://www.ncbi.nlm.nih.gov/sutils/blink.cgi?pid=668454400","1E-142")</f>
        <v>1E-142</v>
      </c>
      <c r="AL293" t="str">
        <f>HYPERLINK("http://www.ncbi.nlm.nih.gov/protein/668454400","gi|668454400")</f>
        <v>gi|668454400</v>
      </c>
      <c r="AM293">
        <v>75</v>
      </c>
      <c r="AN293">
        <v>86</v>
      </c>
      <c r="AO293">
        <v>100</v>
      </c>
      <c r="AP293" t="s">
        <v>2277</v>
      </c>
      <c r="AQ293" s="2" t="str">
        <f>HYPERLINK("http://exon.niaid.nih.gov/transcriptome/Anopheles_sialome/links/NR-LIGHT/anoatro_D7L2-NR-LIGHT.txt","long form D7 salivary protein")</f>
        <v>long form D7 salivary protein</v>
      </c>
      <c r="AR293" t="str">
        <f>HYPERLINK("http://www.ncbi.nlm.nih.gov/sutils/blink.cgi?pid=668454400","1E-140")</f>
        <v>1E-140</v>
      </c>
      <c r="AS293" t="str">
        <f>HYPERLINK("http://www.ncbi.nlm.nih.gov/protein/668454400","gi|668454400")</f>
        <v>gi|668454400</v>
      </c>
      <c r="AT293">
        <v>75</v>
      </c>
      <c r="AU293">
        <v>86</v>
      </c>
      <c r="AV293">
        <v>100</v>
      </c>
      <c r="AW293" t="s">
        <v>2277</v>
      </c>
      <c r="AX293" s="2" t="str">
        <f>HYPERLINK("http://exon.niaid.nih.gov/transcriptome/Anopheles_sialome/links/CDD/anoatro_D7L2-CDD.txt","PBP_GOBP")</f>
        <v>PBP_GOBP</v>
      </c>
      <c r="AY293" t="str">
        <f>HYPERLINK("http://www.ncbi.nlm.nih.gov/Structure/cdd/cddsrv.cgi?uid=pfam01395&amp;version=v4.0","8E-009")</f>
        <v>8E-009</v>
      </c>
      <c r="AZ293" t="s">
        <v>2576</v>
      </c>
      <c r="BA293" s="2" t="str">
        <f>HYPERLINK("http://exon.niaid.nih.gov/transcriptome/Anopheles_sialome/links/KOG/anoatro_D7L2-KOG.txt","Uncharacterized conserved protein")</f>
        <v>Uncharacterized conserved protein</v>
      </c>
      <c r="BB293" t="str">
        <f>HYPERLINK("http://www.ncbi.nlm.nih.gov/Structure/cdd/cddsrv.cgi?uid=KOG3371","0.33")</f>
        <v>0.33</v>
      </c>
      <c r="BC293" t="s">
        <v>2304</v>
      </c>
      <c r="BD293" t="str">
        <f>HYPERLINK("http://exon.niaid.nih.gov/transcriptome/Anopheles_sialome/links/KOG/anoatro_D7L2-KOG.txt","KOG3371")</f>
        <v>KOG3371</v>
      </c>
      <c r="BE293" t="str">
        <f>HYPERLINK("http://exon.niaid.nih.gov/transcriptome/Anopheles_sialome/links/PFAM/anoatro_D7L2-PFAM.txt","PBP_GOBP")</f>
        <v>PBP_GOBP</v>
      </c>
      <c r="BF293" t="str">
        <f>HYPERLINK("http://pfam.sanger.ac.uk/family?acc=PF01395","2E-009")</f>
        <v>2E-009</v>
      </c>
      <c r="BG293" s="2" t="str">
        <f>HYPERLINK("http://exon.niaid.nih.gov/transcriptome/Anopheles_sialome/links/SMART/anoatro_D7L2-SMART.txt","PhBP")</f>
        <v>PhBP</v>
      </c>
      <c r="BH293" t="str">
        <f>HYPERLINK("http://smart.embl-heidelberg.de/smart/do_annotation.pl?DOMAIN=PhBP&amp;BLAST=DUMMY","6E-005")</f>
        <v>6E-005</v>
      </c>
      <c r="BI293" t="str">
        <f>HYPERLINK("http://exon.niaid.nih.gov/transcriptome/Anopheles_sialome/links/TICK-BLOCKS/anoatro_D7L2-TICK-BLOCKS.txt","Lipid_binding_mosquito_D7_pattern |Lipid_binding_D7_WC_framework |")</f>
        <v>Lipid_binding_mosquito_D7_pattern |Lipid_binding_D7_WC_framework |</v>
      </c>
      <c r="BJ293" s="2" t="s">
        <v>2551</v>
      </c>
      <c r="BK293" t="s">
        <v>1176</v>
      </c>
      <c r="BL293">
        <f>HYPERLINK("http://exon.niaid.nih.gov/transcriptome/Anopheles_sialome/links/cluster-b/anopheline-sialome-cds-pep-larger-orf25-50SimCLU6.txt", 6)</f>
        <v>6</v>
      </c>
      <c r="BM293">
        <f>HYPERLINK("http://exon.niaid.nih.gov/transcriptome/Anopheles_sialome/links/cluster-b/anopheline-sialome-cds-pep-larger-orf25-50SimCLTL6.txt", 44)</f>
        <v>44</v>
      </c>
      <c r="BN293">
        <f>HYPERLINK("http://exon.niaid.nih.gov/transcriptome/Anopheles_sialome/links/cluster-b/anopheline-sialome-cds-pep-larger-orf30-50SimCLU5.txt", 5)</f>
        <v>5</v>
      </c>
      <c r="BO293">
        <f>HYPERLINK("http://exon.niaid.nih.gov/transcriptome/Anopheles_sialome/links/cluster-b/anopheline-sialome-cds-pep-larger-orf30-50SimCLTL5.txt", 44)</f>
        <v>44</v>
      </c>
      <c r="BP293">
        <f>HYPERLINK("http://exon.niaid.nih.gov/transcriptome/Anopheles_sialome/links/cluster-b/anopheline-sialome-cds-pep-larger-orf35-50SimCLU6.txt", 6)</f>
        <v>6</v>
      </c>
      <c r="BQ293">
        <f>HYPERLINK("http://exon.niaid.nih.gov/transcriptome/Anopheles_sialome/links/cluster-b/anopheline-sialome-cds-pep-larger-orf35-50SimCLTL6.txt", 44)</f>
        <v>44</v>
      </c>
      <c r="BR293">
        <f>HYPERLINK("http://exon.niaid.nih.gov/transcriptome/Anopheles_sialome/links/cluster-b/anopheline-sialome-cds-pep-larger-orf40-50SimCLU4.txt", 4)</f>
        <v>4</v>
      </c>
      <c r="BS293">
        <f>HYPERLINK("http://exon.niaid.nih.gov/transcriptome/Anopheles_sialome/links/cluster-b/anopheline-sialome-cds-pep-larger-orf40-50SimCLTL4.txt", 44)</f>
        <v>44</v>
      </c>
      <c r="BT293">
        <f>HYPERLINK("http://exon.niaid.nih.gov/transcriptome/Anopheles_sialome/links/cluster-b/anopheline-sialome-cds-pep-larger-orf45-50SimCLU10.txt", 10)</f>
        <v>10</v>
      </c>
      <c r="BU293">
        <f>HYPERLINK("http://exon.niaid.nih.gov/transcriptome/Anopheles_sialome/links/cluster-b/anopheline-sialome-cds-pep-larger-orf45-50SimCLTL10.txt", 26)</f>
        <v>26</v>
      </c>
      <c r="BV293">
        <f>HYPERLINK("http://exon.niaid.nih.gov/transcriptome/Anopheles_sialome/links/cluster-b/anopheline-sialome-cds-pep-larger-orf50-50SimCLU9.txt", 9)</f>
        <v>9</v>
      </c>
      <c r="BW293">
        <f>HYPERLINK("http://exon.niaid.nih.gov/transcriptome/Anopheles_sialome/links/cluster-b/anopheline-sialome-cds-pep-larger-orf50-50SimCLTL9.txt", 26)</f>
        <v>26</v>
      </c>
      <c r="BX293">
        <f>HYPERLINK("http://exon.niaid.nih.gov/transcriptome/Anopheles_sialome/links/cluster-b/anopheline-sialome-cds-pep-larger-orf55-50SimCLU10.txt", 10)</f>
        <v>10</v>
      </c>
      <c r="BY293">
        <f>HYPERLINK("http://exon.niaid.nih.gov/transcriptome/Anopheles_sialome/links/cluster-b/anopheline-sialome-cds-pep-larger-orf55-50SimCLTL10.txt", 26)</f>
        <v>26</v>
      </c>
      <c r="BZ293">
        <f>HYPERLINK("http://exon.niaid.nih.gov/transcriptome/Anopheles_sialome/links/cluster-b/anopheline-sialome-cds-pep-larger-orf60-50SimCLU8.txt", 8)</f>
        <v>8</v>
      </c>
      <c r="CA293">
        <f>HYPERLINK("http://exon.niaid.nih.gov/transcriptome/Anopheles_sialome/links/cluster-b/anopheline-sialome-cds-pep-larger-orf60-50SimCLTL8.txt", 26)</f>
        <v>26</v>
      </c>
      <c r="CB293">
        <f>HYPERLINK("http://exon.niaid.nih.gov/transcriptome/Anopheles_sialome/links/cluster-b/anopheline-sialome-cds-pep-larger-orf65-50SimCLU5.txt", 5)</f>
        <v>5</v>
      </c>
      <c r="CC293">
        <f>HYPERLINK("http://exon.niaid.nih.gov/transcriptome/Anopheles_sialome/links/cluster-b/anopheline-sialome-cds-pep-larger-orf65-50SimCLTL5.txt", 26)</f>
        <v>26</v>
      </c>
      <c r="CD293">
        <f>HYPERLINK("http://exon.niaid.nih.gov/transcriptome/Anopheles_sialome/links/cluster-b/anopheline-sialome-cds-pep-larger-orf70-50SimCLU4.txt", 4)</f>
        <v>4</v>
      </c>
      <c r="CE293">
        <f>HYPERLINK("http://exon.niaid.nih.gov/transcriptome/Anopheles_sialome/links/cluster-b/anopheline-sialome-cds-pep-larger-orf70-50SimCLTL4.txt", 26)</f>
        <v>26</v>
      </c>
      <c r="CF293">
        <f>HYPERLINK("http://exon.niaid.nih.gov/transcriptome/Anopheles_sialome/links/cluster-b/anopheline-sialome-cds-pep-larger-orf75-50SimCLU4.txt", 4)</f>
        <v>4</v>
      </c>
      <c r="CG293">
        <f>HYPERLINK("http://exon.niaid.nih.gov/transcriptome/Anopheles_sialome/links/cluster-b/anopheline-sialome-cds-pep-larger-orf75-50SimCLTL4.txt", 24)</f>
        <v>24</v>
      </c>
      <c r="CH293">
        <f>HYPERLINK("http://exon.niaid.nih.gov/transcriptome/Anopheles_sialome/links/cluster-b/anopheline-sialome-cds-pep-larger-orf80-50SimCLU71.txt", 71)</f>
        <v>71</v>
      </c>
      <c r="CI293">
        <f>HYPERLINK("http://exon.niaid.nih.gov/transcriptome/Anopheles_sialome/links/cluster-b/anopheline-sialome-cds-pep-larger-orf80-50SimCLTL71.txt", 2)</f>
        <v>2</v>
      </c>
      <c r="CJ293">
        <f>HYPERLINK("http://exon.niaid.nih.gov/transcriptome/Anopheles_sialome/links/cluster-b/anopheline-sialome-cds-pep-larger-orf85-50SimCLU75.txt", 75)</f>
        <v>75</v>
      </c>
      <c r="CK293">
        <f>HYPERLINK("http://exon.niaid.nih.gov/transcriptome/Anopheles_sialome/links/cluster-b/anopheline-sialome-cds-pep-larger-orf85-50SimCLTL75.txt", 2)</f>
        <v>2</v>
      </c>
      <c r="CL293">
        <v>193</v>
      </c>
      <c r="CM293">
        <v>1</v>
      </c>
      <c r="CN293">
        <v>212</v>
      </c>
      <c r="CO293">
        <v>1</v>
      </c>
    </row>
    <row r="294" spans="1:93">
      <c r="A294" s="2" t="str">
        <f>HYPERLINK("http://exon.niaid.nih.gov/transcriptome/Anopheles_sialome/links/cds/anosin_D7L2-cds.txt","anosin_D7L2")</f>
        <v>anosin_D7L2</v>
      </c>
      <c r="B294">
        <v>942</v>
      </c>
      <c r="C294" t="s">
        <v>204</v>
      </c>
      <c r="D294" t="s">
        <v>4</v>
      </c>
      <c r="E294" t="s">
        <v>5</v>
      </c>
      <c r="F294" t="s">
        <v>1</v>
      </c>
      <c r="G294" t="str">
        <f>HYPERLINK("http://exon.niaid.nih.gov/transcriptome/Anopheles_sialome/links/pep/anosin_D7L2-pep.txt","anosin_D7L2")</f>
        <v>anosin_D7L2</v>
      </c>
      <c r="H294">
        <v>313</v>
      </c>
      <c r="I294">
        <v>2</v>
      </c>
      <c r="J294" s="3" t="str">
        <f>HYPERLINK("http://exon.niaid.nih.gov/transcriptome/Anopheles_sialome/links/Sigp/anosin_D7L2-SigP.txt","CYT")</f>
        <v>CYT</v>
      </c>
      <c r="K294" t="s">
        <v>128</v>
      </c>
      <c r="L294">
        <v>35.043999999999997</v>
      </c>
      <c r="M294">
        <v>8.16</v>
      </c>
      <c r="N294" t="s">
        <v>128</v>
      </c>
      <c r="O294" t="s">
        <v>128</v>
      </c>
      <c r="P294" t="s">
        <v>1021</v>
      </c>
      <c r="Q294" s="3">
        <v>0</v>
      </c>
      <c r="R294" t="s">
        <v>128</v>
      </c>
      <c r="S294" t="s">
        <v>128</v>
      </c>
      <c r="T294" t="s">
        <v>128</v>
      </c>
      <c r="U294" t="s">
        <v>128</v>
      </c>
      <c r="V294" t="s">
        <v>128</v>
      </c>
      <c r="W294" s="3" t="str">
        <f>HYPERLINK("http://exon.niaid.nih.gov/transcriptome/Anopheles_sialome/links/netoglyc/anosin_D7L2-netoglyc.txt","1")</f>
        <v>1</v>
      </c>
      <c r="X294">
        <v>9.3000000000000007</v>
      </c>
      <c r="Y294">
        <v>7</v>
      </c>
      <c r="Z294">
        <v>1.9</v>
      </c>
      <c r="AA294" t="s">
        <v>654</v>
      </c>
      <c r="AB294" t="s">
        <v>128</v>
      </c>
      <c r="AC294" s="2" t="str">
        <f>HYPERLINK("http://exon.niaid.nih.gov/transcriptome/Anopheles_sialome/links/DIPTERA/anosin_D7L2-DIPTERA.txt","long form D7 salivary protein")</f>
        <v>long form D7 salivary protein</v>
      </c>
      <c r="AD294" t="str">
        <f>HYPERLINK("http://www.ncbi.nlm.nih.gov/sutils/blink.cgi?pid=668454400","1E-178")</f>
        <v>1E-178</v>
      </c>
      <c r="AE294" t="str">
        <f>HYPERLINK("http://www.ncbi.nlm.nih.gov/protein/668454400","gi|668454400")</f>
        <v>gi|668454400</v>
      </c>
      <c r="AF294">
        <v>96</v>
      </c>
      <c r="AG294">
        <v>97</v>
      </c>
      <c r="AH294">
        <v>100</v>
      </c>
      <c r="AI294" t="s">
        <v>2277</v>
      </c>
      <c r="AJ294" s="2" t="str">
        <f>HYPERLINK("http://exon.niaid.nih.gov/transcriptome/Anopheles_sialome/links/CULICOMORPHA/anosin_D7L2-CULICOMORPHA.txt","long form D7 salivary protein")</f>
        <v>long form D7 salivary protein</v>
      </c>
      <c r="AK294" t="str">
        <f>HYPERLINK("http://www.ncbi.nlm.nih.gov/sutils/blink.cgi?pid=668454400","1E-178")</f>
        <v>1E-178</v>
      </c>
      <c r="AL294" t="str">
        <f>HYPERLINK("http://www.ncbi.nlm.nih.gov/protein/668454400","gi|668454400")</f>
        <v>gi|668454400</v>
      </c>
      <c r="AM294">
        <v>96</v>
      </c>
      <c r="AN294">
        <v>97</v>
      </c>
      <c r="AO294">
        <v>100</v>
      </c>
      <c r="AP294" t="s">
        <v>2277</v>
      </c>
      <c r="AQ294" s="2" t="str">
        <f>HYPERLINK("http://exon.niaid.nih.gov/transcriptome/Anopheles_sialome/links/NR-LIGHT/anosin_D7L2-NR-LIGHT.txt","long form D7 salivary protein")</f>
        <v>long form D7 salivary protein</v>
      </c>
      <c r="AR294" t="str">
        <f>HYPERLINK("http://www.ncbi.nlm.nih.gov/sutils/blink.cgi?pid=668454400","1E-177")</f>
        <v>1E-177</v>
      </c>
      <c r="AS294" t="str">
        <f>HYPERLINK("http://www.ncbi.nlm.nih.gov/protein/668454400","gi|668454400")</f>
        <v>gi|668454400</v>
      </c>
      <c r="AT294">
        <v>96</v>
      </c>
      <c r="AU294">
        <v>97</v>
      </c>
      <c r="AV294">
        <v>100</v>
      </c>
      <c r="AW294" t="s">
        <v>2277</v>
      </c>
      <c r="AX294" s="2" t="str">
        <f>HYPERLINK("http://exon.niaid.nih.gov/transcriptome/Anopheles_sialome/links/CDD/anosin_D7L2-CDD.txt","PBP_GOBP")</f>
        <v>PBP_GOBP</v>
      </c>
      <c r="AY294" t="str">
        <f>HYPERLINK("http://www.ncbi.nlm.nih.gov/Structure/cdd/cddsrv.cgi?uid=pfam01395&amp;version=v4.0","5E-008")</f>
        <v>5E-008</v>
      </c>
      <c r="AZ294" t="s">
        <v>2577</v>
      </c>
      <c r="BA294" s="2" t="str">
        <f>HYPERLINK("http://exon.niaid.nih.gov/transcriptome/Anopheles_sialome/links/KOG/anosin_D7L2-KOG.txt","Decapping enzyme complex component DCP1")</f>
        <v>Decapping enzyme complex component DCP1</v>
      </c>
      <c r="BB294" t="str">
        <f>HYPERLINK("http://www.ncbi.nlm.nih.gov/Structure/cdd/cddsrv.cgi?uid=KOG2868","1.8")</f>
        <v>1.8</v>
      </c>
      <c r="BC294" t="s">
        <v>2572</v>
      </c>
      <c r="BD294" t="str">
        <f>HYPERLINK("http://exon.niaid.nih.gov/transcriptome/Anopheles_sialome/links/KOG/anosin_D7L2-KOG.txt","KOG2868")</f>
        <v>KOG2868</v>
      </c>
      <c r="BE294" t="str">
        <f>HYPERLINK("http://exon.niaid.nih.gov/transcriptome/Anopheles_sialome/links/PFAM/anosin_D7L2-PFAM.txt","PBP_GOBP")</f>
        <v>PBP_GOBP</v>
      </c>
      <c r="BF294" t="str">
        <f>HYPERLINK("http://pfam.sanger.ac.uk/family?acc=PF01395","9E-009")</f>
        <v>9E-009</v>
      </c>
      <c r="BG294" s="2" t="str">
        <f>HYPERLINK("http://exon.niaid.nih.gov/transcriptome/Anopheles_sialome/links/SMART/anosin_D7L2-SMART.txt","PhBP")</f>
        <v>PhBP</v>
      </c>
      <c r="BH294" t="str">
        <f>HYPERLINK("http://smart.embl-heidelberg.de/smart/do_annotation.pl?DOMAIN=PhBP&amp;BLAST=DUMMY","0.006")</f>
        <v>0.006</v>
      </c>
      <c r="BI294" t="str">
        <f>HYPERLINK("http://exon.niaid.nih.gov/transcriptome/Anopheles_sialome/links/TICK-BLOCKS/anosin_D7L2-TICK-BLOCKS.txt","Lipid_binding_mosquito_D7_pattern |Lipid_binding_D7_WC_framework |")</f>
        <v>Lipid_binding_mosquito_D7_pattern |Lipid_binding_D7_WC_framework |</v>
      </c>
      <c r="BJ294" s="2" t="s">
        <v>2551</v>
      </c>
      <c r="BK294" t="s">
        <v>1178</v>
      </c>
      <c r="BL294">
        <f>HYPERLINK("http://exon.niaid.nih.gov/transcriptome/Anopheles_sialome/links/cluster-b/anopheline-sialome-cds-pep-larger-orf25-50SimCLU6.txt", 6)</f>
        <v>6</v>
      </c>
      <c r="BM294">
        <f>HYPERLINK("http://exon.niaid.nih.gov/transcriptome/Anopheles_sialome/links/cluster-b/anopheline-sialome-cds-pep-larger-orf25-50SimCLTL6.txt", 44)</f>
        <v>44</v>
      </c>
      <c r="BN294">
        <f>HYPERLINK("http://exon.niaid.nih.gov/transcriptome/Anopheles_sialome/links/cluster-b/anopheline-sialome-cds-pep-larger-orf30-50SimCLU5.txt", 5)</f>
        <v>5</v>
      </c>
      <c r="BO294">
        <f>HYPERLINK("http://exon.niaid.nih.gov/transcriptome/Anopheles_sialome/links/cluster-b/anopheline-sialome-cds-pep-larger-orf30-50SimCLTL5.txt", 44)</f>
        <v>44</v>
      </c>
      <c r="BP294">
        <f>HYPERLINK("http://exon.niaid.nih.gov/transcriptome/Anopheles_sialome/links/cluster-b/anopheline-sialome-cds-pep-larger-orf35-50SimCLU6.txt", 6)</f>
        <v>6</v>
      </c>
      <c r="BQ294">
        <f>HYPERLINK("http://exon.niaid.nih.gov/transcriptome/Anopheles_sialome/links/cluster-b/anopheline-sialome-cds-pep-larger-orf35-50SimCLTL6.txt", 44)</f>
        <v>44</v>
      </c>
      <c r="BR294">
        <f>HYPERLINK("http://exon.niaid.nih.gov/transcriptome/Anopheles_sialome/links/cluster-b/anopheline-sialome-cds-pep-larger-orf40-50SimCLU4.txt", 4)</f>
        <v>4</v>
      </c>
      <c r="BS294">
        <f>HYPERLINK("http://exon.niaid.nih.gov/transcriptome/Anopheles_sialome/links/cluster-b/anopheline-sialome-cds-pep-larger-orf40-50SimCLTL4.txt", 44)</f>
        <v>44</v>
      </c>
      <c r="BT294">
        <f>HYPERLINK("http://exon.niaid.nih.gov/transcriptome/Anopheles_sialome/links/cluster-b/anopheline-sialome-cds-pep-larger-orf45-50SimCLU10.txt", 10)</f>
        <v>10</v>
      </c>
      <c r="BU294">
        <f>HYPERLINK("http://exon.niaid.nih.gov/transcriptome/Anopheles_sialome/links/cluster-b/anopheline-sialome-cds-pep-larger-orf45-50SimCLTL10.txt", 26)</f>
        <v>26</v>
      </c>
      <c r="BV294">
        <f>HYPERLINK("http://exon.niaid.nih.gov/transcriptome/Anopheles_sialome/links/cluster-b/anopheline-sialome-cds-pep-larger-orf50-50SimCLU9.txt", 9)</f>
        <v>9</v>
      </c>
      <c r="BW294">
        <f>HYPERLINK("http://exon.niaid.nih.gov/transcriptome/Anopheles_sialome/links/cluster-b/anopheline-sialome-cds-pep-larger-orf50-50SimCLTL9.txt", 26)</f>
        <v>26</v>
      </c>
      <c r="BX294">
        <f>HYPERLINK("http://exon.niaid.nih.gov/transcriptome/Anopheles_sialome/links/cluster-b/anopheline-sialome-cds-pep-larger-orf55-50SimCLU10.txt", 10)</f>
        <v>10</v>
      </c>
      <c r="BY294">
        <f>HYPERLINK("http://exon.niaid.nih.gov/transcriptome/Anopheles_sialome/links/cluster-b/anopheline-sialome-cds-pep-larger-orf55-50SimCLTL10.txt", 26)</f>
        <v>26</v>
      </c>
      <c r="BZ294">
        <f>HYPERLINK("http://exon.niaid.nih.gov/transcriptome/Anopheles_sialome/links/cluster-b/anopheline-sialome-cds-pep-larger-orf60-50SimCLU8.txt", 8)</f>
        <v>8</v>
      </c>
      <c r="CA294">
        <f>HYPERLINK("http://exon.niaid.nih.gov/transcriptome/Anopheles_sialome/links/cluster-b/anopheline-sialome-cds-pep-larger-orf60-50SimCLTL8.txt", 26)</f>
        <v>26</v>
      </c>
      <c r="CB294">
        <f>HYPERLINK("http://exon.niaid.nih.gov/transcriptome/Anopheles_sialome/links/cluster-b/anopheline-sialome-cds-pep-larger-orf65-50SimCLU5.txt", 5)</f>
        <v>5</v>
      </c>
      <c r="CC294">
        <f>HYPERLINK("http://exon.niaid.nih.gov/transcriptome/Anopheles_sialome/links/cluster-b/anopheline-sialome-cds-pep-larger-orf65-50SimCLTL5.txt", 26)</f>
        <v>26</v>
      </c>
      <c r="CD294">
        <f>HYPERLINK("http://exon.niaid.nih.gov/transcriptome/Anopheles_sialome/links/cluster-b/anopheline-sialome-cds-pep-larger-orf70-50SimCLU4.txt", 4)</f>
        <v>4</v>
      </c>
      <c r="CE294">
        <f>HYPERLINK("http://exon.niaid.nih.gov/transcriptome/Anopheles_sialome/links/cluster-b/anopheline-sialome-cds-pep-larger-orf70-50SimCLTL4.txt", 26)</f>
        <v>26</v>
      </c>
      <c r="CF294">
        <f>HYPERLINK("http://exon.niaid.nih.gov/transcriptome/Anopheles_sialome/links/cluster-b/anopheline-sialome-cds-pep-larger-orf75-50SimCLU4.txt", 4)</f>
        <v>4</v>
      </c>
      <c r="CG294">
        <f>HYPERLINK("http://exon.niaid.nih.gov/transcriptome/Anopheles_sialome/links/cluster-b/anopheline-sialome-cds-pep-larger-orf75-50SimCLTL4.txt", 24)</f>
        <v>24</v>
      </c>
      <c r="CH294">
        <f>HYPERLINK("http://exon.niaid.nih.gov/transcriptome/Anopheles_sialome/links/cluster-b/anopheline-sialome-cds-pep-larger-orf80-50SimCLU71.txt", 71)</f>
        <v>71</v>
      </c>
      <c r="CI294">
        <f>HYPERLINK("http://exon.niaid.nih.gov/transcriptome/Anopheles_sialome/links/cluster-b/anopheline-sialome-cds-pep-larger-orf80-50SimCLTL71.txt", 2)</f>
        <v>2</v>
      </c>
      <c r="CJ294">
        <f>HYPERLINK("http://exon.niaid.nih.gov/transcriptome/Anopheles_sialome/links/cluster-b/anopheline-sialome-cds-pep-larger-orf85-50SimCLU75.txt", 75)</f>
        <v>75</v>
      </c>
      <c r="CK294">
        <f>HYPERLINK("http://exon.niaid.nih.gov/transcriptome/Anopheles_sialome/links/cluster-b/anopheline-sialome-cds-pep-larger-orf85-50SimCLTL75.txt", 2)</f>
        <v>2</v>
      </c>
      <c r="CL294">
        <v>194</v>
      </c>
      <c r="CM294">
        <v>1</v>
      </c>
      <c r="CN294">
        <v>213</v>
      </c>
      <c r="CO294">
        <v>1</v>
      </c>
    </row>
    <row r="295" spans="1:93">
      <c r="A295" s="2" t="str">
        <f>HYPERLINK("http://exon.niaid.nih.gov/transcriptome/Anopheles_sialome/links/cds/anoalb_D7L2-cds.txt","anoalb_D7L2")</f>
        <v>anoalb_D7L2</v>
      </c>
      <c r="B295">
        <v>945</v>
      </c>
      <c r="C295" t="s">
        <v>205</v>
      </c>
      <c r="D295" t="s">
        <v>7</v>
      </c>
      <c r="E295" t="s">
        <v>5</v>
      </c>
      <c r="F295" t="s">
        <v>1</v>
      </c>
      <c r="G295" t="str">
        <f>HYPERLINK("http://exon.niaid.nih.gov/transcriptome/Anopheles_sialome/links/pep/anoalb_D7L2-pep.txt","anoalb_D7L2")</f>
        <v>anoalb_D7L2</v>
      </c>
      <c r="H295">
        <v>314</v>
      </c>
      <c r="I295">
        <v>1</v>
      </c>
      <c r="J295" s="3" t="str">
        <f>HYPERLINK("http://exon.niaid.nih.gov/transcriptome/Anopheles_sialome/links/Sigp/anoalb_D7L2-SigP.txt","SIG")</f>
        <v>SIG</v>
      </c>
      <c r="K295" t="s">
        <v>718</v>
      </c>
      <c r="L295">
        <v>36.295999999999999</v>
      </c>
      <c r="M295">
        <v>6.22</v>
      </c>
      <c r="N295">
        <v>34.612000000000002</v>
      </c>
      <c r="O295">
        <v>6.1</v>
      </c>
      <c r="P295" t="s">
        <v>1025</v>
      </c>
      <c r="Q295" s="3">
        <v>0</v>
      </c>
      <c r="R295" t="s">
        <v>128</v>
      </c>
      <c r="S295" t="s">
        <v>128</v>
      </c>
      <c r="T295" t="s">
        <v>128</v>
      </c>
      <c r="U295" t="s">
        <v>128</v>
      </c>
      <c r="V295" t="s">
        <v>128</v>
      </c>
      <c r="W295" s="3" t="str">
        <f>HYPERLINK("http://exon.niaid.nih.gov/transcriptome/Anopheles_sialome/links/netoglyc/anoalb_D7L2-netoglyc.txt","0")</f>
        <v>0</v>
      </c>
      <c r="X295">
        <v>10.5</v>
      </c>
      <c r="Y295">
        <v>4.5</v>
      </c>
      <c r="Z295">
        <v>3.2</v>
      </c>
      <c r="AA295" t="s">
        <v>654</v>
      </c>
      <c r="AB295" t="s">
        <v>128</v>
      </c>
      <c r="AC295" s="2" t="str">
        <f>HYPERLINK("http://exon.niaid.nih.gov/transcriptome/Anopheles_sialome/links/DIPTERA/anoalb_D7L2-DIPTERA.txt","long form D7 salivary protein")</f>
        <v>long form D7 salivary protein</v>
      </c>
      <c r="AD295" t="str">
        <f>HYPERLINK("http://www.ncbi.nlm.nih.gov/sutils/blink.cgi?pid=208657499","1E-159")</f>
        <v>1E-159</v>
      </c>
      <c r="AE295" t="str">
        <f>HYPERLINK("http://www.ncbi.nlm.nih.gov/protein/208657499","gi|208657499")</f>
        <v>gi|208657499</v>
      </c>
      <c r="AF295">
        <v>84</v>
      </c>
      <c r="AG295">
        <v>90</v>
      </c>
      <c r="AH295">
        <v>100</v>
      </c>
      <c r="AI295" t="s">
        <v>2283</v>
      </c>
      <c r="AJ295" s="2" t="str">
        <f>HYPERLINK("http://exon.niaid.nih.gov/transcriptome/Anopheles_sialome/links/CULICOMORPHA/anoalb_D7L2-CULICOMORPHA.txt","long form D7 salivary protein")</f>
        <v>long form D7 salivary protein</v>
      </c>
      <c r="AK295" t="str">
        <f>HYPERLINK("http://www.ncbi.nlm.nih.gov/sutils/blink.cgi?pid=208657499","1E-160")</f>
        <v>1E-160</v>
      </c>
      <c r="AL295" t="str">
        <f>HYPERLINK("http://www.ncbi.nlm.nih.gov/protein/208657499","gi|208657499")</f>
        <v>gi|208657499</v>
      </c>
      <c r="AM295">
        <v>84</v>
      </c>
      <c r="AN295">
        <v>90</v>
      </c>
      <c r="AO295">
        <v>100</v>
      </c>
      <c r="AP295" t="s">
        <v>2283</v>
      </c>
      <c r="AQ295" s="2" t="str">
        <f>HYPERLINK("http://exon.niaid.nih.gov/transcriptome/Anopheles_sialome/links/NR-LIGHT/anoalb_D7L2-NR-LIGHT.txt","hypothetical protein AND_010080")</f>
        <v>hypothetical protein AND_010080</v>
      </c>
      <c r="AR295" t="str">
        <f>HYPERLINK("http://www.ncbi.nlm.nih.gov/sutils/blink.cgi?pid=568248509","1E-122")</f>
        <v>1E-122</v>
      </c>
      <c r="AS295" t="str">
        <f>HYPERLINK("http://www.ncbi.nlm.nih.gov/protein/568248509","gi|568248509")</f>
        <v>gi|568248509</v>
      </c>
      <c r="AT295">
        <v>86</v>
      </c>
      <c r="AU295">
        <v>90</v>
      </c>
      <c r="AV295">
        <v>99</v>
      </c>
      <c r="AW295" t="s">
        <v>2283</v>
      </c>
      <c r="AX295" s="2" t="str">
        <f>HYPERLINK("http://exon.niaid.nih.gov/transcriptome/Anopheles_sialome/links/CDD/anoalb_D7L2-CDD.txt","PBP_GOBP")</f>
        <v>PBP_GOBP</v>
      </c>
      <c r="AY295" t="str">
        <f>HYPERLINK("http://www.ncbi.nlm.nih.gov/Structure/cdd/cddsrv.cgi?uid=pfam01395&amp;version=v4.0","7E-004")</f>
        <v>7E-004</v>
      </c>
      <c r="AZ295" t="s">
        <v>2578</v>
      </c>
      <c r="BA295" s="2" t="str">
        <f>HYPERLINK("http://exon.niaid.nih.gov/transcriptome/Anopheles_sialome/links/KOG/anoalb_D7L2-KOG.txt","Squalene synthetase")</f>
        <v>Squalene synthetase</v>
      </c>
      <c r="BB295" t="str">
        <f>HYPERLINK("http://www.ncbi.nlm.nih.gov/Structure/cdd/cddsrv.cgi?uid=KOG1459","0.68")</f>
        <v>0.68</v>
      </c>
      <c r="BC295" t="s">
        <v>2298</v>
      </c>
      <c r="BD295" t="str">
        <f>HYPERLINK("http://exon.niaid.nih.gov/transcriptome/Anopheles_sialome/links/KOG/anoalb_D7L2-KOG.txt","KOG1459")</f>
        <v>KOG1459</v>
      </c>
      <c r="BE295" t="str">
        <f>HYPERLINK("http://exon.niaid.nih.gov/transcriptome/Anopheles_sialome/links/PFAM/anoalb_D7L2-PFAM.txt","PBP_GOBP")</f>
        <v>PBP_GOBP</v>
      </c>
      <c r="BF295" t="str">
        <f>HYPERLINK("http://pfam.sanger.ac.uk/family?acc=PF01395","1E-004")</f>
        <v>1E-004</v>
      </c>
      <c r="BG295" s="2" t="str">
        <f>HYPERLINK("http://exon.niaid.nih.gov/transcriptome/Anopheles_sialome/links/SMART/anoalb_D7L2-SMART.txt","PhBP")</f>
        <v>PhBP</v>
      </c>
      <c r="BH295" t="str">
        <f>HYPERLINK("http://smart.embl-heidelberg.de/smart/do_annotation.pl?DOMAIN=PhBP&amp;BLAST=DUMMY","2E-005")</f>
        <v>2E-005</v>
      </c>
      <c r="BI295" t="str">
        <f>HYPERLINK("http://exon.niaid.nih.gov/transcriptome/Anopheles_sialome/links/TICK-BLOCKS/anoalb_D7L2-TICK-BLOCKS.txt","Lipid_binding_mosquito_D7_pattern |Lipid_binding_D7_WC_framework |")</f>
        <v>Lipid_binding_mosquito_D7_pattern |Lipid_binding_D7_WC_framework |</v>
      </c>
      <c r="BJ295" s="2" t="s">
        <v>2551</v>
      </c>
      <c r="BK295" t="s">
        <v>1179</v>
      </c>
      <c r="BL295">
        <f>HYPERLINK("http://exon.niaid.nih.gov/transcriptome/Anopheles_sialome/links/cluster-b/anopheline-sialome-cds-pep-larger-orf25-50SimCLU6.txt", 6)</f>
        <v>6</v>
      </c>
      <c r="BM295">
        <f>HYPERLINK("http://exon.niaid.nih.gov/transcriptome/Anopheles_sialome/links/cluster-b/anopheline-sialome-cds-pep-larger-orf25-50SimCLTL6.txt", 44)</f>
        <v>44</v>
      </c>
      <c r="BN295">
        <f>HYPERLINK("http://exon.niaid.nih.gov/transcriptome/Anopheles_sialome/links/cluster-b/anopheline-sialome-cds-pep-larger-orf30-50SimCLU5.txt", 5)</f>
        <v>5</v>
      </c>
      <c r="BO295">
        <f>HYPERLINK("http://exon.niaid.nih.gov/transcriptome/Anopheles_sialome/links/cluster-b/anopheline-sialome-cds-pep-larger-orf30-50SimCLTL5.txt", 44)</f>
        <v>44</v>
      </c>
      <c r="BP295">
        <f>HYPERLINK("http://exon.niaid.nih.gov/transcriptome/Anopheles_sialome/links/cluster-b/anopheline-sialome-cds-pep-larger-orf35-50SimCLU6.txt", 6)</f>
        <v>6</v>
      </c>
      <c r="BQ295">
        <f>HYPERLINK("http://exon.niaid.nih.gov/transcriptome/Anopheles_sialome/links/cluster-b/anopheline-sialome-cds-pep-larger-orf35-50SimCLTL6.txt", 44)</f>
        <v>44</v>
      </c>
      <c r="BR295">
        <f>HYPERLINK("http://exon.niaid.nih.gov/transcriptome/Anopheles_sialome/links/cluster-b/anopheline-sialome-cds-pep-larger-orf40-50SimCLU4.txt", 4)</f>
        <v>4</v>
      </c>
      <c r="BS295">
        <f>HYPERLINK("http://exon.niaid.nih.gov/transcriptome/Anopheles_sialome/links/cluster-b/anopheline-sialome-cds-pep-larger-orf40-50SimCLTL4.txt", 44)</f>
        <v>44</v>
      </c>
      <c r="BT295">
        <f>HYPERLINK("http://exon.niaid.nih.gov/transcriptome/Anopheles_sialome/links/cluster-b/anopheline-sialome-cds-pep-larger-orf45-50SimCLU10.txt", 10)</f>
        <v>10</v>
      </c>
      <c r="BU295">
        <f>HYPERLINK("http://exon.niaid.nih.gov/transcriptome/Anopheles_sialome/links/cluster-b/anopheline-sialome-cds-pep-larger-orf45-50SimCLTL10.txt", 26)</f>
        <v>26</v>
      </c>
      <c r="BV295">
        <f>HYPERLINK("http://exon.niaid.nih.gov/transcriptome/Anopheles_sialome/links/cluster-b/anopheline-sialome-cds-pep-larger-orf50-50SimCLU9.txt", 9)</f>
        <v>9</v>
      </c>
      <c r="BW295">
        <f>HYPERLINK("http://exon.niaid.nih.gov/transcriptome/Anopheles_sialome/links/cluster-b/anopheline-sialome-cds-pep-larger-orf50-50SimCLTL9.txt", 26)</f>
        <v>26</v>
      </c>
      <c r="BX295">
        <f>HYPERLINK("http://exon.niaid.nih.gov/transcriptome/Anopheles_sialome/links/cluster-b/anopheline-sialome-cds-pep-larger-orf55-50SimCLU10.txt", 10)</f>
        <v>10</v>
      </c>
      <c r="BY295">
        <f>HYPERLINK("http://exon.niaid.nih.gov/transcriptome/Anopheles_sialome/links/cluster-b/anopheline-sialome-cds-pep-larger-orf55-50SimCLTL10.txt", 26)</f>
        <v>26</v>
      </c>
      <c r="BZ295">
        <f>HYPERLINK("http://exon.niaid.nih.gov/transcriptome/Anopheles_sialome/links/cluster-b/anopheline-sialome-cds-pep-larger-orf60-50SimCLU8.txt", 8)</f>
        <v>8</v>
      </c>
      <c r="CA295">
        <f>HYPERLINK("http://exon.niaid.nih.gov/transcriptome/Anopheles_sialome/links/cluster-b/anopheline-sialome-cds-pep-larger-orf60-50SimCLTL8.txt", 26)</f>
        <v>26</v>
      </c>
      <c r="CB295">
        <f>HYPERLINK("http://exon.niaid.nih.gov/transcriptome/Anopheles_sialome/links/cluster-b/anopheline-sialome-cds-pep-larger-orf65-50SimCLU5.txt", 5)</f>
        <v>5</v>
      </c>
      <c r="CC295">
        <f>HYPERLINK("http://exon.niaid.nih.gov/transcriptome/Anopheles_sialome/links/cluster-b/anopheline-sialome-cds-pep-larger-orf65-50SimCLTL5.txt", 26)</f>
        <v>26</v>
      </c>
      <c r="CD295">
        <f>HYPERLINK("http://exon.niaid.nih.gov/transcriptome/Anopheles_sialome/links/cluster-b/anopheline-sialome-cds-pep-larger-orf70-50SimCLU4.txt", 4)</f>
        <v>4</v>
      </c>
      <c r="CE295">
        <f>HYPERLINK("http://exon.niaid.nih.gov/transcriptome/Anopheles_sialome/links/cluster-b/anopheline-sialome-cds-pep-larger-orf70-50SimCLTL4.txt", 26)</f>
        <v>26</v>
      </c>
      <c r="CF295">
        <f>HYPERLINK("http://exon.niaid.nih.gov/transcriptome/Anopheles_sialome/links/cluster-b/anopheline-sialome-cds-pep-larger-orf75-50SimCLU61.txt", 61)</f>
        <v>61</v>
      </c>
      <c r="CG295">
        <f>HYPERLINK("http://exon.niaid.nih.gov/transcriptome/Anopheles_sialome/links/cluster-b/anopheline-sialome-cds-pep-larger-orf75-50SimCLTL61.txt", 2)</f>
        <v>2</v>
      </c>
      <c r="CH295">
        <f>HYPERLINK("http://exon.niaid.nih.gov/transcriptome/Anopheles_sialome/links/cluster-b/anopheline-sialome-cds-pep-larger-orf80-50SimCLU72.txt", 72)</f>
        <v>72</v>
      </c>
      <c r="CI295">
        <f>HYPERLINK("http://exon.niaid.nih.gov/transcriptome/Anopheles_sialome/links/cluster-b/anopheline-sialome-cds-pep-larger-orf80-50SimCLTL72.txt", 2)</f>
        <v>2</v>
      </c>
      <c r="CJ295">
        <f>HYPERLINK("http://exon.niaid.nih.gov/transcriptome/Anopheles_sialome/links/cluster-b/anopheline-sialome-cds-pep-larger-orf85-50SimCLU76.txt", 76)</f>
        <v>76</v>
      </c>
      <c r="CK295">
        <f>HYPERLINK("http://exon.niaid.nih.gov/transcriptome/Anopheles_sialome/links/cluster-b/anopheline-sialome-cds-pep-larger-orf85-50SimCLTL76.txt", 2)</f>
        <v>2</v>
      </c>
      <c r="CL295">
        <f>HYPERLINK("http://exon.niaid.nih.gov/transcriptome/Anopheles_sialome/links/cluster-b/anopheline-sialome-cds-pep-larger-orf90-50SimCLU71.txt", 71)</f>
        <v>71</v>
      </c>
      <c r="CM295">
        <f>HYPERLINK("http://exon.niaid.nih.gov/transcriptome/Anopheles_sialome/links/cluster-b/anopheline-sialome-cds-pep-larger-orf90-50SimCLTL71.txt", 2)</f>
        <v>2</v>
      </c>
      <c r="CN295">
        <v>214</v>
      </c>
      <c r="CO295">
        <v>1</v>
      </c>
    </row>
    <row r="296" spans="1:93">
      <c r="A296" s="2" t="str">
        <f>HYPERLINK("http://exon.niaid.nih.gov/transcriptome/Anopheles_sialome/links/cds/anodar_D7L2-cds.txt","anodar_D7L2")</f>
        <v>anodar_D7L2</v>
      </c>
      <c r="B296">
        <v>954</v>
      </c>
      <c r="C296" t="s">
        <v>206</v>
      </c>
      <c r="D296" t="s">
        <v>7</v>
      </c>
      <c r="E296" t="s">
        <v>5</v>
      </c>
      <c r="F296" t="s">
        <v>1</v>
      </c>
      <c r="G296" t="str">
        <f>HYPERLINK("http://exon.niaid.nih.gov/transcriptome/Anopheles_sialome/links/pep/anodar_D7L2-pep.txt","anodar_D7L2")</f>
        <v>anodar_D7L2</v>
      </c>
      <c r="H296">
        <v>317</v>
      </c>
      <c r="I296">
        <v>1</v>
      </c>
      <c r="J296" s="3" t="str">
        <f>HYPERLINK("http://exon.niaid.nih.gov/transcriptome/Anopheles_sialome/links/Sigp/anodar_D7L2-SigP.txt","SIG")</f>
        <v>SIG</v>
      </c>
      <c r="K296" t="s">
        <v>692</v>
      </c>
      <c r="L296">
        <v>37.139000000000003</v>
      </c>
      <c r="M296">
        <v>6.47</v>
      </c>
      <c r="N296">
        <v>34.877000000000002</v>
      </c>
      <c r="O296">
        <v>6.1</v>
      </c>
      <c r="P296" t="s">
        <v>1021</v>
      </c>
      <c r="Q296" s="3">
        <v>0</v>
      </c>
      <c r="R296" t="s">
        <v>128</v>
      </c>
      <c r="S296" t="s">
        <v>128</v>
      </c>
      <c r="T296" t="s">
        <v>128</v>
      </c>
      <c r="U296" t="s">
        <v>128</v>
      </c>
      <c r="V296" t="s">
        <v>128</v>
      </c>
      <c r="W296" s="3" t="str">
        <f>HYPERLINK("http://exon.niaid.nih.gov/transcriptome/Anopheles_sialome/links/netoglyc/anodar_D7L2-netoglyc.txt","0")</f>
        <v>0</v>
      </c>
      <c r="X296">
        <v>9.5</v>
      </c>
      <c r="Y296">
        <v>5</v>
      </c>
      <c r="Z296">
        <v>2.8</v>
      </c>
      <c r="AA296" t="s">
        <v>654</v>
      </c>
      <c r="AB296" t="s">
        <v>128</v>
      </c>
      <c r="AC296" s="2" t="str">
        <f>HYPERLINK("http://exon.niaid.nih.gov/transcriptome/Anopheles_sialome/links/DIPTERA/anodar_D7L2-DIPTERA.txt","long form D7 salivary protein")</f>
        <v>long form D7 salivary protein</v>
      </c>
      <c r="AD296" t="str">
        <f>HYPERLINK("http://www.ncbi.nlm.nih.gov/sutils/blink.cgi?pid=208657499","0.0")</f>
        <v>0.0</v>
      </c>
      <c r="AE296" t="str">
        <f>HYPERLINK("http://www.ncbi.nlm.nih.gov/protein/208657499","gi|208657499")</f>
        <v>gi|208657499</v>
      </c>
      <c r="AF296">
        <v>100</v>
      </c>
      <c r="AG296">
        <v>100</v>
      </c>
      <c r="AH296">
        <v>100</v>
      </c>
      <c r="AI296" t="s">
        <v>2283</v>
      </c>
      <c r="AJ296" s="2" t="str">
        <f>HYPERLINK("http://exon.niaid.nih.gov/transcriptome/Anopheles_sialome/links/CULICOMORPHA/anodar_D7L2-CULICOMORPHA.txt","long form D7 salivary protein")</f>
        <v>long form D7 salivary protein</v>
      </c>
      <c r="AK296" t="str">
        <f>HYPERLINK("http://www.ncbi.nlm.nih.gov/sutils/blink.cgi?pid=208657499","0.0")</f>
        <v>0.0</v>
      </c>
      <c r="AL296" t="str">
        <f>HYPERLINK("http://www.ncbi.nlm.nih.gov/protein/208657499","gi|208657499")</f>
        <v>gi|208657499</v>
      </c>
      <c r="AM296">
        <v>100</v>
      </c>
      <c r="AN296">
        <v>100</v>
      </c>
      <c r="AO296">
        <v>100</v>
      </c>
      <c r="AP296" t="s">
        <v>2283</v>
      </c>
      <c r="AQ296" s="2" t="str">
        <f>HYPERLINK("http://exon.niaid.nih.gov/transcriptome/Anopheles_sialome/links/NR-LIGHT/anodar_D7L2-NR-LIGHT.txt","hypothetical protein AND_010080")</f>
        <v>hypothetical protein AND_010080</v>
      </c>
      <c r="AR296" t="str">
        <f>HYPERLINK("http://www.ncbi.nlm.nih.gov/sutils/blink.cgi?pid=568248509","1E-146")</f>
        <v>1E-146</v>
      </c>
      <c r="AS296" t="str">
        <f>HYPERLINK("http://www.ncbi.nlm.nih.gov/protein/568248509","gi|568248509")</f>
        <v>gi|568248509</v>
      </c>
      <c r="AT296">
        <v>100</v>
      </c>
      <c r="AU296">
        <v>100</v>
      </c>
      <c r="AV296">
        <v>99</v>
      </c>
      <c r="AW296" t="s">
        <v>2283</v>
      </c>
      <c r="AX296" s="2" t="str">
        <f>HYPERLINK("http://exon.niaid.nih.gov/transcriptome/Anopheles_sialome/links/CDD/anodar_D7L2-CDD.txt","PBP_GOBP")</f>
        <v>PBP_GOBP</v>
      </c>
      <c r="AY296" t="str">
        <f>HYPERLINK("http://www.ncbi.nlm.nih.gov/Structure/cdd/cddsrv.cgi?uid=pfam01395&amp;version=v4.0","0.004")</f>
        <v>0.004</v>
      </c>
      <c r="AZ296" t="s">
        <v>2579</v>
      </c>
      <c r="BA296" s="2" t="str">
        <f>HYPERLINK("http://exon.niaid.nih.gov/transcriptome/Anopheles_sialome/links/KOG/anodar_D7L2-KOG.txt","Targeting complex (TRAPP) subunit")</f>
        <v>Targeting complex (TRAPP) subunit</v>
      </c>
      <c r="BB296" t="str">
        <f>HYPERLINK("http://www.ncbi.nlm.nih.gov/Structure/cdd/cddsrv.cgi?uid=KOG1953","0.19")</f>
        <v>0.19</v>
      </c>
      <c r="BC296" t="s">
        <v>2487</v>
      </c>
      <c r="BD296" t="str">
        <f>HYPERLINK("http://exon.niaid.nih.gov/transcriptome/Anopheles_sialome/links/KOG/anodar_D7L2-KOG.txt","KOG1953")</f>
        <v>KOG1953</v>
      </c>
      <c r="BE296" t="str">
        <f>HYPERLINK("http://exon.niaid.nih.gov/transcriptome/Anopheles_sialome/links/PFAM/anodar_D7L2-PFAM.txt","PBP_GOBP")</f>
        <v>PBP_GOBP</v>
      </c>
      <c r="BF296" t="str">
        <f>HYPERLINK("http://pfam.sanger.ac.uk/family?acc=PF01395","7E-004")</f>
        <v>7E-004</v>
      </c>
      <c r="BG296" s="2" t="str">
        <f>HYPERLINK("http://exon.niaid.nih.gov/transcriptome/Anopheles_sialome/links/SMART/anodar_D7L2-SMART.txt","PhBP")</f>
        <v>PhBP</v>
      </c>
      <c r="BH296" t="str">
        <f>HYPERLINK("http://smart.embl-heidelberg.de/smart/do_annotation.pl?DOMAIN=PhBP&amp;BLAST=DUMMY","8E-004")</f>
        <v>8E-004</v>
      </c>
      <c r="BI296" t="s">
        <v>128</v>
      </c>
      <c r="BJ296" s="2" t="s">
        <v>128</v>
      </c>
      <c r="BK296" t="s">
        <v>1180</v>
      </c>
      <c r="BL296">
        <f>HYPERLINK("http://exon.niaid.nih.gov/transcriptome/Anopheles_sialome/links/cluster-b/anopheline-sialome-cds-pep-larger-orf25-50SimCLU6.txt", 6)</f>
        <v>6</v>
      </c>
      <c r="BM296">
        <f>HYPERLINK("http://exon.niaid.nih.gov/transcriptome/Anopheles_sialome/links/cluster-b/anopheline-sialome-cds-pep-larger-orf25-50SimCLTL6.txt", 44)</f>
        <v>44</v>
      </c>
      <c r="BN296">
        <f>HYPERLINK("http://exon.niaid.nih.gov/transcriptome/Anopheles_sialome/links/cluster-b/anopheline-sialome-cds-pep-larger-orf30-50SimCLU5.txt", 5)</f>
        <v>5</v>
      </c>
      <c r="BO296">
        <f>HYPERLINK("http://exon.niaid.nih.gov/transcriptome/Anopheles_sialome/links/cluster-b/anopheline-sialome-cds-pep-larger-orf30-50SimCLTL5.txt", 44)</f>
        <v>44</v>
      </c>
      <c r="BP296">
        <f>HYPERLINK("http://exon.niaid.nih.gov/transcriptome/Anopheles_sialome/links/cluster-b/anopheline-sialome-cds-pep-larger-orf35-50SimCLU6.txt", 6)</f>
        <v>6</v>
      </c>
      <c r="BQ296">
        <f>HYPERLINK("http://exon.niaid.nih.gov/transcriptome/Anopheles_sialome/links/cluster-b/anopheline-sialome-cds-pep-larger-orf35-50SimCLTL6.txt", 44)</f>
        <v>44</v>
      </c>
      <c r="BR296">
        <f>HYPERLINK("http://exon.niaid.nih.gov/transcriptome/Anopheles_sialome/links/cluster-b/anopheline-sialome-cds-pep-larger-orf40-50SimCLU4.txt", 4)</f>
        <v>4</v>
      </c>
      <c r="BS296">
        <f>HYPERLINK("http://exon.niaid.nih.gov/transcriptome/Anopheles_sialome/links/cluster-b/anopheline-sialome-cds-pep-larger-orf40-50SimCLTL4.txt", 44)</f>
        <v>44</v>
      </c>
      <c r="BT296">
        <f>HYPERLINK("http://exon.niaid.nih.gov/transcriptome/Anopheles_sialome/links/cluster-b/anopheline-sialome-cds-pep-larger-orf45-50SimCLU10.txt", 10)</f>
        <v>10</v>
      </c>
      <c r="BU296">
        <f>HYPERLINK("http://exon.niaid.nih.gov/transcriptome/Anopheles_sialome/links/cluster-b/anopheline-sialome-cds-pep-larger-orf45-50SimCLTL10.txt", 26)</f>
        <v>26</v>
      </c>
      <c r="BV296">
        <f>HYPERLINK("http://exon.niaid.nih.gov/transcriptome/Anopheles_sialome/links/cluster-b/anopheline-sialome-cds-pep-larger-orf50-50SimCLU9.txt", 9)</f>
        <v>9</v>
      </c>
      <c r="BW296">
        <f>HYPERLINK("http://exon.niaid.nih.gov/transcriptome/Anopheles_sialome/links/cluster-b/anopheline-sialome-cds-pep-larger-orf50-50SimCLTL9.txt", 26)</f>
        <v>26</v>
      </c>
      <c r="BX296">
        <f>HYPERLINK("http://exon.niaid.nih.gov/transcriptome/Anopheles_sialome/links/cluster-b/anopheline-sialome-cds-pep-larger-orf55-50SimCLU10.txt", 10)</f>
        <v>10</v>
      </c>
      <c r="BY296">
        <f>HYPERLINK("http://exon.niaid.nih.gov/transcriptome/Anopheles_sialome/links/cluster-b/anopheline-sialome-cds-pep-larger-orf55-50SimCLTL10.txt", 26)</f>
        <v>26</v>
      </c>
      <c r="BZ296">
        <f>HYPERLINK("http://exon.niaid.nih.gov/transcriptome/Anopheles_sialome/links/cluster-b/anopheline-sialome-cds-pep-larger-orf60-50SimCLU8.txt", 8)</f>
        <v>8</v>
      </c>
      <c r="CA296">
        <f>HYPERLINK("http://exon.niaid.nih.gov/transcriptome/Anopheles_sialome/links/cluster-b/anopheline-sialome-cds-pep-larger-orf60-50SimCLTL8.txt", 26)</f>
        <v>26</v>
      </c>
      <c r="CB296">
        <f>HYPERLINK("http://exon.niaid.nih.gov/transcriptome/Anopheles_sialome/links/cluster-b/anopheline-sialome-cds-pep-larger-orf65-50SimCLU5.txt", 5)</f>
        <v>5</v>
      </c>
      <c r="CC296">
        <f>HYPERLINK("http://exon.niaid.nih.gov/transcriptome/Anopheles_sialome/links/cluster-b/anopheline-sialome-cds-pep-larger-orf65-50SimCLTL5.txt", 26)</f>
        <v>26</v>
      </c>
      <c r="CD296">
        <f>HYPERLINK("http://exon.niaid.nih.gov/transcriptome/Anopheles_sialome/links/cluster-b/anopheline-sialome-cds-pep-larger-orf70-50SimCLU4.txt", 4)</f>
        <v>4</v>
      </c>
      <c r="CE296">
        <f>HYPERLINK("http://exon.niaid.nih.gov/transcriptome/Anopheles_sialome/links/cluster-b/anopheline-sialome-cds-pep-larger-orf70-50SimCLTL4.txt", 26)</f>
        <v>26</v>
      </c>
      <c r="CF296">
        <f>HYPERLINK("http://exon.niaid.nih.gov/transcriptome/Anopheles_sialome/links/cluster-b/anopheline-sialome-cds-pep-larger-orf75-50SimCLU61.txt", 61)</f>
        <v>61</v>
      </c>
      <c r="CG296">
        <f>HYPERLINK("http://exon.niaid.nih.gov/transcriptome/Anopheles_sialome/links/cluster-b/anopheline-sialome-cds-pep-larger-orf75-50SimCLTL61.txt", 2)</f>
        <v>2</v>
      </c>
      <c r="CH296">
        <f>HYPERLINK("http://exon.niaid.nih.gov/transcriptome/Anopheles_sialome/links/cluster-b/anopheline-sialome-cds-pep-larger-orf80-50SimCLU72.txt", 72)</f>
        <v>72</v>
      </c>
      <c r="CI296">
        <f>HYPERLINK("http://exon.niaid.nih.gov/transcriptome/Anopheles_sialome/links/cluster-b/anopheline-sialome-cds-pep-larger-orf80-50SimCLTL72.txt", 2)</f>
        <v>2</v>
      </c>
      <c r="CJ296">
        <f>HYPERLINK("http://exon.niaid.nih.gov/transcriptome/Anopheles_sialome/links/cluster-b/anopheline-sialome-cds-pep-larger-orf85-50SimCLU76.txt", 76)</f>
        <v>76</v>
      </c>
      <c r="CK296">
        <f>HYPERLINK("http://exon.niaid.nih.gov/transcriptome/Anopheles_sialome/links/cluster-b/anopheline-sialome-cds-pep-larger-orf85-50SimCLTL76.txt", 2)</f>
        <v>2</v>
      </c>
      <c r="CL296">
        <f>HYPERLINK("http://exon.niaid.nih.gov/transcriptome/Anopheles_sialome/links/cluster-b/anopheline-sialome-cds-pep-larger-orf90-50SimCLU71.txt", 71)</f>
        <v>71</v>
      </c>
      <c r="CM296">
        <f>HYPERLINK("http://exon.niaid.nih.gov/transcriptome/Anopheles_sialome/links/cluster-b/anopheline-sialome-cds-pep-larger-orf90-50SimCLTL71.txt", 2)</f>
        <v>2</v>
      </c>
      <c r="CN296">
        <v>215</v>
      </c>
      <c r="CO296">
        <v>1</v>
      </c>
    </row>
    <row r="297" spans="1:93">
      <c r="A297" s="6" t="s">
        <v>3199</v>
      </c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</row>
    <row r="298" spans="1:93">
      <c r="A298" s="2" t="str">
        <f>HYPERLINK("http://exon.niaid.nih.gov/transcriptome/Anopheles_sialome/links/cds/anoga_D7L3-cds.txt","anoga_D7L3")</f>
        <v>anoga_D7L3</v>
      </c>
      <c r="B298">
        <v>876</v>
      </c>
      <c r="C298" t="s">
        <v>207</v>
      </c>
      <c r="D298" t="s">
        <v>4</v>
      </c>
      <c r="E298" t="s">
        <v>5</v>
      </c>
      <c r="F298" t="s">
        <v>1</v>
      </c>
      <c r="G298" t="str">
        <f>HYPERLINK("http://exon.niaid.nih.gov/transcriptome/Anopheles_sialome/links/pep/anoga_D7L3-pep.txt","anoga_D7L3")</f>
        <v>anoga_D7L3</v>
      </c>
      <c r="H298">
        <v>291</v>
      </c>
      <c r="I298">
        <v>1</v>
      </c>
      <c r="J298" s="3" t="str">
        <f>HYPERLINK("http://exon.niaid.nih.gov/transcriptome/Anopheles_sialome/links/Sigp/anoga_D7L3-SigP.txt","SIG")</f>
        <v>SIG</v>
      </c>
      <c r="K298" t="s">
        <v>1182</v>
      </c>
      <c r="L298">
        <v>33.68</v>
      </c>
      <c r="M298">
        <v>5.22</v>
      </c>
      <c r="N298">
        <v>30.824999999999999</v>
      </c>
      <c r="O298">
        <v>5.0199999999999996</v>
      </c>
      <c r="P298" t="s">
        <v>1183</v>
      </c>
      <c r="Q298" s="3">
        <v>0</v>
      </c>
      <c r="R298" t="s">
        <v>128</v>
      </c>
      <c r="S298" t="s">
        <v>128</v>
      </c>
      <c r="T298" t="s">
        <v>128</v>
      </c>
      <c r="U298" t="s">
        <v>128</v>
      </c>
      <c r="V298" t="s">
        <v>128</v>
      </c>
      <c r="W298" s="3" t="str">
        <f>HYPERLINK("http://exon.niaid.nih.gov/transcriptome/Anopheles_sialome/links/netoglyc/anoga_D7L3-netoglyc.txt","0")</f>
        <v>0</v>
      </c>
      <c r="X298">
        <v>12.4</v>
      </c>
      <c r="Y298">
        <v>2.7</v>
      </c>
      <c r="Z298">
        <v>3.1</v>
      </c>
      <c r="AA298" t="s">
        <v>654</v>
      </c>
      <c r="AB298" t="s">
        <v>128</v>
      </c>
      <c r="AC298" s="2" t="str">
        <f>HYPERLINK("http://exon.niaid.nih.gov/transcriptome/Anopheles_sialome/links/DIPTERA/anoga_D7L3-DIPTERA.txt","AGAP008279-PA, partial")</f>
        <v>AGAP008279-PA, partial</v>
      </c>
      <c r="AD298" t="str">
        <f>HYPERLINK("http://www.ncbi.nlm.nih.gov/sutils/blink.cgi?pid=157014908","4E-049")</f>
        <v>4E-049</v>
      </c>
      <c r="AE298" t="str">
        <f>HYPERLINK("http://www.ncbi.nlm.nih.gov/protein/157014908","gi|157014908")</f>
        <v>gi|157014908</v>
      </c>
      <c r="AF298">
        <v>100</v>
      </c>
      <c r="AG298">
        <v>100</v>
      </c>
      <c r="AH298">
        <v>30</v>
      </c>
      <c r="AI298" t="s">
        <v>2285</v>
      </c>
      <c r="AJ298" s="2" t="str">
        <f>HYPERLINK("http://exon.niaid.nih.gov/transcriptome/Anopheles_sialome/links/CULICOMORPHA/anoga_D7L3-CULICOMORPHA.txt","AGAP008279-PA, partial")</f>
        <v>AGAP008279-PA, partial</v>
      </c>
      <c r="AK298" t="str">
        <f>HYPERLINK("http://www.ncbi.nlm.nih.gov/sutils/blink.cgi?pid=157014908","7E-050")</f>
        <v>7E-050</v>
      </c>
      <c r="AL298" t="str">
        <f>HYPERLINK("http://www.ncbi.nlm.nih.gov/protein/157014908","gi|157014908")</f>
        <v>gi|157014908</v>
      </c>
      <c r="AM298">
        <v>100</v>
      </c>
      <c r="AN298">
        <v>100</v>
      </c>
      <c r="AO298">
        <v>30</v>
      </c>
      <c r="AP298" t="s">
        <v>2285</v>
      </c>
      <c r="AQ298" s="2" t="str">
        <f>HYPERLINK("http://exon.niaid.nih.gov/transcriptome/Anopheles_sialome/links/NR-LIGHT/anoga_D7L3-NR-LIGHT.txt","AGAP008279-PA")</f>
        <v>AGAP008279-PA</v>
      </c>
      <c r="AR298" t="str">
        <f>HYPERLINK("http://www.ncbi.nlm.nih.gov/sutils/blink.cgi?pid=158296846","1E-048")</f>
        <v>1E-048</v>
      </c>
      <c r="AS298" t="str">
        <f>HYPERLINK("http://www.ncbi.nlm.nih.gov/protein/158296846","gi|158296846")</f>
        <v>gi|158296846</v>
      </c>
      <c r="AT298">
        <v>100</v>
      </c>
      <c r="AU298">
        <v>100</v>
      </c>
      <c r="AV298">
        <v>30</v>
      </c>
      <c r="AW298" t="s">
        <v>2285</v>
      </c>
      <c r="AX298" s="2" t="str">
        <f>HYPERLINK("http://exon.niaid.nih.gov/transcriptome/Anopheles_sialome/links/CDD/anoga_D7L3-CDD.txt","cbiO")</f>
        <v>cbiO</v>
      </c>
      <c r="AY298" t="str">
        <f>HYPERLINK("http://www.ncbi.nlm.nih.gov/Structure/cdd/cddsrv.cgi?uid=PRK13637&amp;version=v4.0","0.25")</f>
        <v>0.25</v>
      </c>
      <c r="AZ298" t="s">
        <v>2580</v>
      </c>
      <c r="BA298" s="2" t="str">
        <f>HYPERLINK("http://exon.niaid.nih.gov/transcriptome/Anopheles_sialome/links/KOG/anoga_D7L3-KOG.txt","Leucine-rich repeat protein")</f>
        <v>Leucine-rich repeat protein</v>
      </c>
      <c r="BB298" t="str">
        <f>HYPERLINK("http://www.ncbi.nlm.nih.gov/Structure/cdd/cddsrv.cgi?uid=KOG0473","0.40")</f>
        <v>0.40</v>
      </c>
      <c r="BC298" t="s">
        <v>2304</v>
      </c>
      <c r="BD298" t="str">
        <f>HYPERLINK("http://exon.niaid.nih.gov/transcriptome/Anopheles_sialome/links/KOG/anoga_D7L3-KOG.txt","KOG0473")</f>
        <v>KOG0473</v>
      </c>
      <c r="BE298" t="str">
        <f>HYPERLINK("http://exon.niaid.nih.gov/transcriptome/Anopheles_sialome/links/PFAM/anoga_D7L3-PFAM.txt","DUF4015")</f>
        <v>DUF4015</v>
      </c>
      <c r="BF298" t="str">
        <f>HYPERLINK("http://pfam.sanger.ac.uk/family?acc=PF13200","1.6")</f>
        <v>1.6</v>
      </c>
      <c r="BG298" s="2" t="str">
        <f>HYPERLINK("http://exon.niaid.nih.gov/transcriptome/Anopheles_sialome/links/SMART/anoga_D7L3-SMART.txt","RasGEF")</f>
        <v>RasGEF</v>
      </c>
      <c r="BH298" t="str">
        <f>HYPERLINK("http://smart.embl-heidelberg.de/smart/do_annotation.pl?DOMAIN=RasGEF&amp;BLAST=DUMMY","0.28")</f>
        <v>0.28</v>
      </c>
      <c r="BI298" t="s">
        <v>128</v>
      </c>
      <c r="BJ298" s="2" t="s">
        <v>128</v>
      </c>
      <c r="BK298" t="s">
        <v>1181</v>
      </c>
      <c r="BL298">
        <f>HYPERLINK("http://exon.niaid.nih.gov/transcriptome/Anopheles_sialome/links/cluster-b/anopheline-sialome-cds-pep-larger-orf25-50SimCLU6.txt", 6)</f>
        <v>6</v>
      </c>
      <c r="BM298">
        <f>HYPERLINK("http://exon.niaid.nih.gov/transcriptome/Anopheles_sialome/links/cluster-b/anopheline-sialome-cds-pep-larger-orf25-50SimCLTL6.txt", 44)</f>
        <v>44</v>
      </c>
      <c r="BN298">
        <f>HYPERLINK("http://exon.niaid.nih.gov/transcriptome/Anopheles_sialome/links/cluster-b/anopheline-sialome-cds-pep-larger-orf30-50SimCLU5.txt", 5)</f>
        <v>5</v>
      </c>
      <c r="BO298">
        <f>HYPERLINK("http://exon.niaid.nih.gov/transcriptome/Anopheles_sialome/links/cluster-b/anopheline-sialome-cds-pep-larger-orf30-50SimCLTL5.txt", 44)</f>
        <v>44</v>
      </c>
      <c r="BP298">
        <f>HYPERLINK("http://exon.niaid.nih.gov/transcriptome/Anopheles_sialome/links/cluster-b/anopheline-sialome-cds-pep-larger-orf35-50SimCLU6.txt", 6)</f>
        <v>6</v>
      </c>
      <c r="BQ298">
        <f>HYPERLINK("http://exon.niaid.nih.gov/transcriptome/Anopheles_sialome/links/cluster-b/anopheline-sialome-cds-pep-larger-orf35-50SimCLTL6.txt", 44)</f>
        <v>44</v>
      </c>
      <c r="BR298">
        <f>HYPERLINK("http://exon.niaid.nih.gov/transcriptome/Anopheles_sialome/links/cluster-b/anopheline-sialome-cds-pep-larger-orf40-50SimCLU4.txt", 4)</f>
        <v>4</v>
      </c>
      <c r="BS298">
        <f>HYPERLINK("http://exon.niaid.nih.gov/transcriptome/Anopheles_sialome/links/cluster-b/anopheline-sialome-cds-pep-larger-orf40-50SimCLTL4.txt", 44)</f>
        <v>44</v>
      </c>
      <c r="BT298">
        <f>HYPERLINK("http://exon.niaid.nih.gov/transcriptome/Anopheles_sialome/links/cluster-b/anopheline-sialome-cds-pep-larger-orf45-50SimCLU19.txt", 19)</f>
        <v>19</v>
      </c>
      <c r="BU298">
        <f>HYPERLINK("http://exon.niaid.nih.gov/transcriptome/Anopheles_sialome/links/cluster-b/anopheline-sialome-cds-pep-larger-orf45-50SimCLTL19.txt", 18)</f>
        <v>18</v>
      </c>
      <c r="BV298">
        <f>HYPERLINK("http://exon.niaid.nih.gov/transcriptome/Anopheles_sialome/links/cluster-b/anopheline-sialome-cds-pep-larger-orf50-50SimCLU18.txt", 18)</f>
        <v>18</v>
      </c>
      <c r="BW298">
        <f>HYPERLINK("http://exon.niaid.nih.gov/transcriptome/Anopheles_sialome/links/cluster-b/anopheline-sialome-cds-pep-larger-orf50-50SimCLTL18.txt", 18)</f>
        <v>18</v>
      </c>
      <c r="BX298">
        <f>HYPERLINK("http://exon.niaid.nih.gov/transcriptome/Anopheles_sialome/links/cluster-b/anopheline-sialome-cds-pep-larger-orf55-50SimCLU19.txt", 19)</f>
        <v>19</v>
      </c>
      <c r="BY298">
        <f>HYPERLINK("http://exon.niaid.nih.gov/transcriptome/Anopheles_sialome/links/cluster-b/anopheline-sialome-cds-pep-larger-orf55-50SimCLTL19.txt", 18)</f>
        <v>18</v>
      </c>
      <c r="BZ298">
        <f>HYPERLINK("http://exon.niaid.nih.gov/transcriptome/Anopheles_sialome/links/cluster-b/anopheline-sialome-cds-pep-larger-orf60-50SimCLU18.txt", 18)</f>
        <v>18</v>
      </c>
      <c r="CA298">
        <f>HYPERLINK("http://exon.niaid.nih.gov/transcriptome/Anopheles_sialome/links/cluster-b/anopheline-sialome-cds-pep-larger-orf60-50SimCLTL18.txt", 18)</f>
        <v>18</v>
      </c>
      <c r="CB298">
        <f>HYPERLINK("http://exon.niaid.nih.gov/transcriptome/Anopheles_sialome/links/cluster-b/anopheline-sialome-cds-pep-larger-orf65-50SimCLU23.txt", 23)</f>
        <v>23</v>
      </c>
      <c r="CC298">
        <f>HYPERLINK("http://exon.niaid.nih.gov/transcriptome/Anopheles_sialome/links/cluster-b/anopheline-sialome-cds-pep-larger-orf65-50SimCLTL23.txt", 16)</f>
        <v>16</v>
      </c>
      <c r="CD298">
        <f>HYPERLINK("http://exon.niaid.nih.gov/transcriptome/Anopheles_sialome/links/cluster-b/anopheline-sialome-cds-pep-larger-orf70-50SimCLU29.txt", 29)</f>
        <v>29</v>
      </c>
      <c r="CE298">
        <f>HYPERLINK("http://exon.niaid.nih.gov/transcriptome/Anopheles_sialome/links/cluster-b/anopheline-sialome-cds-pep-larger-orf70-50SimCLTL29.txt", 14)</f>
        <v>14</v>
      </c>
      <c r="CF298">
        <f>HYPERLINK("http://exon.niaid.nih.gov/transcriptome/Anopheles_sialome/links/cluster-b/anopheline-sialome-cds-pep-larger-orf75-50SimCLU22.txt", 22)</f>
        <v>22</v>
      </c>
      <c r="CG298">
        <f>HYPERLINK("http://exon.niaid.nih.gov/transcriptome/Anopheles_sialome/links/cluster-b/anopheline-sialome-cds-pep-larger-orf75-50SimCLTL22.txt", 14)</f>
        <v>14</v>
      </c>
      <c r="CH298">
        <f>HYPERLINK("http://exon.niaid.nih.gov/transcriptome/Anopheles_sialome/links/cluster-b/anopheline-sialome-cds-pep-larger-orf80-50SimCLU26.txt", 26)</f>
        <v>26</v>
      </c>
      <c r="CI298">
        <f>HYPERLINK("http://exon.niaid.nih.gov/transcriptome/Anopheles_sialome/links/cluster-b/anopheline-sialome-cds-pep-larger-orf80-50SimCLTL26.txt", 8)</f>
        <v>8</v>
      </c>
      <c r="CJ298">
        <f>HYPERLINK("http://exon.niaid.nih.gov/transcriptome/Anopheles_sialome/links/cluster-b/anopheline-sialome-cds-pep-larger-orf85-50SimCLU29.txt", 29)</f>
        <v>29</v>
      </c>
      <c r="CK298">
        <f>HYPERLINK("http://exon.niaid.nih.gov/transcriptome/Anopheles_sialome/links/cluster-b/anopheline-sialome-cds-pep-larger-orf85-50SimCLTL29.txt", 6)</f>
        <v>6</v>
      </c>
      <c r="CL298">
        <f>HYPERLINK("http://exon.niaid.nih.gov/transcriptome/Anopheles_sialome/links/cluster-b/anopheline-sialome-cds-pep-larger-orf90-50SimCLU42.txt", 42)</f>
        <v>42</v>
      </c>
      <c r="CM298">
        <f>HYPERLINK("http://exon.niaid.nih.gov/transcriptome/Anopheles_sialome/links/cluster-b/anopheline-sialome-cds-pep-larger-orf90-50SimCLTL42.txt", 5)</f>
        <v>5</v>
      </c>
      <c r="CN298">
        <f>HYPERLINK("http://exon.niaid.nih.gov/transcriptome/Anopheles_sialome/links/cluster-b/anopheline-sialome-cds-pep-larger-orf95-50SimCLU34.txt", 34)</f>
        <v>34</v>
      </c>
      <c r="CO298">
        <f>HYPERLINK("http://exon.niaid.nih.gov/transcriptome/Anopheles_sialome/links/cluster-b/anopheline-sialome-cds-pep-larger-orf95-50SimCLTL34.txt", 5)</f>
        <v>5</v>
      </c>
    </row>
    <row r="299" spans="1:93">
      <c r="A299" s="2" t="str">
        <f>HYPERLINK("http://exon.niaid.nih.gov/transcriptome/Anopheles_sialome/links/cds/anocol_D7L3-cds.txt","anocol_D7L3")</f>
        <v>anocol_D7L3</v>
      </c>
      <c r="B299">
        <v>875</v>
      </c>
      <c r="C299" t="s">
        <v>208</v>
      </c>
      <c r="D299" t="s">
        <v>4</v>
      </c>
      <c r="E299" t="s">
        <v>5</v>
      </c>
      <c r="F299" t="s">
        <v>1</v>
      </c>
      <c r="G299" t="str">
        <f>HYPERLINK("http://exon.niaid.nih.gov/transcriptome/Anopheles_sialome/links/pep/anocol_D7L3-pep.txt","anocol_D7L3")</f>
        <v>anocol_D7L3</v>
      </c>
      <c r="H299">
        <v>265</v>
      </c>
      <c r="I299">
        <v>1</v>
      </c>
      <c r="J299" s="3" t="str">
        <f>HYPERLINK("http://exon.niaid.nih.gov/transcriptome/Anopheles_sialome/links/Sigp/anocol_D7L3-SigP.txt","SIG")</f>
        <v>SIG</v>
      </c>
      <c r="K299" t="s">
        <v>1182</v>
      </c>
      <c r="L299">
        <v>30.436</v>
      </c>
      <c r="M299">
        <v>5.68</v>
      </c>
      <c r="N299">
        <v>27.581</v>
      </c>
      <c r="O299">
        <v>5.38</v>
      </c>
      <c r="P299" t="s">
        <v>1185</v>
      </c>
      <c r="Q299" s="3">
        <v>0</v>
      </c>
      <c r="R299" t="s">
        <v>128</v>
      </c>
      <c r="S299" t="s">
        <v>128</v>
      </c>
      <c r="T299" t="s">
        <v>128</v>
      </c>
      <c r="U299" t="s">
        <v>128</v>
      </c>
      <c r="V299" t="s">
        <v>128</v>
      </c>
      <c r="W299" s="3" t="str">
        <f>HYPERLINK("http://exon.niaid.nih.gov/transcriptome/Anopheles_sialome/links/netoglyc/anocol_D7L3-netoglyc.txt","0")</f>
        <v>0</v>
      </c>
      <c r="X299">
        <v>14.3</v>
      </c>
      <c r="Y299">
        <v>3</v>
      </c>
      <c r="Z299">
        <v>2.2999999999999998</v>
      </c>
      <c r="AA299" t="s">
        <v>654</v>
      </c>
      <c r="AB299" t="s">
        <v>128</v>
      </c>
      <c r="AC299" s="2" t="str">
        <f>HYPERLINK("http://exon.niaid.nih.gov/transcriptome/Anopheles_sialome/links/DIPTERA/anocol_D7L3-DIPTERA.txt","hypothetical protein AND_010075")</f>
        <v>hypothetical protein AND_010075</v>
      </c>
      <c r="AD299" t="str">
        <f>HYPERLINK("http://www.ncbi.nlm.nih.gov/sutils/blink.cgi?pid=568248508","3E-036")</f>
        <v>3E-036</v>
      </c>
      <c r="AE299" t="str">
        <f t="shared" ref="AE299" si="132">HYPERLINK("http://www.ncbi.nlm.nih.gov/protein/568248508","gi|568248508")</f>
        <v>gi|568248508</v>
      </c>
      <c r="AF299">
        <v>33</v>
      </c>
      <c r="AG299">
        <v>47</v>
      </c>
      <c r="AH299">
        <v>84</v>
      </c>
      <c r="AI299" t="s">
        <v>2283</v>
      </c>
      <c r="AJ299" s="2" t="str">
        <f>HYPERLINK("http://exon.niaid.nih.gov/transcriptome/Anopheles_sialome/links/CULICOMORPHA/anocol_D7L3-CULICOMORPHA.txt","hypothetical protein AND_010075")</f>
        <v>hypothetical protein AND_010075</v>
      </c>
      <c r="AK299" t="str">
        <f>HYPERLINK("http://www.ncbi.nlm.nih.gov/sutils/blink.cgi?pid=568248508","6E-037")</f>
        <v>6E-037</v>
      </c>
      <c r="AL299" t="str">
        <f t="shared" ref="AL299" si="133">HYPERLINK("http://www.ncbi.nlm.nih.gov/protein/568248508","gi|568248508")</f>
        <v>gi|568248508</v>
      </c>
      <c r="AM299">
        <v>33</v>
      </c>
      <c r="AN299">
        <v>47</v>
      </c>
      <c r="AO299">
        <v>84</v>
      </c>
      <c r="AP299" t="s">
        <v>2283</v>
      </c>
      <c r="AQ299" s="2" t="str">
        <f>HYPERLINK("http://exon.niaid.nih.gov/transcriptome/Anopheles_sialome/links/NR-LIGHT/anocol_D7L3-NR-LIGHT.txt","hypothetical protein AND_010075")</f>
        <v>hypothetical protein AND_010075</v>
      </c>
      <c r="AR299" t="str">
        <f>HYPERLINK("http://www.ncbi.nlm.nih.gov/sutils/blink.cgi?pid=568248508","9E-036")</f>
        <v>9E-036</v>
      </c>
      <c r="AS299" t="str">
        <f t="shared" ref="AS299" si="134">HYPERLINK("http://www.ncbi.nlm.nih.gov/protein/568248508","gi|568248508")</f>
        <v>gi|568248508</v>
      </c>
      <c r="AT299">
        <v>33</v>
      </c>
      <c r="AU299">
        <v>47</v>
      </c>
      <c r="AV299">
        <v>84</v>
      </c>
      <c r="AW299" t="s">
        <v>2283</v>
      </c>
      <c r="AX299" s="2" t="str">
        <f>HYPERLINK("http://exon.niaid.nih.gov/transcriptome/Anopheles_sialome/links/CDD/anocol_D7L3-CDD.txt","cbiO")</f>
        <v>cbiO</v>
      </c>
      <c r="AY299" t="str">
        <f>HYPERLINK("http://www.ncbi.nlm.nih.gov/Structure/cdd/cddsrv.cgi?uid=PRK13637&amp;version=v4.0","1.7")</f>
        <v>1.7</v>
      </c>
      <c r="AZ299" t="s">
        <v>2581</v>
      </c>
      <c r="BA299" s="2" t="str">
        <f>HYPERLINK("http://exon.niaid.nih.gov/transcriptome/Anopheles_sialome/links/KOG/anocol_D7L3-KOG.txt","Rho/Rac GTPase guanine nucleotide exchange factor smgGDS/Vimar")</f>
        <v>Rho/Rac GTPase guanine nucleotide exchange factor smgGDS/Vimar</v>
      </c>
      <c r="BB299" t="str">
        <f>HYPERLINK("http://www.ncbi.nlm.nih.gov/Structure/cdd/cddsrv.cgi?uid=KOG4500","2.6")</f>
        <v>2.6</v>
      </c>
      <c r="BC299" t="s">
        <v>2292</v>
      </c>
      <c r="BD299" t="str">
        <f>HYPERLINK("http://exon.niaid.nih.gov/transcriptome/Anopheles_sialome/links/KOG/anocol_D7L3-KOG.txt","KOG4500")</f>
        <v>KOG4500</v>
      </c>
      <c r="BE299" t="str">
        <f>HYPERLINK("http://exon.niaid.nih.gov/transcriptome/Anopheles_sialome/links/PFAM/anocol_D7L3-PFAM.txt","GldM_N")</f>
        <v>GldM_N</v>
      </c>
      <c r="BF299" t="str">
        <f>HYPERLINK("http://pfam.sanger.ac.uk/family?acc=PF12081","1.5")</f>
        <v>1.5</v>
      </c>
      <c r="BG299" s="2" t="str">
        <f>HYPERLINK("http://exon.niaid.nih.gov/transcriptome/Anopheles_sialome/links/SMART/anocol_D7L3-SMART.txt","PI3Ka")</f>
        <v>PI3Ka</v>
      </c>
      <c r="BH299" t="str">
        <f>HYPERLINK("http://smart.embl-heidelberg.de/smart/do_annotation.pl?DOMAIN=PI3Ka&amp;BLAST=DUMMY","1.1")</f>
        <v>1.1</v>
      </c>
      <c r="BI299" t="s">
        <v>128</v>
      </c>
      <c r="BJ299" s="2" t="s">
        <v>128</v>
      </c>
      <c r="BK299" t="s">
        <v>1184</v>
      </c>
      <c r="BL299">
        <f>HYPERLINK("http://exon.niaid.nih.gov/transcriptome/Anopheles_sialome/links/cluster-b/anopheline-sialome-cds-pep-larger-orf25-50SimCLU6.txt", 6)</f>
        <v>6</v>
      </c>
      <c r="BM299">
        <f>HYPERLINK("http://exon.niaid.nih.gov/transcriptome/Anopheles_sialome/links/cluster-b/anopheline-sialome-cds-pep-larger-orf25-50SimCLTL6.txt", 44)</f>
        <v>44</v>
      </c>
      <c r="BN299">
        <f>HYPERLINK("http://exon.niaid.nih.gov/transcriptome/Anopheles_sialome/links/cluster-b/anopheline-sialome-cds-pep-larger-orf30-50SimCLU5.txt", 5)</f>
        <v>5</v>
      </c>
      <c r="BO299">
        <f>HYPERLINK("http://exon.niaid.nih.gov/transcriptome/Anopheles_sialome/links/cluster-b/anopheline-sialome-cds-pep-larger-orf30-50SimCLTL5.txt", 44)</f>
        <v>44</v>
      </c>
      <c r="BP299">
        <f>HYPERLINK("http://exon.niaid.nih.gov/transcriptome/Anopheles_sialome/links/cluster-b/anopheline-sialome-cds-pep-larger-orf35-50SimCLU6.txt", 6)</f>
        <v>6</v>
      </c>
      <c r="BQ299">
        <f>HYPERLINK("http://exon.niaid.nih.gov/transcriptome/Anopheles_sialome/links/cluster-b/anopheline-sialome-cds-pep-larger-orf35-50SimCLTL6.txt", 44)</f>
        <v>44</v>
      </c>
      <c r="BR299">
        <f>HYPERLINK("http://exon.niaid.nih.gov/transcriptome/Anopheles_sialome/links/cluster-b/anopheline-sialome-cds-pep-larger-orf40-50SimCLU4.txt", 4)</f>
        <v>4</v>
      </c>
      <c r="BS299">
        <f>HYPERLINK("http://exon.niaid.nih.gov/transcriptome/Anopheles_sialome/links/cluster-b/anopheline-sialome-cds-pep-larger-orf40-50SimCLTL4.txt", 44)</f>
        <v>44</v>
      </c>
      <c r="BT299">
        <f>HYPERLINK("http://exon.niaid.nih.gov/transcriptome/Anopheles_sialome/links/cluster-b/anopheline-sialome-cds-pep-larger-orf45-50SimCLU19.txt", 19)</f>
        <v>19</v>
      </c>
      <c r="BU299">
        <f>HYPERLINK("http://exon.niaid.nih.gov/transcriptome/Anopheles_sialome/links/cluster-b/anopheline-sialome-cds-pep-larger-orf45-50SimCLTL19.txt", 18)</f>
        <v>18</v>
      </c>
      <c r="BV299">
        <f>HYPERLINK("http://exon.niaid.nih.gov/transcriptome/Anopheles_sialome/links/cluster-b/anopheline-sialome-cds-pep-larger-orf50-50SimCLU18.txt", 18)</f>
        <v>18</v>
      </c>
      <c r="BW299">
        <f>HYPERLINK("http://exon.niaid.nih.gov/transcriptome/Anopheles_sialome/links/cluster-b/anopheline-sialome-cds-pep-larger-orf50-50SimCLTL18.txt", 18)</f>
        <v>18</v>
      </c>
      <c r="BX299">
        <f>HYPERLINK("http://exon.niaid.nih.gov/transcriptome/Anopheles_sialome/links/cluster-b/anopheline-sialome-cds-pep-larger-orf55-50SimCLU19.txt", 19)</f>
        <v>19</v>
      </c>
      <c r="BY299">
        <f>HYPERLINK("http://exon.niaid.nih.gov/transcriptome/Anopheles_sialome/links/cluster-b/anopheline-sialome-cds-pep-larger-orf55-50SimCLTL19.txt", 18)</f>
        <v>18</v>
      </c>
      <c r="BZ299">
        <f>HYPERLINK("http://exon.niaid.nih.gov/transcriptome/Anopheles_sialome/links/cluster-b/anopheline-sialome-cds-pep-larger-orf60-50SimCLU18.txt", 18)</f>
        <v>18</v>
      </c>
      <c r="CA299">
        <f>HYPERLINK("http://exon.niaid.nih.gov/transcriptome/Anopheles_sialome/links/cluster-b/anopheline-sialome-cds-pep-larger-orf60-50SimCLTL18.txt", 18)</f>
        <v>18</v>
      </c>
      <c r="CB299">
        <f>HYPERLINK("http://exon.niaid.nih.gov/transcriptome/Anopheles_sialome/links/cluster-b/anopheline-sialome-cds-pep-larger-orf65-50SimCLU23.txt", 23)</f>
        <v>23</v>
      </c>
      <c r="CC299">
        <f>HYPERLINK("http://exon.niaid.nih.gov/transcriptome/Anopheles_sialome/links/cluster-b/anopheline-sialome-cds-pep-larger-orf65-50SimCLTL23.txt", 16)</f>
        <v>16</v>
      </c>
      <c r="CD299">
        <f>HYPERLINK("http://exon.niaid.nih.gov/transcriptome/Anopheles_sialome/links/cluster-b/anopheline-sialome-cds-pep-larger-orf70-50SimCLU29.txt", 29)</f>
        <v>29</v>
      </c>
      <c r="CE299">
        <f>HYPERLINK("http://exon.niaid.nih.gov/transcriptome/Anopheles_sialome/links/cluster-b/anopheline-sialome-cds-pep-larger-orf70-50SimCLTL29.txt", 14)</f>
        <v>14</v>
      </c>
      <c r="CF299">
        <f>HYPERLINK("http://exon.niaid.nih.gov/transcriptome/Anopheles_sialome/links/cluster-b/anopheline-sialome-cds-pep-larger-orf75-50SimCLU22.txt", 22)</f>
        <v>22</v>
      </c>
      <c r="CG299">
        <f>HYPERLINK("http://exon.niaid.nih.gov/transcriptome/Anopheles_sialome/links/cluster-b/anopheline-sialome-cds-pep-larger-orf75-50SimCLTL22.txt", 14)</f>
        <v>14</v>
      </c>
      <c r="CH299">
        <f>HYPERLINK("http://exon.niaid.nih.gov/transcriptome/Anopheles_sialome/links/cluster-b/anopheline-sialome-cds-pep-larger-orf80-50SimCLU26.txt", 26)</f>
        <v>26</v>
      </c>
      <c r="CI299">
        <f>HYPERLINK("http://exon.niaid.nih.gov/transcriptome/Anopheles_sialome/links/cluster-b/anopheline-sialome-cds-pep-larger-orf80-50SimCLTL26.txt", 8)</f>
        <v>8</v>
      </c>
      <c r="CJ299">
        <f>HYPERLINK("http://exon.niaid.nih.gov/transcriptome/Anopheles_sialome/links/cluster-b/anopheline-sialome-cds-pep-larger-orf85-50SimCLU29.txt", 29)</f>
        <v>29</v>
      </c>
      <c r="CK299">
        <f>HYPERLINK("http://exon.niaid.nih.gov/transcriptome/Anopheles_sialome/links/cluster-b/anopheline-sialome-cds-pep-larger-orf85-50SimCLTL29.txt", 6)</f>
        <v>6</v>
      </c>
      <c r="CL299">
        <v>195</v>
      </c>
      <c r="CM299">
        <v>1</v>
      </c>
      <c r="CN299">
        <v>216</v>
      </c>
      <c r="CO299">
        <v>1</v>
      </c>
    </row>
    <row r="300" spans="1:93">
      <c r="A300" s="2" t="str">
        <f>HYPERLINK("http://exon.niaid.nih.gov/transcriptome/Anopheles_sialome/links/cds/anoara_D7L3-cds.txt","anoara_D7L3")</f>
        <v>anoara_D7L3</v>
      </c>
      <c r="B300">
        <v>876</v>
      </c>
      <c r="C300" t="s">
        <v>209</v>
      </c>
      <c r="D300" t="s">
        <v>7</v>
      </c>
      <c r="E300" t="s">
        <v>5</v>
      </c>
      <c r="F300" t="s">
        <v>1</v>
      </c>
      <c r="G300" t="str">
        <f>HYPERLINK("http://exon.niaid.nih.gov/transcriptome/Anopheles_sialome/links/pep/anoara_D7L3-pep.txt","anoara_D7L3")</f>
        <v>anoara_D7L3</v>
      </c>
      <c r="H300">
        <v>291</v>
      </c>
      <c r="I300">
        <v>1</v>
      </c>
      <c r="J300" s="3" t="str">
        <f>HYPERLINK("http://exon.niaid.nih.gov/transcriptome/Anopheles_sialome/links/Sigp/anoara_D7L3-SigP.txt","SIG")</f>
        <v>SIG</v>
      </c>
      <c r="K300" t="s">
        <v>1182</v>
      </c>
      <c r="L300">
        <v>33.642000000000003</v>
      </c>
      <c r="M300">
        <v>5.46</v>
      </c>
      <c r="N300">
        <v>30.794</v>
      </c>
      <c r="O300">
        <v>5.22</v>
      </c>
      <c r="P300" t="s">
        <v>1187</v>
      </c>
      <c r="Q300" s="3">
        <v>0</v>
      </c>
      <c r="R300" t="s">
        <v>128</v>
      </c>
      <c r="S300" t="s">
        <v>128</v>
      </c>
      <c r="T300" t="s">
        <v>128</v>
      </c>
      <c r="U300" t="s">
        <v>128</v>
      </c>
      <c r="V300" t="s">
        <v>128</v>
      </c>
      <c r="W300" s="3" t="str">
        <f>HYPERLINK("http://exon.niaid.nih.gov/transcriptome/Anopheles_sialome/links/netoglyc/anoara_D7L3-netoglyc.txt","0")</f>
        <v>0</v>
      </c>
      <c r="X300">
        <v>12.7</v>
      </c>
      <c r="Y300">
        <v>3.1</v>
      </c>
      <c r="Z300">
        <v>2.7</v>
      </c>
      <c r="AA300" t="s">
        <v>654</v>
      </c>
      <c r="AB300" t="s">
        <v>128</v>
      </c>
      <c r="AC300" s="2" t="str">
        <f>HYPERLINK("http://exon.niaid.nih.gov/transcriptome/Anopheles_sialome/links/DIPTERA/anoara_D7L3-DIPTERA.txt","AGAP008279-PA, partial")</f>
        <v>AGAP008279-PA, partial</v>
      </c>
      <c r="AD300" t="str">
        <f>HYPERLINK("http://www.ncbi.nlm.nih.gov/sutils/blink.cgi?pid=157014908","5E-047")</f>
        <v>5E-047</v>
      </c>
      <c r="AE300" t="str">
        <f>HYPERLINK("http://www.ncbi.nlm.nih.gov/protein/157014908","gi|157014908")</f>
        <v>gi|157014908</v>
      </c>
      <c r="AF300">
        <v>96</v>
      </c>
      <c r="AG300">
        <v>96</v>
      </c>
      <c r="AH300">
        <v>30</v>
      </c>
      <c r="AI300" t="s">
        <v>2285</v>
      </c>
      <c r="AJ300" s="2" t="str">
        <f>HYPERLINK("http://exon.niaid.nih.gov/transcriptome/Anopheles_sialome/links/CULICOMORPHA/anoara_D7L3-CULICOMORPHA.txt","AGAP008279-PA, partial")</f>
        <v>AGAP008279-PA, partial</v>
      </c>
      <c r="AK300" t="str">
        <f>HYPERLINK("http://www.ncbi.nlm.nih.gov/sutils/blink.cgi?pid=157014908","9E-048")</f>
        <v>9E-048</v>
      </c>
      <c r="AL300" t="str">
        <f>HYPERLINK("http://www.ncbi.nlm.nih.gov/protein/157014908","gi|157014908")</f>
        <v>gi|157014908</v>
      </c>
      <c r="AM300">
        <v>96</v>
      </c>
      <c r="AN300">
        <v>96</v>
      </c>
      <c r="AO300">
        <v>30</v>
      </c>
      <c r="AP300" t="s">
        <v>2285</v>
      </c>
      <c r="AQ300" s="2" t="str">
        <f>HYPERLINK("http://exon.niaid.nih.gov/transcriptome/Anopheles_sialome/links/NR-LIGHT/anoara_D7L3-NR-LIGHT.txt","AGAP008279-PA")</f>
        <v>AGAP008279-PA</v>
      </c>
      <c r="AR300" t="str">
        <f>HYPERLINK("http://www.ncbi.nlm.nih.gov/sutils/blink.cgi?pid=158296846","1E-046")</f>
        <v>1E-046</v>
      </c>
      <c r="AS300" t="str">
        <f>HYPERLINK("http://www.ncbi.nlm.nih.gov/protein/158296846","gi|158296846")</f>
        <v>gi|158296846</v>
      </c>
      <c r="AT300">
        <v>96</v>
      </c>
      <c r="AU300">
        <v>96</v>
      </c>
      <c r="AV300">
        <v>30</v>
      </c>
      <c r="AW300" t="s">
        <v>2285</v>
      </c>
      <c r="AX300" s="2" t="str">
        <f>HYPERLINK("http://exon.niaid.nih.gov/transcriptome/Anopheles_sialome/links/CDD/anoara_D7L3-CDD.txt","cbiO")</f>
        <v>cbiO</v>
      </c>
      <c r="AY300" t="str">
        <f>HYPERLINK("http://www.ncbi.nlm.nih.gov/Structure/cdd/cddsrv.cgi?uid=PRK13637&amp;version=v4.0","0.18")</f>
        <v>0.18</v>
      </c>
      <c r="AZ300" t="s">
        <v>2582</v>
      </c>
      <c r="BA300" s="2" t="str">
        <f>HYPERLINK("http://exon.niaid.nih.gov/transcriptome/Anopheles_sialome/links/KOG/anoara_D7L3-KOG.txt","Leucine-rich repeat protein")</f>
        <v>Leucine-rich repeat protein</v>
      </c>
      <c r="BB300" t="str">
        <f>HYPERLINK("http://www.ncbi.nlm.nih.gov/Structure/cdd/cddsrv.cgi?uid=KOG0473","0.41")</f>
        <v>0.41</v>
      </c>
      <c r="BC300" t="s">
        <v>2304</v>
      </c>
      <c r="BD300" t="str">
        <f>HYPERLINK("http://exon.niaid.nih.gov/transcriptome/Anopheles_sialome/links/KOG/anoara_D7L3-KOG.txt","KOG0473")</f>
        <v>KOG0473</v>
      </c>
      <c r="BE300" t="str">
        <f>HYPERLINK("http://exon.niaid.nih.gov/transcriptome/Anopheles_sialome/links/PFAM/anoara_D7L3-PFAM.txt","DUF4015")</f>
        <v>DUF4015</v>
      </c>
      <c r="BF300" t="str">
        <f>HYPERLINK("http://pfam.sanger.ac.uk/family?acc=PF13200","1.5")</f>
        <v>1.5</v>
      </c>
      <c r="BG300" s="2" t="str">
        <f>HYPERLINK("http://exon.niaid.nih.gov/transcriptome/Anopheles_sialome/links/SMART/anoara_D7L3-SMART.txt","PI3Ka")</f>
        <v>PI3Ka</v>
      </c>
      <c r="BH300" t="str">
        <f>HYPERLINK("http://smart.embl-heidelberg.de/smart/do_annotation.pl?DOMAIN=PI3Ka&amp;BLAST=DUMMY","1.6")</f>
        <v>1.6</v>
      </c>
      <c r="BI300" t="s">
        <v>128</v>
      </c>
      <c r="BJ300" s="2" t="s">
        <v>128</v>
      </c>
      <c r="BK300" t="s">
        <v>1186</v>
      </c>
      <c r="BL300">
        <f>HYPERLINK("http://exon.niaid.nih.gov/transcriptome/Anopheles_sialome/links/cluster-b/anopheline-sialome-cds-pep-larger-orf25-50SimCLU6.txt", 6)</f>
        <v>6</v>
      </c>
      <c r="BM300">
        <f>HYPERLINK("http://exon.niaid.nih.gov/transcriptome/Anopheles_sialome/links/cluster-b/anopheline-sialome-cds-pep-larger-orf25-50SimCLTL6.txt", 44)</f>
        <v>44</v>
      </c>
      <c r="BN300">
        <f>HYPERLINK("http://exon.niaid.nih.gov/transcriptome/Anopheles_sialome/links/cluster-b/anopheline-sialome-cds-pep-larger-orf30-50SimCLU5.txt", 5)</f>
        <v>5</v>
      </c>
      <c r="BO300">
        <f>HYPERLINK("http://exon.niaid.nih.gov/transcriptome/Anopheles_sialome/links/cluster-b/anopheline-sialome-cds-pep-larger-orf30-50SimCLTL5.txt", 44)</f>
        <v>44</v>
      </c>
      <c r="BP300">
        <f>HYPERLINK("http://exon.niaid.nih.gov/transcriptome/Anopheles_sialome/links/cluster-b/anopheline-sialome-cds-pep-larger-orf35-50SimCLU6.txt", 6)</f>
        <v>6</v>
      </c>
      <c r="BQ300">
        <f>HYPERLINK("http://exon.niaid.nih.gov/transcriptome/Anopheles_sialome/links/cluster-b/anopheline-sialome-cds-pep-larger-orf35-50SimCLTL6.txt", 44)</f>
        <v>44</v>
      </c>
      <c r="BR300">
        <f>HYPERLINK("http://exon.niaid.nih.gov/transcriptome/Anopheles_sialome/links/cluster-b/anopheline-sialome-cds-pep-larger-orf40-50SimCLU4.txt", 4)</f>
        <v>4</v>
      </c>
      <c r="BS300">
        <f>HYPERLINK("http://exon.niaid.nih.gov/transcriptome/Anopheles_sialome/links/cluster-b/anopheline-sialome-cds-pep-larger-orf40-50SimCLTL4.txt", 44)</f>
        <v>44</v>
      </c>
      <c r="BT300">
        <f>HYPERLINK("http://exon.niaid.nih.gov/transcriptome/Anopheles_sialome/links/cluster-b/anopheline-sialome-cds-pep-larger-orf45-50SimCLU19.txt", 19)</f>
        <v>19</v>
      </c>
      <c r="BU300">
        <f>HYPERLINK("http://exon.niaid.nih.gov/transcriptome/Anopheles_sialome/links/cluster-b/anopheline-sialome-cds-pep-larger-orf45-50SimCLTL19.txt", 18)</f>
        <v>18</v>
      </c>
      <c r="BV300">
        <f>HYPERLINK("http://exon.niaid.nih.gov/transcriptome/Anopheles_sialome/links/cluster-b/anopheline-sialome-cds-pep-larger-orf50-50SimCLU18.txt", 18)</f>
        <v>18</v>
      </c>
      <c r="BW300">
        <f>HYPERLINK("http://exon.niaid.nih.gov/transcriptome/Anopheles_sialome/links/cluster-b/anopheline-sialome-cds-pep-larger-orf50-50SimCLTL18.txt", 18)</f>
        <v>18</v>
      </c>
      <c r="BX300">
        <f>HYPERLINK("http://exon.niaid.nih.gov/transcriptome/Anopheles_sialome/links/cluster-b/anopheline-sialome-cds-pep-larger-orf55-50SimCLU19.txt", 19)</f>
        <v>19</v>
      </c>
      <c r="BY300">
        <f>HYPERLINK("http://exon.niaid.nih.gov/transcriptome/Anopheles_sialome/links/cluster-b/anopheline-sialome-cds-pep-larger-orf55-50SimCLTL19.txt", 18)</f>
        <v>18</v>
      </c>
      <c r="BZ300">
        <f>HYPERLINK("http://exon.niaid.nih.gov/transcriptome/Anopheles_sialome/links/cluster-b/anopheline-sialome-cds-pep-larger-orf60-50SimCLU18.txt", 18)</f>
        <v>18</v>
      </c>
      <c r="CA300">
        <f>HYPERLINK("http://exon.niaid.nih.gov/transcriptome/Anopheles_sialome/links/cluster-b/anopheline-sialome-cds-pep-larger-orf60-50SimCLTL18.txt", 18)</f>
        <v>18</v>
      </c>
      <c r="CB300">
        <f>HYPERLINK("http://exon.niaid.nih.gov/transcriptome/Anopheles_sialome/links/cluster-b/anopheline-sialome-cds-pep-larger-orf65-50SimCLU23.txt", 23)</f>
        <v>23</v>
      </c>
      <c r="CC300">
        <f>HYPERLINK("http://exon.niaid.nih.gov/transcriptome/Anopheles_sialome/links/cluster-b/anopheline-sialome-cds-pep-larger-orf65-50SimCLTL23.txt", 16)</f>
        <v>16</v>
      </c>
      <c r="CD300">
        <f>HYPERLINK("http://exon.niaid.nih.gov/transcriptome/Anopheles_sialome/links/cluster-b/anopheline-sialome-cds-pep-larger-orf70-50SimCLU29.txt", 29)</f>
        <v>29</v>
      </c>
      <c r="CE300">
        <f>HYPERLINK("http://exon.niaid.nih.gov/transcriptome/Anopheles_sialome/links/cluster-b/anopheline-sialome-cds-pep-larger-orf70-50SimCLTL29.txt", 14)</f>
        <v>14</v>
      </c>
      <c r="CF300">
        <f>HYPERLINK("http://exon.niaid.nih.gov/transcriptome/Anopheles_sialome/links/cluster-b/anopheline-sialome-cds-pep-larger-orf75-50SimCLU22.txt", 22)</f>
        <v>22</v>
      </c>
      <c r="CG300">
        <f>HYPERLINK("http://exon.niaid.nih.gov/transcriptome/Anopheles_sialome/links/cluster-b/anopheline-sialome-cds-pep-larger-orf75-50SimCLTL22.txt", 14)</f>
        <v>14</v>
      </c>
      <c r="CH300">
        <f>HYPERLINK("http://exon.niaid.nih.gov/transcriptome/Anopheles_sialome/links/cluster-b/anopheline-sialome-cds-pep-larger-orf80-50SimCLU26.txt", 26)</f>
        <v>26</v>
      </c>
      <c r="CI300">
        <f>HYPERLINK("http://exon.niaid.nih.gov/transcriptome/Anopheles_sialome/links/cluster-b/anopheline-sialome-cds-pep-larger-orf80-50SimCLTL26.txt", 8)</f>
        <v>8</v>
      </c>
      <c r="CJ300">
        <f>HYPERLINK("http://exon.niaid.nih.gov/transcriptome/Anopheles_sialome/links/cluster-b/anopheline-sialome-cds-pep-larger-orf85-50SimCLU29.txt", 29)</f>
        <v>29</v>
      </c>
      <c r="CK300">
        <f>HYPERLINK("http://exon.niaid.nih.gov/transcriptome/Anopheles_sialome/links/cluster-b/anopheline-sialome-cds-pep-larger-orf85-50SimCLTL29.txt", 6)</f>
        <v>6</v>
      </c>
      <c r="CL300">
        <f>HYPERLINK("http://exon.niaid.nih.gov/transcriptome/Anopheles_sialome/links/cluster-b/anopheline-sialome-cds-pep-larger-orf90-50SimCLU42.txt", 42)</f>
        <v>42</v>
      </c>
      <c r="CM300">
        <f>HYPERLINK("http://exon.niaid.nih.gov/transcriptome/Anopheles_sialome/links/cluster-b/anopheline-sialome-cds-pep-larger-orf90-50SimCLTL42.txt", 5)</f>
        <v>5</v>
      </c>
      <c r="CN300">
        <f>HYPERLINK("http://exon.niaid.nih.gov/transcriptome/Anopheles_sialome/links/cluster-b/anopheline-sialome-cds-pep-larger-orf95-50SimCLU34.txt", 34)</f>
        <v>34</v>
      </c>
      <c r="CO300">
        <f>HYPERLINK("http://exon.niaid.nih.gov/transcriptome/Anopheles_sialome/links/cluster-b/anopheline-sialome-cds-pep-larger-orf95-50SimCLTL34.txt", 5)</f>
        <v>5</v>
      </c>
    </row>
    <row r="301" spans="1:93">
      <c r="A301" s="2" t="str">
        <f>HYPERLINK("http://exon.niaid.nih.gov/transcriptome/Anopheles_sialome/links/cds/anoqua_D7L3-cds.txt","anoqua_D7L3")</f>
        <v>anoqua_D7L3</v>
      </c>
      <c r="B301">
        <v>876</v>
      </c>
      <c r="C301" t="s">
        <v>210</v>
      </c>
      <c r="D301" t="s">
        <v>7</v>
      </c>
      <c r="E301" t="s">
        <v>5</v>
      </c>
      <c r="F301" t="s">
        <v>1</v>
      </c>
      <c r="G301" t="str">
        <f>HYPERLINK("http://exon.niaid.nih.gov/transcriptome/Anopheles_sialome/links/pep/anoqua_D7L3-pep.txt","anoqua_D7L3")</f>
        <v>anoqua_D7L3</v>
      </c>
      <c r="H301">
        <v>291</v>
      </c>
      <c r="I301">
        <v>1</v>
      </c>
      <c r="J301" s="3" t="str">
        <f>HYPERLINK("http://exon.niaid.nih.gov/transcriptome/Anopheles_sialome/links/Sigp/anoqua_D7L3-SigP.txt","SIG")</f>
        <v>SIG</v>
      </c>
      <c r="K301" t="s">
        <v>1182</v>
      </c>
      <c r="L301">
        <v>33.652999999999999</v>
      </c>
      <c r="M301">
        <v>5.0199999999999996</v>
      </c>
      <c r="N301">
        <v>30.832000000000001</v>
      </c>
      <c r="O301">
        <v>4.8499999999999996</v>
      </c>
      <c r="P301" t="s">
        <v>1189</v>
      </c>
      <c r="Q301" s="3">
        <v>0</v>
      </c>
      <c r="R301" t="s">
        <v>128</v>
      </c>
      <c r="S301" t="s">
        <v>128</v>
      </c>
      <c r="T301" t="s">
        <v>128</v>
      </c>
      <c r="U301" t="s">
        <v>128</v>
      </c>
      <c r="V301" t="s">
        <v>128</v>
      </c>
      <c r="W301" s="3" t="str">
        <f>HYPERLINK("http://exon.niaid.nih.gov/transcriptome/Anopheles_sialome/links/netoglyc/anoqua_D7L3-netoglyc.txt","0")</f>
        <v>0</v>
      </c>
      <c r="X301">
        <v>11.7</v>
      </c>
      <c r="Y301">
        <v>3.1</v>
      </c>
      <c r="Z301">
        <v>3.1</v>
      </c>
      <c r="AA301" t="s">
        <v>654</v>
      </c>
      <c r="AB301" t="s">
        <v>128</v>
      </c>
      <c r="AC301" s="2" t="str">
        <f>HYPERLINK("http://exon.niaid.nih.gov/transcriptome/Anopheles_sialome/links/DIPTERA/anoqua_D7L3-DIPTERA.txt","AGAP008279-PA, partial")</f>
        <v>AGAP008279-PA, partial</v>
      </c>
      <c r="AD301" t="str">
        <f>HYPERLINK("http://www.ncbi.nlm.nih.gov/sutils/blink.cgi?pid=157014908","3E-048")</f>
        <v>3E-048</v>
      </c>
      <c r="AE301" t="str">
        <f>HYPERLINK("http://www.ncbi.nlm.nih.gov/protein/157014908","gi|157014908")</f>
        <v>gi|157014908</v>
      </c>
      <c r="AF301">
        <v>97</v>
      </c>
      <c r="AG301">
        <v>98</v>
      </c>
      <c r="AH301">
        <v>30</v>
      </c>
      <c r="AI301" t="s">
        <v>2285</v>
      </c>
      <c r="AJ301" s="2" t="str">
        <f>HYPERLINK("http://exon.niaid.nih.gov/transcriptome/Anopheles_sialome/links/CULICOMORPHA/anoqua_D7L3-CULICOMORPHA.txt","AGAP008279-PA, partial")</f>
        <v>AGAP008279-PA, partial</v>
      </c>
      <c r="AK301" t="str">
        <f>HYPERLINK("http://www.ncbi.nlm.nih.gov/sutils/blink.cgi?pid=157014908","6E-049")</f>
        <v>6E-049</v>
      </c>
      <c r="AL301" t="str">
        <f>HYPERLINK("http://www.ncbi.nlm.nih.gov/protein/157014908","gi|157014908")</f>
        <v>gi|157014908</v>
      </c>
      <c r="AM301">
        <v>97</v>
      </c>
      <c r="AN301">
        <v>98</v>
      </c>
      <c r="AO301">
        <v>30</v>
      </c>
      <c r="AP301" t="s">
        <v>2285</v>
      </c>
      <c r="AQ301" s="2" t="str">
        <f>HYPERLINK("http://exon.niaid.nih.gov/transcriptome/Anopheles_sialome/links/NR-LIGHT/anoqua_D7L3-NR-LIGHT.txt","AGAP008279-PA")</f>
        <v>AGAP008279-PA</v>
      </c>
      <c r="AR301" t="str">
        <f>HYPERLINK("http://www.ncbi.nlm.nih.gov/sutils/blink.cgi?pid=158296846","9E-048")</f>
        <v>9E-048</v>
      </c>
      <c r="AS301" t="str">
        <f>HYPERLINK("http://www.ncbi.nlm.nih.gov/protein/158296846","gi|158296846")</f>
        <v>gi|158296846</v>
      </c>
      <c r="AT301">
        <v>97</v>
      </c>
      <c r="AU301">
        <v>98</v>
      </c>
      <c r="AV301">
        <v>30</v>
      </c>
      <c r="AW301" t="s">
        <v>2285</v>
      </c>
      <c r="AX301" s="2" t="str">
        <f>HYPERLINK("http://exon.niaid.nih.gov/transcriptome/Anopheles_sialome/links/CDD/anoqua_D7L3-CDD.txt","cbiO")</f>
        <v>cbiO</v>
      </c>
      <c r="AY301" t="str">
        <f>HYPERLINK("http://www.ncbi.nlm.nih.gov/Structure/cdd/cddsrv.cgi?uid=PRK13637&amp;version=v4.0","0.15")</f>
        <v>0.15</v>
      </c>
      <c r="AZ301" t="s">
        <v>2583</v>
      </c>
      <c r="BA301" s="2" t="str">
        <f>HYPERLINK("http://exon.niaid.nih.gov/transcriptome/Anopheles_sialome/links/KOG/anoqua_D7L3-KOG.txt","Leucine-rich repeat protein")</f>
        <v>Leucine-rich repeat protein</v>
      </c>
      <c r="BB301" t="str">
        <f>HYPERLINK("http://www.ncbi.nlm.nih.gov/Structure/cdd/cddsrv.cgi?uid=KOG0473","0.41")</f>
        <v>0.41</v>
      </c>
      <c r="BC301" t="s">
        <v>2304</v>
      </c>
      <c r="BD301" t="str">
        <f>HYPERLINK("http://exon.niaid.nih.gov/transcriptome/Anopheles_sialome/links/KOG/anoqua_D7L3-KOG.txt","KOG0473")</f>
        <v>KOG0473</v>
      </c>
      <c r="BE301" t="str">
        <f>HYPERLINK("http://exon.niaid.nih.gov/transcriptome/Anopheles_sialome/links/PFAM/anoqua_D7L3-PFAM.txt","Glyco_hydro_81")</f>
        <v>Glyco_hydro_81</v>
      </c>
      <c r="BF301" t="str">
        <f>HYPERLINK("http://pfam.sanger.ac.uk/family?acc=PF03639","0.78")</f>
        <v>0.78</v>
      </c>
      <c r="BG301" s="2" t="str">
        <f>HYPERLINK("http://exon.niaid.nih.gov/transcriptome/Anopheles_sialome/links/SMART/anoqua_D7L3-SMART.txt","RasGEF")</f>
        <v>RasGEF</v>
      </c>
      <c r="BH301" t="str">
        <f>HYPERLINK("http://smart.embl-heidelberg.de/smart/do_annotation.pl?DOMAIN=RasGEF&amp;BLAST=DUMMY","2.0")</f>
        <v>2.0</v>
      </c>
      <c r="BI301" t="s">
        <v>128</v>
      </c>
      <c r="BJ301" s="2" t="s">
        <v>128</v>
      </c>
      <c r="BK301" t="s">
        <v>1188</v>
      </c>
      <c r="BL301">
        <f>HYPERLINK("http://exon.niaid.nih.gov/transcriptome/Anopheles_sialome/links/cluster-b/anopheline-sialome-cds-pep-larger-orf25-50SimCLU6.txt", 6)</f>
        <v>6</v>
      </c>
      <c r="BM301">
        <f>HYPERLINK("http://exon.niaid.nih.gov/transcriptome/Anopheles_sialome/links/cluster-b/anopheline-sialome-cds-pep-larger-orf25-50SimCLTL6.txt", 44)</f>
        <v>44</v>
      </c>
      <c r="BN301">
        <f>HYPERLINK("http://exon.niaid.nih.gov/transcriptome/Anopheles_sialome/links/cluster-b/anopheline-sialome-cds-pep-larger-orf30-50SimCLU5.txt", 5)</f>
        <v>5</v>
      </c>
      <c r="BO301">
        <f>HYPERLINK("http://exon.niaid.nih.gov/transcriptome/Anopheles_sialome/links/cluster-b/anopheline-sialome-cds-pep-larger-orf30-50SimCLTL5.txt", 44)</f>
        <v>44</v>
      </c>
      <c r="BP301">
        <f>HYPERLINK("http://exon.niaid.nih.gov/transcriptome/Anopheles_sialome/links/cluster-b/anopheline-sialome-cds-pep-larger-orf35-50SimCLU6.txt", 6)</f>
        <v>6</v>
      </c>
      <c r="BQ301">
        <f>HYPERLINK("http://exon.niaid.nih.gov/transcriptome/Anopheles_sialome/links/cluster-b/anopheline-sialome-cds-pep-larger-orf35-50SimCLTL6.txt", 44)</f>
        <v>44</v>
      </c>
      <c r="BR301">
        <f>HYPERLINK("http://exon.niaid.nih.gov/transcriptome/Anopheles_sialome/links/cluster-b/anopheline-sialome-cds-pep-larger-orf40-50SimCLU4.txt", 4)</f>
        <v>4</v>
      </c>
      <c r="BS301">
        <f>HYPERLINK("http://exon.niaid.nih.gov/transcriptome/Anopheles_sialome/links/cluster-b/anopheline-sialome-cds-pep-larger-orf40-50SimCLTL4.txt", 44)</f>
        <v>44</v>
      </c>
      <c r="BT301">
        <f>HYPERLINK("http://exon.niaid.nih.gov/transcriptome/Anopheles_sialome/links/cluster-b/anopheline-sialome-cds-pep-larger-orf45-50SimCLU19.txt", 19)</f>
        <v>19</v>
      </c>
      <c r="BU301">
        <f>HYPERLINK("http://exon.niaid.nih.gov/transcriptome/Anopheles_sialome/links/cluster-b/anopheline-sialome-cds-pep-larger-orf45-50SimCLTL19.txt", 18)</f>
        <v>18</v>
      </c>
      <c r="BV301">
        <f>HYPERLINK("http://exon.niaid.nih.gov/transcriptome/Anopheles_sialome/links/cluster-b/anopheline-sialome-cds-pep-larger-orf50-50SimCLU18.txt", 18)</f>
        <v>18</v>
      </c>
      <c r="BW301">
        <f>HYPERLINK("http://exon.niaid.nih.gov/transcriptome/Anopheles_sialome/links/cluster-b/anopheline-sialome-cds-pep-larger-orf50-50SimCLTL18.txt", 18)</f>
        <v>18</v>
      </c>
      <c r="BX301">
        <f>HYPERLINK("http://exon.niaid.nih.gov/transcriptome/Anopheles_sialome/links/cluster-b/anopheline-sialome-cds-pep-larger-orf55-50SimCLU19.txt", 19)</f>
        <v>19</v>
      </c>
      <c r="BY301">
        <f>HYPERLINK("http://exon.niaid.nih.gov/transcriptome/Anopheles_sialome/links/cluster-b/anopheline-sialome-cds-pep-larger-orf55-50SimCLTL19.txt", 18)</f>
        <v>18</v>
      </c>
      <c r="BZ301">
        <f>HYPERLINK("http://exon.niaid.nih.gov/transcriptome/Anopheles_sialome/links/cluster-b/anopheline-sialome-cds-pep-larger-orf60-50SimCLU18.txt", 18)</f>
        <v>18</v>
      </c>
      <c r="CA301">
        <f>HYPERLINK("http://exon.niaid.nih.gov/transcriptome/Anopheles_sialome/links/cluster-b/anopheline-sialome-cds-pep-larger-orf60-50SimCLTL18.txt", 18)</f>
        <v>18</v>
      </c>
      <c r="CB301">
        <f>HYPERLINK("http://exon.niaid.nih.gov/transcriptome/Anopheles_sialome/links/cluster-b/anopheline-sialome-cds-pep-larger-orf65-50SimCLU23.txt", 23)</f>
        <v>23</v>
      </c>
      <c r="CC301">
        <f>HYPERLINK("http://exon.niaid.nih.gov/transcriptome/Anopheles_sialome/links/cluster-b/anopheline-sialome-cds-pep-larger-orf65-50SimCLTL23.txt", 16)</f>
        <v>16</v>
      </c>
      <c r="CD301">
        <f>HYPERLINK("http://exon.niaid.nih.gov/transcriptome/Anopheles_sialome/links/cluster-b/anopheline-sialome-cds-pep-larger-orf70-50SimCLU29.txt", 29)</f>
        <v>29</v>
      </c>
      <c r="CE301">
        <f>HYPERLINK("http://exon.niaid.nih.gov/transcriptome/Anopheles_sialome/links/cluster-b/anopheline-sialome-cds-pep-larger-orf70-50SimCLTL29.txt", 14)</f>
        <v>14</v>
      </c>
      <c r="CF301">
        <f>HYPERLINK("http://exon.niaid.nih.gov/transcriptome/Anopheles_sialome/links/cluster-b/anopheline-sialome-cds-pep-larger-orf75-50SimCLU22.txt", 22)</f>
        <v>22</v>
      </c>
      <c r="CG301">
        <f>HYPERLINK("http://exon.niaid.nih.gov/transcriptome/Anopheles_sialome/links/cluster-b/anopheline-sialome-cds-pep-larger-orf75-50SimCLTL22.txt", 14)</f>
        <v>14</v>
      </c>
      <c r="CH301">
        <f>HYPERLINK("http://exon.niaid.nih.gov/transcriptome/Anopheles_sialome/links/cluster-b/anopheline-sialome-cds-pep-larger-orf80-50SimCLU26.txt", 26)</f>
        <v>26</v>
      </c>
      <c r="CI301">
        <f>HYPERLINK("http://exon.niaid.nih.gov/transcriptome/Anopheles_sialome/links/cluster-b/anopheline-sialome-cds-pep-larger-orf80-50SimCLTL26.txt", 8)</f>
        <v>8</v>
      </c>
      <c r="CJ301">
        <f>HYPERLINK("http://exon.niaid.nih.gov/transcriptome/Anopheles_sialome/links/cluster-b/anopheline-sialome-cds-pep-larger-orf85-50SimCLU29.txt", 29)</f>
        <v>29</v>
      </c>
      <c r="CK301">
        <f>HYPERLINK("http://exon.niaid.nih.gov/transcriptome/Anopheles_sialome/links/cluster-b/anopheline-sialome-cds-pep-larger-orf85-50SimCLTL29.txt", 6)</f>
        <v>6</v>
      </c>
      <c r="CL301">
        <f>HYPERLINK("http://exon.niaid.nih.gov/transcriptome/Anopheles_sialome/links/cluster-b/anopheline-sialome-cds-pep-larger-orf90-50SimCLU42.txt", 42)</f>
        <v>42</v>
      </c>
      <c r="CM301">
        <f>HYPERLINK("http://exon.niaid.nih.gov/transcriptome/Anopheles_sialome/links/cluster-b/anopheline-sialome-cds-pep-larger-orf90-50SimCLTL42.txt", 5)</f>
        <v>5</v>
      </c>
      <c r="CN301">
        <f>HYPERLINK("http://exon.niaid.nih.gov/transcriptome/Anopheles_sialome/links/cluster-b/anopheline-sialome-cds-pep-larger-orf95-50SimCLU34.txt", 34)</f>
        <v>34</v>
      </c>
      <c r="CO301">
        <f>HYPERLINK("http://exon.niaid.nih.gov/transcriptome/Anopheles_sialome/links/cluster-b/anopheline-sialome-cds-pep-larger-orf95-50SimCLTL34.txt", 5)</f>
        <v>5</v>
      </c>
    </row>
    <row r="302" spans="1:93">
      <c r="A302" s="2" t="str">
        <f>HYPERLINK("http://exon.niaid.nih.gov/transcriptome/Anopheles_sialome/links/cds/anomer_D7L3-cds.txt","anomer_D7L3")</f>
        <v>anomer_D7L3</v>
      </c>
      <c r="B302">
        <v>879</v>
      </c>
      <c r="C302" t="s">
        <v>211</v>
      </c>
      <c r="D302" t="s">
        <v>4</v>
      </c>
      <c r="E302" t="s">
        <v>5</v>
      </c>
      <c r="F302" t="s">
        <v>1</v>
      </c>
      <c r="G302" t="str">
        <f>HYPERLINK("http://exon.niaid.nih.gov/transcriptome/Anopheles_sialome/links/pep/anomer_D7L3-pep.txt","anomer_D7L3")</f>
        <v>anomer_D7L3</v>
      </c>
      <c r="H302">
        <v>292</v>
      </c>
      <c r="I302">
        <v>0</v>
      </c>
      <c r="J302" s="3" t="str">
        <f>HYPERLINK("http://exon.niaid.nih.gov/transcriptome/Anopheles_sialome/links/Sigp/anomer_D7L3-SigP.txt","SIG")</f>
        <v>SIG</v>
      </c>
      <c r="K302" t="s">
        <v>1182</v>
      </c>
      <c r="L302">
        <v>33.692999999999998</v>
      </c>
      <c r="M302">
        <v>5.17</v>
      </c>
      <c r="N302">
        <v>30.872</v>
      </c>
      <c r="O302">
        <v>4.97</v>
      </c>
      <c r="P302" t="s">
        <v>662</v>
      </c>
      <c r="Q302" s="3">
        <v>0</v>
      </c>
      <c r="R302" t="s">
        <v>128</v>
      </c>
      <c r="S302" t="s">
        <v>128</v>
      </c>
      <c r="T302" t="s">
        <v>128</v>
      </c>
      <c r="U302" t="s">
        <v>128</v>
      </c>
      <c r="V302" t="s">
        <v>128</v>
      </c>
      <c r="W302" s="3" t="str">
        <f>HYPERLINK("http://exon.niaid.nih.gov/transcriptome/Anopheles_sialome/links/netoglyc/anomer_D7L3-netoglyc.txt","0")</f>
        <v>0</v>
      </c>
      <c r="X302">
        <v>11.3</v>
      </c>
      <c r="Y302">
        <v>4.0999999999999996</v>
      </c>
      <c r="Z302">
        <v>2.7</v>
      </c>
      <c r="AA302" t="s">
        <v>654</v>
      </c>
      <c r="AB302" t="s">
        <v>1191</v>
      </c>
      <c r="AC302" s="2" t="str">
        <f>HYPERLINK("http://exon.niaid.nih.gov/transcriptome/Anopheles_sialome/links/DIPTERA/anomer_D7L3-DIPTERA.txt","AGAP008279-PA, partial")</f>
        <v>AGAP008279-PA, partial</v>
      </c>
      <c r="AD302" t="str">
        <f>HYPERLINK("http://www.ncbi.nlm.nih.gov/sutils/blink.cgi?pid=157014908","8E-048")</f>
        <v>8E-048</v>
      </c>
      <c r="AE302" t="str">
        <f>HYPERLINK("http://www.ncbi.nlm.nih.gov/protein/157014908","gi|157014908")</f>
        <v>gi|157014908</v>
      </c>
      <c r="AF302">
        <v>96</v>
      </c>
      <c r="AG302">
        <v>98</v>
      </c>
      <c r="AH302">
        <v>30</v>
      </c>
      <c r="AI302" t="s">
        <v>2285</v>
      </c>
      <c r="AJ302" s="2" t="str">
        <f>HYPERLINK("http://exon.niaid.nih.gov/transcriptome/Anopheles_sialome/links/CULICOMORPHA/anomer_D7L3-CULICOMORPHA.txt","AGAP008279-PA, partial")</f>
        <v>AGAP008279-PA, partial</v>
      </c>
      <c r="AK302" t="str">
        <f>HYPERLINK("http://www.ncbi.nlm.nih.gov/sutils/blink.cgi?pid=157014908","1E-048")</f>
        <v>1E-048</v>
      </c>
      <c r="AL302" t="str">
        <f>HYPERLINK("http://www.ncbi.nlm.nih.gov/protein/157014908","gi|157014908")</f>
        <v>gi|157014908</v>
      </c>
      <c r="AM302">
        <v>96</v>
      </c>
      <c r="AN302">
        <v>98</v>
      </c>
      <c r="AO302">
        <v>30</v>
      </c>
      <c r="AP302" t="s">
        <v>2285</v>
      </c>
      <c r="AQ302" s="2" t="str">
        <f>HYPERLINK("http://exon.niaid.nih.gov/transcriptome/Anopheles_sialome/links/NR-LIGHT/anomer_D7L3-NR-LIGHT.txt","AGAP008279-PA")</f>
        <v>AGAP008279-PA</v>
      </c>
      <c r="AR302" t="str">
        <f>HYPERLINK("http://www.ncbi.nlm.nih.gov/sutils/blink.cgi?pid=158296846","2E-047")</f>
        <v>2E-047</v>
      </c>
      <c r="AS302" t="str">
        <f>HYPERLINK("http://www.ncbi.nlm.nih.gov/protein/158296846","gi|158296846")</f>
        <v>gi|158296846</v>
      </c>
      <c r="AT302">
        <v>96</v>
      </c>
      <c r="AU302">
        <v>98</v>
      </c>
      <c r="AV302">
        <v>30</v>
      </c>
      <c r="AW302" t="s">
        <v>2285</v>
      </c>
      <c r="AX302" s="2" t="str">
        <f>HYPERLINK("http://exon.niaid.nih.gov/transcriptome/Anopheles_sialome/links/CDD/anomer_D7L3-CDD.txt","cbiO")</f>
        <v>cbiO</v>
      </c>
      <c r="AY302" t="str">
        <f>HYPERLINK("http://www.ncbi.nlm.nih.gov/Structure/cdd/cddsrv.cgi?uid=PRK13637&amp;version=v4.0","0.35")</f>
        <v>0.35</v>
      </c>
      <c r="AZ302" t="s">
        <v>2584</v>
      </c>
      <c r="BA302" s="2" t="str">
        <f>HYPERLINK("http://exon.niaid.nih.gov/transcriptome/Anopheles_sialome/links/KOG/anomer_D7L3-KOG.txt","Leucine-rich repeat protein")</f>
        <v>Leucine-rich repeat protein</v>
      </c>
      <c r="BB302" t="str">
        <f>HYPERLINK("http://www.ncbi.nlm.nih.gov/Structure/cdd/cddsrv.cgi?uid=KOG0473","0.16")</f>
        <v>0.16</v>
      </c>
      <c r="BC302" t="s">
        <v>2304</v>
      </c>
      <c r="BD302" t="str">
        <f>HYPERLINK("http://exon.niaid.nih.gov/transcriptome/Anopheles_sialome/links/KOG/anomer_D7L3-KOG.txt","KOG0473")</f>
        <v>KOG0473</v>
      </c>
      <c r="BE302" t="str">
        <f>HYPERLINK("http://exon.niaid.nih.gov/transcriptome/Anopheles_sialome/links/PFAM/anomer_D7L3-PFAM.txt","Glyco_hydro_81")</f>
        <v>Glyco_hydro_81</v>
      </c>
      <c r="BF302" t="str">
        <f>HYPERLINK("http://pfam.sanger.ac.uk/family?acc=PF03639","0.68")</f>
        <v>0.68</v>
      </c>
      <c r="BG302" s="2" t="str">
        <f>HYPERLINK("http://exon.niaid.nih.gov/transcriptome/Anopheles_sialome/links/SMART/anomer_D7L3-SMART.txt","Elp3")</f>
        <v>Elp3</v>
      </c>
      <c r="BH302" t="str">
        <f>HYPERLINK("http://smart.embl-heidelberg.de/smart/do_annotation.pl?DOMAIN=Elp3&amp;BLAST=DUMMY","0.36")</f>
        <v>0.36</v>
      </c>
      <c r="BI302" t="s">
        <v>128</v>
      </c>
      <c r="BJ302" s="2" t="s">
        <v>128</v>
      </c>
      <c r="BK302" t="s">
        <v>1190</v>
      </c>
      <c r="BL302">
        <f>HYPERLINK("http://exon.niaid.nih.gov/transcriptome/Anopheles_sialome/links/cluster-b/anopheline-sialome-cds-pep-larger-orf25-50SimCLU6.txt", 6)</f>
        <v>6</v>
      </c>
      <c r="BM302">
        <f>HYPERLINK("http://exon.niaid.nih.gov/transcriptome/Anopheles_sialome/links/cluster-b/anopheline-sialome-cds-pep-larger-orf25-50SimCLTL6.txt", 44)</f>
        <v>44</v>
      </c>
      <c r="BN302">
        <f>HYPERLINK("http://exon.niaid.nih.gov/transcriptome/Anopheles_sialome/links/cluster-b/anopheline-sialome-cds-pep-larger-orf30-50SimCLU5.txt", 5)</f>
        <v>5</v>
      </c>
      <c r="BO302">
        <f>HYPERLINK("http://exon.niaid.nih.gov/transcriptome/Anopheles_sialome/links/cluster-b/anopheline-sialome-cds-pep-larger-orf30-50SimCLTL5.txt", 44)</f>
        <v>44</v>
      </c>
      <c r="BP302">
        <f>HYPERLINK("http://exon.niaid.nih.gov/transcriptome/Anopheles_sialome/links/cluster-b/anopheline-sialome-cds-pep-larger-orf35-50SimCLU6.txt", 6)</f>
        <v>6</v>
      </c>
      <c r="BQ302">
        <f>HYPERLINK("http://exon.niaid.nih.gov/transcriptome/Anopheles_sialome/links/cluster-b/anopheline-sialome-cds-pep-larger-orf35-50SimCLTL6.txt", 44)</f>
        <v>44</v>
      </c>
      <c r="BR302">
        <f>HYPERLINK("http://exon.niaid.nih.gov/transcriptome/Anopheles_sialome/links/cluster-b/anopheline-sialome-cds-pep-larger-orf40-50SimCLU4.txt", 4)</f>
        <v>4</v>
      </c>
      <c r="BS302">
        <f>HYPERLINK("http://exon.niaid.nih.gov/transcriptome/Anopheles_sialome/links/cluster-b/anopheline-sialome-cds-pep-larger-orf40-50SimCLTL4.txt", 44)</f>
        <v>44</v>
      </c>
      <c r="BT302">
        <f>HYPERLINK("http://exon.niaid.nih.gov/transcriptome/Anopheles_sialome/links/cluster-b/anopheline-sialome-cds-pep-larger-orf45-50SimCLU19.txt", 19)</f>
        <v>19</v>
      </c>
      <c r="BU302">
        <f>HYPERLINK("http://exon.niaid.nih.gov/transcriptome/Anopheles_sialome/links/cluster-b/anopheline-sialome-cds-pep-larger-orf45-50SimCLTL19.txt", 18)</f>
        <v>18</v>
      </c>
      <c r="BV302">
        <f>HYPERLINK("http://exon.niaid.nih.gov/transcriptome/Anopheles_sialome/links/cluster-b/anopheline-sialome-cds-pep-larger-orf50-50SimCLU18.txt", 18)</f>
        <v>18</v>
      </c>
      <c r="BW302">
        <f>HYPERLINK("http://exon.niaid.nih.gov/transcriptome/Anopheles_sialome/links/cluster-b/anopheline-sialome-cds-pep-larger-orf50-50SimCLTL18.txt", 18)</f>
        <v>18</v>
      </c>
      <c r="BX302">
        <f>HYPERLINK("http://exon.niaid.nih.gov/transcriptome/Anopheles_sialome/links/cluster-b/anopheline-sialome-cds-pep-larger-orf55-50SimCLU19.txt", 19)</f>
        <v>19</v>
      </c>
      <c r="BY302">
        <f>HYPERLINK("http://exon.niaid.nih.gov/transcriptome/Anopheles_sialome/links/cluster-b/anopheline-sialome-cds-pep-larger-orf55-50SimCLTL19.txt", 18)</f>
        <v>18</v>
      </c>
      <c r="BZ302">
        <f>HYPERLINK("http://exon.niaid.nih.gov/transcriptome/Anopheles_sialome/links/cluster-b/anopheline-sialome-cds-pep-larger-orf60-50SimCLU18.txt", 18)</f>
        <v>18</v>
      </c>
      <c r="CA302">
        <f>HYPERLINK("http://exon.niaid.nih.gov/transcriptome/Anopheles_sialome/links/cluster-b/anopheline-sialome-cds-pep-larger-orf60-50SimCLTL18.txt", 18)</f>
        <v>18</v>
      </c>
      <c r="CB302">
        <f>HYPERLINK("http://exon.niaid.nih.gov/transcriptome/Anopheles_sialome/links/cluster-b/anopheline-sialome-cds-pep-larger-orf65-50SimCLU23.txt", 23)</f>
        <v>23</v>
      </c>
      <c r="CC302">
        <f>HYPERLINK("http://exon.niaid.nih.gov/transcriptome/Anopheles_sialome/links/cluster-b/anopheline-sialome-cds-pep-larger-orf65-50SimCLTL23.txt", 16)</f>
        <v>16</v>
      </c>
      <c r="CD302">
        <f>HYPERLINK("http://exon.niaid.nih.gov/transcriptome/Anopheles_sialome/links/cluster-b/anopheline-sialome-cds-pep-larger-orf70-50SimCLU29.txt", 29)</f>
        <v>29</v>
      </c>
      <c r="CE302">
        <f>HYPERLINK("http://exon.niaid.nih.gov/transcriptome/Anopheles_sialome/links/cluster-b/anopheline-sialome-cds-pep-larger-orf70-50SimCLTL29.txt", 14)</f>
        <v>14</v>
      </c>
      <c r="CF302">
        <f>HYPERLINK("http://exon.niaid.nih.gov/transcriptome/Anopheles_sialome/links/cluster-b/anopheline-sialome-cds-pep-larger-orf75-50SimCLU22.txt", 22)</f>
        <v>22</v>
      </c>
      <c r="CG302">
        <f>HYPERLINK("http://exon.niaid.nih.gov/transcriptome/Anopheles_sialome/links/cluster-b/anopheline-sialome-cds-pep-larger-orf75-50SimCLTL22.txt", 14)</f>
        <v>14</v>
      </c>
      <c r="CH302">
        <f>HYPERLINK("http://exon.niaid.nih.gov/transcriptome/Anopheles_sialome/links/cluster-b/anopheline-sialome-cds-pep-larger-orf80-50SimCLU26.txt", 26)</f>
        <v>26</v>
      </c>
      <c r="CI302">
        <f>HYPERLINK("http://exon.niaid.nih.gov/transcriptome/Anopheles_sialome/links/cluster-b/anopheline-sialome-cds-pep-larger-orf80-50SimCLTL26.txt", 8)</f>
        <v>8</v>
      </c>
      <c r="CJ302">
        <f>HYPERLINK("http://exon.niaid.nih.gov/transcriptome/Anopheles_sialome/links/cluster-b/anopheline-sialome-cds-pep-larger-orf85-50SimCLU29.txt", 29)</f>
        <v>29</v>
      </c>
      <c r="CK302">
        <f>HYPERLINK("http://exon.niaid.nih.gov/transcriptome/Anopheles_sialome/links/cluster-b/anopheline-sialome-cds-pep-larger-orf85-50SimCLTL29.txt", 6)</f>
        <v>6</v>
      </c>
      <c r="CL302">
        <f>HYPERLINK("http://exon.niaid.nih.gov/transcriptome/Anopheles_sialome/links/cluster-b/anopheline-sialome-cds-pep-larger-orf90-50SimCLU42.txt", 42)</f>
        <v>42</v>
      </c>
      <c r="CM302">
        <f>HYPERLINK("http://exon.niaid.nih.gov/transcriptome/Anopheles_sialome/links/cluster-b/anopheline-sialome-cds-pep-larger-orf90-50SimCLTL42.txt", 5)</f>
        <v>5</v>
      </c>
      <c r="CN302">
        <f>HYPERLINK("http://exon.niaid.nih.gov/transcriptome/Anopheles_sialome/links/cluster-b/anopheline-sialome-cds-pep-larger-orf95-50SimCLU34.txt", 34)</f>
        <v>34</v>
      </c>
      <c r="CO302">
        <f>HYPERLINK("http://exon.niaid.nih.gov/transcriptome/Anopheles_sialome/links/cluster-b/anopheline-sialome-cds-pep-larger-orf95-50SimCLTL34.txt", 5)</f>
        <v>5</v>
      </c>
    </row>
    <row r="303" spans="1:93">
      <c r="A303" s="2" t="str">
        <f>HYPERLINK("http://exon.niaid.nih.gov/transcriptome/Anopheles_sialome/links/cds/anomel_D7L3-cds.txt","anomel_D7L3")</f>
        <v>anomel_D7L3</v>
      </c>
      <c r="B303">
        <v>876</v>
      </c>
      <c r="C303" t="s">
        <v>212</v>
      </c>
      <c r="D303" t="s">
        <v>7</v>
      </c>
      <c r="E303" t="s">
        <v>5</v>
      </c>
      <c r="F303" t="s">
        <v>1</v>
      </c>
      <c r="G303" t="str">
        <f>HYPERLINK("http://exon.niaid.nih.gov/transcriptome/Anopheles_sialome/links/pep/anomel_D7L3-pep.txt","anomel_D7L3")</f>
        <v>anomel_D7L3</v>
      </c>
      <c r="H303">
        <v>291</v>
      </c>
      <c r="I303">
        <v>1</v>
      </c>
      <c r="J303" s="3" t="str">
        <f>HYPERLINK("http://exon.niaid.nih.gov/transcriptome/Anopheles_sialome/links/Sigp/anomel_D7L3-SigP.txt","SIG")</f>
        <v>SIG</v>
      </c>
      <c r="K303" t="s">
        <v>1182</v>
      </c>
      <c r="L303">
        <v>33.451000000000001</v>
      </c>
      <c r="M303">
        <v>5.22</v>
      </c>
      <c r="N303">
        <v>30.629000000000001</v>
      </c>
      <c r="O303">
        <v>5.0199999999999996</v>
      </c>
      <c r="P303" t="s">
        <v>1193</v>
      </c>
      <c r="Q303" s="3">
        <v>0</v>
      </c>
      <c r="R303" t="s">
        <v>128</v>
      </c>
      <c r="S303" t="s">
        <v>128</v>
      </c>
      <c r="T303" t="s">
        <v>128</v>
      </c>
      <c r="U303" t="s">
        <v>128</v>
      </c>
      <c r="V303" t="s">
        <v>128</v>
      </c>
      <c r="W303" s="3" t="str">
        <f>HYPERLINK("http://exon.niaid.nih.gov/transcriptome/Anopheles_sialome/links/netoglyc/anomel_D7L3-netoglyc.txt","0")</f>
        <v>0</v>
      </c>
      <c r="X303">
        <v>12.4</v>
      </c>
      <c r="Y303">
        <v>4.0999999999999996</v>
      </c>
      <c r="Z303">
        <v>2.7</v>
      </c>
      <c r="AA303" t="s">
        <v>654</v>
      </c>
      <c r="AB303" t="s">
        <v>128</v>
      </c>
      <c r="AC303" s="2" t="str">
        <f>HYPERLINK("http://exon.niaid.nih.gov/transcriptome/Anopheles_sialome/links/DIPTERA/anomel_D7L3-DIPTERA.txt","AGAP008279-PA, partial")</f>
        <v>AGAP008279-PA, partial</v>
      </c>
      <c r="AD303" t="str">
        <f>HYPERLINK("http://www.ncbi.nlm.nih.gov/sutils/blink.cgi?pid=157014908","2E-047")</f>
        <v>2E-047</v>
      </c>
      <c r="AE303" t="str">
        <f>HYPERLINK("http://www.ncbi.nlm.nih.gov/protein/157014908","gi|157014908")</f>
        <v>gi|157014908</v>
      </c>
      <c r="AF303">
        <v>96</v>
      </c>
      <c r="AG303">
        <v>97</v>
      </c>
      <c r="AH303">
        <v>30</v>
      </c>
      <c r="AI303" t="s">
        <v>2285</v>
      </c>
      <c r="AJ303" s="2" t="str">
        <f>HYPERLINK("http://exon.niaid.nih.gov/transcriptome/Anopheles_sialome/links/CULICOMORPHA/anomel_D7L3-CULICOMORPHA.txt","AGAP008279-PA, partial")</f>
        <v>AGAP008279-PA, partial</v>
      </c>
      <c r="AK303" t="str">
        <f>HYPERLINK("http://www.ncbi.nlm.nih.gov/sutils/blink.cgi?pid=157014908","4E-048")</f>
        <v>4E-048</v>
      </c>
      <c r="AL303" t="str">
        <f>HYPERLINK("http://www.ncbi.nlm.nih.gov/protein/157014908","gi|157014908")</f>
        <v>gi|157014908</v>
      </c>
      <c r="AM303">
        <v>96</v>
      </c>
      <c r="AN303">
        <v>97</v>
      </c>
      <c r="AO303">
        <v>30</v>
      </c>
      <c r="AP303" t="s">
        <v>2285</v>
      </c>
      <c r="AQ303" s="2" t="str">
        <f>HYPERLINK("http://exon.niaid.nih.gov/transcriptome/Anopheles_sialome/links/NR-LIGHT/anomel_D7L3-NR-LIGHT.txt","AGAP008279-PA")</f>
        <v>AGAP008279-PA</v>
      </c>
      <c r="AR303" t="str">
        <f>HYPERLINK("http://www.ncbi.nlm.nih.gov/sutils/blink.cgi?pid=158296846","6E-047")</f>
        <v>6E-047</v>
      </c>
      <c r="AS303" t="str">
        <f>HYPERLINK("http://www.ncbi.nlm.nih.gov/protein/158296846","gi|158296846")</f>
        <v>gi|158296846</v>
      </c>
      <c r="AT303">
        <v>96</v>
      </c>
      <c r="AU303">
        <v>97</v>
      </c>
      <c r="AV303">
        <v>30</v>
      </c>
      <c r="AW303" t="s">
        <v>2285</v>
      </c>
      <c r="AX303" s="2" t="str">
        <f>HYPERLINK("http://exon.niaid.nih.gov/transcriptome/Anopheles_sialome/links/CDD/anomel_D7L3-CDD.txt","cbiO")</f>
        <v>cbiO</v>
      </c>
      <c r="AY303" t="str">
        <f>HYPERLINK("http://www.ncbi.nlm.nih.gov/Structure/cdd/cddsrv.cgi?uid=PRK13637&amp;version=v4.0","0.20")</f>
        <v>0.20</v>
      </c>
      <c r="AZ303" t="s">
        <v>2585</v>
      </c>
      <c r="BA303" s="2" t="str">
        <f>HYPERLINK("http://exon.niaid.nih.gov/transcriptome/Anopheles_sialome/links/KOG/anomel_D7L3-KOG.txt","Leucine-rich repeat protein")</f>
        <v>Leucine-rich repeat protein</v>
      </c>
      <c r="BB303" t="str">
        <f>HYPERLINK("http://www.ncbi.nlm.nih.gov/Structure/cdd/cddsrv.cgi?uid=KOG0473","0.15")</f>
        <v>0.15</v>
      </c>
      <c r="BC303" t="s">
        <v>2304</v>
      </c>
      <c r="BD303" t="str">
        <f>HYPERLINK("http://exon.niaid.nih.gov/transcriptome/Anopheles_sialome/links/KOG/anomel_D7L3-KOG.txt","KOG0473")</f>
        <v>KOG0473</v>
      </c>
      <c r="BE303" t="str">
        <f>HYPERLINK("http://exon.niaid.nih.gov/transcriptome/Anopheles_sialome/links/PFAM/anomel_D7L3-PFAM.txt","Glyco_hydro_81")</f>
        <v>Glyco_hydro_81</v>
      </c>
      <c r="BF303" t="str">
        <f>HYPERLINK("http://pfam.sanger.ac.uk/family?acc=PF03639","0.81")</f>
        <v>0.81</v>
      </c>
      <c r="BG303" s="2" t="str">
        <f>HYPERLINK("http://exon.niaid.nih.gov/transcriptome/Anopheles_sialome/links/SMART/anomel_D7L3-SMART.txt","RasGEF")</f>
        <v>RasGEF</v>
      </c>
      <c r="BH303" t="str">
        <f>HYPERLINK("http://smart.embl-heidelberg.de/smart/do_annotation.pl?DOMAIN=RasGEF&amp;BLAST=DUMMY","0.98")</f>
        <v>0.98</v>
      </c>
      <c r="BI303" t="s">
        <v>128</v>
      </c>
      <c r="BJ303" s="2" t="s">
        <v>128</v>
      </c>
      <c r="BK303" t="s">
        <v>1192</v>
      </c>
      <c r="BL303">
        <f>HYPERLINK("http://exon.niaid.nih.gov/transcriptome/Anopheles_sialome/links/cluster-b/anopheline-sialome-cds-pep-larger-orf25-50SimCLU6.txt", 6)</f>
        <v>6</v>
      </c>
      <c r="BM303">
        <f>HYPERLINK("http://exon.niaid.nih.gov/transcriptome/Anopheles_sialome/links/cluster-b/anopheline-sialome-cds-pep-larger-orf25-50SimCLTL6.txt", 44)</f>
        <v>44</v>
      </c>
      <c r="BN303">
        <f>HYPERLINK("http://exon.niaid.nih.gov/transcriptome/Anopheles_sialome/links/cluster-b/anopheline-sialome-cds-pep-larger-orf30-50SimCLU5.txt", 5)</f>
        <v>5</v>
      </c>
      <c r="BO303">
        <f>HYPERLINK("http://exon.niaid.nih.gov/transcriptome/Anopheles_sialome/links/cluster-b/anopheline-sialome-cds-pep-larger-orf30-50SimCLTL5.txt", 44)</f>
        <v>44</v>
      </c>
      <c r="BP303">
        <f>HYPERLINK("http://exon.niaid.nih.gov/transcriptome/Anopheles_sialome/links/cluster-b/anopheline-sialome-cds-pep-larger-orf35-50SimCLU6.txt", 6)</f>
        <v>6</v>
      </c>
      <c r="BQ303">
        <f>HYPERLINK("http://exon.niaid.nih.gov/transcriptome/Anopheles_sialome/links/cluster-b/anopheline-sialome-cds-pep-larger-orf35-50SimCLTL6.txt", 44)</f>
        <v>44</v>
      </c>
      <c r="BR303">
        <f>HYPERLINK("http://exon.niaid.nih.gov/transcriptome/Anopheles_sialome/links/cluster-b/anopheline-sialome-cds-pep-larger-orf40-50SimCLU4.txt", 4)</f>
        <v>4</v>
      </c>
      <c r="BS303">
        <f>HYPERLINK("http://exon.niaid.nih.gov/transcriptome/Anopheles_sialome/links/cluster-b/anopheline-sialome-cds-pep-larger-orf40-50SimCLTL4.txt", 44)</f>
        <v>44</v>
      </c>
      <c r="BT303">
        <f>HYPERLINK("http://exon.niaid.nih.gov/transcriptome/Anopheles_sialome/links/cluster-b/anopheline-sialome-cds-pep-larger-orf45-50SimCLU19.txt", 19)</f>
        <v>19</v>
      </c>
      <c r="BU303">
        <f>HYPERLINK("http://exon.niaid.nih.gov/transcriptome/Anopheles_sialome/links/cluster-b/anopheline-sialome-cds-pep-larger-orf45-50SimCLTL19.txt", 18)</f>
        <v>18</v>
      </c>
      <c r="BV303">
        <f>HYPERLINK("http://exon.niaid.nih.gov/transcriptome/Anopheles_sialome/links/cluster-b/anopheline-sialome-cds-pep-larger-orf50-50SimCLU18.txt", 18)</f>
        <v>18</v>
      </c>
      <c r="BW303">
        <f>HYPERLINK("http://exon.niaid.nih.gov/transcriptome/Anopheles_sialome/links/cluster-b/anopheline-sialome-cds-pep-larger-orf50-50SimCLTL18.txt", 18)</f>
        <v>18</v>
      </c>
      <c r="BX303">
        <f>HYPERLINK("http://exon.niaid.nih.gov/transcriptome/Anopheles_sialome/links/cluster-b/anopheline-sialome-cds-pep-larger-orf55-50SimCLU19.txt", 19)</f>
        <v>19</v>
      </c>
      <c r="BY303">
        <f>HYPERLINK("http://exon.niaid.nih.gov/transcriptome/Anopheles_sialome/links/cluster-b/anopheline-sialome-cds-pep-larger-orf55-50SimCLTL19.txt", 18)</f>
        <v>18</v>
      </c>
      <c r="BZ303">
        <f>HYPERLINK("http://exon.niaid.nih.gov/transcriptome/Anopheles_sialome/links/cluster-b/anopheline-sialome-cds-pep-larger-orf60-50SimCLU18.txt", 18)</f>
        <v>18</v>
      </c>
      <c r="CA303">
        <f>HYPERLINK("http://exon.niaid.nih.gov/transcriptome/Anopheles_sialome/links/cluster-b/anopheline-sialome-cds-pep-larger-orf60-50SimCLTL18.txt", 18)</f>
        <v>18</v>
      </c>
      <c r="CB303">
        <f>HYPERLINK("http://exon.niaid.nih.gov/transcriptome/Anopheles_sialome/links/cluster-b/anopheline-sialome-cds-pep-larger-orf65-50SimCLU23.txt", 23)</f>
        <v>23</v>
      </c>
      <c r="CC303">
        <f>HYPERLINK("http://exon.niaid.nih.gov/transcriptome/Anopheles_sialome/links/cluster-b/anopheline-sialome-cds-pep-larger-orf65-50SimCLTL23.txt", 16)</f>
        <v>16</v>
      </c>
      <c r="CD303">
        <f>HYPERLINK("http://exon.niaid.nih.gov/transcriptome/Anopheles_sialome/links/cluster-b/anopheline-sialome-cds-pep-larger-orf70-50SimCLU29.txt", 29)</f>
        <v>29</v>
      </c>
      <c r="CE303">
        <f>HYPERLINK("http://exon.niaid.nih.gov/transcriptome/Anopheles_sialome/links/cluster-b/anopheline-sialome-cds-pep-larger-orf70-50SimCLTL29.txt", 14)</f>
        <v>14</v>
      </c>
      <c r="CF303">
        <f>HYPERLINK("http://exon.niaid.nih.gov/transcriptome/Anopheles_sialome/links/cluster-b/anopheline-sialome-cds-pep-larger-orf75-50SimCLU22.txt", 22)</f>
        <v>22</v>
      </c>
      <c r="CG303">
        <f>HYPERLINK("http://exon.niaid.nih.gov/transcriptome/Anopheles_sialome/links/cluster-b/anopheline-sialome-cds-pep-larger-orf75-50SimCLTL22.txt", 14)</f>
        <v>14</v>
      </c>
      <c r="CH303">
        <f>HYPERLINK("http://exon.niaid.nih.gov/transcriptome/Anopheles_sialome/links/cluster-b/anopheline-sialome-cds-pep-larger-orf80-50SimCLU26.txt", 26)</f>
        <v>26</v>
      </c>
      <c r="CI303">
        <f>HYPERLINK("http://exon.niaid.nih.gov/transcriptome/Anopheles_sialome/links/cluster-b/anopheline-sialome-cds-pep-larger-orf80-50SimCLTL26.txt", 8)</f>
        <v>8</v>
      </c>
      <c r="CJ303">
        <f>HYPERLINK("http://exon.niaid.nih.gov/transcriptome/Anopheles_sialome/links/cluster-b/anopheline-sialome-cds-pep-larger-orf85-50SimCLU29.txt", 29)</f>
        <v>29</v>
      </c>
      <c r="CK303">
        <f>HYPERLINK("http://exon.niaid.nih.gov/transcriptome/Anopheles_sialome/links/cluster-b/anopheline-sialome-cds-pep-larger-orf85-50SimCLTL29.txt", 6)</f>
        <v>6</v>
      </c>
      <c r="CL303">
        <f>HYPERLINK("http://exon.niaid.nih.gov/transcriptome/Anopheles_sialome/links/cluster-b/anopheline-sialome-cds-pep-larger-orf90-50SimCLU42.txt", 42)</f>
        <v>42</v>
      </c>
      <c r="CM303">
        <f>HYPERLINK("http://exon.niaid.nih.gov/transcriptome/Anopheles_sialome/links/cluster-b/anopheline-sialome-cds-pep-larger-orf90-50SimCLTL42.txt", 5)</f>
        <v>5</v>
      </c>
      <c r="CN303">
        <f>HYPERLINK("http://exon.niaid.nih.gov/transcriptome/Anopheles_sialome/links/cluster-b/anopheline-sialome-cds-pep-larger-orf95-50SimCLU34.txt", 34)</f>
        <v>34</v>
      </c>
      <c r="CO303">
        <f>HYPERLINK("http://exon.niaid.nih.gov/transcriptome/Anopheles_sialome/links/cluster-b/anopheline-sialome-cds-pep-larger-orf95-50SimCLTL34.txt", 5)</f>
        <v>5</v>
      </c>
    </row>
    <row r="304" spans="1:93">
      <c r="A304" s="2" t="str">
        <f>HYPERLINK("http://exon.niaid.nih.gov/transcriptome/Anopheles_sialome/links/cds/anochris_D7L3-cds.txt","anochris_D7L3")</f>
        <v>anochris_D7L3</v>
      </c>
      <c r="B304">
        <v>870</v>
      </c>
      <c r="C304" t="s">
        <v>4</v>
      </c>
      <c r="D304" s="8" t="s">
        <v>3178</v>
      </c>
      <c r="E304" t="s">
        <v>5</v>
      </c>
      <c r="F304" t="s">
        <v>1</v>
      </c>
      <c r="G304" t="str">
        <f>HYPERLINK("http://exon.niaid.nih.gov/transcriptome/Anopheles_sialome/links/pep/anochris_D7L3-pep.txt","anochris_D7L3")</f>
        <v>anochris_D7L3</v>
      </c>
      <c r="H304">
        <v>289</v>
      </c>
      <c r="I304">
        <v>0</v>
      </c>
      <c r="J304" s="3" t="str">
        <f>HYPERLINK("http://exon.niaid.nih.gov/transcriptome/Anopheles_sialome/links/Sigp/anochris_D7L3-SigP.txt","SIG")</f>
        <v>SIG</v>
      </c>
      <c r="K304" t="s">
        <v>715</v>
      </c>
      <c r="L304">
        <v>33.661000000000001</v>
      </c>
      <c r="M304">
        <v>5</v>
      </c>
      <c r="N304">
        <v>30.981999999999999</v>
      </c>
      <c r="O304">
        <v>4.88</v>
      </c>
      <c r="P304" t="s">
        <v>1195</v>
      </c>
      <c r="Q304" s="3">
        <v>0</v>
      </c>
      <c r="R304" t="s">
        <v>128</v>
      </c>
      <c r="S304" t="s">
        <v>128</v>
      </c>
      <c r="T304" t="s">
        <v>128</v>
      </c>
      <c r="U304" t="s">
        <v>128</v>
      </c>
      <c r="V304" t="s">
        <v>128</v>
      </c>
      <c r="W304" s="3" t="str">
        <f>HYPERLINK("http://exon.niaid.nih.gov/transcriptome/Anopheles_sialome/links/netoglyc/anochris_D7L3-netoglyc.txt","1")</f>
        <v>1</v>
      </c>
      <c r="X304">
        <v>14.2</v>
      </c>
      <c r="Y304">
        <v>3.5</v>
      </c>
      <c r="Z304">
        <v>3.8</v>
      </c>
      <c r="AA304" t="s">
        <v>654</v>
      </c>
      <c r="AB304" t="s">
        <v>128</v>
      </c>
      <c r="AC304" s="2" t="str">
        <f>HYPERLINK("http://exon.niaid.nih.gov/transcriptome/Anopheles_sialome/links/DIPTERA/anochris_D7L3-DIPTERA.txt","hypothetical protein AND_010075")</f>
        <v>hypothetical protein AND_010075</v>
      </c>
      <c r="AD304" t="str">
        <f>HYPERLINK("http://www.ncbi.nlm.nih.gov/sutils/blink.cgi?pid=568248508","3E-044")</f>
        <v>3E-044</v>
      </c>
      <c r="AE304" t="str">
        <f>HYPERLINK("http://www.ncbi.nlm.nih.gov/protein/568248508","gi|568248508")</f>
        <v>gi|568248508</v>
      </c>
      <c r="AF304">
        <v>37</v>
      </c>
      <c r="AG304">
        <v>48</v>
      </c>
      <c r="AH304">
        <v>96</v>
      </c>
      <c r="AI304" t="s">
        <v>2283</v>
      </c>
      <c r="AJ304" s="2" t="str">
        <f>HYPERLINK("http://exon.niaid.nih.gov/transcriptome/Anopheles_sialome/links/CULICOMORPHA/anochris_D7L3-CULICOMORPHA.txt","hypothetical protein AND_010075")</f>
        <v>hypothetical protein AND_010075</v>
      </c>
      <c r="AK304" t="str">
        <f>HYPERLINK("http://www.ncbi.nlm.nih.gov/sutils/blink.cgi?pid=568248508","5E-045")</f>
        <v>5E-045</v>
      </c>
      <c r="AL304" t="str">
        <f>HYPERLINK("http://www.ncbi.nlm.nih.gov/protein/568248508","gi|568248508")</f>
        <v>gi|568248508</v>
      </c>
      <c r="AM304">
        <v>37</v>
      </c>
      <c r="AN304">
        <v>48</v>
      </c>
      <c r="AO304">
        <v>96</v>
      </c>
      <c r="AP304" t="s">
        <v>2283</v>
      </c>
      <c r="AQ304" s="2" t="str">
        <f>HYPERLINK("http://exon.niaid.nih.gov/transcriptome/Anopheles_sialome/links/NR-LIGHT/anochris_D7L3-NR-LIGHT.txt","hypothetical protein AND_010075")</f>
        <v>hypothetical protein AND_010075</v>
      </c>
      <c r="AR304" t="str">
        <f>HYPERLINK("http://www.ncbi.nlm.nih.gov/sutils/blink.cgi?pid=568248508","8E-044")</f>
        <v>8E-044</v>
      </c>
      <c r="AS304" t="str">
        <f>HYPERLINK("http://www.ncbi.nlm.nih.gov/protein/568248508","gi|568248508")</f>
        <v>gi|568248508</v>
      </c>
      <c r="AT304">
        <v>37</v>
      </c>
      <c r="AU304">
        <v>48</v>
      </c>
      <c r="AV304">
        <v>96</v>
      </c>
      <c r="AW304" t="s">
        <v>2283</v>
      </c>
      <c r="AX304" s="2" t="str">
        <f>HYPERLINK("http://exon.niaid.nih.gov/transcriptome/Anopheles_sialome/links/CDD/anochris_D7L3-CDD.txt","PRK11829")</f>
        <v>PRK11829</v>
      </c>
      <c r="AY304" t="str">
        <f>HYPERLINK("http://www.ncbi.nlm.nih.gov/Structure/cdd/cddsrv.cgi?uid=PRK11829&amp;version=v4.0","2.8")</f>
        <v>2.8</v>
      </c>
      <c r="AZ304" t="s">
        <v>2586</v>
      </c>
      <c r="BA304" s="2" t="str">
        <f>HYPERLINK("http://exon.niaid.nih.gov/transcriptome/Anopheles_sialome/links/KOG/anochris_D7L3-KOG.txt","Glyoxylase")</f>
        <v>Glyoxylase</v>
      </c>
      <c r="BB304" t="str">
        <f>HYPERLINK("http://www.ncbi.nlm.nih.gov/Structure/cdd/cddsrv.cgi?uid=KOG0813","0.19")</f>
        <v>0.19</v>
      </c>
      <c r="BC304" t="s">
        <v>2310</v>
      </c>
      <c r="BD304" t="str">
        <f>HYPERLINK("http://exon.niaid.nih.gov/transcriptome/Anopheles_sialome/links/KOG/anochris_D7L3-KOG.txt","KOG0813")</f>
        <v>KOG0813</v>
      </c>
      <c r="BE304" t="str">
        <f>HYPERLINK("http://exon.niaid.nih.gov/transcriptome/Anopheles_sialome/links/PFAM/anochris_D7L3-PFAM.txt","DUF4015")</f>
        <v>DUF4015</v>
      </c>
      <c r="BF304" t="str">
        <f>HYPERLINK("http://pfam.sanger.ac.uk/family?acc=PF13200","0.68")</f>
        <v>0.68</v>
      </c>
      <c r="BG304" s="2" t="str">
        <f>HYPERLINK("http://exon.niaid.nih.gov/transcriptome/Anopheles_sialome/links/SMART/anochris_D7L3-SMART.txt","DM11")</f>
        <v>DM11</v>
      </c>
      <c r="BH304" t="str">
        <f>HYPERLINK("http://smart.embl-heidelberg.de/smart/do_annotation.pl?DOMAIN=DM11&amp;BLAST=DUMMY","2.2")</f>
        <v>2.2</v>
      </c>
      <c r="BI304" t="s">
        <v>128</v>
      </c>
      <c r="BJ304" s="2" t="s">
        <v>128</v>
      </c>
      <c r="BK304" t="s">
        <v>1194</v>
      </c>
      <c r="BL304">
        <f>HYPERLINK("http://exon.niaid.nih.gov/transcriptome/Anopheles_sialome/links/cluster-b/anopheline-sialome-cds-pep-larger-orf25-50SimCLU6.txt", 6)</f>
        <v>6</v>
      </c>
      <c r="BM304">
        <f>HYPERLINK("http://exon.niaid.nih.gov/transcriptome/Anopheles_sialome/links/cluster-b/anopheline-sialome-cds-pep-larger-orf25-50SimCLTL6.txt", 44)</f>
        <v>44</v>
      </c>
      <c r="BN304">
        <f>HYPERLINK("http://exon.niaid.nih.gov/transcriptome/Anopheles_sialome/links/cluster-b/anopheline-sialome-cds-pep-larger-orf30-50SimCLU5.txt", 5)</f>
        <v>5</v>
      </c>
      <c r="BO304">
        <f>HYPERLINK("http://exon.niaid.nih.gov/transcriptome/Anopheles_sialome/links/cluster-b/anopheline-sialome-cds-pep-larger-orf30-50SimCLTL5.txt", 44)</f>
        <v>44</v>
      </c>
      <c r="BP304">
        <f>HYPERLINK("http://exon.niaid.nih.gov/transcriptome/Anopheles_sialome/links/cluster-b/anopheline-sialome-cds-pep-larger-orf35-50SimCLU6.txt", 6)</f>
        <v>6</v>
      </c>
      <c r="BQ304">
        <f>HYPERLINK("http://exon.niaid.nih.gov/transcriptome/Anopheles_sialome/links/cluster-b/anopheline-sialome-cds-pep-larger-orf35-50SimCLTL6.txt", 44)</f>
        <v>44</v>
      </c>
      <c r="BR304">
        <f>HYPERLINK("http://exon.niaid.nih.gov/transcriptome/Anopheles_sialome/links/cluster-b/anopheline-sialome-cds-pep-larger-orf40-50SimCLU4.txt", 4)</f>
        <v>4</v>
      </c>
      <c r="BS304">
        <f>HYPERLINK("http://exon.niaid.nih.gov/transcriptome/Anopheles_sialome/links/cluster-b/anopheline-sialome-cds-pep-larger-orf40-50SimCLTL4.txt", 44)</f>
        <v>44</v>
      </c>
      <c r="BT304">
        <f>HYPERLINK("http://exon.niaid.nih.gov/transcriptome/Anopheles_sialome/links/cluster-b/anopheline-sialome-cds-pep-larger-orf45-50SimCLU19.txt", 19)</f>
        <v>19</v>
      </c>
      <c r="BU304">
        <f>HYPERLINK("http://exon.niaid.nih.gov/transcriptome/Anopheles_sialome/links/cluster-b/anopheline-sialome-cds-pep-larger-orf45-50SimCLTL19.txt", 18)</f>
        <v>18</v>
      </c>
      <c r="BV304">
        <f>HYPERLINK("http://exon.niaid.nih.gov/transcriptome/Anopheles_sialome/links/cluster-b/anopheline-sialome-cds-pep-larger-orf50-50SimCLU18.txt", 18)</f>
        <v>18</v>
      </c>
      <c r="BW304">
        <f>HYPERLINK("http://exon.niaid.nih.gov/transcriptome/Anopheles_sialome/links/cluster-b/anopheline-sialome-cds-pep-larger-orf50-50SimCLTL18.txt", 18)</f>
        <v>18</v>
      </c>
      <c r="BX304">
        <f>HYPERLINK("http://exon.niaid.nih.gov/transcriptome/Anopheles_sialome/links/cluster-b/anopheline-sialome-cds-pep-larger-orf55-50SimCLU19.txt", 19)</f>
        <v>19</v>
      </c>
      <c r="BY304">
        <f>HYPERLINK("http://exon.niaid.nih.gov/transcriptome/Anopheles_sialome/links/cluster-b/anopheline-sialome-cds-pep-larger-orf55-50SimCLTL19.txt", 18)</f>
        <v>18</v>
      </c>
      <c r="BZ304">
        <f>HYPERLINK("http://exon.niaid.nih.gov/transcriptome/Anopheles_sialome/links/cluster-b/anopheline-sialome-cds-pep-larger-orf60-50SimCLU18.txt", 18)</f>
        <v>18</v>
      </c>
      <c r="CA304">
        <f>HYPERLINK("http://exon.niaid.nih.gov/transcriptome/Anopheles_sialome/links/cluster-b/anopheline-sialome-cds-pep-larger-orf60-50SimCLTL18.txt", 18)</f>
        <v>18</v>
      </c>
      <c r="CB304">
        <f>HYPERLINK("http://exon.niaid.nih.gov/transcriptome/Anopheles_sialome/links/cluster-b/anopheline-sialome-cds-pep-larger-orf65-50SimCLU23.txt", 23)</f>
        <v>23</v>
      </c>
      <c r="CC304">
        <f>HYPERLINK("http://exon.niaid.nih.gov/transcriptome/Anopheles_sialome/links/cluster-b/anopheline-sialome-cds-pep-larger-orf65-50SimCLTL23.txt", 16)</f>
        <v>16</v>
      </c>
      <c r="CD304">
        <f>HYPERLINK("http://exon.niaid.nih.gov/transcriptome/Anopheles_sialome/links/cluster-b/anopheline-sialome-cds-pep-larger-orf70-50SimCLU29.txt", 29)</f>
        <v>29</v>
      </c>
      <c r="CE304">
        <f>HYPERLINK("http://exon.niaid.nih.gov/transcriptome/Anopheles_sialome/links/cluster-b/anopheline-sialome-cds-pep-larger-orf70-50SimCLTL29.txt", 14)</f>
        <v>14</v>
      </c>
      <c r="CF304">
        <f>HYPERLINK("http://exon.niaid.nih.gov/transcriptome/Anopheles_sialome/links/cluster-b/anopheline-sialome-cds-pep-larger-orf75-50SimCLU22.txt", 22)</f>
        <v>22</v>
      </c>
      <c r="CG304">
        <f>HYPERLINK("http://exon.niaid.nih.gov/transcriptome/Anopheles_sialome/links/cluster-b/anopheline-sialome-cds-pep-larger-orf75-50SimCLTL22.txt", 14)</f>
        <v>14</v>
      </c>
      <c r="CH304">
        <f>HYPERLINK("http://exon.niaid.nih.gov/transcriptome/Anopheles_sialome/links/cluster-b/anopheline-sialome-cds-pep-larger-orf80-50SimCLU26.txt", 26)</f>
        <v>26</v>
      </c>
      <c r="CI304">
        <f>HYPERLINK("http://exon.niaid.nih.gov/transcriptome/Anopheles_sialome/links/cluster-b/anopheline-sialome-cds-pep-larger-orf80-50SimCLTL26.txt", 8)</f>
        <v>8</v>
      </c>
      <c r="CJ304">
        <v>161</v>
      </c>
      <c r="CK304">
        <v>1</v>
      </c>
      <c r="CL304">
        <v>196</v>
      </c>
      <c r="CM304">
        <v>1</v>
      </c>
      <c r="CN304">
        <v>217</v>
      </c>
      <c r="CO304">
        <v>1</v>
      </c>
    </row>
    <row r="305" spans="1:93">
      <c r="A305" s="2" t="str">
        <f>HYPERLINK("http://exon.niaid.nih.gov/transcriptome/Anopheles_sialome/links/cds/anoepi_D7L3-cds.txt","anoepi_D7L3")</f>
        <v>anoepi_D7L3</v>
      </c>
      <c r="B305">
        <v>864</v>
      </c>
      <c r="C305" t="s">
        <v>4</v>
      </c>
      <c r="D305" s="8" t="s">
        <v>3178</v>
      </c>
      <c r="E305" t="s">
        <v>5</v>
      </c>
      <c r="F305" t="s">
        <v>1</v>
      </c>
      <c r="G305" t="str">
        <f>HYPERLINK("http://exon.niaid.nih.gov/transcriptome/Anopheles_sialome/links/pep/anoepi_D7L3-pep.txt","anoepi_D7L3")</f>
        <v>anoepi_D7L3</v>
      </c>
      <c r="H305">
        <v>287</v>
      </c>
      <c r="I305">
        <v>0</v>
      </c>
      <c r="J305" s="3" t="str">
        <f>HYPERLINK("http://exon.niaid.nih.gov/transcriptome/Anopheles_sialome/links/Sigp/anoepi_D7L3-SigP.txt","SIG")</f>
        <v>SIG</v>
      </c>
      <c r="K305" t="s">
        <v>1182</v>
      </c>
      <c r="L305">
        <v>33.177999999999997</v>
      </c>
      <c r="M305">
        <v>5.24</v>
      </c>
      <c r="N305">
        <v>30.407</v>
      </c>
      <c r="O305">
        <v>5.08</v>
      </c>
      <c r="P305" t="s">
        <v>1197</v>
      </c>
      <c r="Q305" s="3">
        <v>0</v>
      </c>
      <c r="R305" t="s">
        <v>128</v>
      </c>
      <c r="S305" t="s">
        <v>128</v>
      </c>
      <c r="T305" t="s">
        <v>128</v>
      </c>
      <c r="U305" t="s">
        <v>128</v>
      </c>
      <c r="V305" t="s">
        <v>128</v>
      </c>
      <c r="W305" s="3" t="str">
        <f>HYPERLINK("http://exon.niaid.nih.gov/transcriptome/Anopheles_sialome/links/netoglyc/anoepi_D7L3-netoglyc.txt","0")</f>
        <v>0</v>
      </c>
      <c r="X305">
        <v>12.5</v>
      </c>
      <c r="Y305">
        <v>3.8</v>
      </c>
      <c r="Z305">
        <v>3.1</v>
      </c>
      <c r="AA305" t="s">
        <v>654</v>
      </c>
      <c r="AB305" t="s">
        <v>128</v>
      </c>
      <c r="AC305" s="2" t="str">
        <f>HYPERLINK("http://exon.niaid.nih.gov/transcriptome/Anopheles_sialome/links/DIPTERA/anoepi_D7L3-DIPTERA.txt","AGAP008279-PA, partial")</f>
        <v>AGAP008279-PA, partial</v>
      </c>
      <c r="AD305" t="str">
        <f>HYPERLINK("http://www.ncbi.nlm.nih.gov/sutils/blink.cgi?pid=157014908","1E-035")</f>
        <v>1E-035</v>
      </c>
      <c r="AE305" t="str">
        <f>HYPERLINK("http://www.ncbi.nlm.nih.gov/protein/157014908","gi|157014908")</f>
        <v>gi|157014908</v>
      </c>
      <c r="AF305">
        <v>74</v>
      </c>
      <c r="AG305">
        <v>86</v>
      </c>
      <c r="AH305">
        <v>30</v>
      </c>
      <c r="AI305" t="s">
        <v>2285</v>
      </c>
      <c r="AJ305" s="2" t="str">
        <f>HYPERLINK("http://exon.niaid.nih.gov/transcriptome/Anopheles_sialome/links/CULICOMORPHA/anoepi_D7L3-CULICOMORPHA.txt","AGAP008279-PA, partial")</f>
        <v>AGAP008279-PA, partial</v>
      </c>
      <c r="AK305" t="str">
        <f>HYPERLINK("http://www.ncbi.nlm.nih.gov/sutils/blink.cgi?pid=157014908","3E-036")</f>
        <v>3E-036</v>
      </c>
      <c r="AL305" t="str">
        <f>HYPERLINK("http://www.ncbi.nlm.nih.gov/protein/157014908","gi|157014908")</f>
        <v>gi|157014908</v>
      </c>
      <c r="AM305">
        <v>74</v>
      </c>
      <c r="AN305">
        <v>86</v>
      </c>
      <c r="AO305">
        <v>30</v>
      </c>
      <c r="AP305" t="s">
        <v>2285</v>
      </c>
      <c r="AQ305" s="2" t="str">
        <f>HYPERLINK("http://exon.niaid.nih.gov/transcriptome/Anopheles_sialome/links/NR-LIGHT/anoepi_D7L3-NR-LIGHT.txt","AGAP008279-PA")</f>
        <v>AGAP008279-PA</v>
      </c>
      <c r="AR305" t="str">
        <f>HYPERLINK("http://www.ncbi.nlm.nih.gov/sutils/blink.cgi?pid=158296846","4E-035")</f>
        <v>4E-035</v>
      </c>
      <c r="AS305" t="str">
        <f>HYPERLINK("http://www.ncbi.nlm.nih.gov/protein/158296846","gi|158296846")</f>
        <v>gi|158296846</v>
      </c>
      <c r="AT305">
        <v>74</v>
      </c>
      <c r="AU305">
        <v>86</v>
      </c>
      <c r="AV305">
        <v>30</v>
      </c>
      <c r="AW305" t="s">
        <v>2285</v>
      </c>
      <c r="AX305" s="2" t="str">
        <f>HYPERLINK("http://exon.niaid.nih.gov/transcriptome/Anopheles_sialome/links/CDD/anoepi_D7L3-CDD.txt","Pox_E6")</f>
        <v>Pox_E6</v>
      </c>
      <c r="AY305" t="str">
        <f>HYPERLINK("http://www.ncbi.nlm.nih.gov/Structure/cdd/cddsrv.cgi?uid=pfam04656&amp;version=v4.0","0.84")</f>
        <v>0.84</v>
      </c>
      <c r="AZ305" t="s">
        <v>2587</v>
      </c>
      <c r="BA305" s="2" t="str">
        <f>HYPERLINK("http://exon.niaid.nih.gov/transcriptome/Anopheles_sialome/links/KOG/anoepi_D7L3-KOG.txt","RNA Helicase")</f>
        <v>RNA Helicase</v>
      </c>
      <c r="BB305" t="str">
        <f>HYPERLINK("http://www.ncbi.nlm.nih.gov/Structure/cdd/cddsrv.cgi?uid=KOG0343","1.7")</f>
        <v>1.7</v>
      </c>
      <c r="BC305" t="s">
        <v>2464</v>
      </c>
      <c r="BD305" t="str">
        <f>HYPERLINK("http://exon.niaid.nih.gov/transcriptome/Anopheles_sialome/links/KOG/anoepi_D7L3-KOG.txt","KOG0343")</f>
        <v>KOG0343</v>
      </c>
      <c r="BE305" t="str">
        <f>HYPERLINK("http://exon.niaid.nih.gov/transcriptome/Anopheles_sialome/links/PFAM/anoepi_D7L3-PFAM.txt","Pox_E6")</f>
        <v>Pox_E6</v>
      </c>
      <c r="BF305" t="str">
        <f>HYPERLINK("http://pfam.sanger.ac.uk/family?acc=PF04656","0.17")</f>
        <v>0.17</v>
      </c>
      <c r="BG305" s="2" t="str">
        <f>HYPERLINK("http://exon.niaid.nih.gov/transcriptome/Anopheles_sialome/links/SMART/anoepi_D7L3-SMART.txt","PhBP")</f>
        <v>PhBP</v>
      </c>
      <c r="BH305" t="str">
        <f>HYPERLINK("http://smart.embl-heidelberg.de/smart/do_annotation.pl?DOMAIN=PhBP&amp;BLAST=DUMMY","4.1")</f>
        <v>4.1</v>
      </c>
      <c r="BI305" t="s">
        <v>128</v>
      </c>
      <c r="BJ305" s="2" t="s">
        <v>128</v>
      </c>
      <c r="BK305" t="s">
        <v>1196</v>
      </c>
      <c r="BL305">
        <f>HYPERLINK("http://exon.niaid.nih.gov/transcriptome/Anopheles_sialome/links/cluster-b/anopheline-sialome-cds-pep-larger-orf25-50SimCLU6.txt", 6)</f>
        <v>6</v>
      </c>
      <c r="BM305">
        <f>HYPERLINK("http://exon.niaid.nih.gov/transcriptome/Anopheles_sialome/links/cluster-b/anopheline-sialome-cds-pep-larger-orf25-50SimCLTL6.txt", 44)</f>
        <v>44</v>
      </c>
      <c r="BN305">
        <f>HYPERLINK("http://exon.niaid.nih.gov/transcriptome/Anopheles_sialome/links/cluster-b/anopheline-sialome-cds-pep-larger-orf30-50SimCLU5.txt", 5)</f>
        <v>5</v>
      </c>
      <c r="BO305">
        <f>HYPERLINK("http://exon.niaid.nih.gov/transcriptome/Anopheles_sialome/links/cluster-b/anopheline-sialome-cds-pep-larger-orf30-50SimCLTL5.txt", 44)</f>
        <v>44</v>
      </c>
      <c r="BP305">
        <f>HYPERLINK("http://exon.niaid.nih.gov/transcriptome/Anopheles_sialome/links/cluster-b/anopheline-sialome-cds-pep-larger-orf35-50SimCLU6.txt", 6)</f>
        <v>6</v>
      </c>
      <c r="BQ305">
        <f>HYPERLINK("http://exon.niaid.nih.gov/transcriptome/Anopheles_sialome/links/cluster-b/anopheline-sialome-cds-pep-larger-orf35-50SimCLTL6.txt", 44)</f>
        <v>44</v>
      </c>
      <c r="BR305">
        <f>HYPERLINK("http://exon.niaid.nih.gov/transcriptome/Anopheles_sialome/links/cluster-b/anopheline-sialome-cds-pep-larger-orf40-50SimCLU4.txt", 4)</f>
        <v>4</v>
      </c>
      <c r="BS305">
        <f>HYPERLINK("http://exon.niaid.nih.gov/transcriptome/Anopheles_sialome/links/cluster-b/anopheline-sialome-cds-pep-larger-orf40-50SimCLTL4.txt", 44)</f>
        <v>44</v>
      </c>
      <c r="BT305">
        <f>HYPERLINK("http://exon.niaid.nih.gov/transcriptome/Anopheles_sialome/links/cluster-b/anopheline-sialome-cds-pep-larger-orf45-50SimCLU19.txt", 19)</f>
        <v>19</v>
      </c>
      <c r="BU305">
        <f>HYPERLINK("http://exon.niaid.nih.gov/transcriptome/Anopheles_sialome/links/cluster-b/anopheline-sialome-cds-pep-larger-orf45-50SimCLTL19.txt", 18)</f>
        <v>18</v>
      </c>
      <c r="BV305">
        <f>HYPERLINK("http://exon.niaid.nih.gov/transcriptome/Anopheles_sialome/links/cluster-b/anopheline-sialome-cds-pep-larger-orf50-50SimCLU18.txt", 18)</f>
        <v>18</v>
      </c>
      <c r="BW305">
        <f>HYPERLINK("http://exon.niaid.nih.gov/transcriptome/Anopheles_sialome/links/cluster-b/anopheline-sialome-cds-pep-larger-orf50-50SimCLTL18.txt", 18)</f>
        <v>18</v>
      </c>
      <c r="BX305">
        <f>HYPERLINK("http://exon.niaid.nih.gov/transcriptome/Anopheles_sialome/links/cluster-b/anopheline-sialome-cds-pep-larger-orf55-50SimCLU19.txt", 19)</f>
        <v>19</v>
      </c>
      <c r="BY305">
        <f>HYPERLINK("http://exon.niaid.nih.gov/transcriptome/Anopheles_sialome/links/cluster-b/anopheline-sialome-cds-pep-larger-orf55-50SimCLTL19.txt", 18)</f>
        <v>18</v>
      </c>
      <c r="BZ305">
        <f>HYPERLINK("http://exon.niaid.nih.gov/transcriptome/Anopheles_sialome/links/cluster-b/anopheline-sialome-cds-pep-larger-orf60-50SimCLU18.txt", 18)</f>
        <v>18</v>
      </c>
      <c r="CA305">
        <f>HYPERLINK("http://exon.niaid.nih.gov/transcriptome/Anopheles_sialome/links/cluster-b/anopheline-sialome-cds-pep-larger-orf60-50SimCLTL18.txt", 18)</f>
        <v>18</v>
      </c>
      <c r="CB305">
        <f>HYPERLINK("http://exon.niaid.nih.gov/transcriptome/Anopheles_sialome/links/cluster-b/anopheline-sialome-cds-pep-larger-orf65-50SimCLU23.txt", 23)</f>
        <v>23</v>
      </c>
      <c r="CC305">
        <f>HYPERLINK("http://exon.niaid.nih.gov/transcriptome/Anopheles_sialome/links/cluster-b/anopheline-sialome-cds-pep-larger-orf65-50SimCLTL23.txt", 16)</f>
        <v>16</v>
      </c>
      <c r="CD305">
        <f>HYPERLINK("http://exon.niaid.nih.gov/transcriptome/Anopheles_sialome/links/cluster-b/anopheline-sialome-cds-pep-larger-orf70-50SimCLU29.txt", 29)</f>
        <v>29</v>
      </c>
      <c r="CE305">
        <f>HYPERLINK("http://exon.niaid.nih.gov/transcriptome/Anopheles_sialome/links/cluster-b/anopheline-sialome-cds-pep-larger-orf70-50SimCLTL29.txt", 14)</f>
        <v>14</v>
      </c>
      <c r="CF305">
        <f>HYPERLINK("http://exon.niaid.nih.gov/transcriptome/Anopheles_sialome/links/cluster-b/anopheline-sialome-cds-pep-larger-orf75-50SimCLU22.txt", 22)</f>
        <v>22</v>
      </c>
      <c r="CG305">
        <f>HYPERLINK("http://exon.niaid.nih.gov/transcriptome/Anopheles_sialome/links/cluster-b/anopheline-sialome-cds-pep-larger-orf75-50SimCLTL22.txt", 14)</f>
        <v>14</v>
      </c>
      <c r="CH305">
        <f>HYPERLINK("http://exon.niaid.nih.gov/transcriptome/Anopheles_sialome/links/cluster-b/anopheline-sialome-cds-pep-larger-orf80-50SimCLU26.txt", 26)</f>
        <v>26</v>
      </c>
      <c r="CI305">
        <f>HYPERLINK("http://exon.niaid.nih.gov/transcriptome/Anopheles_sialome/links/cluster-b/anopheline-sialome-cds-pep-larger-orf80-50SimCLTL26.txt", 8)</f>
        <v>8</v>
      </c>
      <c r="CJ305">
        <v>162</v>
      </c>
      <c r="CK305">
        <v>1</v>
      </c>
      <c r="CL305">
        <v>197</v>
      </c>
      <c r="CM305">
        <v>1</v>
      </c>
      <c r="CN305">
        <v>218</v>
      </c>
      <c r="CO305">
        <v>1</v>
      </c>
    </row>
    <row r="306" spans="1:93">
      <c r="A306" s="2" t="str">
        <f>HYPERLINK("http://exon.niaid.nih.gov/transcriptome/Anopheles_sialome/links/cds/anofun_D7L3-cds.txt","anofun_D7L3")</f>
        <v>anofun_D7L3</v>
      </c>
      <c r="B306">
        <v>897</v>
      </c>
      <c r="C306" t="s">
        <v>213</v>
      </c>
      <c r="D306" t="s">
        <v>7</v>
      </c>
      <c r="E306" t="s">
        <v>5</v>
      </c>
      <c r="F306" t="s">
        <v>1</v>
      </c>
      <c r="G306" t="str">
        <f>HYPERLINK("http://exon.niaid.nih.gov/transcriptome/Anopheles_sialome/links/pep/anofun_D7L3-pep.txt","anofun_D7L3")</f>
        <v>anofun_D7L3</v>
      </c>
      <c r="H306">
        <v>298</v>
      </c>
      <c r="I306">
        <v>0</v>
      </c>
      <c r="J306" s="3" t="str">
        <f>HYPERLINK("http://exon.niaid.nih.gov/transcriptome/Anopheles_sialome/links/Sigp/anofun_D7L3-SigP.txt","SIG")</f>
        <v>SIG</v>
      </c>
      <c r="K306" t="s">
        <v>1199</v>
      </c>
      <c r="L306">
        <v>34.601999999999997</v>
      </c>
      <c r="M306">
        <v>4.45</v>
      </c>
      <c r="N306">
        <v>31.390999999999998</v>
      </c>
      <c r="O306">
        <v>4.38</v>
      </c>
      <c r="P306" t="s">
        <v>1200</v>
      </c>
      <c r="Q306" s="3">
        <v>0</v>
      </c>
      <c r="R306" t="s">
        <v>128</v>
      </c>
      <c r="S306" t="s">
        <v>128</v>
      </c>
      <c r="T306" t="s">
        <v>128</v>
      </c>
      <c r="U306" t="s">
        <v>128</v>
      </c>
      <c r="V306" t="s">
        <v>128</v>
      </c>
      <c r="W306" s="3" t="str">
        <f>HYPERLINK("http://exon.niaid.nih.gov/transcriptome/Anopheles_sialome/links/netoglyc/anofun_D7L3-netoglyc.txt","0")</f>
        <v>0</v>
      </c>
      <c r="X306">
        <v>12.4</v>
      </c>
      <c r="Y306">
        <v>3.7</v>
      </c>
      <c r="Z306">
        <v>2</v>
      </c>
      <c r="AA306" t="s">
        <v>654</v>
      </c>
      <c r="AB306" t="s">
        <v>128</v>
      </c>
      <c r="AC306" s="2" t="str">
        <f>HYPERLINK("http://exon.niaid.nih.gov/transcriptome/Anopheles_sialome/links/DIPTERA/anofun_D7L3-DIPTERA.txt","hypothetical protein AND_010075")</f>
        <v>hypothetical protein AND_010075</v>
      </c>
      <c r="AD306" t="str">
        <f>HYPERLINK("http://www.ncbi.nlm.nih.gov/sutils/blink.cgi?pid=568248508","1E-039")</f>
        <v>1E-039</v>
      </c>
      <c r="AE306" t="str">
        <f t="shared" ref="AE306:AE311" si="135">HYPERLINK("http://www.ncbi.nlm.nih.gov/protein/568248508","gi|568248508")</f>
        <v>gi|568248508</v>
      </c>
      <c r="AF306">
        <v>33</v>
      </c>
      <c r="AG306">
        <v>45</v>
      </c>
      <c r="AH306">
        <v>103</v>
      </c>
      <c r="AI306" t="s">
        <v>2283</v>
      </c>
      <c r="AJ306" s="2" t="str">
        <f>HYPERLINK("http://exon.niaid.nih.gov/transcriptome/Anopheles_sialome/links/CULICOMORPHA/anofun_D7L3-CULICOMORPHA.txt","hypothetical protein AND_010075")</f>
        <v>hypothetical protein AND_010075</v>
      </c>
      <c r="AK306" t="str">
        <f>HYPERLINK("http://www.ncbi.nlm.nih.gov/sutils/blink.cgi?pid=568248508","2E-040")</f>
        <v>2E-040</v>
      </c>
      <c r="AL306" t="str">
        <f t="shared" ref="AL306:AL311" si="136">HYPERLINK("http://www.ncbi.nlm.nih.gov/protein/568248508","gi|568248508")</f>
        <v>gi|568248508</v>
      </c>
      <c r="AM306">
        <v>33</v>
      </c>
      <c r="AN306">
        <v>45</v>
      </c>
      <c r="AO306">
        <v>103</v>
      </c>
      <c r="AP306" t="s">
        <v>2283</v>
      </c>
      <c r="AQ306" s="2" t="str">
        <f>HYPERLINK("http://exon.niaid.nih.gov/transcriptome/Anopheles_sialome/links/NR-LIGHT/anofun_D7L3-NR-LIGHT.txt","hypothetical protein AND_010075")</f>
        <v>hypothetical protein AND_010075</v>
      </c>
      <c r="AR306" t="str">
        <f>HYPERLINK("http://www.ncbi.nlm.nih.gov/sutils/blink.cgi?pid=568248508","3E-039")</f>
        <v>3E-039</v>
      </c>
      <c r="AS306" t="str">
        <f t="shared" ref="AS306:AS311" si="137">HYPERLINK("http://www.ncbi.nlm.nih.gov/protein/568248508","gi|568248508")</f>
        <v>gi|568248508</v>
      </c>
      <c r="AT306">
        <v>33</v>
      </c>
      <c r="AU306">
        <v>45</v>
      </c>
      <c r="AV306">
        <v>103</v>
      </c>
      <c r="AW306" t="s">
        <v>2283</v>
      </c>
      <c r="AX306" s="2" t="str">
        <f>HYPERLINK("http://exon.niaid.nih.gov/transcriptome/Anopheles_sialome/links/CDD/anofun_D7L3-CDD.txt","PBP_GOBP")</f>
        <v>PBP_GOBP</v>
      </c>
      <c r="AY306" t="str">
        <f>HYPERLINK("http://www.ncbi.nlm.nih.gov/Structure/cdd/cddsrv.cgi?uid=pfam01395&amp;version=v4.0","0.23")</f>
        <v>0.23</v>
      </c>
      <c r="AZ306" t="s">
        <v>2588</v>
      </c>
      <c r="BA306" s="2" t="str">
        <f>HYPERLINK("http://exon.niaid.nih.gov/transcriptome/Anopheles_sialome/links/KOG/anofun_D7L3-KOG.txt","Predicted cleavage and polyadenylation specificity factor (CPSF subunit)")</f>
        <v>Predicted cleavage and polyadenylation specificity factor (CPSF subunit)</v>
      </c>
      <c r="BB306" t="str">
        <f>HYPERLINK("http://www.ncbi.nlm.nih.gov/Structure/cdd/cddsrv.cgi?uid=KOG1138","1.3")</f>
        <v>1.3</v>
      </c>
      <c r="BC306" t="s">
        <v>2464</v>
      </c>
      <c r="BD306" t="str">
        <f>HYPERLINK("http://exon.niaid.nih.gov/transcriptome/Anopheles_sialome/links/KOG/anofun_D7L3-KOG.txt","KOG1138")</f>
        <v>KOG1138</v>
      </c>
      <c r="BE306" t="str">
        <f>HYPERLINK("http://exon.niaid.nih.gov/transcriptome/Anopheles_sialome/links/PFAM/anofun_D7L3-PFAM.txt","PBP_GOBP")</f>
        <v>PBP_GOBP</v>
      </c>
      <c r="BF306" t="str">
        <f>HYPERLINK("http://pfam.sanger.ac.uk/family?acc=PF01395","0.047")</f>
        <v>0.047</v>
      </c>
      <c r="BG306" s="2" t="str">
        <f>HYPERLINK("http://exon.niaid.nih.gov/transcriptome/Anopheles_sialome/links/SMART/anofun_D7L3-SMART.txt","PhBP")</f>
        <v>PhBP</v>
      </c>
      <c r="BH306" t="str">
        <f>HYPERLINK("http://smart.embl-heidelberg.de/smart/do_annotation.pl?DOMAIN=PhBP&amp;BLAST=DUMMY","0.13")</f>
        <v>0.13</v>
      </c>
      <c r="BI306" t="s">
        <v>128</v>
      </c>
      <c r="BJ306" s="2" t="s">
        <v>128</v>
      </c>
      <c r="BK306" t="s">
        <v>1198</v>
      </c>
      <c r="BL306">
        <f>HYPERLINK("http://exon.niaid.nih.gov/transcriptome/Anopheles_sialome/links/cluster-b/anopheline-sialome-cds-pep-larger-orf25-50SimCLU6.txt", 6)</f>
        <v>6</v>
      </c>
      <c r="BM306">
        <f>HYPERLINK("http://exon.niaid.nih.gov/transcriptome/Anopheles_sialome/links/cluster-b/anopheline-sialome-cds-pep-larger-orf25-50SimCLTL6.txt", 44)</f>
        <v>44</v>
      </c>
      <c r="BN306">
        <f>HYPERLINK("http://exon.niaid.nih.gov/transcriptome/Anopheles_sialome/links/cluster-b/anopheline-sialome-cds-pep-larger-orf30-50SimCLU5.txt", 5)</f>
        <v>5</v>
      </c>
      <c r="BO306">
        <f>HYPERLINK("http://exon.niaid.nih.gov/transcriptome/Anopheles_sialome/links/cluster-b/anopheline-sialome-cds-pep-larger-orf30-50SimCLTL5.txt", 44)</f>
        <v>44</v>
      </c>
      <c r="BP306">
        <f>HYPERLINK("http://exon.niaid.nih.gov/transcriptome/Anopheles_sialome/links/cluster-b/anopheline-sialome-cds-pep-larger-orf35-50SimCLU6.txt", 6)</f>
        <v>6</v>
      </c>
      <c r="BQ306">
        <f>HYPERLINK("http://exon.niaid.nih.gov/transcriptome/Anopheles_sialome/links/cluster-b/anopheline-sialome-cds-pep-larger-orf35-50SimCLTL6.txt", 44)</f>
        <v>44</v>
      </c>
      <c r="BR306">
        <f>HYPERLINK("http://exon.niaid.nih.gov/transcriptome/Anopheles_sialome/links/cluster-b/anopheline-sialome-cds-pep-larger-orf40-50SimCLU4.txt", 4)</f>
        <v>4</v>
      </c>
      <c r="BS306">
        <f>HYPERLINK("http://exon.niaid.nih.gov/transcriptome/Anopheles_sialome/links/cluster-b/anopheline-sialome-cds-pep-larger-orf40-50SimCLTL4.txt", 44)</f>
        <v>44</v>
      </c>
      <c r="BT306">
        <f>HYPERLINK("http://exon.niaid.nih.gov/transcriptome/Anopheles_sialome/links/cluster-b/anopheline-sialome-cds-pep-larger-orf45-50SimCLU19.txt", 19)</f>
        <v>19</v>
      </c>
      <c r="BU306">
        <f>HYPERLINK("http://exon.niaid.nih.gov/transcriptome/Anopheles_sialome/links/cluster-b/anopheline-sialome-cds-pep-larger-orf45-50SimCLTL19.txt", 18)</f>
        <v>18</v>
      </c>
      <c r="BV306">
        <f>HYPERLINK("http://exon.niaid.nih.gov/transcriptome/Anopheles_sialome/links/cluster-b/anopheline-sialome-cds-pep-larger-orf50-50SimCLU18.txt", 18)</f>
        <v>18</v>
      </c>
      <c r="BW306">
        <f>HYPERLINK("http://exon.niaid.nih.gov/transcriptome/Anopheles_sialome/links/cluster-b/anopheline-sialome-cds-pep-larger-orf50-50SimCLTL18.txt", 18)</f>
        <v>18</v>
      </c>
      <c r="BX306">
        <f>HYPERLINK("http://exon.niaid.nih.gov/transcriptome/Anopheles_sialome/links/cluster-b/anopheline-sialome-cds-pep-larger-orf55-50SimCLU19.txt", 19)</f>
        <v>19</v>
      </c>
      <c r="BY306">
        <f>HYPERLINK("http://exon.niaid.nih.gov/transcriptome/Anopheles_sialome/links/cluster-b/anopheline-sialome-cds-pep-larger-orf55-50SimCLTL19.txt", 18)</f>
        <v>18</v>
      </c>
      <c r="BZ306">
        <f>HYPERLINK("http://exon.niaid.nih.gov/transcriptome/Anopheles_sialome/links/cluster-b/anopheline-sialome-cds-pep-larger-orf60-50SimCLU18.txt", 18)</f>
        <v>18</v>
      </c>
      <c r="CA306">
        <f>HYPERLINK("http://exon.niaid.nih.gov/transcriptome/Anopheles_sialome/links/cluster-b/anopheline-sialome-cds-pep-larger-orf60-50SimCLTL18.txt", 18)</f>
        <v>18</v>
      </c>
      <c r="CB306">
        <f>HYPERLINK("http://exon.niaid.nih.gov/transcriptome/Anopheles_sialome/links/cluster-b/anopheline-sialome-cds-pep-larger-orf65-50SimCLU23.txt", 23)</f>
        <v>23</v>
      </c>
      <c r="CC306">
        <f>HYPERLINK("http://exon.niaid.nih.gov/transcriptome/Anopheles_sialome/links/cluster-b/anopheline-sialome-cds-pep-larger-orf65-50SimCLTL23.txt", 16)</f>
        <v>16</v>
      </c>
      <c r="CD306">
        <f>HYPERLINK("http://exon.niaid.nih.gov/transcriptome/Anopheles_sialome/links/cluster-b/anopheline-sialome-cds-pep-larger-orf70-50SimCLU29.txt", 29)</f>
        <v>29</v>
      </c>
      <c r="CE306">
        <f>HYPERLINK("http://exon.niaid.nih.gov/transcriptome/Anopheles_sialome/links/cluster-b/anopheline-sialome-cds-pep-larger-orf70-50SimCLTL29.txt", 14)</f>
        <v>14</v>
      </c>
      <c r="CF306">
        <f>HYPERLINK("http://exon.niaid.nih.gov/transcriptome/Anopheles_sialome/links/cluster-b/anopheline-sialome-cds-pep-larger-orf75-50SimCLU22.txt", 22)</f>
        <v>22</v>
      </c>
      <c r="CG306">
        <f>HYPERLINK("http://exon.niaid.nih.gov/transcriptome/Anopheles_sialome/links/cluster-b/anopheline-sialome-cds-pep-larger-orf75-50SimCLTL22.txt", 14)</f>
        <v>14</v>
      </c>
      <c r="CH306">
        <f>HYPERLINK("http://exon.niaid.nih.gov/transcriptome/Anopheles_sialome/links/cluster-b/anopheline-sialome-cds-pep-larger-orf80-50SimCLU54.txt", 54)</f>
        <v>54</v>
      </c>
      <c r="CI306">
        <f>HYPERLINK("http://exon.niaid.nih.gov/transcriptome/Anopheles_sialome/links/cluster-b/anopheline-sialome-cds-pep-larger-orf80-50SimCLTL54.txt", 3)</f>
        <v>3</v>
      </c>
      <c r="CJ306">
        <v>163</v>
      </c>
      <c r="CK306">
        <v>1</v>
      </c>
      <c r="CL306">
        <v>198</v>
      </c>
      <c r="CM306">
        <v>1</v>
      </c>
      <c r="CN306">
        <v>219</v>
      </c>
      <c r="CO306">
        <v>1</v>
      </c>
    </row>
    <row r="307" spans="1:93">
      <c r="A307" s="2" t="str">
        <f>HYPERLINK("http://exon.niaid.nih.gov/transcriptome/Anopheles_sialome/links/cds/anomin_D7L3-cds.txt","anomin_D7L3")</f>
        <v>anomin_D7L3</v>
      </c>
      <c r="B307">
        <v>870</v>
      </c>
      <c r="C307" t="s">
        <v>214</v>
      </c>
      <c r="D307" t="s">
        <v>7</v>
      </c>
      <c r="E307" t="s">
        <v>5</v>
      </c>
      <c r="F307" t="s">
        <v>1</v>
      </c>
      <c r="G307" t="str">
        <f>HYPERLINK("http://exon.niaid.nih.gov/transcriptome/Anopheles_sialome/links/pep/anomin_D7L3-pep.txt","anomin_D7L3")</f>
        <v>anomin_D7L3</v>
      </c>
      <c r="H307">
        <v>289</v>
      </c>
      <c r="I307">
        <v>0</v>
      </c>
      <c r="J307" s="3" t="str">
        <f>HYPERLINK("http://exon.niaid.nih.gov/transcriptome/Anopheles_sialome/links/Sigp/anomin_D7L3-SigP.txt","SIG")</f>
        <v>SIG</v>
      </c>
      <c r="K307" t="s">
        <v>695</v>
      </c>
      <c r="L307">
        <v>33.256</v>
      </c>
      <c r="M307">
        <v>4.87</v>
      </c>
      <c r="N307">
        <v>30.908000000000001</v>
      </c>
      <c r="O307">
        <v>4.82</v>
      </c>
      <c r="P307" t="s">
        <v>1202</v>
      </c>
      <c r="Q307" s="3">
        <v>0</v>
      </c>
      <c r="R307" t="s">
        <v>128</v>
      </c>
      <c r="S307" t="s">
        <v>128</v>
      </c>
      <c r="T307" t="s">
        <v>128</v>
      </c>
      <c r="U307" t="s">
        <v>128</v>
      </c>
      <c r="V307" t="s">
        <v>128</v>
      </c>
      <c r="W307" s="3" t="str">
        <f>HYPERLINK("http://exon.niaid.nih.gov/transcriptome/Anopheles_sialome/links/netoglyc/anomin_D7L3-netoglyc.txt","0")</f>
        <v>0</v>
      </c>
      <c r="X307">
        <v>11.8</v>
      </c>
      <c r="Y307">
        <v>4.2</v>
      </c>
      <c r="Z307">
        <v>2.4</v>
      </c>
      <c r="AA307" t="s">
        <v>654</v>
      </c>
      <c r="AB307" t="s">
        <v>128</v>
      </c>
      <c r="AC307" s="2" t="str">
        <f>HYPERLINK("http://exon.niaid.nih.gov/transcriptome/Anopheles_sialome/links/DIPTERA/anomin_D7L3-DIPTERA.txt","hypothetical protein AND_010075")</f>
        <v>hypothetical protein AND_010075</v>
      </c>
      <c r="AD307" t="str">
        <f>HYPERLINK("http://www.ncbi.nlm.nih.gov/sutils/blink.cgi?pid=568248508","6E-040")</f>
        <v>6E-040</v>
      </c>
      <c r="AE307" t="str">
        <f>HYPERLINK("http://www.ncbi.nlm.nih.gov/protein/568248508","gi|568248508")</f>
        <v>gi|568248508</v>
      </c>
      <c r="AF307">
        <v>34</v>
      </c>
      <c r="AG307">
        <v>46</v>
      </c>
      <c r="AH307">
        <v>107</v>
      </c>
      <c r="AI307" t="s">
        <v>2283</v>
      </c>
      <c r="AJ307" s="2" t="str">
        <f>HYPERLINK("http://exon.niaid.nih.gov/transcriptome/Anopheles_sialome/links/CULICOMORPHA/anomin_D7L3-CULICOMORPHA.txt","hypothetical protein AND_010075")</f>
        <v>hypothetical protein AND_010075</v>
      </c>
      <c r="AK307" t="str">
        <f>HYPERLINK("http://www.ncbi.nlm.nih.gov/sutils/blink.cgi?pid=568248508","1E-040")</f>
        <v>1E-040</v>
      </c>
      <c r="AL307" t="str">
        <f>HYPERLINK("http://www.ncbi.nlm.nih.gov/protein/568248508","gi|568248508")</f>
        <v>gi|568248508</v>
      </c>
      <c r="AM307">
        <v>34</v>
      </c>
      <c r="AN307">
        <v>46</v>
      </c>
      <c r="AO307">
        <v>107</v>
      </c>
      <c r="AP307" t="s">
        <v>2283</v>
      </c>
      <c r="AQ307" s="2" t="str">
        <f>HYPERLINK("http://exon.niaid.nih.gov/transcriptome/Anopheles_sialome/links/NR-LIGHT/anomin_D7L3-NR-LIGHT.txt","hypothetical protein AND_010075")</f>
        <v>hypothetical protein AND_010075</v>
      </c>
      <c r="AR307" t="str">
        <f>HYPERLINK("http://www.ncbi.nlm.nih.gov/sutils/blink.cgi?pid=568248508","2E-039")</f>
        <v>2E-039</v>
      </c>
      <c r="AS307" t="str">
        <f>HYPERLINK("http://www.ncbi.nlm.nih.gov/protein/568248508","gi|568248508")</f>
        <v>gi|568248508</v>
      </c>
      <c r="AT307">
        <v>34</v>
      </c>
      <c r="AU307">
        <v>46</v>
      </c>
      <c r="AV307">
        <v>107</v>
      </c>
      <c r="AW307" t="s">
        <v>2283</v>
      </c>
      <c r="AX307" s="2" t="str">
        <f>HYPERLINK("http://exon.niaid.nih.gov/transcriptome/Anopheles_sialome/links/CDD/anomin_D7L3-CDD.txt","PBP_GOBP")</f>
        <v>PBP_GOBP</v>
      </c>
      <c r="AY307" t="str">
        <f>HYPERLINK("http://www.ncbi.nlm.nih.gov/Structure/cdd/cddsrv.cgi?uid=pfam01395&amp;version=v4.0","0.13")</f>
        <v>0.13</v>
      </c>
      <c r="AZ307" t="s">
        <v>2589</v>
      </c>
      <c r="BA307" s="2" t="str">
        <f>HYPERLINK("http://exon.niaid.nih.gov/transcriptome/Anopheles_sialome/links/KOG/anomin_D7L3-KOG.txt","Peroxisomal long-chain acyl-CoA transporter, ABC superfamily")</f>
        <v>Peroxisomal long-chain acyl-CoA transporter, ABC superfamily</v>
      </c>
      <c r="BB307" t="str">
        <f>HYPERLINK("http://www.ncbi.nlm.nih.gov/Structure/cdd/cddsrv.cgi?uid=KOG0064","0.40")</f>
        <v>0.40</v>
      </c>
      <c r="BC307" t="s">
        <v>2298</v>
      </c>
      <c r="BD307" t="str">
        <f>HYPERLINK("http://exon.niaid.nih.gov/transcriptome/Anopheles_sialome/links/KOG/anomin_D7L3-KOG.txt","KOG0064")</f>
        <v>KOG0064</v>
      </c>
      <c r="BE307" t="str">
        <f>HYPERLINK("http://exon.niaid.nih.gov/transcriptome/Anopheles_sialome/links/PFAM/anomin_D7L3-PFAM.txt","PBP_GOBP")</f>
        <v>PBP_GOBP</v>
      </c>
      <c r="BF307" t="str">
        <f>HYPERLINK("http://pfam.sanger.ac.uk/family?acc=PF01395","0.026")</f>
        <v>0.026</v>
      </c>
      <c r="BG307" s="2" t="str">
        <f>HYPERLINK("http://exon.niaid.nih.gov/transcriptome/Anopheles_sialome/links/SMART/anomin_D7L3-SMART.txt","PhBP")</f>
        <v>PhBP</v>
      </c>
      <c r="BH307" t="str">
        <f>HYPERLINK("http://smart.embl-heidelberg.de/smart/do_annotation.pl?DOMAIN=PhBP&amp;BLAST=DUMMY","0.18")</f>
        <v>0.18</v>
      </c>
      <c r="BI307" t="s">
        <v>128</v>
      </c>
      <c r="BJ307" s="2" t="s">
        <v>128</v>
      </c>
      <c r="BK307" t="s">
        <v>1201</v>
      </c>
      <c r="BL307">
        <f>HYPERLINK("http://exon.niaid.nih.gov/transcriptome/Anopheles_sialome/links/cluster-b/anopheline-sialome-cds-pep-larger-orf25-50SimCLU6.txt", 6)</f>
        <v>6</v>
      </c>
      <c r="BM307">
        <f>HYPERLINK("http://exon.niaid.nih.gov/transcriptome/Anopheles_sialome/links/cluster-b/anopheline-sialome-cds-pep-larger-orf25-50SimCLTL6.txt", 44)</f>
        <v>44</v>
      </c>
      <c r="BN307">
        <f>HYPERLINK("http://exon.niaid.nih.gov/transcriptome/Anopheles_sialome/links/cluster-b/anopheline-sialome-cds-pep-larger-orf30-50SimCLU5.txt", 5)</f>
        <v>5</v>
      </c>
      <c r="BO307">
        <f>HYPERLINK("http://exon.niaid.nih.gov/transcriptome/Anopheles_sialome/links/cluster-b/anopheline-sialome-cds-pep-larger-orf30-50SimCLTL5.txt", 44)</f>
        <v>44</v>
      </c>
      <c r="BP307">
        <f>HYPERLINK("http://exon.niaid.nih.gov/transcriptome/Anopheles_sialome/links/cluster-b/anopheline-sialome-cds-pep-larger-orf35-50SimCLU6.txt", 6)</f>
        <v>6</v>
      </c>
      <c r="BQ307">
        <f>HYPERLINK("http://exon.niaid.nih.gov/transcriptome/Anopheles_sialome/links/cluster-b/anopheline-sialome-cds-pep-larger-orf35-50SimCLTL6.txt", 44)</f>
        <v>44</v>
      </c>
      <c r="BR307">
        <f>HYPERLINK("http://exon.niaid.nih.gov/transcriptome/Anopheles_sialome/links/cluster-b/anopheline-sialome-cds-pep-larger-orf40-50SimCLU4.txt", 4)</f>
        <v>4</v>
      </c>
      <c r="BS307">
        <f>HYPERLINK("http://exon.niaid.nih.gov/transcriptome/Anopheles_sialome/links/cluster-b/anopheline-sialome-cds-pep-larger-orf40-50SimCLTL4.txt", 44)</f>
        <v>44</v>
      </c>
      <c r="BT307">
        <f>HYPERLINK("http://exon.niaid.nih.gov/transcriptome/Anopheles_sialome/links/cluster-b/anopheline-sialome-cds-pep-larger-orf45-50SimCLU19.txt", 19)</f>
        <v>19</v>
      </c>
      <c r="BU307">
        <f>HYPERLINK("http://exon.niaid.nih.gov/transcriptome/Anopheles_sialome/links/cluster-b/anopheline-sialome-cds-pep-larger-orf45-50SimCLTL19.txt", 18)</f>
        <v>18</v>
      </c>
      <c r="BV307">
        <f>HYPERLINK("http://exon.niaid.nih.gov/transcriptome/Anopheles_sialome/links/cluster-b/anopheline-sialome-cds-pep-larger-orf50-50SimCLU18.txt", 18)</f>
        <v>18</v>
      </c>
      <c r="BW307">
        <f>HYPERLINK("http://exon.niaid.nih.gov/transcriptome/Anopheles_sialome/links/cluster-b/anopheline-sialome-cds-pep-larger-orf50-50SimCLTL18.txt", 18)</f>
        <v>18</v>
      </c>
      <c r="BX307">
        <f>HYPERLINK("http://exon.niaid.nih.gov/transcriptome/Anopheles_sialome/links/cluster-b/anopheline-sialome-cds-pep-larger-orf55-50SimCLU19.txt", 19)</f>
        <v>19</v>
      </c>
      <c r="BY307">
        <f>HYPERLINK("http://exon.niaid.nih.gov/transcriptome/Anopheles_sialome/links/cluster-b/anopheline-sialome-cds-pep-larger-orf55-50SimCLTL19.txt", 18)</f>
        <v>18</v>
      </c>
      <c r="BZ307">
        <f>HYPERLINK("http://exon.niaid.nih.gov/transcriptome/Anopheles_sialome/links/cluster-b/anopheline-sialome-cds-pep-larger-orf60-50SimCLU18.txt", 18)</f>
        <v>18</v>
      </c>
      <c r="CA307">
        <f>HYPERLINK("http://exon.niaid.nih.gov/transcriptome/Anopheles_sialome/links/cluster-b/anopheline-sialome-cds-pep-larger-orf60-50SimCLTL18.txt", 18)</f>
        <v>18</v>
      </c>
      <c r="CB307">
        <f>HYPERLINK("http://exon.niaid.nih.gov/transcriptome/Anopheles_sialome/links/cluster-b/anopheline-sialome-cds-pep-larger-orf65-50SimCLU23.txt", 23)</f>
        <v>23</v>
      </c>
      <c r="CC307">
        <f>HYPERLINK("http://exon.niaid.nih.gov/transcriptome/Anopheles_sialome/links/cluster-b/anopheline-sialome-cds-pep-larger-orf65-50SimCLTL23.txt", 16)</f>
        <v>16</v>
      </c>
      <c r="CD307">
        <f>HYPERLINK("http://exon.niaid.nih.gov/transcriptome/Anopheles_sialome/links/cluster-b/anopheline-sialome-cds-pep-larger-orf70-50SimCLU29.txt", 29)</f>
        <v>29</v>
      </c>
      <c r="CE307">
        <f>HYPERLINK("http://exon.niaid.nih.gov/transcriptome/Anopheles_sialome/links/cluster-b/anopheline-sialome-cds-pep-larger-orf70-50SimCLTL29.txt", 14)</f>
        <v>14</v>
      </c>
      <c r="CF307">
        <f>HYPERLINK("http://exon.niaid.nih.gov/transcriptome/Anopheles_sialome/links/cluster-b/anopheline-sialome-cds-pep-larger-orf75-50SimCLU22.txt", 22)</f>
        <v>22</v>
      </c>
      <c r="CG307">
        <f>HYPERLINK("http://exon.niaid.nih.gov/transcriptome/Anopheles_sialome/links/cluster-b/anopheline-sialome-cds-pep-larger-orf75-50SimCLTL22.txt", 14)</f>
        <v>14</v>
      </c>
      <c r="CH307">
        <f>HYPERLINK("http://exon.niaid.nih.gov/transcriptome/Anopheles_sialome/links/cluster-b/anopheline-sialome-cds-pep-larger-orf80-50SimCLU54.txt", 54)</f>
        <v>54</v>
      </c>
      <c r="CI307">
        <f>HYPERLINK("http://exon.niaid.nih.gov/transcriptome/Anopheles_sialome/links/cluster-b/anopheline-sialome-cds-pep-larger-orf80-50SimCLTL54.txt", 3)</f>
        <v>3</v>
      </c>
      <c r="CJ307">
        <f>HYPERLINK("http://exon.niaid.nih.gov/transcriptome/Anopheles_sialome/links/cluster-b/anopheline-sialome-cds-pep-larger-orf85-50SimCLU77.txt", 77)</f>
        <v>77</v>
      </c>
      <c r="CK307">
        <f>HYPERLINK("http://exon.niaid.nih.gov/transcriptome/Anopheles_sialome/links/cluster-b/anopheline-sialome-cds-pep-larger-orf85-50SimCLTL77.txt", 2)</f>
        <v>2</v>
      </c>
      <c r="CL307">
        <v>199</v>
      </c>
      <c r="CM307">
        <v>1</v>
      </c>
      <c r="CN307">
        <v>220</v>
      </c>
      <c r="CO307">
        <v>1</v>
      </c>
    </row>
    <row r="308" spans="1:93">
      <c r="A308" s="2" t="str">
        <f>HYPERLINK("http://exon.niaid.nih.gov/transcriptome/Anopheles_sialome/links/cds/anocul_D7L3-cds.txt","anocul_D7L3")</f>
        <v>anocul_D7L3</v>
      </c>
      <c r="B308">
        <v>870</v>
      </c>
      <c r="C308" t="s">
        <v>215</v>
      </c>
      <c r="D308" t="s">
        <v>7</v>
      </c>
      <c r="E308" t="s">
        <v>5</v>
      </c>
      <c r="F308" t="s">
        <v>1</v>
      </c>
      <c r="G308" t="str">
        <f>HYPERLINK("http://exon.niaid.nih.gov/transcriptome/Anopheles_sialome/links/pep/anocul_D7L3-pep.txt","anocul_D7L3")</f>
        <v>anocul_D7L3</v>
      </c>
      <c r="H308">
        <v>289</v>
      </c>
      <c r="I308">
        <v>0</v>
      </c>
      <c r="J308" s="3" t="str">
        <f>HYPERLINK("http://exon.niaid.nih.gov/transcriptome/Anopheles_sialome/links/Sigp/anocul_D7L3-SigP.txt","SIG")</f>
        <v>SIG</v>
      </c>
      <c r="K308" t="s">
        <v>695</v>
      </c>
      <c r="L308">
        <v>33.654000000000003</v>
      </c>
      <c r="M308">
        <v>4.71</v>
      </c>
      <c r="N308">
        <v>31.187999999999999</v>
      </c>
      <c r="O308">
        <v>4.58</v>
      </c>
      <c r="P308" t="s">
        <v>1204</v>
      </c>
      <c r="Q308" s="3">
        <v>0</v>
      </c>
      <c r="R308" t="s">
        <v>128</v>
      </c>
      <c r="S308" t="s">
        <v>128</v>
      </c>
      <c r="T308" t="s">
        <v>128</v>
      </c>
      <c r="U308" t="s">
        <v>128</v>
      </c>
      <c r="V308" t="s">
        <v>128</v>
      </c>
      <c r="W308" s="3" t="str">
        <f>HYPERLINK("http://exon.niaid.nih.gov/transcriptome/Anopheles_sialome/links/netoglyc/anocul_D7L3-netoglyc.txt","0")</f>
        <v>0</v>
      </c>
      <c r="X308">
        <v>11.8</v>
      </c>
      <c r="Y308">
        <v>2.1</v>
      </c>
      <c r="Z308">
        <v>2.8</v>
      </c>
      <c r="AA308" t="s">
        <v>654</v>
      </c>
      <c r="AB308" t="s">
        <v>128</v>
      </c>
      <c r="AC308" s="2" t="str">
        <f>HYPERLINK("http://exon.niaid.nih.gov/transcriptome/Anopheles_sialome/links/DIPTERA/anocul_D7L3-DIPTERA.txt","hypothetical protein AND_010075")</f>
        <v>hypothetical protein AND_010075</v>
      </c>
      <c r="AD308" t="str">
        <f>HYPERLINK("http://www.ncbi.nlm.nih.gov/sutils/blink.cgi?pid=568248508","5E-041")</f>
        <v>5E-041</v>
      </c>
      <c r="AE308" t="str">
        <f t="shared" si="135"/>
        <v>gi|568248508</v>
      </c>
      <c r="AF308">
        <v>33</v>
      </c>
      <c r="AG308">
        <v>46</v>
      </c>
      <c r="AH308">
        <v>105</v>
      </c>
      <c r="AI308" t="s">
        <v>2283</v>
      </c>
      <c r="AJ308" s="2" t="str">
        <f>HYPERLINK("http://exon.niaid.nih.gov/transcriptome/Anopheles_sialome/links/CULICOMORPHA/anocul_D7L3-CULICOMORPHA.txt","hypothetical protein AND_010075")</f>
        <v>hypothetical protein AND_010075</v>
      </c>
      <c r="AK308" t="str">
        <f>HYPERLINK("http://www.ncbi.nlm.nih.gov/sutils/blink.cgi?pid=568248508","9E-042")</f>
        <v>9E-042</v>
      </c>
      <c r="AL308" t="str">
        <f t="shared" si="136"/>
        <v>gi|568248508</v>
      </c>
      <c r="AM308">
        <v>33</v>
      </c>
      <c r="AN308">
        <v>46</v>
      </c>
      <c r="AO308">
        <v>105</v>
      </c>
      <c r="AP308" t="s">
        <v>2283</v>
      </c>
      <c r="AQ308" s="2" t="str">
        <f>HYPERLINK("http://exon.niaid.nih.gov/transcriptome/Anopheles_sialome/links/NR-LIGHT/anocul_D7L3-NR-LIGHT.txt","hypothetical protein AND_010075")</f>
        <v>hypothetical protein AND_010075</v>
      </c>
      <c r="AR308" t="str">
        <f>HYPERLINK("http://www.ncbi.nlm.nih.gov/sutils/blink.cgi?pid=568248508","1E-040")</f>
        <v>1E-040</v>
      </c>
      <c r="AS308" t="str">
        <f t="shared" si="137"/>
        <v>gi|568248508</v>
      </c>
      <c r="AT308">
        <v>33</v>
      </c>
      <c r="AU308">
        <v>46</v>
      </c>
      <c r="AV308">
        <v>105</v>
      </c>
      <c r="AW308" t="s">
        <v>2283</v>
      </c>
      <c r="AX308" s="2" t="str">
        <f>HYPERLINK("http://exon.niaid.nih.gov/transcriptome/Anopheles_sialome/links/CDD/anocul_D7L3-CDD.txt","gatY")</f>
        <v>gatY</v>
      </c>
      <c r="AY308" t="str">
        <f>HYPERLINK("http://www.ncbi.nlm.nih.gov/Structure/cdd/cddsrv.cgi?uid=PRK12737&amp;version=v4.0","0.82")</f>
        <v>0.82</v>
      </c>
      <c r="AZ308" t="s">
        <v>2590</v>
      </c>
      <c r="BA308" s="2" t="str">
        <f>HYPERLINK("http://exon.niaid.nih.gov/transcriptome/Anopheles_sialome/links/KOG/anocul_D7L3-KOG.txt","Uncharacterized conserved protein")</f>
        <v>Uncharacterized conserved protein</v>
      </c>
      <c r="BB308" t="str">
        <f>HYPERLINK("http://www.ncbi.nlm.nih.gov/Structure/cdd/cddsrv.cgi?uid=KOG4611","0.72")</f>
        <v>0.72</v>
      </c>
      <c r="BC308" t="s">
        <v>2304</v>
      </c>
      <c r="BD308" t="str">
        <f>HYPERLINK("http://exon.niaid.nih.gov/transcriptome/Anopheles_sialome/links/KOG/anocul_D7L3-KOG.txt","KOG4611")</f>
        <v>KOG4611</v>
      </c>
      <c r="BE308" t="str">
        <f>HYPERLINK("http://exon.niaid.nih.gov/transcriptome/Anopheles_sialome/links/PFAM/anocul_D7L3-PFAM.txt","F_bP_aldolase")</f>
        <v>F_bP_aldolase</v>
      </c>
      <c r="BF308" t="str">
        <f>HYPERLINK("http://pfam.sanger.ac.uk/family?acc=PF01116","0.31")</f>
        <v>0.31</v>
      </c>
      <c r="BG308" s="2" t="str">
        <f>HYPERLINK("http://exon.niaid.nih.gov/transcriptome/Anopheles_sialome/links/SMART/anocul_D7L3-SMART.txt","PhBP")</f>
        <v>PhBP</v>
      </c>
      <c r="BH308" t="str">
        <f>HYPERLINK("http://smart.embl-heidelberg.de/smart/do_annotation.pl?DOMAIN=PhBP&amp;BLAST=DUMMY","0.13")</f>
        <v>0.13</v>
      </c>
      <c r="BI308" t="s">
        <v>128</v>
      </c>
      <c r="BJ308" s="2" t="s">
        <v>128</v>
      </c>
      <c r="BK308" t="s">
        <v>1203</v>
      </c>
      <c r="BL308">
        <f>HYPERLINK("http://exon.niaid.nih.gov/transcriptome/Anopheles_sialome/links/cluster-b/anopheline-sialome-cds-pep-larger-orf25-50SimCLU6.txt", 6)</f>
        <v>6</v>
      </c>
      <c r="BM308">
        <f>HYPERLINK("http://exon.niaid.nih.gov/transcriptome/Anopheles_sialome/links/cluster-b/anopheline-sialome-cds-pep-larger-orf25-50SimCLTL6.txt", 44)</f>
        <v>44</v>
      </c>
      <c r="BN308">
        <f>HYPERLINK("http://exon.niaid.nih.gov/transcriptome/Anopheles_sialome/links/cluster-b/anopheline-sialome-cds-pep-larger-orf30-50SimCLU5.txt", 5)</f>
        <v>5</v>
      </c>
      <c r="BO308">
        <f>HYPERLINK("http://exon.niaid.nih.gov/transcriptome/Anopheles_sialome/links/cluster-b/anopheline-sialome-cds-pep-larger-orf30-50SimCLTL5.txt", 44)</f>
        <v>44</v>
      </c>
      <c r="BP308">
        <f>HYPERLINK("http://exon.niaid.nih.gov/transcriptome/Anopheles_sialome/links/cluster-b/anopheline-sialome-cds-pep-larger-orf35-50SimCLU6.txt", 6)</f>
        <v>6</v>
      </c>
      <c r="BQ308">
        <f>HYPERLINK("http://exon.niaid.nih.gov/transcriptome/Anopheles_sialome/links/cluster-b/anopheline-sialome-cds-pep-larger-orf35-50SimCLTL6.txt", 44)</f>
        <v>44</v>
      </c>
      <c r="BR308">
        <f>HYPERLINK("http://exon.niaid.nih.gov/transcriptome/Anopheles_sialome/links/cluster-b/anopheline-sialome-cds-pep-larger-orf40-50SimCLU4.txt", 4)</f>
        <v>4</v>
      </c>
      <c r="BS308">
        <f>HYPERLINK("http://exon.niaid.nih.gov/transcriptome/Anopheles_sialome/links/cluster-b/anopheline-sialome-cds-pep-larger-orf40-50SimCLTL4.txt", 44)</f>
        <v>44</v>
      </c>
      <c r="BT308">
        <f>HYPERLINK("http://exon.niaid.nih.gov/transcriptome/Anopheles_sialome/links/cluster-b/anopheline-sialome-cds-pep-larger-orf45-50SimCLU19.txt", 19)</f>
        <v>19</v>
      </c>
      <c r="BU308">
        <f>HYPERLINK("http://exon.niaid.nih.gov/transcriptome/Anopheles_sialome/links/cluster-b/anopheline-sialome-cds-pep-larger-orf45-50SimCLTL19.txt", 18)</f>
        <v>18</v>
      </c>
      <c r="BV308">
        <f>HYPERLINK("http://exon.niaid.nih.gov/transcriptome/Anopheles_sialome/links/cluster-b/anopheline-sialome-cds-pep-larger-orf50-50SimCLU18.txt", 18)</f>
        <v>18</v>
      </c>
      <c r="BW308">
        <f>HYPERLINK("http://exon.niaid.nih.gov/transcriptome/Anopheles_sialome/links/cluster-b/anopheline-sialome-cds-pep-larger-orf50-50SimCLTL18.txt", 18)</f>
        <v>18</v>
      </c>
      <c r="BX308">
        <f>HYPERLINK("http://exon.niaid.nih.gov/transcriptome/Anopheles_sialome/links/cluster-b/anopheline-sialome-cds-pep-larger-orf55-50SimCLU19.txt", 19)</f>
        <v>19</v>
      </c>
      <c r="BY308">
        <f>HYPERLINK("http://exon.niaid.nih.gov/transcriptome/Anopheles_sialome/links/cluster-b/anopheline-sialome-cds-pep-larger-orf55-50SimCLTL19.txt", 18)</f>
        <v>18</v>
      </c>
      <c r="BZ308">
        <f>HYPERLINK("http://exon.niaid.nih.gov/transcriptome/Anopheles_sialome/links/cluster-b/anopheline-sialome-cds-pep-larger-orf60-50SimCLU18.txt", 18)</f>
        <v>18</v>
      </c>
      <c r="CA308">
        <f>HYPERLINK("http://exon.niaid.nih.gov/transcriptome/Anopheles_sialome/links/cluster-b/anopheline-sialome-cds-pep-larger-orf60-50SimCLTL18.txt", 18)</f>
        <v>18</v>
      </c>
      <c r="CB308">
        <f>HYPERLINK("http://exon.niaid.nih.gov/transcriptome/Anopheles_sialome/links/cluster-b/anopheline-sialome-cds-pep-larger-orf65-50SimCLU23.txt", 23)</f>
        <v>23</v>
      </c>
      <c r="CC308">
        <f>HYPERLINK("http://exon.niaid.nih.gov/transcriptome/Anopheles_sialome/links/cluster-b/anopheline-sialome-cds-pep-larger-orf65-50SimCLTL23.txt", 16)</f>
        <v>16</v>
      </c>
      <c r="CD308">
        <f>HYPERLINK("http://exon.niaid.nih.gov/transcriptome/Anopheles_sialome/links/cluster-b/anopheline-sialome-cds-pep-larger-orf70-50SimCLU29.txt", 29)</f>
        <v>29</v>
      </c>
      <c r="CE308">
        <f>HYPERLINK("http://exon.niaid.nih.gov/transcriptome/Anopheles_sialome/links/cluster-b/anopheline-sialome-cds-pep-larger-orf70-50SimCLTL29.txt", 14)</f>
        <v>14</v>
      </c>
      <c r="CF308">
        <f>HYPERLINK("http://exon.niaid.nih.gov/transcriptome/Anopheles_sialome/links/cluster-b/anopheline-sialome-cds-pep-larger-orf75-50SimCLU22.txt", 22)</f>
        <v>22</v>
      </c>
      <c r="CG308">
        <f>HYPERLINK("http://exon.niaid.nih.gov/transcriptome/Anopheles_sialome/links/cluster-b/anopheline-sialome-cds-pep-larger-orf75-50SimCLTL22.txt", 14)</f>
        <v>14</v>
      </c>
      <c r="CH308">
        <f>HYPERLINK("http://exon.niaid.nih.gov/transcriptome/Anopheles_sialome/links/cluster-b/anopheline-sialome-cds-pep-larger-orf80-50SimCLU54.txt", 54)</f>
        <v>54</v>
      </c>
      <c r="CI308">
        <f>HYPERLINK("http://exon.niaid.nih.gov/transcriptome/Anopheles_sialome/links/cluster-b/anopheline-sialome-cds-pep-larger-orf80-50SimCLTL54.txt", 3)</f>
        <v>3</v>
      </c>
      <c r="CJ308">
        <f>HYPERLINK("http://exon.niaid.nih.gov/transcriptome/Anopheles_sialome/links/cluster-b/anopheline-sialome-cds-pep-larger-orf85-50SimCLU77.txt", 77)</f>
        <v>77</v>
      </c>
      <c r="CK308">
        <f>HYPERLINK("http://exon.niaid.nih.gov/transcriptome/Anopheles_sialome/links/cluster-b/anopheline-sialome-cds-pep-larger-orf85-50SimCLTL77.txt", 2)</f>
        <v>2</v>
      </c>
      <c r="CL308">
        <v>200</v>
      </c>
      <c r="CM308">
        <v>1</v>
      </c>
      <c r="CN308">
        <v>221</v>
      </c>
      <c r="CO308">
        <v>1</v>
      </c>
    </row>
    <row r="309" spans="1:93">
      <c r="A309" s="2" t="str">
        <f>HYPERLINK("http://exon.niaid.nih.gov/transcriptome/Anopheles_sialome/links/cds/anoste_D7L3-cds.txt","anoste_D7L3")</f>
        <v>anoste_D7L3</v>
      </c>
      <c r="B309">
        <v>897</v>
      </c>
      <c r="C309" t="s">
        <v>216</v>
      </c>
      <c r="D309" t="s">
        <v>7</v>
      </c>
      <c r="E309" t="s">
        <v>5</v>
      </c>
      <c r="F309" t="s">
        <v>1</v>
      </c>
      <c r="G309" t="str">
        <f>HYPERLINK("http://exon.niaid.nih.gov/transcriptome/Anopheles_sialome/links/pep/anoste_D7L3-pep.txt","anoste_D7L3")</f>
        <v>anoste_D7L3</v>
      </c>
      <c r="H309">
        <v>298</v>
      </c>
      <c r="I309">
        <v>1</v>
      </c>
      <c r="J309" s="3" t="str">
        <f>HYPERLINK("http://exon.niaid.nih.gov/transcriptome/Anopheles_sialome/links/Sigp/anoste_D7L3-SigP.txt","SIG")</f>
        <v>SIG</v>
      </c>
      <c r="K309" t="s">
        <v>1206</v>
      </c>
      <c r="L309">
        <v>34.475999999999999</v>
      </c>
      <c r="M309">
        <v>5.03</v>
      </c>
      <c r="N309">
        <v>31.111999999999998</v>
      </c>
      <c r="O309">
        <v>4.8600000000000003</v>
      </c>
      <c r="P309" t="s">
        <v>1207</v>
      </c>
      <c r="Q309" s="3">
        <v>0</v>
      </c>
      <c r="R309" t="s">
        <v>128</v>
      </c>
      <c r="S309" t="s">
        <v>128</v>
      </c>
      <c r="T309" t="s">
        <v>128</v>
      </c>
      <c r="U309" t="s">
        <v>128</v>
      </c>
      <c r="V309" t="s">
        <v>128</v>
      </c>
      <c r="W309" s="3" t="str">
        <f>HYPERLINK("http://exon.niaid.nih.gov/transcriptome/Anopheles_sialome/links/netoglyc/anoste_D7L3-netoglyc.txt","1")</f>
        <v>1</v>
      </c>
      <c r="X309">
        <v>13.4</v>
      </c>
      <c r="Y309">
        <v>3</v>
      </c>
      <c r="Z309">
        <v>2.2999999999999998</v>
      </c>
      <c r="AA309" t="s">
        <v>654</v>
      </c>
      <c r="AB309" t="s">
        <v>128</v>
      </c>
      <c r="AC309" s="2" t="str">
        <f>HYPERLINK("http://exon.niaid.nih.gov/transcriptome/Anopheles_sialome/links/DIPTERA/anoste_D7L3-DIPTERA.txt","hypothetical protein AND_010075")</f>
        <v>hypothetical protein AND_010075</v>
      </c>
      <c r="AD309" t="str">
        <f>HYPERLINK("http://www.ncbi.nlm.nih.gov/sutils/blink.cgi?pid=568248508","4E-042")</f>
        <v>4E-042</v>
      </c>
      <c r="AE309" t="str">
        <f>HYPERLINK("http://www.ncbi.nlm.nih.gov/protein/568248508","gi|568248508")</f>
        <v>gi|568248508</v>
      </c>
      <c r="AF309">
        <v>35</v>
      </c>
      <c r="AG309">
        <v>49</v>
      </c>
      <c r="AH309">
        <v>107</v>
      </c>
      <c r="AI309" t="s">
        <v>2283</v>
      </c>
      <c r="AJ309" s="2" t="str">
        <f>HYPERLINK("http://exon.niaid.nih.gov/transcriptome/Anopheles_sialome/links/CULICOMORPHA/anoste_D7L3-CULICOMORPHA.txt","hypothetical protein AND_010075")</f>
        <v>hypothetical protein AND_010075</v>
      </c>
      <c r="AK309" t="str">
        <f>HYPERLINK("http://www.ncbi.nlm.nih.gov/sutils/blink.cgi?pid=568248508","7E-043")</f>
        <v>7E-043</v>
      </c>
      <c r="AL309" t="str">
        <f>HYPERLINK("http://www.ncbi.nlm.nih.gov/protein/568248508","gi|568248508")</f>
        <v>gi|568248508</v>
      </c>
      <c r="AM309">
        <v>35</v>
      </c>
      <c r="AN309">
        <v>49</v>
      </c>
      <c r="AO309">
        <v>107</v>
      </c>
      <c r="AP309" t="s">
        <v>2283</v>
      </c>
      <c r="AQ309" s="2" t="str">
        <f>HYPERLINK("http://exon.niaid.nih.gov/transcriptome/Anopheles_sialome/links/NR-LIGHT/anoste_D7L3-NR-LIGHT.txt","hypothetical protein AND_010075")</f>
        <v>hypothetical protein AND_010075</v>
      </c>
      <c r="AR309" t="str">
        <f>HYPERLINK("http://www.ncbi.nlm.nih.gov/sutils/blink.cgi?pid=568248508","1E-041")</f>
        <v>1E-041</v>
      </c>
      <c r="AS309" t="str">
        <f>HYPERLINK("http://www.ncbi.nlm.nih.gov/protein/568248508","gi|568248508")</f>
        <v>gi|568248508</v>
      </c>
      <c r="AT309">
        <v>35</v>
      </c>
      <c r="AU309">
        <v>49</v>
      </c>
      <c r="AV309">
        <v>107</v>
      </c>
      <c r="AW309" t="s">
        <v>2283</v>
      </c>
      <c r="AX309" s="2" t="str">
        <f>HYPERLINK("http://exon.niaid.nih.gov/transcriptome/Anopheles_sialome/links/CDD/anoste_D7L3-CDD.txt","STKc_SnRK2")</f>
        <v>STKc_SnRK2</v>
      </c>
      <c r="AY309" t="str">
        <f>HYPERLINK("http://www.ncbi.nlm.nih.gov/Structure/cdd/cddsrv.cgi?uid=cd14662&amp;version=v4.0","1.1")</f>
        <v>1.1</v>
      </c>
      <c r="AZ309" t="s">
        <v>2591</v>
      </c>
      <c r="BA309" s="2" t="str">
        <f>HYPERLINK("http://exon.niaid.nih.gov/transcriptome/Anopheles_sialome/links/KOG/anoste_D7L3-KOG.txt","Predicted GTP-binding protein (ODN superfamily)")</f>
        <v>Predicted GTP-binding protein (ODN superfamily)</v>
      </c>
      <c r="BB309" t="str">
        <f>HYPERLINK("http://www.ncbi.nlm.nih.gov/Structure/cdd/cddsrv.cgi?uid=KOG1491","0.045")</f>
        <v>0.045</v>
      </c>
      <c r="BC309" t="s">
        <v>2310</v>
      </c>
      <c r="BD309" t="str">
        <f>HYPERLINK("http://exon.niaid.nih.gov/transcriptome/Anopheles_sialome/links/KOG/anoste_D7L3-KOG.txt","KOG1491")</f>
        <v>KOG1491</v>
      </c>
      <c r="BE309" t="str">
        <f>HYPERLINK("http://exon.niaid.nih.gov/transcriptome/Anopheles_sialome/links/PFAM/anoste_D7L3-PFAM.txt","Kinetochor_Ybp2")</f>
        <v>Kinetochor_Ybp2</v>
      </c>
      <c r="BF309" t="str">
        <f>HYPERLINK("http://pfam.sanger.ac.uk/family?acc=PF08568","0.50")</f>
        <v>0.50</v>
      </c>
      <c r="BG309" s="2" t="str">
        <f>HYPERLINK("http://exon.niaid.nih.gov/transcriptome/Anopheles_sialome/links/SMART/anoste_D7L3-SMART.txt","PhBP")</f>
        <v>PhBP</v>
      </c>
      <c r="BH309" t="str">
        <f>HYPERLINK("http://smart.embl-heidelberg.de/smart/do_annotation.pl?DOMAIN=PhBP&amp;BLAST=DUMMY","0.45")</f>
        <v>0.45</v>
      </c>
      <c r="BI309" t="s">
        <v>128</v>
      </c>
      <c r="BJ309" s="2" t="s">
        <v>128</v>
      </c>
      <c r="BK309" t="s">
        <v>1205</v>
      </c>
      <c r="BL309">
        <f>HYPERLINK("http://exon.niaid.nih.gov/transcriptome/Anopheles_sialome/links/cluster-b/anopheline-sialome-cds-pep-larger-orf25-50SimCLU6.txt", 6)</f>
        <v>6</v>
      </c>
      <c r="BM309">
        <f>HYPERLINK("http://exon.niaid.nih.gov/transcriptome/Anopheles_sialome/links/cluster-b/anopheline-sialome-cds-pep-larger-orf25-50SimCLTL6.txt", 44)</f>
        <v>44</v>
      </c>
      <c r="BN309">
        <f>HYPERLINK("http://exon.niaid.nih.gov/transcriptome/Anopheles_sialome/links/cluster-b/anopheline-sialome-cds-pep-larger-orf30-50SimCLU5.txt", 5)</f>
        <v>5</v>
      </c>
      <c r="BO309">
        <f>HYPERLINK("http://exon.niaid.nih.gov/transcriptome/Anopheles_sialome/links/cluster-b/anopheline-sialome-cds-pep-larger-orf30-50SimCLTL5.txt", 44)</f>
        <v>44</v>
      </c>
      <c r="BP309">
        <f>HYPERLINK("http://exon.niaid.nih.gov/transcriptome/Anopheles_sialome/links/cluster-b/anopheline-sialome-cds-pep-larger-orf35-50SimCLU6.txt", 6)</f>
        <v>6</v>
      </c>
      <c r="BQ309">
        <f>HYPERLINK("http://exon.niaid.nih.gov/transcriptome/Anopheles_sialome/links/cluster-b/anopheline-sialome-cds-pep-larger-orf35-50SimCLTL6.txt", 44)</f>
        <v>44</v>
      </c>
      <c r="BR309">
        <f>HYPERLINK("http://exon.niaid.nih.gov/transcriptome/Anopheles_sialome/links/cluster-b/anopheline-sialome-cds-pep-larger-orf40-50SimCLU4.txt", 4)</f>
        <v>4</v>
      </c>
      <c r="BS309">
        <f>HYPERLINK("http://exon.niaid.nih.gov/transcriptome/Anopheles_sialome/links/cluster-b/anopheline-sialome-cds-pep-larger-orf40-50SimCLTL4.txt", 44)</f>
        <v>44</v>
      </c>
      <c r="BT309">
        <f>HYPERLINK("http://exon.niaid.nih.gov/transcriptome/Anopheles_sialome/links/cluster-b/anopheline-sialome-cds-pep-larger-orf45-50SimCLU19.txt", 19)</f>
        <v>19</v>
      </c>
      <c r="BU309">
        <f>HYPERLINK("http://exon.niaid.nih.gov/transcriptome/Anopheles_sialome/links/cluster-b/anopheline-sialome-cds-pep-larger-orf45-50SimCLTL19.txt", 18)</f>
        <v>18</v>
      </c>
      <c r="BV309">
        <f>HYPERLINK("http://exon.niaid.nih.gov/transcriptome/Anopheles_sialome/links/cluster-b/anopheline-sialome-cds-pep-larger-orf50-50SimCLU18.txt", 18)</f>
        <v>18</v>
      </c>
      <c r="BW309">
        <f>HYPERLINK("http://exon.niaid.nih.gov/transcriptome/Anopheles_sialome/links/cluster-b/anopheline-sialome-cds-pep-larger-orf50-50SimCLTL18.txt", 18)</f>
        <v>18</v>
      </c>
      <c r="BX309">
        <f>HYPERLINK("http://exon.niaid.nih.gov/transcriptome/Anopheles_sialome/links/cluster-b/anopheline-sialome-cds-pep-larger-orf55-50SimCLU19.txt", 19)</f>
        <v>19</v>
      </c>
      <c r="BY309">
        <f>HYPERLINK("http://exon.niaid.nih.gov/transcriptome/Anopheles_sialome/links/cluster-b/anopheline-sialome-cds-pep-larger-orf55-50SimCLTL19.txt", 18)</f>
        <v>18</v>
      </c>
      <c r="BZ309">
        <f>HYPERLINK("http://exon.niaid.nih.gov/transcriptome/Anopheles_sialome/links/cluster-b/anopheline-sialome-cds-pep-larger-orf60-50SimCLU18.txt", 18)</f>
        <v>18</v>
      </c>
      <c r="CA309">
        <f>HYPERLINK("http://exon.niaid.nih.gov/transcriptome/Anopheles_sialome/links/cluster-b/anopheline-sialome-cds-pep-larger-orf60-50SimCLTL18.txt", 18)</f>
        <v>18</v>
      </c>
      <c r="CB309">
        <f>HYPERLINK("http://exon.niaid.nih.gov/transcriptome/Anopheles_sialome/links/cluster-b/anopheline-sialome-cds-pep-larger-orf65-50SimCLU23.txt", 23)</f>
        <v>23</v>
      </c>
      <c r="CC309">
        <f>HYPERLINK("http://exon.niaid.nih.gov/transcriptome/Anopheles_sialome/links/cluster-b/anopheline-sialome-cds-pep-larger-orf65-50SimCLTL23.txt", 16)</f>
        <v>16</v>
      </c>
      <c r="CD309">
        <f>HYPERLINK("http://exon.niaid.nih.gov/transcriptome/Anopheles_sialome/links/cluster-b/anopheline-sialome-cds-pep-larger-orf70-50SimCLU29.txt", 29)</f>
        <v>29</v>
      </c>
      <c r="CE309">
        <f>HYPERLINK("http://exon.niaid.nih.gov/transcriptome/Anopheles_sialome/links/cluster-b/anopheline-sialome-cds-pep-larger-orf70-50SimCLTL29.txt", 14)</f>
        <v>14</v>
      </c>
      <c r="CF309">
        <f>HYPERLINK("http://exon.niaid.nih.gov/transcriptome/Anopheles_sialome/links/cluster-b/anopheline-sialome-cds-pep-larger-orf75-50SimCLU22.txt", 22)</f>
        <v>22</v>
      </c>
      <c r="CG309">
        <f>HYPERLINK("http://exon.niaid.nih.gov/transcriptome/Anopheles_sialome/links/cluster-b/anopheline-sialome-cds-pep-larger-orf75-50SimCLTL22.txt", 14)</f>
        <v>14</v>
      </c>
      <c r="CH309">
        <v>136</v>
      </c>
      <c r="CI309">
        <v>1</v>
      </c>
      <c r="CJ309">
        <v>164</v>
      </c>
      <c r="CK309">
        <v>1</v>
      </c>
      <c r="CL309">
        <v>201</v>
      </c>
      <c r="CM309">
        <v>1</v>
      </c>
      <c r="CN309">
        <v>222</v>
      </c>
      <c r="CO309">
        <v>1</v>
      </c>
    </row>
    <row r="310" spans="1:93">
      <c r="A310" s="2" t="str">
        <f>HYPERLINK("http://exon.niaid.nih.gov/transcriptome/Anopheles_sialome/links/cds/anofar_D7L3-cds.txt","anofar_D7L3")</f>
        <v>anofar_D7L3</v>
      </c>
      <c r="B310">
        <v>852</v>
      </c>
      <c r="C310" t="s">
        <v>217</v>
      </c>
      <c r="D310" t="s">
        <v>7</v>
      </c>
      <c r="E310" t="s">
        <v>5</v>
      </c>
      <c r="F310" t="s">
        <v>1</v>
      </c>
      <c r="G310" t="str">
        <f>HYPERLINK("http://exon.niaid.nih.gov/transcriptome/Anopheles_sialome/links/pep/anofar_D7L3-pep.txt","anofar_D7L3")</f>
        <v>anofar_D7L3</v>
      </c>
      <c r="H310">
        <v>283</v>
      </c>
      <c r="I310">
        <v>0</v>
      </c>
      <c r="J310" s="3" t="str">
        <f>HYPERLINK("http://exon.niaid.nih.gov/transcriptome/Anopheles_sialome/links/Sigp/anofar_D7L3-SigP.txt","SIG")</f>
        <v>SIG</v>
      </c>
      <c r="K310" t="s">
        <v>1182</v>
      </c>
      <c r="L310">
        <v>32.878999999999998</v>
      </c>
      <c r="M310">
        <v>6.15</v>
      </c>
      <c r="N310">
        <v>29.902999999999999</v>
      </c>
      <c r="O310">
        <v>5.7</v>
      </c>
      <c r="P310" t="s">
        <v>1209</v>
      </c>
      <c r="Q310" s="3">
        <v>0</v>
      </c>
      <c r="R310" t="s">
        <v>128</v>
      </c>
      <c r="S310" t="s">
        <v>128</v>
      </c>
      <c r="T310" t="s">
        <v>128</v>
      </c>
      <c r="U310" t="s">
        <v>128</v>
      </c>
      <c r="V310" t="s">
        <v>128</v>
      </c>
      <c r="W310" s="3" t="str">
        <f>HYPERLINK("http://exon.niaid.nih.gov/transcriptome/Anopheles_sialome/links/netoglyc/anofar_D7L3-netoglyc.txt","0")</f>
        <v>0</v>
      </c>
      <c r="X310">
        <v>12.4</v>
      </c>
      <c r="Y310">
        <v>2.8</v>
      </c>
      <c r="Z310">
        <v>2.1</v>
      </c>
      <c r="AA310" t="s">
        <v>654</v>
      </c>
      <c r="AB310" t="s">
        <v>128</v>
      </c>
      <c r="AC310" s="2" t="str">
        <f>HYPERLINK("http://exon.niaid.nih.gov/transcriptome/Anopheles_sialome/links/DIPTERA/anofar_D7L3-DIPTERA.txt","hypothetical protein AND_010075")</f>
        <v>hypothetical protein AND_010075</v>
      </c>
      <c r="AD310" t="str">
        <f>HYPERLINK("http://www.ncbi.nlm.nih.gov/sutils/blink.cgi?pid=568248508","2E-036")</f>
        <v>2E-036</v>
      </c>
      <c r="AE310" t="str">
        <f t="shared" si="135"/>
        <v>gi|568248508</v>
      </c>
      <c r="AF310">
        <v>36</v>
      </c>
      <c r="AG310">
        <v>50</v>
      </c>
      <c r="AH310">
        <v>84</v>
      </c>
      <c r="AI310" t="s">
        <v>2283</v>
      </c>
      <c r="AJ310" s="2" t="str">
        <f>HYPERLINK("http://exon.niaid.nih.gov/transcriptome/Anopheles_sialome/links/CULICOMORPHA/anofar_D7L3-CULICOMORPHA.txt","hypothetical protein AND_010075")</f>
        <v>hypothetical protein AND_010075</v>
      </c>
      <c r="AK310" t="str">
        <f>HYPERLINK("http://www.ncbi.nlm.nih.gov/sutils/blink.cgi?pid=568248508","4E-037")</f>
        <v>4E-037</v>
      </c>
      <c r="AL310" t="str">
        <f t="shared" si="136"/>
        <v>gi|568248508</v>
      </c>
      <c r="AM310">
        <v>36</v>
      </c>
      <c r="AN310">
        <v>50</v>
      </c>
      <c r="AO310">
        <v>84</v>
      </c>
      <c r="AP310" t="s">
        <v>2283</v>
      </c>
      <c r="AQ310" s="2" t="str">
        <f>HYPERLINK("http://exon.niaid.nih.gov/transcriptome/Anopheles_sialome/links/NR-LIGHT/anofar_D7L3-NR-LIGHT.txt","hypothetical protein AND_010075")</f>
        <v>hypothetical protein AND_010075</v>
      </c>
      <c r="AR310" t="str">
        <f>HYPERLINK("http://www.ncbi.nlm.nih.gov/sutils/blink.cgi?pid=568248508","6E-036")</f>
        <v>6E-036</v>
      </c>
      <c r="AS310" t="str">
        <f t="shared" si="137"/>
        <v>gi|568248508</v>
      </c>
      <c r="AT310">
        <v>36</v>
      </c>
      <c r="AU310">
        <v>50</v>
      </c>
      <c r="AV310">
        <v>84</v>
      </c>
      <c r="AW310" t="s">
        <v>2283</v>
      </c>
      <c r="AX310" s="2" t="str">
        <f>HYPERLINK("http://exon.niaid.nih.gov/transcriptome/Anopheles_sialome/links/CDD/anofar_D7L3-CDD.txt","PBP_GOBP")</f>
        <v>PBP_GOBP</v>
      </c>
      <c r="AY310" t="str">
        <f>HYPERLINK("http://www.ncbi.nlm.nih.gov/Structure/cdd/cddsrv.cgi?uid=pfam01395&amp;version=v4.0","0.025")</f>
        <v>0.025</v>
      </c>
      <c r="AZ310" t="s">
        <v>2592</v>
      </c>
      <c r="BA310" s="2" t="str">
        <f>HYPERLINK("http://exon.niaid.nih.gov/transcriptome/Anopheles_sialome/links/KOG/anofar_D7L3-KOG.txt","ATP-dependent RNA helicase")</f>
        <v>ATP-dependent RNA helicase</v>
      </c>
      <c r="BB310" t="str">
        <f>HYPERLINK("http://www.ncbi.nlm.nih.gov/Structure/cdd/cddsrv.cgi?uid=KOG0332","2.1")</f>
        <v>2.1</v>
      </c>
      <c r="BC310" t="s">
        <v>2464</v>
      </c>
      <c r="BD310" t="str">
        <f>HYPERLINK("http://exon.niaid.nih.gov/transcriptome/Anopheles_sialome/links/KOG/anofar_D7L3-KOG.txt","KOG0332")</f>
        <v>KOG0332</v>
      </c>
      <c r="BE310" t="str">
        <f>HYPERLINK("http://exon.niaid.nih.gov/transcriptome/Anopheles_sialome/links/PFAM/anofar_D7L3-PFAM.txt","PBP_GOBP")</f>
        <v>PBP_GOBP</v>
      </c>
      <c r="BF310" t="str">
        <f>HYPERLINK("http://pfam.sanger.ac.uk/family?acc=PF01395","0.005")</f>
        <v>0.005</v>
      </c>
      <c r="BG310" s="2" t="str">
        <f>HYPERLINK("http://exon.niaid.nih.gov/transcriptome/Anopheles_sialome/links/SMART/anofar_D7L3-SMART.txt","PhBP")</f>
        <v>PhBP</v>
      </c>
      <c r="BH310" t="str">
        <f>HYPERLINK("http://smart.embl-heidelberg.de/smart/do_annotation.pl?DOMAIN=PhBP&amp;BLAST=DUMMY","0.64")</f>
        <v>0.64</v>
      </c>
      <c r="BI310" t="s">
        <v>128</v>
      </c>
      <c r="BJ310" s="2" t="s">
        <v>128</v>
      </c>
      <c r="BK310" t="s">
        <v>1208</v>
      </c>
      <c r="BL310">
        <f>HYPERLINK("http://exon.niaid.nih.gov/transcriptome/Anopheles_sialome/links/cluster-b/anopheline-sialome-cds-pep-larger-orf25-50SimCLU6.txt", 6)</f>
        <v>6</v>
      </c>
      <c r="BM310">
        <f>HYPERLINK("http://exon.niaid.nih.gov/transcriptome/Anopheles_sialome/links/cluster-b/anopheline-sialome-cds-pep-larger-orf25-50SimCLTL6.txt", 44)</f>
        <v>44</v>
      </c>
      <c r="BN310">
        <f>HYPERLINK("http://exon.niaid.nih.gov/transcriptome/Anopheles_sialome/links/cluster-b/anopheline-sialome-cds-pep-larger-orf30-50SimCLU5.txt", 5)</f>
        <v>5</v>
      </c>
      <c r="BO310">
        <f>HYPERLINK("http://exon.niaid.nih.gov/transcriptome/Anopheles_sialome/links/cluster-b/anopheline-sialome-cds-pep-larger-orf30-50SimCLTL5.txt", 44)</f>
        <v>44</v>
      </c>
      <c r="BP310">
        <f>HYPERLINK("http://exon.niaid.nih.gov/transcriptome/Anopheles_sialome/links/cluster-b/anopheline-sialome-cds-pep-larger-orf35-50SimCLU6.txt", 6)</f>
        <v>6</v>
      </c>
      <c r="BQ310">
        <f>HYPERLINK("http://exon.niaid.nih.gov/transcriptome/Anopheles_sialome/links/cluster-b/anopheline-sialome-cds-pep-larger-orf35-50SimCLTL6.txt", 44)</f>
        <v>44</v>
      </c>
      <c r="BR310">
        <f>HYPERLINK("http://exon.niaid.nih.gov/transcriptome/Anopheles_sialome/links/cluster-b/anopheline-sialome-cds-pep-larger-orf40-50SimCLU4.txt", 4)</f>
        <v>4</v>
      </c>
      <c r="BS310">
        <f>HYPERLINK("http://exon.niaid.nih.gov/transcriptome/Anopheles_sialome/links/cluster-b/anopheline-sialome-cds-pep-larger-orf40-50SimCLTL4.txt", 44)</f>
        <v>44</v>
      </c>
      <c r="BT310">
        <f>HYPERLINK("http://exon.niaid.nih.gov/transcriptome/Anopheles_sialome/links/cluster-b/anopheline-sialome-cds-pep-larger-orf45-50SimCLU19.txt", 19)</f>
        <v>19</v>
      </c>
      <c r="BU310">
        <f>HYPERLINK("http://exon.niaid.nih.gov/transcriptome/Anopheles_sialome/links/cluster-b/anopheline-sialome-cds-pep-larger-orf45-50SimCLTL19.txt", 18)</f>
        <v>18</v>
      </c>
      <c r="BV310">
        <f>HYPERLINK("http://exon.niaid.nih.gov/transcriptome/Anopheles_sialome/links/cluster-b/anopheline-sialome-cds-pep-larger-orf50-50SimCLU18.txt", 18)</f>
        <v>18</v>
      </c>
      <c r="BW310">
        <f>HYPERLINK("http://exon.niaid.nih.gov/transcriptome/Anopheles_sialome/links/cluster-b/anopheline-sialome-cds-pep-larger-orf50-50SimCLTL18.txt", 18)</f>
        <v>18</v>
      </c>
      <c r="BX310">
        <f>HYPERLINK("http://exon.niaid.nih.gov/transcriptome/Anopheles_sialome/links/cluster-b/anopheline-sialome-cds-pep-larger-orf55-50SimCLU19.txt", 19)</f>
        <v>19</v>
      </c>
      <c r="BY310">
        <f>HYPERLINK("http://exon.niaid.nih.gov/transcriptome/Anopheles_sialome/links/cluster-b/anopheline-sialome-cds-pep-larger-orf55-50SimCLTL19.txt", 18)</f>
        <v>18</v>
      </c>
      <c r="BZ310">
        <f>HYPERLINK("http://exon.niaid.nih.gov/transcriptome/Anopheles_sialome/links/cluster-b/anopheline-sialome-cds-pep-larger-orf60-50SimCLU18.txt", 18)</f>
        <v>18</v>
      </c>
      <c r="CA310">
        <f>HYPERLINK("http://exon.niaid.nih.gov/transcriptome/Anopheles_sialome/links/cluster-b/anopheline-sialome-cds-pep-larger-orf60-50SimCLTL18.txt", 18)</f>
        <v>18</v>
      </c>
      <c r="CB310">
        <f>HYPERLINK("http://exon.niaid.nih.gov/transcriptome/Anopheles_sialome/links/cluster-b/anopheline-sialome-cds-pep-larger-orf65-50SimCLU23.txt", 23)</f>
        <v>23</v>
      </c>
      <c r="CC310">
        <f>HYPERLINK("http://exon.niaid.nih.gov/transcriptome/Anopheles_sialome/links/cluster-b/anopheline-sialome-cds-pep-larger-orf65-50SimCLTL23.txt", 16)</f>
        <v>16</v>
      </c>
      <c r="CD310">
        <f>HYPERLINK("http://exon.niaid.nih.gov/transcriptome/Anopheles_sialome/links/cluster-b/anopheline-sialome-cds-pep-larger-orf70-50SimCLU29.txt", 29)</f>
        <v>29</v>
      </c>
      <c r="CE310">
        <f>HYPERLINK("http://exon.niaid.nih.gov/transcriptome/Anopheles_sialome/links/cluster-b/anopheline-sialome-cds-pep-larger-orf70-50SimCLTL29.txt", 14)</f>
        <v>14</v>
      </c>
      <c r="CF310">
        <f>HYPERLINK("http://exon.niaid.nih.gov/transcriptome/Anopheles_sialome/links/cluster-b/anopheline-sialome-cds-pep-larger-orf75-50SimCLU22.txt", 22)</f>
        <v>22</v>
      </c>
      <c r="CG310">
        <f>HYPERLINK("http://exon.niaid.nih.gov/transcriptome/Anopheles_sialome/links/cluster-b/anopheline-sialome-cds-pep-larger-orf75-50SimCLTL22.txt", 14)</f>
        <v>14</v>
      </c>
      <c r="CH310">
        <v>137</v>
      </c>
      <c r="CI310">
        <v>1</v>
      </c>
      <c r="CJ310">
        <v>165</v>
      </c>
      <c r="CK310">
        <v>1</v>
      </c>
      <c r="CL310">
        <v>202</v>
      </c>
      <c r="CM310">
        <v>1</v>
      </c>
      <c r="CN310">
        <v>223</v>
      </c>
      <c r="CO310">
        <v>1</v>
      </c>
    </row>
    <row r="311" spans="1:93">
      <c r="A311" s="2" t="str">
        <f>HYPERLINK("http://exon.niaid.nih.gov/transcriptome/Anopheles_sialome/links/cds/anodir_D7L3-cds.txt","anodir_D7L3")</f>
        <v>anodir_D7L3</v>
      </c>
      <c r="B311">
        <v>861</v>
      </c>
      <c r="C311" t="s">
        <v>218</v>
      </c>
      <c r="D311" t="s">
        <v>7</v>
      </c>
      <c r="E311" t="s">
        <v>5</v>
      </c>
      <c r="F311" t="s">
        <v>1</v>
      </c>
      <c r="G311" t="str">
        <f>HYPERLINK("http://exon.niaid.nih.gov/transcriptome/Anopheles_sialome/links/pep/anodir_D7L3-pep.txt","anodir_D7L3")</f>
        <v>anodir_D7L3</v>
      </c>
      <c r="H311">
        <v>286</v>
      </c>
      <c r="I311">
        <v>0</v>
      </c>
      <c r="J311" s="3" t="str">
        <f>HYPERLINK("http://exon.niaid.nih.gov/transcriptome/Anopheles_sialome/links/Sigp/anodir_D7L3-SigP.txt","SIG")</f>
        <v>SIG</v>
      </c>
      <c r="K311" t="s">
        <v>1182</v>
      </c>
      <c r="L311">
        <v>33.466000000000001</v>
      </c>
      <c r="M311">
        <v>5.51</v>
      </c>
      <c r="N311">
        <v>30.350999999999999</v>
      </c>
      <c r="O311">
        <v>5.23</v>
      </c>
      <c r="P311" t="s">
        <v>1211</v>
      </c>
      <c r="Q311" s="3">
        <v>0</v>
      </c>
      <c r="R311" t="s">
        <v>128</v>
      </c>
      <c r="S311" t="s">
        <v>128</v>
      </c>
      <c r="T311" t="s">
        <v>128</v>
      </c>
      <c r="U311" t="s">
        <v>128</v>
      </c>
      <c r="V311" t="s">
        <v>128</v>
      </c>
      <c r="W311" s="3" t="str">
        <f>HYPERLINK("http://exon.niaid.nih.gov/transcriptome/Anopheles_sialome/links/netoglyc/anodir_D7L3-netoglyc.txt","0")</f>
        <v>0</v>
      </c>
      <c r="X311">
        <v>13.6</v>
      </c>
      <c r="Y311">
        <v>2.4</v>
      </c>
      <c r="Z311">
        <v>3.5</v>
      </c>
      <c r="AA311" t="s">
        <v>654</v>
      </c>
      <c r="AB311" t="s">
        <v>128</v>
      </c>
      <c r="AC311" s="2" t="str">
        <f>HYPERLINK("http://exon.niaid.nih.gov/transcriptome/Anopheles_sialome/links/DIPTERA/anodir_D7L3-DIPTERA.txt","hypothetical protein AND_010075")</f>
        <v>hypothetical protein AND_010075</v>
      </c>
      <c r="AD311" t="str">
        <f>HYPERLINK("http://www.ncbi.nlm.nih.gov/sutils/blink.cgi?pid=568248508","5E-034")</f>
        <v>5E-034</v>
      </c>
      <c r="AE311" t="str">
        <f t="shared" si="135"/>
        <v>gi|568248508</v>
      </c>
      <c r="AF311">
        <v>35</v>
      </c>
      <c r="AG311">
        <v>52</v>
      </c>
      <c r="AH311">
        <v>81</v>
      </c>
      <c r="AI311" t="s">
        <v>2283</v>
      </c>
      <c r="AJ311" s="2" t="str">
        <f>HYPERLINK("http://exon.niaid.nih.gov/transcriptome/Anopheles_sialome/links/CULICOMORPHA/anodir_D7L3-CULICOMORPHA.txt","hypothetical protein AND_010075")</f>
        <v>hypothetical protein AND_010075</v>
      </c>
      <c r="AK311" t="str">
        <f>HYPERLINK("http://www.ncbi.nlm.nih.gov/sutils/blink.cgi?pid=568248508","8E-035")</f>
        <v>8E-035</v>
      </c>
      <c r="AL311" t="str">
        <f t="shared" si="136"/>
        <v>gi|568248508</v>
      </c>
      <c r="AM311">
        <v>35</v>
      </c>
      <c r="AN311">
        <v>52</v>
      </c>
      <c r="AO311">
        <v>81</v>
      </c>
      <c r="AP311" t="s">
        <v>2283</v>
      </c>
      <c r="AQ311" s="2" t="str">
        <f>HYPERLINK("http://exon.niaid.nih.gov/transcriptome/Anopheles_sialome/links/NR-LIGHT/anodir_D7L3-NR-LIGHT.txt","hypothetical protein AND_010075")</f>
        <v>hypothetical protein AND_010075</v>
      </c>
      <c r="AR311" t="str">
        <f>HYPERLINK("http://www.ncbi.nlm.nih.gov/sutils/blink.cgi?pid=568248508","1E-033")</f>
        <v>1E-033</v>
      </c>
      <c r="AS311" t="str">
        <f t="shared" si="137"/>
        <v>gi|568248508</v>
      </c>
      <c r="AT311">
        <v>35</v>
      </c>
      <c r="AU311">
        <v>52</v>
      </c>
      <c r="AV311">
        <v>81</v>
      </c>
      <c r="AW311" t="s">
        <v>2283</v>
      </c>
      <c r="AX311" s="2" t="str">
        <f>HYPERLINK("http://exon.niaid.nih.gov/transcriptome/Anopheles_sialome/links/CDD/anodir_D7L3-CDD.txt","PBP_GOBP")</f>
        <v>PBP_GOBP</v>
      </c>
      <c r="AY311" t="str">
        <f>HYPERLINK("http://www.ncbi.nlm.nih.gov/Structure/cdd/cddsrv.cgi?uid=pfam01395&amp;version=v4.0","0.17")</f>
        <v>0.17</v>
      </c>
      <c r="AZ311" t="s">
        <v>2593</v>
      </c>
      <c r="BA311" s="2" t="str">
        <f>HYPERLINK("http://exon.niaid.nih.gov/transcriptome/Anopheles_sialome/links/KOG/anodir_D7L3-KOG.txt","Sister chromatid cohesion complex Cohesin, subunit STAG/IRR1/SCC3")</f>
        <v>Sister chromatid cohesion complex Cohesin, subunit STAG/IRR1/SCC3</v>
      </c>
      <c r="BB311" t="str">
        <f>HYPERLINK("http://www.ncbi.nlm.nih.gov/Structure/cdd/cddsrv.cgi?uid=KOG2011","2.2")</f>
        <v>2.2</v>
      </c>
      <c r="BC311" t="s">
        <v>2256</v>
      </c>
      <c r="BD311" t="str">
        <f>HYPERLINK("http://exon.niaid.nih.gov/transcriptome/Anopheles_sialome/links/KOG/anodir_D7L3-KOG.txt","KOG2011")</f>
        <v>KOG2011</v>
      </c>
      <c r="BE311" t="str">
        <f>HYPERLINK("http://exon.niaid.nih.gov/transcriptome/Anopheles_sialome/links/PFAM/anodir_D7L3-PFAM.txt","PBP_GOBP")</f>
        <v>PBP_GOBP</v>
      </c>
      <c r="BF311" t="str">
        <f>HYPERLINK("http://pfam.sanger.ac.uk/family?acc=PF01395","0.034")</f>
        <v>0.034</v>
      </c>
      <c r="BG311" s="2" t="str">
        <f>HYPERLINK("http://exon.niaid.nih.gov/transcriptome/Anopheles_sialome/links/SMART/anodir_D7L3-SMART.txt","PhBP")</f>
        <v>PhBP</v>
      </c>
      <c r="BH311" t="str">
        <f>HYPERLINK("http://smart.embl-heidelberg.de/smart/do_annotation.pl?DOMAIN=PhBP&amp;BLAST=DUMMY","0.12")</f>
        <v>0.12</v>
      </c>
      <c r="BI311" t="s">
        <v>128</v>
      </c>
      <c r="BJ311" s="2" t="s">
        <v>128</v>
      </c>
      <c r="BK311" t="s">
        <v>1210</v>
      </c>
      <c r="BL311">
        <f>HYPERLINK("http://exon.niaid.nih.gov/transcriptome/Anopheles_sialome/links/cluster-b/anopheline-sialome-cds-pep-larger-orf25-50SimCLU6.txt", 6)</f>
        <v>6</v>
      </c>
      <c r="BM311">
        <f>HYPERLINK("http://exon.niaid.nih.gov/transcriptome/Anopheles_sialome/links/cluster-b/anopheline-sialome-cds-pep-larger-orf25-50SimCLTL6.txt", 44)</f>
        <v>44</v>
      </c>
      <c r="BN311">
        <f>HYPERLINK("http://exon.niaid.nih.gov/transcriptome/Anopheles_sialome/links/cluster-b/anopheline-sialome-cds-pep-larger-orf30-50SimCLU5.txt", 5)</f>
        <v>5</v>
      </c>
      <c r="BO311">
        <f>HYPERLINK("http://exon.niaid.nih.gov/transcriptome/Anopheles_sialome/links/cluster-b/anopheline-sialome-cds-pep-larger-orf30-50SimCLTL5.txt", 44)</f>
        <v>44</v>
      </c>
      <c r="BP311">
        <f>HYPERLINK("http://exon.niaid.nih.gov/transcriptome/Anopheles_sialome/links/cluster-b/anopheline-sialome-cds-pep-larger-orf35-50SimCLU6.txt", 6)</f>
        <v>6</v>
      </c>
      <c r="BQ311">
        <f>HYPERLINK("http://exon.niaid.nih.gov/transcriptome/Anopheles_sialome/links/cluster-b/anopheline-sialome-cds-pep-larger-orf35-50SimCLTL6.txt", 44)</f>
        <v>44</v>
      </c>
      <c r="BR311">
        <f>HYPERLINK("http://exon.niaid.nih.gov/transcriptome/Anopheles_sialome/links/cluster-b/anopheline-sialome-cds-pep-larger-orf40-50SimCLU4.txt", 4)</f>
        <v>4</v>
      </c>
      <c r="BS311">
        <f>HYPERLINK("http://exon.niaid.nih.gov/transcriptome/Anopheles_sialome/links/cluster-b/anopheline-sialome-cds-pep-larger-orf40-50SimCLTL4.txt", 44)</f>
        <v>44</v>
      </c>
      <c r="BT311">
        <f>HYPERLINK("http://exon.niaid.nih.gov/transcriptome/Anopheles_sialome/links/cluster-b/anopheline-sialome-cds-pep-larger-orf45-50SimCLU19.txt", 19)</f>
        <v>19</v>
      </c>
      <c r="BU311">
        <f>HYPERLINK("http://exon.niaid.nih.gov/transcriptome/Anopheles_sialome/links/cluster-b/anopheline-sialome-cds-pep-larger-orf45-50SimCLTL19.txt", 18)</f>
        <v>18</v>
      </c>
      <c r="BV311">
        <f>HYPERLINK("http://exon.niaid.nih.gov/transcriptome/Anopheles_sialome/links/cluster-b/anopheline-sialome-cds-pep-larger-orf50-50SimCLU18.txt", 18)</f>
        <v>18</v>
      </c>
      <c r="BW311">
        <f>HYPERLINK("http://exon.niaid.nih.gov/transcriptome/Anopheles_sialome/links/cluster-b/anopheline-sialome-cds-pep-larger-orf50-50SimCLTL18.txt", 18)</f>
        <v>18</v>
      </c>
      <c r="BX311">
        <f>HYPERLINK("http://exon.niaid.nih.gov/transcriptome/Anopheles_sialome/links/cluster-b/anopheline-sialome-cds-pep-larger-orf55-50SimCLU19.txt", 19)</f>
        <v>19</v>
      </c>
      <c r="BY311">
        <f>HYPERLINK("http://exon.niaid.nih.gov/transcriptome/Anopheles_sialome/links/cluster-b/anopheline-sialome-cds-pep-larger-orf55-50SimCLTL19.txt", 18)</f>
        <v>18</v>
      </c>
      <c r="BZ311">
        <f>HYPERLINK("http://exon.niaid.nih.gov/transcriptome/Anopheles_sialome/links/cluster-b/anopheline-sialome-cds-pep-larger-orf60-50SimCLU18.txt", 18)</f>
        <v>18</v>
      </c>
      <c r="CA311">
        <f>HYPERLINK("http://exon.niaid.nih.gov/transcriptome/Anopheles_sialome/links/cluster-b/anopheline-sialome-cds-pep-larger-orf60-50SimCLTL18.txt", 18)</f>
        <v>18</v>
      </c>
      <c r="CB311">
        <f>HYPERLINK("http://exon.niaid.nih.gov/transcriptome/Anopheles_sialome/links/cluster-b/anopheline-sialome-cds-pep-larger-orf65-50SimCLU23.txt", 23)</f>
        <v>23</v>
      </c>
      <c r="CC311">
        <f>HYPERLINK("http://exon.niaid.nih.gov/transcriptome/Anopheles_sialome/links/cluster-b/anopheline-sialome-cds-pep-larger-orf65-50SimCLTL23.txt", 16)</f>
        <v>16</v>
      </c>
      <c r="CD311">
        <f>HYPERLINK("http://exon.niaid.nih.gov/transcriptome/Anopheles_sialome/links/cluster-b/anopheline-sialome-cds-pep-larger-orf70-50SimCLU29.txt", 29)</f>
        <v>29</v>
      </c>
      <c r="CE311">
        <f>HYPERLINK("http://exon.niaid.nih.gov/transcriptome/Anopheles_sialome/links/cluster-b/anopheline-sialome-cds-pep-larger-orf70-50SimCLTL29.txt", 14)</f>
        <v>14</v>
      </c>
      <c r="CF311">
        <f>HYPERLINK("http://exon.niaid.nih.gov/transcriptome/Anopheles_sialome/links/cluster-b/anopheline-sialome-cds-pep-larger-orf75-50SimCLU22.txt", 22)</f>
        <v>22</v>
      </c>
      <c r="CG311">
        <f>HYPERLINK("http://exon.niaid.nih.gov/transcriptome/Anopheles_sialome/links/cluster-b/anopheline-sialome-cds-pep-larger-orf75-50SimCLTL22.txt", 14)</f>
        <v>14</v>
      </c>
      <c r="CH311">
        <v>138</v>
      </c>
      <c r="CI311">
        <v>1</v>
      </c>
      <c r="CJ311">
        <v>166</v>
      </c>
      <c r="CK311">
        <v>1</v>
      </c>
      <c r="CL311">
        <v>203</v>
      </c>
      <c r="CM311">
        <v>1</v>
      </c>
      <c r="CN311">
        <v>224</v>
      </c>
      <c r="CO311">
        <v>1</v>
      </c>
    </row>
    <row r="312" spans="1:93">
      <c r="A312" s="2" t="str">
        <f>HYPERLINK("http://exon.niaid.nih.gov/transcriptome/Anopheles_sialome/links/cds/anoatro_D7L3-cds.txt","anoatro_D7L3")</f>
        <v>anoatro_D7L3</v>
      </c>
      <c r="B312">
        <v>879</v>
      </c>
      <c r="C312" t="s">
        <v>219</v>
      </c>
      <c r="D312" t="s">
        <v>7</v>
      </c>
      <c r="E312" t="s">
        <v>5</v>
      </c>
      <c r="F312" t="s">
        <v>1</v>
      </c>
      <c r="G312" t="str">
        <f>HYPERLINK("http://exon.niaid.nih.gov/transcriptome/Anopheles_sialome/links/pep/anoatro_D7L3-pep.txt","anoatro_D7L3")</f>
        <v>anoatro_D7L3</v>
      </c>
      <c r="H312">
        <v>292</v>
      </c>
      <c r="I312">
        <v>3</v>
      </c>
      <c r="J312" s="3" t="str">
        <f>HYPERLINK("http://exon.niaid.nih.gov/transcriptome/Anopheles_sialome/links/Sigp/anoatro_D7L3-SigP.txt","SIG")</f>
        <v>SIG</v>
      </c>
      <c r="K312" t="s">
        <v>945</v>
      </c>
      <c r="L312">
        <v>33.770000000000003</v>
      </c>
      <c r="M312">
        <v>5.88</v>
      </c>
      <c r="N312">
        <v>30.562000000000001</v>
      </c>
      <c r="O312">
        <v>5.63</v>
      </c>
      <c r="P312" t="s">
        <v>1213</v>
      </c>
      <c r="Q312" s="3">
        <v>0</v>
      </c>
      <c r="R312" t="s">
        <v>128</v>
      </c>
      <c r="S312" t="s">
        <v>128</v>
      </c>
      <c r="T312" t="s">
        <v>128</v>
      </c>
      <c r="U312" t="s">
        <v>128</v>
      </c>
      <c r="V312" t="s">
        <v>128</v>
      </c>
      <c r="W312" s="3" t="str">
        <f>HYPERLINK("http://exon.niaid.nih.gov/transcriptome/Anopheles_sialome/links/netoglyc/anoatro_D7L3-netoglyc.txt","0")</f>
        <v>0</v>
      </c>
      <c r="X312">
        <v>10.6</v>
      </c>
      <c r="Y312">
        <v>4.5</v>
      </c>
      <c r="Z312">
        <v>2.7</v>
      </c>
      <c r="AA312" t="s">
        <v>654</v>
      </c>
      <c r="AB312" t="s">
        <v>128</v>
      </c>
      <c r="AC312" s="2" t="str">
        <f>HYPERLINK("http://exon.niaid.nih.gov/transcriptome/Anopheles_sialome/links/DIPTERA/anoatro_D7L3-DIPTERA.txt","AGAP008279-PA-like protein")</f>
        <v>AGAP008279-PA-like protein</v>
      </c>
      <c r="AD312" t="str">
        <f>HYPERLINK("http://www.ncbi.nlm.nih.gov/sutils/blink.cgi?pid=668454399","5E-042")</f>
        <v>5E-042</v>
      </c>
      <c r="AE312" t="str">
        <f>HYPERLINK("http://www.ncbi.nlm.nih.gov/protein/668454399","gi|668454399")</f>
        <v>gi|668454399</v>
      </c>
      <c r="AF312">
        <v>74</v>
      </c>
      <c r="AG312">
        <v>89</v>
      </c>
      <c r="AH312">
        <v>73</v>
      </c>
      <c r="AI312" t="s">
        <v>2277</v>
      </c>
      <c r="AJ312" s="2" t="str">
        <f>HYPERLINK("http://exon.niaid.nih.gov/transcriptome/Anopheles_sialome/links/CULICOMORPHA/anoatro_D7L3-CULICOMORPHA.txt","AGAP008279-PA-like protein")</f>
        <v>AGAP008279-PA-like protein</v>
      </c>
      <c r="AK312" t="str">
        <f>HYPERLINK("http://www.ncbi.nlm.nih.gov/sutils/blink.cgi?pid=668454399","8E-043")</f>
        <v>8E-043</v>
      </c>
      <c r="AL312" t="str">
        <f>HYPERLINK("http://www.ncbi.nlm.nih.gov/protein/668454399","gi|668454399")</f>
        <v>gi|668454399</v>
      </c>
      <c r="AM312">
        <v>74</v>
      </c>
      <c r="AN312">
        <v>89</v>
      </c>
      <c r="AO312">
        <v>73</v>
      </c>
      <c r="AP312" t="s">
        <v>2277</v>
      </c>
      <c r="AQ312" s="2" t="str">
        <f>HYPERLINK("http://exon.niaid.nih.gov/transcriptome/Anopheles_sialome/links/NR-LIGHT/anoatro_D7L3-NR-LIGHT.txt","AGAP008279-PA-like protein")</f>
        <v>AGAP008279-PA-like protein</v>
      </c>
      <c r="AR312" t="str">
        <f>HYPERLINK("http://www.ncbi.nlm.nih.gov/sutils/blink.cgi?pid=668454399","1E-041")</f>
        <v>1E-041</v>
      </c>
      <c r="AS312" t="str">
        <f>HYPERLINK("http://www.ncbi.nlm.nih.gov/protein/668454399","gi|668454399")</f>
        <v>gi|668454399</v>
      </c>
      <c r="AT312">
        <v>74</v>
      </c>
      <c r="AU312">
        <v>89</v>
      </c>
      <c r="AV312">
        <v>73</v>
      </c>
      <c r="AW312" t="s">
        <v>2277</v>
      </c>
      <c r="AX312" s="2" t="str">
        <f>HYPERLINK("http://exon.niaid.nih.gov/transcriptome/Anopheles_sialome/links/CDD/anoatro_D7L3-CDD.txt","cysteine_syntha")</f>
        <v>cysteine_syntha</v>
      </c>
      <c r="AY312" t="str">
        <f>HYPERLINK("http://www.ncbi.nlm.nih.gov/Structure/cdd/cddsrv.cgi?uid=TIGR03945&amp;version=v4.0","1.5")</f>
        <v>1.5</v>
      </c>
      <c r="AZ312" t="s">
        <v>2594</v>
      </c>
      <c r="BA312" s="2" t="str">
        <f>HYPERLINK("http://exon.niaid.nih.gov/transcriptome/Anopheles_sialome/links/KOG/anoatro_D7L3-KOG.txt","Glucose-6-phosphate isomerase")</f>
        <v>Glucose-6-phosphate isomerase</v>
      </c>
      <c r="BB312" t="str">
        <f>HYPERLINK("http://www.ncbi.nlm.nih.gov/Structure/cdd/cddsrv.cgi?uid=KOG2446","2.7")</f>
        <v>2.7</v>
      </c>
      <c r="BC312" t="s">
        <v>2308</v>
      </c>
      <c r="BD312" t="str">
        <f>HYPERLINK("http://exon.niaid.nih.gov/transcriptome/Anopheles_sialome/links/KOG/anoatro_D7L3-KOG.txt","KOG2446")</f>
        <v>KOG2446</v>
      </c>
      <c r="BE312" t="str">
        <f>HYPERLINK("http://exon.niaid.nih.gov/transcriptome/Anopheles_sialome/links/PFAM/anoatro_D7L3-PFAM.txt","Lipoprotein_11")</f>
        <v>Lipoprotein_11</v>
      </c>
      <c r="BF312" t="str">
        <f>HYPERLINK("http://pfam.sanger.ac.uk/family?acc=PF03260","0.62")</f>
        <v>0.62</v>
      </c>
      <c r="BG312" s="2" t="str">
        <f>HYPERLINK("http://exon.niaid.nih.gov/transcriptome/Anopheles_sialome/links/SMART/anoatro_D7L3-SMART.txt","PhBP")</f>
        <v>PhBP</v>
      </c>
      <c r="BH312" t="str">
        <f>HYPERLINK("http://smart.embl-heidelberg.de/smart/do_annotation.pl?DOMAIN=PhBP&amp;BLAST=DUMMY","1.3")</f>
        <v>1.3</v>
      </c>
      <c r="BI312" t="s">
        <v>128</v>
      </c>
      <c r="BJ312" s="2" t="s">
        <v>128</v>
      </c>
      <c r="BK312" t="s">
        <v>1212</v>
      </c>
      <c r="BL312">
        <f>HYPERLINK("http://exon.niaid.nih.gov/transcriptome/Anopheles_sialome/links/cluster-b/anopheline-sialome-cds-pep-larger-orf25-50SimCLU6.txt", 6)</f>
        <v>6</v>
      </c>
      <c r="BM312">
        <f>HYPERLINK("http://exon.niaid.nih.gov/transcriptome/Anopheles_sialome/links/cluster-b/anopheline-sialome-cds-pep-larger-orf25-50SimCLTL6.txt", 44)</f>
        <v>44</v>
      </c>
      <c r="BN312">
        <f>HYPERLINK("http://exon.niaid.nih.gov/transcriptome/Anopheles_sialome/links/cluster-b/anopheline-sialome-cds-pep-larger-orf30-50SimCLU5.txt", 5)</f>
        <v>5</v>
      </c>
      <c r="BO312">
        <f>HYPERLINK("http://exon.niaid.nih.gov/transcriptome/Anopheles_sialome/links/cluster-b/anopheline-sialome-cds-pep-larger-orf30-50SimCLTL5.txt", 44)</f>
        <v>44</v>
      </c>
      <c r="BP312">
        <f>HYPERLINK("http://exon.niaid.nih.gov/transcriptome/Anopheles_sialome/links/cluster-b/anopheline-sialome-cds-pep-larger-orf35-50SimCLU6.txt", 6)</f>
        <v>6</v>
      </c>
      <c r="BQ312">
        <f>HYPERLINK("http://exon.niaid.nih.gov/transcriptome/Anopheles_sialome/links/cluster-b/anopheline-sialome-cds-pep-larger-orf35-50SimCLTL6.txt", 44)</f>
        <v>44</v>
      </c>
      <c r="BR312">
        <f>HYPERLINK("http://exon.niaid.nih.gov/transcriptome/Anopheles_sialome/links/cluster-b/anopheline-sialome-cds-pep-larger-orf40-50SimCLU4.txt", 4)</f>
        <v>4</v>
      </c>
      <c r="BS312">
        <f>HYPERLINK("http://exon.niaid.nih.gov/transcriptome/Anopheles_sialome/links/cluster-b/anopheline-sialome-cds-pep-larger-orf40-50SimCLTL4.txt", 44)</f>
        <v>44</v>
      </c>
      <c r="BT312">
        <f>HYPERLINK("http://exon.niaid.nih.gov/transcriptome/Anopheles_sialome/links/cluster-b/anopheline-sialome-cds-pep-larger-orf45-50SimCLU19.txt", 19)</f>
        <v>19</v>
      </c>
      <c r="BU312">
        <f>HYPERLINK("http://exon.niaid.nih.gov/transcriptome/Anopheles_sialome/links/cluster-b/anopheline-sialome-cds-pep-larger-orf45-50SimCLTL19.txt", 18)</f>
        <v>18</v>
      </c>
      <c r="BV312">
        <f>HYPERLINK("http://exon.niaid.nih.gov/transcriptome/Anopheles_sialome/links/cluster-b/anopheline-sialome-cds-pep-larger-orf50-50SimCLU18.txt", 18)</f>
        <v>18</v>
      </c>
      <c r="BW312">
        <f>HYPERLINK("http://exon.niaid.nih.gov/transcriptome/Anopheles_sialome/links/cluster-b/anopheline-sialome-cds-pep-larger-orf50-50SimCLTL18.txt", 18)</f>
        <v>18</v>
      </c>
      <c r="BX312">
        <f>HYPERLINK("http://exon.niaid.nih.gov/transcriptome/Anopheles_sialome/links/cluster-b/anopheline-sialome-cds-pep-larger-orf55-50SimCLU19.txt", 19)</f>
        <v>19</v>
      </c>
      <c r="BY312">
        <f>HYPERLINK("http://exon.niaid.nih.gov/transcriptome/Anopheles_sialome/links/cluster-b/anopheline-sialome-cds-pep-larger-orf55-50SimCLTL19.txt", 18)</f>
        <v>18</v>
      </c>
      <c r="BZ312">
        <f>HYPERLINK("http://exon.niaid.nih.gov/transcriptome/Anopheles_sialome/links/cluster-b/anopheline-sialome-cds-pep-larger-orf60-50SimCLU18.txt", 18)</f>
        <v>18</v>
      </c>
      <c r="CA312">
        <f>HYPERLINK("http://exon.niaid.nih.gov/transcriptome/Anopheles_sialome/links/cluster-b/anopheline-sialome-cds-pep-larger-orf60-50SimCLTL18.txt", 18)</f>
        <v>18</v>
      </c>
      <c r="CB312">
        <f>HYPERLINK("http://exon.niaid.nih.gov/transcriptome/Anopheles_sialome/links/cluster-b/anopheline-sialome-cds-pep-larger-orf65-50SimCLU23.txt", 23)</f>
        <v>23</v>
      </c>
      <c r="CC312">
        <f>HYPERLINK("http://exon.niaid.nih.gov/transcriptome/Anopheles_sialome/links/cluster-b/anopheline-sialome-cds-pep-larger-orf65-50SimCLTL23.txt", 16)</f>
        <v>16</v>
      </c>
      <c r="CD312">
        <f>HYPERLINK("http://exon.niaid.nih.gov/transcriptome/Anopheles_sialome/links/cluster-b/anopheline-sialome-cds-pep-larger-orf70-50SimCLU49.txt", 49)</f>
        <v>49</v>
      </c>
      <c r="CE312">
        <f>HYPERLINK("http://exon.niaid.nih.gov/transcriptome/Anopheles_sialome/links/cluster-b/anopheline-sialome-cds-pep-larger-orf70-50SimCLTL49.txt", 2)</f>
        <v>2</v>
      </c>
      <c r="CF312">
        <f>HYPERLINK("http://exon.niaid.nih.gov/transcriptome/Anopheles_sialome/links/cluster-b/anopheline-sialome-cds-pep-larger-orf75-50SimCLU62.txt", 62)</f>
        <v>62</v>
      </c>
      <c r="CG312">
        <f>HYPERLINK("http://exon.niaid.nih.gov/transcriptome/Anopheles_sialome/links/cluster-b/anopheline-sialome-cds-pep-larger-orf75-50SimCLTL62.txt", 2)</f>
        <v>2</v>
      </c>
      <c r="CH312">
        <v>139</v>
      </c>
      <c r="CI312">
        <v>1</v>
      </c>
      <c r="CJ312">
        <v>167</v>
      </c>
      <c r="CK312">
        <v>1</v>
      </c>
      <c r="CL312">
        <v>204</v>
      </c>
      <c r="CM312">
        <v>1</v>
      </c>
      <c r="CN312">
        <v>225</v>
      </c>
      <c r="CO312">
        <v>1</v>
      </c>
    </row>
    <row r="313" spans="1:93">
      <c r="A313" s="2" t="str">
        <f>HYPERLINK("http://exon.niaid.nih.gov/transcriptome/Anopheles_sialome/links/cds/anosin_D7L3-cds.txt","anosin_D7L3")</f>
        <v>anosin_D7L3</v>
      </c>
      <c r="B313">
        <v>891</v>
      </c>
      <c r="C313" t="s">
        <v>220</v>
      </c>
      <c r="D313" t="s">
        <v>7</v>
      </c>
      <c r="E313" t="s">
        <v>5</v>
      </c>
      <c r="F313" t="s">
        <v>1</v>
      </c>
      <c r="G313" t="str">
        <f>HYPERLINK("http://exon.niaid.nih.gov/transcriptome/Anopheles_sialome/links/pep/anosin_D7L3-pep.txt","anosin_D7L3")</f>
        <v>anosin_D7L3</v>
      </c>
      <c r="H313">
        <v>296</v>
      </c>
      <c r="I313">
        <v>2</v>
      </c>
      <c r="J313" s="3" t="str">
        <f>HYPERLINK("http://exon.niaid.nih.gov/transcriptome/Anopheles_sialome/links/Sigp/anosin_D7L3-SigP.txt","SIG")</f>
        <v>SIG</v>
      </c>
      <c r="K313" t="s">
        <v>695</v>
      </c>
      <c r="L313">
        <v>34.5</v>
      </c>
      <c r="M313">
        <v>5.76</v>
      </c>
      <c r="N313">
        <v>32.04</v>
      </c>
      <c r="O313">
        <v>5.43</v>
      </c>
      <c r="P313" t="s">
        <v>1215</v>
      </c>
      <c r="Q313" s="3">
        <v>0</v>
      </c>
      <c r="R313" t="s">
        <v>128</v>
      </c>
      <c r="S313" t="s">
        <v>128</v>
      </c>
      <c r="T313" t="s">
        <v>128</v>
      </c>
      <c r="U313" t="s">
        <v>128</v>
      </c>
      <c r="V313" t="s">
        <v>128</v>
      </c>
      <c r="W313" s="3" t="str">
        <f>HYPERLINK("http://exon.niaid.nih.gov/transcriptome/Anopheles_sialome/links/netoglyc/anosin_D7L3-netoglyc.txt","0")</f>
        <v>0</v>
      </c>
      <c r="X313">
        <v>11.8</v>
      </c>
      <c r="Y313">
        <v>3.4</v>
      </c>
      <c r="Z313">
        <v>2.7</v>
      </c>
      <c r="AA313" t="s">
        <v>654</v>
      </c>
      <c r="AB313" t="s">
        <v>128</v>
      </c>
      <c r="AC313" s="2" t="str">
        <f>HYPERLINK("http://exon.niaid.nih.gov/transcriptome/Anopheles_sialome/links/DIPTERA/anosin_D7L3-DIPTERA.txt","AGAP008279-PA-like protein")</f>
        <v>AGAP008279-PA-like protein</v>
      </c>
      <c r="AD313" t="str">
        <f>HYPERLINK("http://www.ncbi.nlm.nih.gov/sutils/blink.cgi?pid=668454399","8E-053")</f>
        <v>8E-053</v>
      </c>
      <c r="AE313" t="str">
        <f>HYPERLINK("http://www.ncbi.nlm.nih.gov/protein/668454399","gi|668454399")</f>
        <v>gi|668454399</v>
      </c>
      <c r="AF313">
        <v>96</v>
      </c>
      <c r="AG313">
        <v>99</v>
      </c>
      <c r="AH313">
        <v>73</v>
      </c>
      <c r="AI313" t="s">
        <v>2277</v>
      </c>
      <c r="AJ313" s="2" t="str">
        <f>HYPERLINK("http://exon.niaid.nih.gov/transcriptome/Anopheles_sialome/links/CULICOMORPHA/anosin_D7L3-CULICOMORPHA.txt","AGAP008279-PA-like protein")</f>
        <v>AGAP008279-PA-like protein</v>
      </c>
      <c r="AK313" t="str">
        <f>HYPERLINK("http://www.ncbi.nlm.nih.gov/sutils/blink.cgi?pid=668454399","1E-053")</f>
        <v>1E-053</v>
      </c>
      <c r="AL313" t="str">
        <f>HYPERLINK("http://www.ncbi.nlm.nih.gov/protein/668454399","gi|668454399")</f>
        <v>gi|668454399</v>
      </c>
      <c r="AM313">
        <v>96</v>
      </c>
      <c r="AN313">
        <v>99</v>
      </c>
      <c r="AO313">
        <v>73</v>
      </c>
      <c r="AP313" t="s">
        <v>2277</v>
      </c>
      <c r="AQ313" s="2" t="str">
        <f>HYPERLINK("http://exon.niaid.nih.gov/transcriptome/Anopheles_sialome/links/NR-LIGHT/anosin_D7L3-NR-LIGHT.txt","AGAP008279-PA-like protein")</f>
        <v>AGAP008279-PA-like protein</v>
      </c>
      <c r="AR313" t="str">
        <f>HYPERLINK("http://www.ncbi.nlm.nih.gov/sutils/blink.cgi?pid=668454399","2E-052")</f>
        <v>2E-052</v>
      </c>
      <c r="AS313" t="str">
        <f>HYPERLINK("http://www.ncbi.nlm.nih.gov/protein/668454399","gi|668454399")</f>
        <v>gi|668454399</v>
      </c>
      <c r="AT313">
        <v>96</v>
      </c>
      <c r="AU313">
        <v>99</v>
      </c>
      <c r="AV313">
        <v>73</v>
      </c>
      <c r="AW313" t="s">
        <v>2277</v>
      </c>
      <c r="AX313" s="2" t="str">
        <f>HYPERLINK("http://exon.niaid.nih.gov/transcriptome/Anopheles_sialome/links/CDD/anosin_D7L3-CDD.txt","PBP_GOBP")</f>
        <v>PBP_GOBP</v>
      </c>
      <c r="AY313" t="str">
        <f>HYPERLINK("http://www.ncbi.nlm.nih.gov/Structure/cdd/cddsrv.cgi?uid=pfam01395&amp;version=v4.0","0.042")</f>
        <v>0.042</v>
      </c>
      <c r="AZ313" t="s">
        <v>2595</v>
      </c>
      <c r="BA313" s="2" t="str">
        <f>HYPERLINK("http://exon.niaid.nih.gov/transcriptome/Anopheles_sialome/links/KOG/anosin_D7L3-KOG.txt","P-type ATPase")</f>
        <v>P-type ATPase</v>
      </c>
      <c r="BB313" t="str">
        <f>HYPERLINK("http://www.ncbi.nlm.nih.gov/Structure/cdd/cddsrv.cgi?uid=KOG0209","1.4")</f>
        <v>1.4</v>
      </c>
      <c r="BC313" t="s">
        <v>2447</v>
      </c>
      <c r="BD313" t="str">
        <f>HYPERLINK("http://exon.niaid.nih.gov/transcriptome/Anopheles_sialome/links/KOG/anosin_D7L3-KOG.txt","KOG0209")</f>
        <v>KOG0209</v>
      </c>
      <c r="BE313" t="str">
        <f>HYPERLINK("http://exon.niaid.nih.gov/transcriptome/Anopheles_sialome/links/PFAM/anosin_D7L3-PFAM.txt","PBP_GOBP")</f>
        <v>PBP_GOBP</v>
      </c>
      <c r="BF313" t="str">
        <f>HYPERLINK("http://pfam.sanger.ac.uk/family?acc=PF01395","0.008")</f>
        <v>0.008</v>
      </c>
      <c r="BG313" s="2" t="str">
        <f>HYPERLINK("http://exon.niaid.nih.gov/transcriptome/Anopheles_sialome/links/SMART/anosin_D7L3-SMART.txt","PhBP")</f>
        <v>PhBP</v>
      </c>
      <c r="BH313" t="str">
        <f>HYPERLINK("http://smart.embl-heidelberg.de/smart/do_annotation.pl?DOMAIN=PhBP&amp;BLAST=DUMMY","0.002")</f>
        <v>0.002</v>
      </c>
      <c r="BI313" t="s">
        <v>128</v>
      </c>
      <c r="BJ313" s="2" t="s">
        <v>128</v>
      </c>
      <c r="BK313" t="s">
        <v>1214</v>
      </c>
      <c r="BL313">
        <f>HYPERLINK("http://exon.niaid.nih.gov/transcriptome/Anopheles_sialome/links/cluster-b/anopheline-sialome-cds-pep-larger-orf25-50SimCLU6.txt", 6)</f>
        <v>6</v>
      </c>
      <c r="BM313">
        <f>HYPERLINK("http://exon.niaid.nih.gov/transcriptome/Anopheles_sialome/links/cluster-b/anopheline-sialome-cds-pep-larger-orf25-50SimCLTL6.txt", 44)</f>
        <v>44</v>
      </c>
      <c r="BN313">
        <f>HYPERLINK("http://exon.niaid.nih.gov/transcriptome/Anopheles_sialome/links/cluster-b/anopheline-sialome-cds-pep-larger-orf30-50SimCLU5.txt", 5)</f>
        <v>5</v>
      </c>
      <c r="BO313">
        <f>HYPERLINK("http://exon.niaid.nih.gov/transcriptome/Anopheles_sialome/links/cluster-b/anopheline-sialome-cds-pep-larger-orf30-50SimCLTL5.txt", 44)</f>
        <v>44</v>
      </c>
      <c r="BP313">
        <f>HYPERLINK("http://exon.niaid.nih.gov/transcriptome/Anopheles_sialome/links/cluster-b/anopheline-sialome-cds-pep-larger-orf35-50SimCLU6.txt", 6)</f>
        <v>6</v>
      </c>
      <c r="BQ313">
        <f>HYPERLINK("http://exon.niaid.nih.gov/transcriptome/Anopheles_sialome/links/cluster-b/anopheline-sialome-cds-pep-larger-orf35-50SimCLTL6.txt", 44)</f>
        <v>44</v>
      </c>
      <c r="BR313">
        <f>HYPERLINK("http://exon.niaid.nih.gov/transcriptome/Anopheles_sialome/links/cluster-b/anopheline-sialome-cds-pep-larger-orf40-50SimCLU4.txt", 4)</f>
        <v>4</v>
      </c>
      <c r="BS313">
        <f>HYPERLINK("http://exon.niaid.nih.gov/transcriptome/Anopheles_sialome/links/cluster-b/anopheline-sialome-cds-pep-larger-orf40-50SimCLTL4.txt", 44)</f>
        <v>44</v>
      </c>
      <c r="BT313">
        <f>HYPERLINK("http://exon.niaid.nih.gov/transcriptome/Anopheles_sialome/links/cluster-b/anopheline-sialome-cds-pep-larger-orf45-50SimCLU19.txt", 19)</f>
        <v>19</v>
      </c>
      <c r="BU313">
        <f>HYPERLINK("http://exon.niaid.nih.gov/transcriptome/Anopheles_sialome/links/cluster-b/anopheline-sialome-cds-pep-larger-orf45-50SimCLTL19.txt", 18)</f>
        <v>18</v>
      </c>
      <c r="BV313">
        <f>HYPERLINK("http://exon.niaid.nih.gov/transcriptome/Anopheles_sialome/links/cluster-b/anopheline-sialome-cds-pep-larger-orf50-50SimCLU18.txt", 18)</f>
        <v>18</v>
      </c>
      <c r="BW313">
        <f>HYPERLINK("http://exon.niaid.nih.gov/transcriptome/Anopheles_sialome/links/cluster-b/anopheline-sialome-cds-pep-larger-orf50-50SimCLTL18.txt", 18)</f>
        <v>18</v>
      </c>
      <c r="BX313">
        <f>HYPERLINK("http://exon.niaid.nih.gov/transcriptome/Anopheles_sialome/links/cluster-b/anopheline-sialome-cds-pep-larger-orf55-50SimCLU19.txt", 19)</f>
        <v>19</v>
      </c>
      <c r="BY313">
        <f>HYPERLINK("http://exon.niaid.nih.gov/transcriptome/Anopheles_sialome/links/cluster-b/anopheline-sialome-cds-pep-larger-orf55-50SimCLTL19.txt", 18)</f>
        <v>18</v>
      </c>
      <c r="BZ313">
        <f>HYPERLINK("http://exon.niaid.nih.gov/transcriptome/Anopheles_sialome/links/cluster-b/anopheline-sialome-cds-pep-larger-orf60-50SimCLU18.txt", 18)</f>
        <v>18</v>
      </c>
      <c r="CA313">
        <f>HYPERLINK("http://exon.niaid.nih.gov/transcriptome/Anopheles_sialome/links/cluster-b/anopheline-sialome-cds-pep-larger-orf60-50SimCLTL18.txt", 18)</f>
        <v>18</v>
      </c>
      <c r="CB313">
        <f>HYPERLINK("http://exon.niaid.nih.gov/transcriptome/Anopheles_sialome/links/cluster-b/anopheline-sialome-cds-pep-larger-orf65-50SimCLU23.txt", 23)</f>
        <v>23</v>
      </c>
      <c r="CC313">
        <f>HYPERLINK("http://exon.niaid.nih.gov/transcriptome/Anopheles_sialome/links/cluster-b/anopheline-sialome-cds-pep-larger-orf65-50SimCLTL23.txt", 16)</f>
        <v>16</v>
      </c>
      <c r="CD313">
        <f>HYPERLINK("http://exon.niaid.nih.gov/transcriptome/Anopheles_sialome/links/cluster-b/anopheline-sialome-cds-pep-larger-orf70-50SimCLU49.txt", 49)</f>
        <v>49</v>
      </c>
      <c r="CE313">
        <f>HYPERLINK("http://exon.niaid.nih.gov/transcriptome/Anopheles_sialome/links/cluster-b/anopheline-sialome-cds-pep-larger-orf70-50SimCLTL49.txt", 2)</f>
        <v>2</v>
      </c>
      <c r="CF313">
        <f>HYPERLINK("http://exon.niaid.nih.gov/transcriptome/Anopheles_sialome/links/cluster-b/anopheline-sialome-cds-pep-larger-orf75-50SimCLU62.txt", 62)</f>
        <v>62</v>
      </c>
      <c r="CG313">
        <f>HYPERLINK("http://exon.niaid.nih.gov/transcriptome/Anopheles_sialome/links/cluster-b/anopheline-sialome-cds-pep-larger-orf75-50SimCLTL62.txt", 2)</f>
        <v>2</v>
      </c>
      <c r="CH313">
        <v>140</v>
      </c>
      <c r="CI313">
        <v>1</v>
      </c>
      <c r="CJ313">
        <v>168</v>
      </c>
      <c r="CK313">
        <v>1</v>
      </c>
      <c r="CL313">
        <v>205</v>
      </c>
      <c r="CM313">
        <v>1</v>
      </c>
      <c r="CN313">
        <v>226</v>
      </c>
      <c r="CO313">
        <v>1</v>
      </c>
    </row>
    <row r="314" spans="1:93">
      <c r="A314" s="2" t="str">
        <f>HYPERLINK("http://exon.niaid.nih.gov/transcriptome/Anopheles_sialome/links/cds/anoalb_D7L3-cds.txt","anoalb_D7L3")</f>
        <v>anoalb_D7L3</v>
      </c>
      <c r="B314">
        <v>864</v>
      </c>
      <c r="C314" t="s">
        <v>221</v>
      </c>
      <c r="D314" t="s">
        <v>7</v>
      </c>
      <c r="E314" t="s">
        <v>5</v>
      </c>
      <c r="F314" t="s">
        <v>1</v>
      </c>
      <c r="G314" t="str">
        <f>HYPERLINK("http://exon.niaid.nih.gov/transcriptome/Anopheles_sialome/links/pep/anoalb_D7L3-pep.txt","anoalb_D7L3")</f>
        <v>anoalb_D7L3</v>
      </c>
      <c r="H314">
        <v>287</v>
      </c>
      <c r="I314">
        <v>1</v>
      </c>
      <c r="J314" s="3" t="str">
        <f>HYPERLINK("http://exon.niaid.nih.gov/transcriptome/Anopheles_sialome/links/Sigp/anoalb_D7L3-SigP.txt","SIG")</f>
        <v>SIG</v>
      </c>
      <c r="K314" t="s">
        <v>689</v>
      </c>
      <c r="L314">
        <v>33.064</v>
      </c>
      <c r="M314">
        <v>6.04</v>
      </c>
      <c r="N314">
        <v>30.766999999999999</v>
      </c>
      <c r="O314">
        <v>5.93</v>
      </c>
      <c r="P314" t="s">
        <v>1217</v>
      </c>
      <c r="Q314" s="3">
        <v>0</v>
      </c>
      <c r="R314" t="s">
        <v>128</v>
      </c>
      <c r="S314" t="s">
        <v>128</v>
      </c>
      <c r="T314" t="s">
        <v>128</v>
      </c>
      <c r="U314" t="s">
        <v>128</v>
      </c>
      <c r="V314" t="s">
        <v>128</v>
      </c>
      <c r="W314" s="3" t="str">
        <f>HYPERLINK("http://exon.niaid.nih.gov/transcriptome/Anopheles_sialome/links/netoglyc/anoalb_D7L3-netoglyc.txt","0")</f>
        <v>0</v>
      </c>
      <c r="X314">
        <v>15.7</v>
      </c>
      <c r="Y314">
        <v>4.2</v>
      </c>
      <c r="Z314">
        <v>2.4</v>
      </c>
      <c r="AA314" t="s">
        <v>654</v>
      </c>
      <c r="AB314" t="s">
        <v>128</v>
      </c>
      <c r="AC314" s="2" t="str">
        <f>HYPERLINK("http://exon.niaid.nih.gov/transcriptome/Anopheles_sialome/links/DIPTERA/anoalb_D7L3-DIPTERA.txt","hypothetical protein AND_010075")</f>
        <v>hypothetical protein AND_010075</v>
      </c>
      <c r="AD314" t="str">
        <f>HYPERLINK("http://www.ncbi.nlm.nih.gov/sutils/blink.cgi?pid=568248508","1E-103")</f>
        <v>1E-103</v>
      </c>
      <c r="AE314" t="str">
        <f>HYPERLINK("http://www.ncbi.nlm.nih.gov/protein/568248508","gi|568248508")</f>
        <v>gi|568248508</v>
      </c>
      <c r="AF314">
        <v>60</v>
      </c>
      <c r="AG314">
        <v>65</v>
      </c>
      <c r="AH314">
        <v>106</v>
      </c>
      <c r="AI314" t="s">
        <v>2283</v>
      </c>
      <c r="AJ314" s="2" t="str">
        <f>HYPERLINK("http://exon.niaid.nih.gov/transcriptome/Anopheles_sialome/links/CULICOMORPHA/anoalb_D7L3-CULICOMORPHA.txt","hypothetical protein AND_010075")</f>
        <v>hypothetical protein AND_010075</v>
      </c>
      <c r="AK314" t="str">
        <f>HYPERLINK("http://www.ncbi.nlm.nih.gov/sutils/blink.cgi?pid=568248508","1E-104")</f>
        <v>1E-104</v>
      </c>
      <c r="AL314" t="str">
        <f>HYPERLINK("http://www.ncbi.nlm.nih.gov/protein/568248508","gi|568248508")</f>
        <v>gi|568248508</v>
      </c>
      <c r="AM314">
        <v>60</v>
      </c>
      <c r="AN314">
        <v>65</v>
      </c>
      <c r="AO314">
        <v>106</v>
      </c>
      <c r="AP314" t="s">
        <v>2283</v>
      </c>
      <c r="AQ314" s="2" t="str">
        <f>HYPERLINK("http://exon.niaid.nih.gov/transcriptome/Anopheles_sialome/links/NR-LIGHT/anoalb_D7L3-NR-LIGHT.txt","hypothetical protein AND_010075")</f>
        <v>hypothetical protein AND_010075</v>
      </c>
      <c r="AR314" t="str">
        <f>HYPERLINK("http://www.ncbi.nlm.nih.gov/sutils/blink.cgi?pid=568248508","1E-103")</f>
        <v>1E-103</v>
      </c>
      <c r="AS314" t="str">
        <f>HYPERLINK("http://www.ncbi.nlm.nih.gov/protein/568248508","gi|568248508")</f>
        <v>gi|568248508</v>
      </c>
      <c r="AT314">
        <v>60</v>
      </c>
      <c r="AU314">
        <v>65</v>
      </c>
      <c r="AV314">
        <v>106</v>
      </c>
      <c r="AW314" t="s">
        <v>2283</v>
      </c>
      <c r="AX314" s="2" t="str">
        <f>HYPERLINK("http://exon.niaid.nih.gov/transcriptome/Anopheles_sialome/links/CDD/anoalb_D7L3-CDD.txt","PLN02546")</f>
        <v>PLN02546</v>
      </c>
      <c r="AY314" t="str">
        <f>HYPERLINK("http://www.ncbi.nlm.nih.gov/Structure/cdd/cddsrv.cgi?uid=PLN02546&amp;version=v4.0","0.59")</f>
        <v>0.59</v>
      </c>
      <c r="AZ314" t="s">
        <v>2596</v>
      </c>
      <c r="BA314" s="2" t="str">
        <f>HYPERLINK("http://exon.niaid.nih.gov/transcriptome/Anopheles_sialome/links/KOG/anoalb_D7L3-KOG.txt","Protein tyrosine kinase")</f>
        <v>Protein tyrosine kinase</v>
      </c>
      <c r="BB314" t="str">
        <f>HYPERLINK("http://www.ncbi.nlm.nih.gov/Structure/cdd/cddsrv.cgi?uid=KOG4278","0.10")</f>
        <v>0.10</v>
      </c>
      <c r="BC314" t="s">
        <v>2292</v>
      </c>
      <c r="BD314" t="str">
        <f>HYPERLINK("http://exon.niaid.nih.gov/transcriptome/Anopheles_sialome/links/KOG/anoalb_D7L3-KOG.txt","KOG4278")</f>
        <v>KOG4278</v>
      </c>
      <c r="BE314" t="str">
        <f>HYPERLINK("http://exon.niaid.nih.gov/transcriptome/Anopheles_sialome/links/PFAM/anoalb_D7L3-PFAM.txt","Pan_kinase")</f>
        <v>Pan_kinase</v>
      </c>
      <c r="BF314" t="str">
        <f>HYPERLINK("http://pfam.sanger.ac.uk/family?acc=PF03309","0.42")</f>
        <v>0.42</v>
      </c>
      <c r="BG314" s="2" t="str">
        <f>HYPERLINK("http://exon.niaid.nih.gov/transcriptome/Anopheles_sialome/links/SMART/anoalb_D7L3-SMART.txt","PhBP")</f>
        <v>PhBP</v>
      </c>
      <c r="BH314" t="str">
        <f>HYPERLINK("http://smart.embl-heidelberg.de/smart/do_annotation.pl?DOMAIN=PhBP&amp;BLAST=DUMMY","0.30")</f>
        <v>0.30</v>
      </c>
      <c r="BI314" t="s">
        <v>128</v>
      </c>
      <c r="BJ314" s="2" t="s">
        <v>128</v>
      </c>
      <c r="BK314" t="s">
        <v>1216</v>
      </c>
      <c r="BL314">
        <f>HYPERLINK("http://exon.niaid.nih.gov/transcriptome/Anopheles_sialome/links/cluster-b/anopheline-sialome-cds-pep-larger-orf25-50SimCLU6.txt", 6)</f>
        <v>6</v>
      </c>
      <c r="BM314">
        <f>HYPERLINK("http://exon.niaid.nih.gov/transcriptome/Anopheles_sialome/links/cluster-b/anopheline-sialome-cds-pep-larger-orf25-50SimCLTL6.txt", 44)</f>
        <v>44</v>
      </c>
      <c r="BN314">
        <f>HYPERLINK("http://exon.niaid.nih.gov/transcriptome/Anopheles_sialome/links/cluster-b/anopheline-sialome-cds-pep-larger-orf30-50SimCLU5.txt", 5)</f>
        <v>5</v>
      </c>
      <c r="BO314">
        <f>HYPERLINK("http://exon.niaid.nih.gov/transcriptome/Anopheles_sialome/links/cluster-b/anopheline-sialome-cds-pep-larger-orf30-50SimCLTL5.txt", 44)</f>
        <v>44</v>
      </c>
      <c r="BP314">
        <f>HYPERLINK("http://exon.niaid.nih.gov/transcriptome/Anopheles_sialome/links/cluster-b/anopheline-sialome-cds-pep-larger-orf35-50SimCLU6.txt", 6)</f>
        <v>6</v>
      </c>
      <c r="BQ314">
        <f>HYPERLINK("http://exon.niaid.nih.gov/transcriptome/Anopheles_sialome/links/cluster-b/anopheline-sialome-cds-pep-larger-orf35-50SimCLTL6.txt", 44)</f>
        <v>44</v>
      </c>
      <c r="BR314">
        <f>HYPERLINK("http://exon.niaid.nih.gov/transcriptome/Anopheles_sialome/links/cluster-b/anopheline-sialome-cds-pep-larger-orf40-50SimCLU4.txt", 4)</f>
        <v>4</v>
      </c>
      <c r="BS314">
        <f>HYPERLINK("http://exon.niaid.nih.gov/transcriptome/Anopheles_sialome/links/cluster-b/anopheline-sialome-cds-pep-larger-orf40-50SimCLTL4.txt", 44)</f>
        <v>44</v>
      </c>
      <c r="BT314">
        <f>HYPERLINK("http://exon.niaid.nih.gov/transcriptome/Anopheles_sialome/links/cluster-b/anopheline-sialome-cds-pep-larger-orf45-50SimCLU19.txt", 19)</f>
        <v>19</v>
      </c>
      <c r="BU314">
        <f>HYPERLINK("http://exon.niaid.nih.gov/transcriptome/Anopheles_sialome/links/cluster-b/anopheline-sialome-cds-pep-larger-orf45-50SimCLTL19.txt", 18)</f>
        <v>18</v>
      </c>
      <c r="BV314">
        <f>HYPERLINK("http://exon.niaid.nih.gov/transcriptome/Anopheles_sialome/links/cluster-b/anopheline-sialome-cds-pep-larger-orf50-50SimCLU18.txt", 18)</f>
        <v>18</v>
      </c>
      <c r="BW314">
        <f>HYPERLINK("http://exon.niaid.nih.gov/transcriptome/Anopheles_sialome/links/cluster-b/anopheline-sialome-cds-pep-larger-orf50-50SimCLTL18.txt", 18)</f>
        <v>18</v>
      </c>
      <c r="BX314">
        <f>HYPERLINK("http://exon.niaid.nih.gov/transcriptome/Anopheles_sialome/links/cluster-b/anopheline-sialome-cds-pep-larger-orf55-50SimCLU19.txt", 19)</f>
        <v>19</v>
      </c>
      <c r="BY314">
        <f>HYPERLINK("http://exon.niaid.nih.gov/transcriptome/Anopheles_sialome/links/cluster-b/anopheline-sialome-cds-pep-larger-orf55-50SimCLTL19.txt", 18)</f>
        <v>18</v>
      </c>
      <c r="BZ314">
        <f>HYPERLINK("http://exon.niaid.nih.gov/transcriptome/Anopheles_sialome/links/cluster-b/anopheline-sialome-cds-pep-larger-orf60-50SimCLU18.txt", 18)</f>
        <v>18</v>
      </c>
      <c r="CA314">
        <f>HYPERLINK("http://exon.niaid.nih.gov/transcriptome/Anopheles_sialome/links/cluster-b/anopheline-sialome-cds-pep-larger-orf60-50SimCLTL18.txt", 18)</f>
        <v>18</v>
      </c>
      <c r="CB314">
        <f>HYPERLINK("http://exon.niaid.nih.gov/transcriptome/Anopheles_sialome/links/cluster-b/anopheline-sialome-cds-pep-larger-orf65-50SimCLU46.txt", 46)</f>
        <v>46</v>
      </c>
      <c r="CC314">
        <f>HYPERLINK("http://exon.niaid.nih.gov/transcriptome/Anopheles_sialome/links/cluster-b/anopheline-sialome-cds-pep-larger-orf65-50SimCLTL46.txt", 2)</f>
        <v>2</v>
      </c>
      <c r="CD314">
        <f>HYPERLINK("http://exon.niaid.nih.gov/transcriptome/Anopheles_sialome/links/cluster-b/anopheline-sialome-cds-pep-larger-orf70-50SimCLU50.txt", 50)</f>
        <v>50</v>
      </c>
      <c r="CE314">
        <f>HYPERLINK("http://exon.niaid.nih.gov/transcriptome/Anopheles_sialome/links/cluster-b/anopheline-sialome-cds-pep-larger-orf70-50SimCLTL50.txt", 2)</f>
        <v>2</v>
      </c>
      <c r="CF314">
        <f>HYPERLINK("http://exon.niaid.nih.gov/transcriptome/Anopheles_sialome/links/cluster-b/anopheline-sialome-cds-pep-larger-orf75-50SimCLU63.txt", 63)</f>
        <v>63</v>
      </c>
      <c r="CG314">
        <f>HYPERLINK("http://exon.niaid.nih.gov/transcriptome/Anopheles_sialome/links/cluster-b/anopheline-sialome-cds-pep-larger-orf75-50SimCLTL63.txt", 2)</f>
        <v>2</v>
      </c>
      <c r="CH314">
        <f>HYPERLINK("http://exon.niaid.nih.gov/transcriptome/Anopheles_sialome/links/cluster-b/anopheline-sialome-cds-pep-larger-orf80-50SimCLU73.txt", 73)</f>
        <v>73</v>
      </c>
      <c r="CI314">
        <f>HYPERLINK("http://exon.niaid.nih.gov/transcriptome/Anopheles_sialome/links/cluster-b/anopheline-sialome-cds-pep-larger-orf80-50SimCLTL73.txt", 2)</f>
        <v>2</v>
      </c>
      <c r="CJ314">
        <f>HYPERLINK("http://exon.niaid.nih.gov/transcriptome/Anopheles_sialome/links/cluster-b/anopheline-sialome-cds-pep-larger-orf85-50SimCLU78.txt", 78)</f>
        <v>78</v>
      </c>
      <c r="CK314">
        <f>HYPERLINK("http://exon.niaid.nih.gov/transcriptome/Anopheles_sialome/links/cluster-b/anopheline-sialome-cds-pep-larger-orf85-50SimCLTL78.txt", 2)</f>
        <v>2</v>
      </c>
      <c r="CL314">
        <v>206</v>
      </c>
      <c r="CM314">
        <v>1</v>
      </c>
      <c r="CN314">
        <v>227</v>
      </c>
      <c r="CO314">
        <v>1</v>
      </c>
    </row>
    <row r="315" spans="1:93">
      <c r="A315" s="2" t="str">
        <f>HYPERLINK("http://exon.niaid.nih.gov/transcriptome/Anopheles_sialome/links/cds/anodar_D7L3-cds.txt","anodar_D7L3")</f>
        <v>anodar_D7L3</v>
      </c>
      <c r="B315">
        <v>861</v>
      </c>
      <c r="C315" t="s">
        <v>222</v>
      </c>
      <c r="D315" t="s">
        <v>7</v>
      </c>
      <c r="E315" t="s">
        <v>5</v>
      </c>
      <c r="F315" t="s">
        <v>1</v>
      </c>
      <c r="G315" t="str">
        <f>HYPERLINK("http://exon.niaid.nih.gov/transcriptome/Anopheles_sialome/links/pep/anodar_D7L3-pep.txt","anodar_D7L3")</f>
        <v>anodar_D7L3</v>
      </c>
      <c r="H315">
        <v>286</v>
      </c>
      <c r="I315">
        <v>1</v>
      </c>
      <c r="J315" s="3" t="str">
        <f>HYPERLINK("http://exon.niaid.nih.gov/transcriptome/Anopheles_sialome/links/Sigp/anodar_D7L3-SigP.txt","SIG")</f>
        <v>SIG</v>
      </c>
      <c r="K315" t="s">
        <v>925</v>
      </c>
      <c r="L315">
        <v>33.124000000000002</v>
      </c>
      <c r="M315">
        <v>5.86</v>
      </c>
      <c r="N315">
        <v>31.225000000000001</v>
      </c>
      <c r="O315">
        <v>5.75</v>
      </c>
      <c r="P315" t="s">
        <v>1025</v>
      </c>
      <c r="Q315" s="3">
        <v>0</v>
      </c>
      <c r="R315" t="s">
        <v>128</v>
      </c>
      <c r="S315" t="s">
        <v>128</v>
      </c>
      <c r="T315" t="s">
        <v>128</v>
      </c>
      <c r="U315" t="s">
        <v>128</v>
      </c>
      <c r="V315" t="s">
        <v>128</v>
      </c>
      <c r="W315" s="3" t="str">
        <f>HYPERLINK("http://exon.niaid.nih.gov/transcriptome/Anopheles_sialome/links/netoglyc/anodar_D7L3-netoglyc.txt","0")</f>
        <v>0</v>
      </c>
      <c r="X315">
        <v>15</v>
      </c>
      <c r="Y315">
        <v>2.8</v>
      </c>
      <c r="Z315">
        <v>2.8</v>
      </c>
      <c r="AA315" t="s">
        <v>654</v>
      </c>
      <c r="AB315" t="s">
        <v>128</v>
      </c>
      <c r="AC315" s="2" t="str">
        <f>HYPERLINK("http://exon.niaid.nih.gov/transcriptome/Anopheles_sialome/links/DIPTERA/anodar_D7L3-DIPTERA.txt","hypothetical protein AND_010075")</f>
        <v>hypothetical protein AND_010075</v>
      </c>
      <c r="AD315" t="str">
        <f>HYPERLINK("http://www.ncbi.nlm.nih.gov/sutils/blink.cgi?pid=568248508","1E-134")</f>
        <v>1E-134</v>
      </c>
      <c r="AE315" t="str">
        <f t="shared" ref="AE315" si="138">HYPERLINK("http://www.ncbi.nlm.nih.gov/protein/568248508","gi|568248508")</f>
        <v>gi|568248508</v>
      </c>
      <c r="AF315">
        <v>74</v>
      </c>
      <c r="AG315">
        <v>75</v>
      </c>
      <c r="AH315">
        <v>106</v>
      </c>
      <c r="AI315" t="s">
        <v>2283</v>
      </c>
      <c r="AJ315" s="2" t="str">
        <f>HYPERLINK("http://exon.niaid.nih.gov/transcriptome/Anopheles_sialome/links/CULICOMORPHA/anodar_D7L3-CULICOMORPHA.txt","hypothetical protein AND_010075")</f>
        <v>hypothetical protein AND_010075</v>
      </c>
      <c r="AK315" t="str">
        <f>HYPERLINK("http://www.ncbi.nlm.nih.gov/sutils/blink.cgi?pid=568248508","1E-135")</f>
        <v>1E-135</v>
      </c>
      <c r="AL315" t="str">
        <f t="shared" ref="AL315" si="139">HYPERLINK("http://www.ncbi.nlm.nih.gov/protein/568248508","gi|568248508")</f>
        <v>gi|568248508</v>
      </c>
      <c r="AM315">
        <v>74</v>
      </c>
      <c r="AN315">
        <v>75</v>
      </c>
      <c r="AO315">
        <v>106</v>
      </c>
      <c r="AP315" t="s">
        <v>2283</v>
      </c>
      <c r="AQ315" s="2" t="str">
        <f>HYPERLINK("http://exon.niaid.nih.gov/transcriptome/Anopheles_sialome/links/NR-LIGHT/anodar_D7L3-NR-LIGHT.txt","hypothetical protein AND_010075")</f>
        <v>hypothetical protein AND_010075</v>
      </c>
      <c r="AR315" t="str">
        <f>HYPERLINK("http://www.ncbi.nlm.nih.gov/sutils/blink.cgi?pid=568248508","1E-134")</f>
        <v>1E-134</v>
      </c>
      <c r="AS315" t="str">
        <f t="shared" ref="AS315" si="140">HYPERLINK("http://www.ncbi.nlm.nih.gov/protein/568248508","gi|568248508")</f>
        <v>gi|568248508</v>
      </c>
      <c r="AT315">
        <v>74</v>
      </c>
      <c r="AU315">
        <v>75</v>
      </c>
      <c r="AV315">
        <v>106</v>
      </c>
      <c r="AW315" t="s">
        <v>2283</v>
      </c>
      <c r="AX315" s="2" t="str">
        <f>HYPERLINK("http://exon.niaid.nih.gov/transcriptome/Anopheles_sialome/links/CDD/anodar_D7L3-CDD.txt","ORC2")</f>
        <v>ORC2</v>
      </c>
      <c r="AY315" t="str">
        <f>HYPERLINK("http://www.ncbi.nlm.nih.gov/Structure/cdd/cddsrv.cgi?uid=COG5575&amp;version=v4.0","2.2")</f>
        <v>2.2</v>
      </c>
      <c r="AZ315" t="s">
        <v>2597</v>
      </c>
      <c r="BA315" s="2" t="str">
        <f>HYPERLINK("http://exon.niaid.nih.gov/transcriptome/Anopheles_sialome/links/KOG/anodar_D7L3-KOG.txt","TATA binding protein associated factor")</f>
        <v>TATA binding protein associated factor</v>
      </c>
      <c r="BB315" t="str">
        <f>HYPERLINK("http://www.ncbi.nlm.nih.gov/Structure/cdd/cddsrv.cgi?uid=KOG1932","0.15")</f>
        <v>0.15</v>
      </c>
      <c r="BC315" t="s">
        <v>2262</v>
      </c>
      <c r="BD315" t="str">
        <f>HYPERLINK("http://exon.niaid.nih.gov/transcriptome/Anopheles_sialome/links/KOG/anodar_D7L3-KOG.txt","KOG1932")</f>
        <v>KOG1932</v>
      </c>
      <c r="BE315" t="str">
        <f>HYPERLINK("http://exon.niaid.nih.gov/transcriptome/Anopheles_sialome/links/PFAM/anodar_D7L3-PFAM.txt","ALMT")</f>
        <v>ALMT</v>
      </c>
      <c r="BF315" t="str">
        <f>HYPERLINK("http://pfam.sanger.ac.uk/family?acc=PF11744","0.96")</f>
        <v>0.96</v>
      </c>
      <c r="BG315" s="2" t="str">
        <f>HYPERLINK("http://exon.niaid.nih.gov/transcriptome/Anopheles_sialome/links/SMART/anodar_D7L3-SMART.txt","PhBP")</f>
        <v>PhBP</v>
      </c>
      <c r="BH315" t="str">
        <f>HYPERLINK("http://smart.embl-heidelberg.de/smart/do_annotation.pl?DOMAIN=PhBP&amp;BLAST=DUMMY","0.36")</f>
        <v>0.36</v>
      </c>
      <c r="BI315" t="s">
        <v>128</v>
      </c>
      <c r="BJ315" s="2" t="s">
        <v>128</v>
      </c>
      <c r="BK315" t="s">
        <v>1218</v>
      </c>
      <c r="BL315">
        <f>HYPERLINK("http://exon.niaid.nih.gov/transcriptome/Anopheles_sialome/links/cluster-b/anopheline-sialome-cds-pep-larger-orf25-50SimCLU6.txt", 6)</f>
        <v>6</v>
      </c>
      <c r="BM315">
        <f>HYPERLINK("http://exon.niaid.nih.gov/transcriptome/Anopheles_sialome/links/cluster-b/anopheline-sialome-cds-pep-larger-orf25-50SimCLTL6.txt", 44)</f>
        <v>44</v>
      </c>
      <c r="BN315">
        <f>HYPERLINK("http://exon.niaid.nih.gov/transcriptome/Anopheles_sialome/links/cluster-b/anopheline-sialome-cds-pep-larger-orf30-50SimCLU5.txt", 5)</f>
        <v>5</v>
      </c>
      <c r="BO315">
        <f>HYPERLINK("http://exon.niaid.nih.gov/transcriptome/Anopheles_sialome/links/cluster-b/anopheline-sialome-cds-pep-larger-orf30-50SimCLTL5.txt", 44)</f>
        <v>44</v>
      </c>
      <c r="BP315">
        <f>HYPERLINK("http://exon.niaid.nih.gov/transcriptome/Anopheles_sialome/links/cluster-b/anopheline-sialome-cds-pep-larger-orf35-50SimCLU6.txt", 6)</f>
        <v>6</v>
      </c>
      <c r="BQ315">
        <f>HYPERLINK("http://exon.niaid.nih.gov/transcriptome/Anopheles_sialome/links/cluster-b/anopheline-sialome-cds-pep-larger-orf35-50SimCLTL6.txt", 44)</f>
        <v>44</v>
      </c>
      <c r="BR315">
        <f>HYPERLINK("http://exon.niaid.nih.gov/transcriptome/Anopheles_sialome/links/cluster-b/anopheline-sialome-cds-pep-larger-orf40-50SimCLU4.txt", 4)</f>
        <v>4</v>
      </c>
      <c r="BS315">
        <f>HYPERLINK("http://exon.niaid.nih.gov/transcriptome/Anopheles_sialome/links/cluster-b/anopheline-sialome-cds-pep-larger-orf40-50SimCLTL4.txt", 44)</f>
        <v>44</v>
      </c>
      <c r="BT315">
        <f>HYPERLINK("http://exon.niaid.nih.gov/transcriptome/Anopheles_sialome/links/cluster-b/anopheline-sialome-cds-pep-larger-orf45-50SimCLU19.txt", 19)</f>
        <v>19</v>
      </c>
      <c r="BU315">
        <f>HYPERLINK("http://exon.niaid.nih.gov/transcriptome/Anopheles_sialome/links/cluster-b/anopheline-sialome-cds-pep-larger-orf45-50SimCLTL19.txt", 18)</f>
        <v>18</v>
      </c>
      <c r="BV315">
        <f>HYPERLINK("http://exon.niaid.nih.gov/transcriptome/Anopheles_sialome/links/cluster-b/anopheline-sialome-cds-pep-larger-orf50-50SimCLU18.txt", 18)</f>
        <v>18</v>
      </c>
      <c r="BW315">
        <f>HYPERLINK("http://exon.niaid.nih.gov/transcriptome/Anopheles_sialome/links/cluster-b/anopheline-sialome-cds-pep-larger-orf50-50SimCLTL18.txt", 18)</f>
        <v>18</v>
      </c>
      <c r="BX315">
        <f>HYPERLINK("http://exon.niaid.nih.gov/transcriptome/Anopheles_sialome/links/cluster-b/anopheline-sialome-cds-pep-larger-orf55-50SimCLU19.txt", 19)</f>
        <v>19</v>
      </c>
      <c r="BY315">
        <f>HYPERLINK("http://exon.niaid.nih.gov/transcriptome/Anopheles_sialome/links/cluster-b/anopheline-sialome-cds-pep-larger-orf55-50SimCLTL19.txt", 18)</f>
        <v>18</v>
      </c>
      <c r="BZ315">
        <f>HYPERLINK("http://exon.niaid.nih.gov/transcriptome/Anopheles_sialome/links/cluster-b/anopheline-sialome-cds-pep-larger-orf60-50SimCLU18.txt", 18)</f>
        <v>18</v>
      </c>
      <c r="CA315">
        <f>HYPERLINK("http://exon.niaid.nih.gov/transcriptome/Anopheles_sialome/links/cluster-b/anopheline-sialome-cds-pep-larger-orf60-50SimCLTL18.txt", 18)</f>
        <v>18</v>
      </c>
      <c r="CB315">
        <f>HYPERLINK("http://exon.niaid.nih.gov/transcriptome/Anopheles_sialome/links/cluster-b/anopheline-sialome-cds-pep-larger-orf65-50SimCLU46.txt", 46)</f>
        <v>46</v>
      </c>
      <c r="CC315">
        <f>HYPERLINK("http://exon.niaid.nih.gov/transcriptome/Anopheles_sialome/links/cluster-b/anopheline-sialome-cds-pep-larger-orf65-50SimCLTL46.txt", 2)</f>
        <v>2</v>
      </c>
      <c r="CD315">
        <f>HYPERLINK("http://exon.niaid.nih.gov/transcriptome/Anopheles_sialome/links/cluster-b/anopheline-sialome-cds-pep-larger-orf70-50SimCLU50.txt", 50)</f>
        <v>50</v>
      </c>
      <c r="CE315">
        <f>HYPERLINK("http://exon.niaid.nih.gov/transcriptome/Anopheles_sialome/links/cluster-b/anopheline-sialome-cds-pep-larger-orf70-50SimCLTL50.txt", 2)</f>
        <v>2</v>
      </c>
      <c r="CF315">
        <f>HYPERLINK("http://exon.niaid.nih.gov/transcriptome/Anopheles_sialome/links/cluster-b/anopheline-sialome-cds-pep-larger-orf75-50SimCLU63.txt", 63)</f>
        <v>63</v>
      </c>
      <c r="CG315">
        <f>HYPERLINK("http://exon.niaid.nih.gov/transcriptome/Anopheles_sialome/links/cluster-b/anopheline-sialome-cds-pep-larger-orf75-50SimCLTL63.txt", 2)</f>
        <v>2</v>
      </c>
      <c r="CH315">
        <f>HYPERLINK("http://exon.niaid.nih.gov/transcriptome/Anopheles_sialome/links/cluster-b/anopheline-sialome-cds-pep-larger-orf80-50SimCLU73.txt", 73)</f>
        <v>73</v>
      </c>
      <c r="CI315">
        <f>HYPERLINK("http://exon.niaid.nih.gov/transcriptome/Anopheles_sialome/links/cluster-b/anopheline-sialome-cds-pep-larger-orf80-50SimCLTL73.txt", 2)</f>
        <v>2</v>
      </c>
      <c r="CJ315">
        <f>HYPERLINK("http://exon.niaid.nih.gov/transcriptome/Anopheles_sialome/links/cluster-b/anopheline-sialome-cds-pep-larger-orf85-50SimCLU78.txt", 78)</f>
        <v>78</v>
      </c>
      <c r="CK315">
        <f>HYPERLINK("http://exon.niaid.nih.gov/transcriptome/Anopheles_sialome/links/cluster-b/anopheline-sialome-cds-pep-larger-orf85-50SimCLTL78.txt", 2)</f>
        <v>2</v>
      </c>
      <c r="CL315">
        <v>207</v>
      </c>
      <c r="CM315">
        <v>1</v>
      </c>
      <c r="CN315">
        <v>228</v>
      </c>
      <c r="CO315">
        <v>1</v>
      </c>
    </row>
    <row r="316" spans="1:93">
      <c r="A316" s="6" t="s">
        <v>3177</v>
      </c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</row>
    <row r="317" spans="1:93">
      <c r="A317" s="6" t="s">
        <v>3200</v>
      </c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</row>
    <row r="318" spans="1:93">
      <c r="A318" s="2" t="str">
        <f>HYPERLINK("http://exon.niaid.nih.gov/transcriptome/Anopheles_sialome/links/cds/anoga_D7r1-cds.txt","anoga_D7r1")</f>
        <v>anoga_D7r1</v>
      </c>
      <c r="B318">
        <v>498</v>
      </c>
      <c r="C318" t="s">
        <v>147</v>
      </c>
      <c r="D318" t="s">
        <v>4</v>
      </c>
      <c r="E318" t="s">
        <v>5</v>
      </c>
      <c r="F318" t="s">
        <v>1</v>
      </c>
      <c r="G318" t="str">
        <f>HYPERLINK("http://exon.niaid.nih.gov/transcriptome/Anopheles_sialome/links/pep/anoga_D7r1-pep.txt","anoga_D7r1")</f>
        <v>anoga_D7r1</v>
      </c>
      <c r="H318">
        <v>165</v>
      </c>
      <c r="I318">
        <v>0</v>
      </c>
      <c r="J318" s="3" t="str">
        <f>HYPERLINK("http://exon.niaid.nih.gov/transcriptome/Anopheles_sialome/links/Sigp/anoga_D7r1-SigP.txt","SIG")</f>
        <v>SIG</v>
      </c>
      <c r="K318" t="s">
        <v>689</v>
      </c>
      <c r="L318">
        <v>18.738</v>
      </c>
      <c r="M318">
        <v>9.24</v>
      </c>
      <c r="N318">
        <v>16.446000000000002</v>
      </c>
      <c r="O318">
        <v>9.2200000000000006</v>
      </c>
      <c r="P318" t="s">
        <v>990</v>
      </c>
      <c r="Q318" s="3">
        <v>0</v>
      </c>
      <c r="R318" t="s">
        <v>128</v>
      </c>
      <c r="S318" t="s">
        <v>128</v>
      </c>
      <c r="T318" t="s">
        <v>128</v>
      </c>
      <c r="U318" t="s">
        <v>128</v>
      </c>
      <c r="V318" t="s">
        <v>128</v>
      </c>
      <c r="W318" s="3" t="str">
        <f>HYPERLINK("http://exon.niaid.nih.gov/transcriptome/Anopheles_sialome/links/netoglyc/anoga_D7r1-netoglyc.txt","0")</f>
        <v>0</v>
      </c>
      <c r="X318">
        <v>8.5</v>
      </c>
      <c r="Y318">
        <v>4.2</v>
      </c>
      <c r="Z318">
        <v>3.6</v>
      </c>
      <c r="AA318" t="s">
        <v>654</v>
      </c>
      <c r="AB318" t="s">
        <v>128</v>
      </c>
      <c r="AC318" s="2" t="str">
        <f>HYPERLINK("http://exon.niaid.nih.gov/transcriptome/Anopheles_sialome/links/DIPTERA/anoga_D7r1-DIPTERA.txt","AGAP008284-PA")</f>
        <v>AGAP008284-PA</v>
      </c>
      <c r="AD318" t="str">
        <f>HYPERLINK("http://www.ncbi.nlm.nih.gov/sutils/blink.cgi?pid=55237410","2E-092")</f>
        <v>2E-092</v>
      </c>
      <c r="AE318" t="str">
        <f>HYPERLINK("http://www.ncbi.nlm.nih.gov/protein/55237410","gi|55237410")</f>
        <v>gi|55237410</v>
      </c>
      <c r="AF318">
        <v>100</v>
      </c>
      <c r="AG318">
        <v>100</v>
      </c>
      <c r="AH318">
        <v>100</v>
      </c>
      <c r="AI318" t="s">
        <v>2285</v>
      </c>
      <c r="AJ318" s="2" t="str">
        <f>HYPERLINK("http://exon.niaid.nih.gov/transcriptome/Anopheles_sialome/links/CULICOMORPHA/anoga_D7r1-CULICOMORPHA.txt","AGAP008284-PA")</f>
        <v>AGAP008284-PA</v>
      </c>
      <c r="AK318" t="str">
        <f>HYPERLINK("http://www.ncbi.nlm.nih.gov/sutils/blink.cgi?pid=55237410","3E-093")</f>
        <v>3E-093</v>
      </c>
      <c r="AL318" t="str">
        <f>HYPERLINK("http://www.ncbi.nlm.nih.gov/protein/55237410","gi|55237410")</f>
        <v>gi|55237410</v>
      </c>
      <c r="AM318">
        <v>100</v>
      </c>
      <c r="AN318">
        <v>100</v>
      </c>
      <c r="AO318">
        <v>100</v>
      </c>
      <c r="AP318" t="s">
        <v>2285</v>
      </c>
      <c r="AQ318" s="2" t="str">
        <f>HYPERLINK("http://exon.niaid.nih.gov/transcriptome/Anopheles_sialome/links/NR-LIGHT/anoga_D7r1-NR-LIGHT.txt","AGAP008284-PA")</f>
        <v>AGAP008284-PA</v>
      </c>
      <c r="AR318" t="str">
        <f>HYPERLINK("http://www.ncbi.nlm.nih.gov/sutils/blink.cgi?pid=58389659","4E-092")</f>
        <v>4E-092</v>
      </c>
      <c r="AS318" t="str">
        <f>HYPERLINK("http://www.ncbi.nlm.nih.gov/protein/58389659","gi|58389659")</f>
        <v>gi|58389659</v>
      </c>
      <c r="AT318">
        <v>100</v>
      </c>
      <c r="AU318">
        <v>100</v>
      </c>
      <c r="AV318">
        <v>100</v>
      </c>
      <c r="AW318" t="s">
        <v>2285</v>
      </c>
      <c r="AX318" s="2" t="str">
        <f>HYPERLINK("http://exon.niaid.nih.gov/transcriptome/Anopheles_sialome/links/CDD/anoga_D7r1-CDD.txt","PBP_GOBP")</f>
        <v>PBP_GOBP</v>
      </c>
      <c r="AY318" t="str">
        <f>HYPERLINK("http://www.ncbi.nlm.nih.gov/Structure/cdd/cddsrv.cgi?uid=pfam01395&amp;version=v4.0","6E-008")</f>
        <v>6E-008</v>
      </c>
      <c r="AZ318" t="s">
        <v>2452</v>
      </c>
      <c r="BA318" s="2" t="str">
        <f>HYPERLINK("http://exon.niaid.nih.gov/transcriptome/Anopheles_sialome/links/KOG/anoga_D7r1-KOG.txt","Glucose-6-phosphate isomerase")</f>
        <v>Glucose-6-phosphate isomerase</v>
      </c>
      <c r="BB318" t="str">
        <f>HYPERLINK("http://www.ncbi.nlm.nih.gov/Structure/cdd/cddsrv.cgi?uid=KOG2446","1.0")</f>
        <v>1.0</v>
      </c>
      <c r="BC318" t="s">
        <v>2308</v>
      </c>
      <c r="BD318" t="str">
        <f>HYPERLINK("http://exon.niaid.nih.gov/transcriptome/Anopheles_sialome/links/KOG/anoga_D7r1-KOG.txt","KOG2446")</f>
        <v>KOG2446</v>
      </c>
      <c r="BE318" t="str">
        <f>HYPERLINK("http://exon.niaid.nih.gov/transcriptome/Anopheles_sialome/links/PFAM/anoga_D7r1-PFAM.txt","PBP_GOBP")</f>
        <v>PBP_GOBP</v>
      </c>
      <c r="BF318" t="str">
        <f>HYPERLINK("http://pfam.sanger.ac.uk/family?acc=PF01395","1E-008")</f>
        <v>1E-008</v>
      </c>
      <c r="BG318" s="2" t="str">
        <f>HYPERLINK("http://exon.niaid.nih.gov/transcriptome/Anopheles_sialome/links/SMART/anoga_D7r1-SMART.txt","PhBP")</f>
        <v>PhBP</v>
      </c>
      <c r="BH318" t="str">
        <f>HYPERLINK("http://smart.embl-heidelberg.de/smart/do_annotation.pl?DOMAIN=PhBP&amp;BLAST=DUMMY","2E-008")</f>
        <v>2E-008</v>
      </c>
      <c r="BI318" t="s">
        <v>128</v>
      </c>
      <c r="BJ318" s="2" t="s">
        <v>128</v>
      </c>
      <c r="BK318" t="s">
        <v>989</v>
      </c>
      <c r="BL318">
        <f>HYPERLINK("http://exon.niaid.nih.gov/transcriptome/Anopheles_sialome/links/cluster-b/anopheline-sialome-cds-pep-larger-orf25-50SimCLU2.txt", 2)</f>
        <v>2</v>
      </c>
      <c r="BM318">
        <f>HYPERLINK("http://exon.niaid.nih.gov/transcriptome/Anopheles_sialome/links/cluster-b/anopheline-sialome-cds-pep-larger-orf25-50SimCLTL2.txt", 120)</f>
        <v>120</v>
      </c>
      <c r="BN318">
        <f>HYPERLINK("http://exon.niaid.nih.gov/transcriptome/Anopheles_sialome/links/cluster-b/anopheline-sialome-cds-pep-larger-orf30-50SimCLU2.txt", 2)</f>
        <v>2</v>
      </c>
      <c r="BO318">
        <f>HYPERLINK("http://exon.niaid.nih.gov/transcriptome/Anopheles_sialome/links/cluster-b/anopheline-sialome-cds-pep-larger-orf30-50SimCLTL2.txt", 120)</f>
        <v>120</v>
      </c>
      <c r="BP318">
        <f>HYPERLINK("http://exon.niaid.nih.gov/transcriptome/Anopheles_sialome/links/cluster-b/anopheline-sialome-cds-pep-larger-orf35-50SimCLU1.txt", 1)</f>
        <v>1</v>
      </c>
      <c r="BQ318">
        <f>HYPERLINK("http://exon.niaid.nih.gov/transcriptome/Anopheles_sialome/links/cluster-b/anopheline-sialome-cds-pep-larger-orf35-50SimCLTL1.txt", 120)</f>
        <v>120</v>
      </c>
      <c r="BR318">
        <f>HYPERLINK("http://exon.niaid.nih.gov/transcriptome/Anopheles_sialome/links/cluster-b/anopheline-sialome-cds-pep-larger-orf40-50SimCLU2.txt", 2)</f>
        <v>2</v>
      </c>
      <c r="BS318">
        <f>HYPERLINK("http://exon.niaid.nih.gov/transcriptome/Anopheles_sialome/links/cluster-b/anopheline-sialome-cds-pep-larger-orf40-50SimCLTL2.txt", 83)</f>
        <v>83</v>
      </c>
      <c r="BT318">
        <f>HYPERLINK("http://exon.niaid.nih.gov/transcriptome/Anopheles_sialome/links/cluster-b/anopheline-sialome-cds-pep-larger-orf45-50SimCLU1.txt", 1)</f>
        <v>1</v>
      </c>
      <c r="BU318">
        <f>HYPERLINK("http://exon.niaid.nih.gov/transcriptome/Anopheles_sialome/links/cluster-b/anopheline-sialome-cds-pep-larger-orf45-50SimCLTL1.txt", 83)</f>
        <v>83</v>
      </c>
      <c r="BV318">
        <f>HYPERLINK("http://exon.niaid.nih.gov/transcriptome/Anopheles_sialome/links/cluster-b/anopheline-sialome-cds-pep-larger-orf50-50SimCLU1.txt", 1)</f>
        <v>1</v>
      </c>
      <c r="BW318">
        <f>HYPERLINK("http://exon.niaid.nih.gov/transcriptome/Anopheles_sialome/links/cluster-b/anopheline-sialome-cds-pep-larger-orf50-50SimCLTL1.txt", 83)</f>
        <v>83</v>
      </c>
      <c r="BX318">
        <f>HYPERLINK("http://exon.niaid.nih.gov/transcriptome/Anopheles_sialome/links/cluster-b/anopheline-sialome-cds-pep-larger-orf55-50SimCLU1.txt", 1)</f>
        <v>1</v>
      </c>
      <c r="BY318">
        <f>HYPERLINK("http://exon.niaid.nih.gov/transcriptome/Anopheles_sialome/links/cluster-b/anopheline-sialome-cds-pep-larger-orf55-50SimCLTL1.txt", 79)</f>
        <v>79</v>
      </c>
      <c r="BZ318">
        <f>HYPERLINK("http://exon.niaid.nih.gov/transcriptome/Anopheles_sialome/links/cluster-b/anopheline-sialome-cds-pep-larger-orf60-50SimCLU1.txt", 1)</f>
        <v>1</v>
      </c>
      <c r="CA318">
        <f>HYPERLINK("http://exon.niaid.nih.gov/transcriptome/Anopheles_sialome/links/cluster-b/anopheline-sialome-cds-pep-larger-orf60-50SimCLTL1.txt", 60)</f>
        <v>60</v>
      </c>
      <c r="CB318">
        <f>HYPERLINK("http://exon.niaid.nih.gov/transcriptome/Anopheles_sialome/links/cluster-b/anopheline-sialome-cds-pep-larger-orf65-50SimCLU1.txt", 1)</f>
        <v>1</v>
      </c>
      <c r="CC318">
        <f>HYPERLINK("http://exon.niaid.nih.gov/transcriptome/Anopheles_sialome/links/cluster-b/anopheline-sialome-cds-pep-larger-orf65-50SimCLTL1.txt", 60)</f>
        <v>60</v>
      </c>
      <c r="CD318">
        <f>HYPERLINK("http://exon.niaid.nih.gov/transcriptome/Anopheles_sialome/links/cluster-b/anopheline-sialome-cds-pep-larger-orf70-50SimCLU2.txt", 2)</f>
        <v>2</v>
      </c>
      <c r="CE318">
        <f>HYPERLINK("http://exon.niaid.nih.gov/transcriptome/Anopheles_sialome/links/cluster-b/anopheline-sialome-cds-pep-larger-orf70-50SimCLTL2.txt", 29)</f>
        <v>29</v>
      </c>
      <c r="CF318">
        <f>HYPERLINK("http://exon.niaid.nih.gov/transcriptome/Anopheles_sialome/links/cluster-b/anopheline-sialome-cds-pep-larger-orf75-50SimCLU2.txt", 2)</f>
        <v>2</v>
      </c>
      <c r="CG318">
        <f>HYPERLINK("http://exon.niaid.nih.gov/transcriptome/Anopheles_sialome/links/cluster-b/anopheline-sialome-cds-pep-larger-orf75-50SimCLTL2.txt", 28)</f>
        <v>28</v>
      </c>
      <c r="CH318">
        <f>HYPERLINK("http://exon.niaid.nih.gov/transcriptome/Anopheles_sialome/links/cluster-b/anopheline-sialome-cds-pep-larger-orf80-50SimCLU17.txt", 17)</f>
        <v>17</v>
      </c>
      <c r="CI318">
        <f>HYPERLINK("http://exon.niaid.nih.gov/transcriptome/Anopheles_sialome/links/cluster-b/anopheline-sialome-cds-pep-larger-orf80-50SimCLTL17.txt", 13)</f>
        <v>13</v>
      </c>
      <c r="CJ318">
        <f>HYPERLINK("http://exon.niaid.nih.gov/transcriptome/Anopheles_sialome/links/cluster-b/anopheline-sialome-cds-pep-larger-orf85-50SimCLU17.txt", 17)</f>
        <v>17</v>
      </c>
      <c r="CK318">
        <f>HYPERLINK("http://exon.niaid.nih.gov/transcriptome/Anopheles_sialome/links/cluster-b/anopheline-sialome-cds-pep-larger-orf85-50SimCLTL17.txt", 10)</f>
        <v>10</v>
      </c>
      <c r="CL318">
        <f>HYPERLINK("http://exon.niaid.nih.gov/transcriptome/Anopheles_sialome/links/cluster-b/anopheline-sialome-cds-pep-larger-orf90-50SimCLU12.txt", 12)</f>
        <v>12</v>
      </c>
      <c r="CM318">
        <f>HYPERLINK("http://exon.niaid.nih.gov/transcriptome/Anopheles_sialome/links/cluster-b/anopheline-sialome-cds-pep-larger-orf90-50SimCLTL12.txt", 7)</f>
        <v>7</v>
      </c>
      <c r="CN318">
        <f>HYPERLINK("http://exon.niaid.nih.gov/transcriptome/Anopheles_sialome/links/cluster-b/anopheline-sialome-cds-pep-larger-orf95-50SimCLU8.txt", 8)</f>
        <v>8</v>
      </c>
      <c r="CO318">
        <f>HYPERLINK("http://exon.niaid.nih.gov/transcriptome/Anopheles_sialome/links/cluster-b/anopheline-sialome-cds-pep-larger-orf95-50SimCLTL8.txt", 6)</f>
        <v>6</v>
      </c>
    </row>
    <row r="319" spans="1:93">
      <c r="A319" s="2" t="str">
        <f>HYPERLINK("http://exon.niaid.nih.gov/transcriptome/Anopheles_sialome/links/cds/anocol_D7r1-cds.txt","anocol_D7r1")</f>
        <v>anocol_D7r1</v>
      </c>
      <c r="B319">
        <v>498</v>
      </c>
      <c r="C319" t="s">
        <v>148</v>
      </c>
      <c r="D319" t="s">
        <v>4</v>
      </c>
      <c r="E319" t="s">
        <v>5</v>
      </c>
      <c r="F319" t="s">
        <v>1</v>
      </c>
      <c r="G319" t="str">
        <f>HYPERLINK("http://exon.niaid.nih.gov/transcriptome/Anopheles_sialome/links/pep/anocol_D7r1-pep.txt","anocol_D7r1")</f>
        <v>anocol_D7r1</v>
      </c>
      <c r="H319">
        <v>165</v>
      </c>
      <c r="I319">
        <v>0</v>
      </c>
      <c r="J319" s="3" t="str">
        <f>HYPERLINK("http://exon.niaid.nih.gov/transcriptome/Anopheles_sialome/links/Sigp/anocol_D7r1-SigP.txt","SIG")</f>
        <v>SIG</v>
      </c>
      <c r="K319" t="s">
        <v>689</v>
      </c>
      <c r="L319">
        <v>18.672999999999998</v>
      </c>
      <c r="M319">
        <v>9.17</v>
      </c>
      <c r="N319">
        <v>16.405000000000001</v>
      </c>
      <c r="O319">
        <v>9.14</v>
      </c>
      <c r="P319" t="s">
        <v>992</v>
      </c>
      <c r="Q319" s="3">
        <v>0</v>
      </c>
      <c r="R319" t="s">
        <v>128</v>
      </c>
      <c r="S319" t="s">
        <v>128</v>
      </c>
      <c r="T319" t="s">
        <v>128</v>
      </c>
      <c r="U319" t="s">
        <v>128</v>
      </c>
      <c r="V319" t="s">
        <v>128</v>
      </c>
      <c r="W319" s="3" t="str">
        <f>HYPERLINK("http://exon.niaid.nih.gov/transcriptome/Anopheles_sialome/links/netoglyc/anocol_D7r1-netoglyc.txt","0")</f>
        <v>0</v>
      </c>
      <c r="X319">
        <v>9.1</v>
      </c>
      <c r="Y319">
        <v>4.2</v>
      </c>
      <c r="Z319">
        <v>3.6</v>
      </c>
      <c r="AA319" t="s">
        <v>654</v>
      </c>
      <c r="AB319" t="s">
        <v>128</v>
      </c>
      <c r="AC319" s="2" t="str">
        <f>HYPERLINK("http://exon.niaid.nih.gov/transcriptome/Anopheles_sialome/links/DIPTERA/anocol_D7r1-DIPTERA.txt","short form D7r1 salivary protein")</f>
        <v>short form D7r1 salivary protein</v>
      </c>
      <c r="AD319" t="str">
        <f>HYPERLINK("http://www.ncbi.nlm.nih.gov/sutils/blink.cgi?pid=16225961","1E-091")</f>
        <v>1E-091</v>
      </c>
      <c r="AE319" t="str">
        <f>HYPERLINK("http://www.ncbi.nlm.nih.gov/protein/16225961","gi|16225961")</f>
        <v>gi|16225961</v>
      </c>
      <c r="AF319">
        <v>98</v>
      </c>
      <c r="AG319">
        <v>100</v>
      </c>
      <c r="AH319">
        <v>100</v>
      </c>
      <c r="AI319" t="s">
        <v>2453</v>
      </c>
      <c r="AJ319" s="2" t="str">
        <f>HYPERLINK("http://exon.niaid.nih.gov/transcriptome/Anopheles_sialome/links/CULICOMORPHA/anocol_D7r1-CULICOMORPHA.txt","short form D7r1 salivary protein")</f>
        <v>short form D7r1 salivary protein</v>
      </c>
      <c r="AK319" t="str">
        <f>HYPERLINK("http://www.ncbi.nlm.nih.gov/sutils/blink.cgi?pid=16225961","3E-092")</f>
        <v>3E-092</v>
      </c>
      <c r="AL319" t="str">
        <f>HYPERLINK("http://www.ncbi.nlm.nih.gov/protein/16225961","gi|16225961")</f>
        <v>gi|16225961</v>
      </c>
      <c r="AM319">
        <v>98</v>
      </c>
      <c r="AN319">
        <v>100</v>
      </c>
      <c r="AO319">
        <v>100</v>
      </c>
      <c r="AP319" t="s">
        <v>2453</v>
      </c>
      <c r="AQ319" s="2" t="str">
        <f>HYPERLINK("http://exon.niaid.nih.gov/transcriptome/Anopheles_sialome/links/NR-LIGHT/anocol_D7r1-NR-LIGHT.txt","short form D7r1 salivary protein")</f>
        <v>short form D7r1 salivary protein</v>
      </c>
      <c r="AR319" t="str">
        <f>HYPERLINK("http://www.ncbi.nlm.nih.gov/sutils/blink.cgi?pid=16225961","3E-091")</f>
        <v>3E-091</v>
      </c>
      <c r="AS319" t="str">
        <f>HYPERLINK("http://www.ncbi.nlm.nih.gov/protein/16225961","gi|16225961")</f>
        <v>gi|16225961</v>
      </c>
      <c r="AT319">
        <v>98</v>
      </c>
      <c r="AU319">
        <v>100</v>
      </c>
      <c r="AV319">
        <v>100</v>
      </c>
      <c r="AW319" t="s">
        <v>2453</v>
      </c>
      <c r="AX319" s="2" t="str">
        <f>HYPERLINK("http://exon.niaid.nih.gov/transcriptome/Anopheles_sialome/links/CDD/anocol_D7r1-CDD.txt","PBP_GOBP")</f>
        <v>PBP_GOBP</v>
      </c>
      <c r="AY319" t="str">
        <f>HYPERLINK("http://www.ncbi.nlm.nih.gov/Structure/cdd/cddsrv.cgi?uid=pfam01395&amp;version=v4.0","1E-007")</f>
        <v>1E-007</v>
      </c>
      <c r="AZ319" t="s">
        <v>2454</v>
      </c>
      <c r="BA319" s="2" t="str">
        <f>HYPERLINK("http://exon.niaid.nih.gov/transcriptome/Anopheles_sialome/links/KOG/anocol_D7r1-KOG.txt","Glucose-6-phosphate isomerase")</f>
        <v>Glucose-6-phosphate isomerase</v>
      </c>
      <c r="BB319" t="str">
        <f>HYPERLINK("http://www.ncbi.nlm.nih.gov/Structure/cdd/cddsrv.cgi?uid=KOG2446","0.96")</f>
        <v>0.96</v>
      </c>
      <c r="BC319" t="s">
        <v>2308</v>
      </c>
      <c r="BD319" t="str">
        <f>HYPERLINK("http://exon.niaid.nih.gov/transcriptome/Anopheles_sialome/links/KOG/anocol_D7r1-KOG.txt","KOG2446")</f>
        <v>KOG2446</v>
      </c>
      <c r="BE319" t="str">
        <f>HYPERLINK("http://exon.niaid.nih.gov/transcriptome/Anopheles_sialome/links/PFAM/anocol_D7r1-PFAM.txt","PBP_GOBP")</f>
        <v>PBP_GOBP</v>
      </c>
      <c r="BF319" t="str">
        <f>HYPERLINK("http://pfam.sanger.ac.uk/family?acc=PF01395","2E-008")</f>
        <v>2E-008</v>
      </c>
      <c r="BG319" s="2" t="str">
        <f>HYPERLINK("http://exon.niaid.nih.gov/transcriptome/Anopheles_sialome/links/SMART/anocol_D7r1-SMART.txt","PhBP")</f>
        <v>PhBP</v>
      </c>
      <c r="BH319" t="str">
        <f>HYPERLINK("http://smart.embl-heidelberg.de/smart/do_annotation.pl?DOMAIN=PhBP&amp;BLAST=DUMMY","3E-008")</f>
        <v>3E-008</v>
      </c>
      <c r="BI319" t="s">
        <v>128</v>
      </c>
      <c r="BJ319" s="2" t="s">
        <v>128</v>
      </c>
      <c r="BK319" t="s">
        <v>991</v>
      </c>
      <c r="BL319">
        <f>HYPERLINK("http://exon.niaid.nih.gov/transcriptome/Anopheles_sialome/links/cluster-b/anopheline-sialome-cds-pep-larger-orf25-50SimCLU2.txt", 2)</f>
        <v>2</v>
      </c>
      <c r="BM319">
        <f>HYPERLINK("http://exon.niaid.nih.gov/transcriptome/Anopheles_sialome/links/cluster-b/anopheline-sialome-cds-pep-larger-orf25-50SimCLTL2.txt", 120)</f>
        <v>120</v>
      </c>
      <c r="BN319">
        <f>HYPERLINK("http://exon.niaid.nih.gov/transcriptome/Anopheles_sialome/links/cluster-b/anopheline-sialome-cds-pep-larger-orf30-50SimCLU2.txt", 2)</f>
        <v>2</v>
      </c>
      <c r="BO319">
        <f>HYPERLINK("http://exon.niaid.nih.gov/transcriptome/Anopheles_sialome/links/cluster-b/anopheline-sialome-cds-pep-larger-orf30-50SimCLTL2.txt", 120)</f>
        <v>120</v>
      </c>
      <c r="BP319">
        <f>HYPERLINK("http://exon.niaid.nih.gov/transcriptome/Anopheles_sialome/links/cluster-b/anopheline-sialome-cds-pep-larger-orf35-50SimCLU1.txt", 1)</f>
        <v>1</v>
      </c>
      <c r="BQ319">
        <f>HYPERLINK("http://exon.niaid.nih.gov/transcriptome/Anopheles_sialome/links/cluster-b/anopheline-sialome-cds-pep-larger-orf35-50SimCLTL1.txt", 120)</f>
        <v>120</v>
      </c>
      <c r="BR319">
        <f>HYPERLINK("http://exon.niaid.nih.gov/transcriptome/Anopheles_sialome/links/cluster-b/anopheline-sialome-cds-pep-larger-orf40-50SimCLU2.txt", 2)</f>
        <v>2</v>
      </c>
      <c r="BS319">
        <f>HYPERLINK("http://exon.niaid.nih.gov/transcriptome/Anopheles_sialome/links/cluster-b/anopheline-sialome-cds-pep-larger-orf40-50SimCLTL2.txt", 83)</f>
        <v>83</v>
      </c>
      <c r="BT319">
        <f>HYPERLINK("http://exon.niaid.nih.gov/transcriptome/Anopheles_sialome/links/cluster-b/anopheline-sialome-cds-pep-larger-orf45-50SimCLU1.txt", 1)</f>
        <v>1</v>
      </c>
      <c r="BU319">
        <f>HYPERLINK("http://exon.niaid.nih.gov/transcriptome/Anopheles_sialome/links/cluster-b/anopheline-sialome-cds-pep-larger-orf45-50SimCLTL1.txt", 83)</f>
        <v>83</v>
      </c>
      <c r="BV319">
        <f>HYPERLINK("http://exon.niaid.nih.gov/transcriptome/Anopheles_sialome/links/cluster-b/anopheline-sialome-cds-pep-larger-orf50-50SimCLU1.txt", 1)</f>
        <v>1</v>
      </c>
      <c r="BW319">
        <f>HYPERLINK("http://exon.niaid.nih.gov/transcriptome/Anopheles_sialome/links/cluster-b/anopheline-sialome-cds-pep-larger-orf50-50SimCLTL1.txt", 83)</f>
        <v>83</v>
      </c>
      <c r="BX319">
        <f>HYPERLINK("http://exon.niaid.nih.gov/transcriptome/Anopheles_sialome/links/cluster-b/anopheline-sialome-cds-pep-larger-orf55-50SimCLU1.txt", 1)</f>
        <v>1</v>
      </c>
      <c r="BY319">
        <f>HYPERLINK("http://exon.niaid.nih.gov/transcriptome/Anopheles_sialome/links/cluster-b/anopheline-sialome-cds-pep-larger-orf55-50SimCLTL1.txt", 79)</f>
        <v>79</v>
      </c>
      <c r="BZ319">
        <f>HYPERLINK("http://exon.niaid.nih.gov/transcriptome/Anopheles_sialome/links/cluster-b/anopheline-sialome-cds-pep-larger-orf60-50SimCLU1.txt", 1)</f>
        <v>1</v>
      </c>
      <c r="CA319">
        <f>HYPERLINK("http://exon.niaid.nih.gov/transcriptome/Anopheles_sialome/links/cluster-b/anopheline-sialome-cds-pep-larger-orf60-50SimCLTL1.txt", 60)</f>
        <v>60</v>
      </c>
      <c r="CB319">
        <f>HYPERLINK("http://exon.niaid.nih.gov/transcriptome/Anopheles_sialome/links/cluster-b/anopheline-sialome-cds-pep-larger-orf65-50SimCLU1.txt", 1)</f>
        <v>1</v>
      </c>
      <c r="CC319">
        <f>HYPERLINK("http://exon.niaid.nih.gov/transcriptome/Anopheles_sialome/links/cluster-b/anopheline-sialome-cds-pep-larger-orf65-50SimCLTL1.txt", 60)</f>
        <v>60</v>
      </c>
      <c r="CD319">
        <f>HYPERLINK("http://exon.niaid.nih.gov/transcriptome/Anopheles_sialome/links/cluster-b/anopheline-sialome-cds-pep-larger-orf70-50SimCLU2.txt", 2)</f>
        <v>2</v>
      </c>
      <c r="CE319">
        <f>HYPERLINK("http://exon.niaid.nih.gov/transcriptome/Anopheles_sialome/links/cluster-b/anopheline-sialome-cds-pep-larger-orf70-50SimCLTL2.txt", 29)</f>
        <v>29</v>
      </c>
      <c r="CF319">
        <f>HYPERLINK("http://exon.niaid.nih.gov/transcriptome/Anopheles_sialome/links/cluster-b/anopheline-sialome-cds-pep-larger-orf75-50SimCLU2.txt", 2)</f>
        <v>2</v>
      </c>
      <c r="CG319">
        <f>HYPERLINK("http://exon.niaid.nih.gov/transcriptome/Anopheles_sialome/links/cluster-b/anopheline-sialome-cds-pep-larger-orf75-50SimCLTL2.txt", 28)</f>
        <v>28</v>
      </c>
      <c r="CH319">
        <f>HYPERLINK("http://exon.niaid.nih.gov/transcriptome/Anopheles_sialome/links/cluster-b/anopheline-sialome-cds-pep-larger-orf80-50SimCLU17.txt", 17)</f>
        <v>17</v>
      </c>
      <c r="CI319">
        <f>HYPERLINK("http://exon.niaid.nih.gov/transcriptome/Anopheles_sialome/links/cluster-b/anopheline-sialome-cds-pep-larger-orf80-50SimCLTL17.txt", 13)</f>
        <v>13</v>
      </c>
      <c r="CJ319">
        <f>HYPERLINK("http://exon.niaid.nih.gov/transcriptome/Anopheles_sialome/links/cluster-b/anopheline-sialome-cds-pep-larger-orf85-50SimCLU17.txt", 17)</f>
        <v>17</v>
      </c>
      <c r="CK319">
        <f>HYPERLINK("http://exon.niaid.nih.gov/transcriptome/Anopheles_sialome/links/cluster-b/anopheline-sialome-cds-pep-larger-orf85-50SimCLTL17.txt", 10)</f>
        <v>10</v>
      </c>
      <c r="CL319">
        <f>HYPERLINK("http://exon.niaid.nih.gov/transcriptome/Anopheles_sialome/links/cluster-b/anopheline-sialome-cds-pep-larger-orf90-50SimCLU12.txt", 12)</f>
        <v>12</v>
      </c>
      <c r="CM319">
        <f>HYPERLINK("http://exon.niaid.nih.gov/transcriptome/Anopheles_sialome/links/cluster-b/anopheline-sialome-cds-pep-larger-orf90-50SimCLTL12.txt", 7)</f>
        <v>7</v>
      </c>
      <c r="CN319">
        <f>HYPERLINK("http://exon.niaid.nih.gov/transcriptome/Anopheles_sialome/links/cluster-b/anopheline-sialome-cds-pep-larger-orf95-50SimCLU8.txt", 8)</f>
        <v>8</v>
      </c>
      <c r="CO319">
        <f>HYPERLINK("http://exon.niaid.nih.gov/transcriptome/Anopheles_sialome/links/cluster-b/anopheline-sialome-cds-pep-larger-orf95-50SimCLTL8.txt", 6)</f>
        <v>6</v>
      </c>
    </row>
    <row r="320" spans="1:93">
      <c r="A320" s="2" t="str">
        <f>HYPERLINK("http://exon.niaid.nih.gov/transcriptome/Anopheles_sialome/links/cds/anoara_D7r1-cds.txt","anoara_D7r1")</f>
        <v>anoara_D7r1</v>
      </c>
      <c r="B320">
        <v>498</v>
      </c>
      <c r="C320" t="s">
        <v>149</v>
      </c>
      <c r="D320" t="s">
        <v>7</v>
      </c>
      <c r="E320" t="s">
        <v>5</v>
      </c>
      <c r="F320" t="s">
        <v>1</v>
      </c>
      <c r="G320" t="str">
        <f>HYPERLINK("http://exon.niaid.nih.gov/transcriptome/Anopheles_sialome/links/pep/anoara_D7r1-pep.txt","anoara_D7r1")</f>
        <v>anoara_D7r1</v>
      </c>
      <c r="H320">
        <v>165</v>
      </c>
      <c r="I320">
        <v>0</v>
      </c>
      <c r="J320" s="3" t="str">
        <f>HYPERLINK("http://exon.niaid.nih.gov/transcriptome/Anopheles_sialome/links/Sigp/anoara_D7r1-SigP.txt","SIG")</f>
        <v>SIG</v>
      </c>
      <c r="K320" t="s">
        <v>689</v>
      </c>
      <c r="L320">
        <v>18.728000000000002</v>
      </c>
      <c r="M320">
        <v>9.24</v>
      </c>
      <c r="N320">
        <v>16.46</v>
      </c>
      <c r="O320">
        <v>9.2200000000000006</v>
      </c>
      <c r="P320" t="s">
        <v>992</v>
      </c>
      <c r="Q320" s="3">
        <v>0</v>
      </c>
      <c r="R320" t="s">
        <v>128</v>
      </c>
      <c r="S320" t="s">
        <v>128</v>
      </c>
      <c r="T320" t="s">
        <v>128</v>
      </c>
      <c r="U320" t="s">
        <v>128</v>
      </c>
      <c r="V320" t="s">
        <v>128</v>
      </c>
      <c r="W320" s="3" t="str">
        <f>HYPERLINK("http://exon.niaid.nih.gov/transcriptome/Anopheles_sialome/links/netoglyc/anoara_D7r1-netoglyc.txt","0")</f>
        <v>0</v>
      </c>
      <c r="X320">
        <v>8.5</v>
      </c>
      <c r="Y320">
        <v>4.2</v>
      </c>
      <c r="Z320">
        <v>3.6</v>
      </c>
      <c r="AA320" t="s">
        <v>654</v>
      </c>
      <c r="AB320" t="s">
        <v>128</v>
      </c>
      <c r="AC320" s="2" t="str">
        <f>HYPERLINK("http://exon.niaid.nih.gov/transcriptome/Anopheles_sialome/links/DIPTERA/anoara_D7r1-DIPTERA.txt","AGAP008284-PA")</f>
        <v>AGAP008284-PA</v>
      </c>
      <c r="AD320" t="str">
        <f>HYPERLINK("http://www.ncbi.nlm.nih.gov/sutils/blink.cgi?pid=55237410","2E-091")</f>
        <v>2E-091</v>
      </c>
      <c r="AE320" t="str">
        <f>HYPERLINK("http://www.ncbi.nlm.nih.gov/protein/55237410","gi|55237410")</f>
        <v>gi|55237410</v>
      </c>
      <c r="AF320">
        <v>98</v>
      </c>
      <c r="AG320">
        <v>99</v>
      </c>
      <c r="AH320">
        <v>100</v>
      </c>
      <c r="AI320" t="s">
        <v>2285</v>
      </c>
      <c r="AJ320" s="2" t="str">
        <f>HYPERLINK("http://exon.niaid.nih.gov/transcriptome/Anopheles_sialome/links/CULICOMORPHA/anoara_D7r1-CULICOMORPHA.txt","AGAP008284-PA")</f>
        <v>AGAP008284-PA</v>
      </c>
      <c r="AK320" t="str">
        <f>HYPERLINK("http://www.ncbi.nlm.nih.gov/sutils/blink.cgi?pid=55237410","3E-092")</f>
        <v>3E-092</v>
      </c>
      <c r="AL320" t="str">
        <f>HYPERLINK("http://www.ncbi.nlm.nih.gov/protein/55237410","gi|55237410")</f>
        <v>gi|55237410</v>
      </c>
      <c r="AM320">
        <v>98</v>
      </c>
      <c r="AN320">
        <v>99</v>
      </c>
      <c r="AO320">
        <v>100</v>
      </c>
      <c r="AP320" t="s">
        <v>2285</v>
      </c>
      <c r="AQ320" s="2" t="str">
        <f>HYPERLINK("http://exon.niaid.nih.gov/transcriptome/Anopheles_sialome/links/NR-LIGHT/anoara_D7r1-NR-LIGHT.txt","AGAP008284-PA")</f>
        <v>AGAP008284-PA</v>
      </c>
      <c r="AR320" t="str">
        <f>HYPERLINK("http://www.ncbi.nlm.nih.gov/sutils/blink.cgi?pid=58389659","4E-091")</f>
        <v>4E-091</v>
      </c>
      <c r="AS320" t="str">
        <f>HYPERLINK("http://www.ncbi.nlm.nih.gov/protein/58389659","gi|58389659")</f>
        <v>gi|58389659</v>
      </c>
      <c r="AT320">
        <v>98</v>
      </c>
      <c r="AU320">
        <v>99</v>
      </c>
      <c r="AV320">
        <v>100</v>
      </c>
      <c r="AW320" t="s">
        <v>2285</v>
      </c>
      <c r="AX320" s="2" t="str">
        <f>HYPERLINK("http://exon.niaid.nih.gov/transcriptome/Anopheles_sialome/links/CDD/anoara_D7r1-CDD.txt","PBP_GOBP")</f>
        <v>PBP_GOBP</v>
      </c>
      <c r="AY320" t="str">
        <f>HYPERLINK("http://www.ncbi.nlm.nih.gov/Structure/cdd/cddsrv.cgi?uid=pfam01395&amp;version=v4.0","6E-008")</f>
        <v>6E-008</v>
      </c>
      <c r="AZ320" t="s">
        <v>2455</v>
      </c>
      <c r="BA320" s="2" t="str">
        <f>HYPERLINK("http://exon.niaid.nih.gov/transcriptome/Anopheles_sialome/links/KOG/anoara_D7r1-KOG.txt","Uncharacterized conserved protein")</f>
        <v>Uncharacterized conserved protein</v>
      </c>
      <c r="BB320" t="str">
        <f>HYPERLINK("http://www.ncbi.nlm.nih.gov/Structure/cdd/cddsrv.cgi?uid=KOG2567","0.67")</f>
        <v>0.67</v>
      </c>
      <c r="BC320" t="s">
        <v>2304</v>
      </c>
      <c r="BD320" t="str">
        <f>HYPERLINK("http://exon.niaid.nih.gov/transcriptome/Anopheles_sialome/links/KOG/anoara_D7r1-KOG.txt","KOG2567")</f>
        <v>KOG2567</v>
      </c>
      <c r="BE320" t="str">
        <f>HYPERLINK("http://exon.niaid.nih.gov/transcriptome/Anopheles_sialome/links/PFAM/anoara_D7r1-PFAM.txt","PBP_GOBP")</f>
        <v>PBP_GOBP</v>
      </c>
      <c r="BF320" t="str">
        <f>HYPERLINK("http://pfam.sanger.ac.uk/family?acc=PF01395","1E-008")</f>
        <v>1E-008</v>
      </c>
      <c r="BG320" s="2" t="str">
        <f>HYPERLINK("http://exon.niaid.nih.gov/transcriptome/Anopheles_sialome/links/SMART/anoara_D7r1-SMART.txt","PhBP")</f>
        <v>PhBP</v>
      </c>
      <c r="BH320" t="str">
        <f>HYPERLINK("http://smart.embl-heidelberg.de/smart/do_annotation.pl?DOMAIN=PhBP&amp;BLAST=DUMMY","2E-008")</f>
        <v>2E-008</v>
      </c>
      <c r="BI320" t="s">
        <v>128</v>
      </c>
      <c r="BJ320" s="2" t="s">
        <v>128</v>
      </c>
      <c r="BK320" t="s">
        <v>993</v>
      </c>
      <c r="BL320">
        <f>HYPERLINK("http://exon.niaid.nih.gov/transcriptome/Anopheles_sialome/links/cluster-b/anopheline-sialome-cds-pep-larger-orf25-50SimCLU2.txt", 2)</f>
        <v>2</v>
      </c>
      <c r="BM320">
        <f>HYPERLINK("http://exon.niaid.nih.gov/transcriptome/Anopheles_sialome/links/cluster-b/anopheline-sialome-cds-pep-larger-orf25-50SimCLTL2.txt", 120)</f>
        <v>120</v>
      </c>
      <c r="BN320">
        <f>HYPERLINK("http://exon.niaid.nih.gov/transcriptome/Anopheles_sialome/links/cluster-b/anopheline-sialome-cds-pep-larger-orf30-50SimCLU2.txt", 2)</f>
        <v>2</v>
      </c>
      <c r="BO320">
        <f>HYPERLINK("http://exon.niaid.nih.gov/transcriptome/Anopheles_sialome/links/cluster-b/anopheline-sialome-cds-pep-larger-orf30-50SimCLTL2.txt", 120)</f>
        <v>120</v>
      </c>
      <c r="BP320">
        <f>HYPERLINK("http://exon.niaid.nih.gov/transcriptome/Anopheles_sialome/links/cluster-b/anopheline-sialome-cds-pep-larger-orf35-50SimCLU1.txt", 1)</f>
        <v>1</v>
      </c>
      <c r="BQ320">
        <f>HYPERLINK("http://exon.niaid.nih.gov/transcriptome/Anopheles_sialome/links/cluster-b/anopheline-sialome-cds-pep-larger-orf35-50SimCLTL1.txt", 120)</f>
        <v>120</v>
      </c>
      <c r="BR320">
        <f>HYPERLINK("http://exon.niaid.nih.gov/transcriptome/Anopheles_sialome/links/cluster-b/anopheline-sialome-cds-pep-larger-orf40-50SimCLU2.txt", 2)</f>
        <v>2</v>
      </c>
      <c r="BS320">
        <f>HYPERLINK("http://exon.niaid.nih.gov/transcriptome/Anopheles_sialome/links/cluster-b/anopheline-sialome-cds-pep-larger-orf40-50SimCLTL2.txt", 83)</f>
        <v>83</v>
      </c>
      <c r="BT320">
        <f>HYPERLINK("http://exon.niaid.nih.gov/transcriptome/Anopheles_sialome/links/cluster-b/anopheline-sialome-cds-pep-larger-orf45-50SimCLU1.txt", 1)</f>
        <v>1</v>
      </c>
      <c r="BU320">
        <f>HYPERLINK("http://exon.niaid.nih.gov/transcriptome/Anopheles_sialome/links/cluster-b/anopheline-sialome-cds-pep-larger-orf45-50SimCLTL1.txt", 83)</f>
        <v>83</v>
      </c>
      <c r="BV320">
        <f>HYPERLINK("http://exon.niaid.nih.gov/transcriptome/Anopheles_sialome/links/cluster-b/anopheline-sialome-cds-pep-larger-orf50-50SimCLU1.txt", 1)</f>
        <v>1</v>
      </c>
      <c r="BW320">
        <f>HYPERLINK("http://exon.niaid.nih.gov/transcriptome/Anopheles_sialome/links/cluster-b/anopheline-sialome-cds-pep-larger-orf50-50SimCLTL1.txt", 83)</f>
        <v>83</v>
      </c>
      <c r="BX320">
        <f>HYPERLINK("http://exon.niaid.nih.gov/transcriptome/Anopheles_sialome/links/cluster-b/anopheline-sialome-cds-pep-larger-orf55-50SimCLU1.txt", 1)</f>
        <v>1</v>
      </c>
      <c r="BY320">
        <f>HYPERLINK("http://exon.niaid.nih.gov/transcriptome/Anopheles_sialome/links/cluster-b/anopheline-sialome-cds-pep-larger-orf55-50SimCLTL1.txt", 79)</f>
        <v>79</v>
      </c>
      <c r="BZ320">
        <f>HYPERLINK("http://exon.niaid.nih.gov/transcriptome/Anopheles_sialome/links/cluster-b/anopheline-sialome-cds-pep-larger-orf60-50SimCLU1.txt", 1)</f>
        <v>1</v>
      </c>
      <c r="CA320">
        <f>HYPERLINK("http://exon.niaid.nih.gov/transcriptome/Anopheles_sialome/links/cluster-b/anopheline-sialome-cds-pep-larger-orf60-50SimCLTL1.txt", 60)</f>
        <v>60</v>
      </c>
      <c r="CB320">
        <f>HYPERLINK("http://exon.niaid.nih.gov/transcriptome/Anopheles_sialome/links/cluster-b/anopheline-sialome-cds-pep-larger-orf65-50SimCLU1.txt", 1)</f>
        <v>1</v>
      </c>
      <c r="CC320">
        <f>HYPERLINK("http://exon.niaid.nih.gov/transcriptome/Anopheles_sialome/links/cluster-b/anopheline-sialome-cds-pep-larger-orf65-50SimCLTL1.txt", 60)</f>
        <v>60</v>
      </c>
      <c r="CD320">
        <f>HYPERLINK("http://exon.niaid.nih.gov/transcriptome/Anopheles_sialome/links/cluster-b/anopheline-sialome-cds-pep-larger-orf70-50SimCLU2.txt", 2)</f>
        <v>2</v>
      </c>
      <c r="CE320">
        <f>HYPERLINK("http://exon.niaid.nih.gov/transcriptome/Anopheles_sialome/links/cluster-b/anopheline-sialome-cds-pep-larger-orf70-50SimCLTL2.txt", 29)</f>
        <v>29</v>
      </c>
      <c r="CF320">
        <f>HYPERLINK("http://exon.niaid.nih.gov/transcriptome/Anopheles_sialome/links/cluster-b/anopheline-sialome-cds-pep-larger-orf75-50SimCLU2.txt", 2)</f>
        <v>2</v>
      </c>
      <c r="CG320">
        <f>HYPERLINK("http://exon.niaid.nih.gov/transcriptome/Anopheles_sialome/links/cluster-b/anopheline-sialome-cds-pep-larger-orf75-50SimCLTL2.txt", 28)</f>
        <v>28</v>
      </c>
      <c r="CH320">
        <f>HYPERLINK("http://exon.niaid.nih.gov/transcriptome/Anopheles_sialome/links/cluster-b/anopheline-sialome-cds-pep-larger-orf80-50SimCLU17.txt", 17)</f>
        <v>17</v>
      </c>
      <c r="CI320">
        <f>HYPERLINK("http://exon.niaid.nih.gov/transcriptome/Anopheles_sialome/links/cluster-b/anopheline-sialome-cds-pep-larger-orf80-50SimCLTL17.txt", 13)</f>
        <v>13</v>
      </c>
      <c r="CJ320">
        <f>HYPERLINK("http://exon.niaid.nih.gov/transcriptome/Anopheles_sialome/links/cluster-b/anopheline-sialome-cds-pep-larger-orf85-50SimCLU17.txt", 17)</f>
        <v>17</v>
      </c>
      <c r="CK320">
        <f>HYPERLINK("http://exon.niaid.nih.gov/transcriptome/Anopheles_sialome/links/cluster-b/anopheline-sialome-cds-pep-larger-orf85-50SimCLTL17.txt", 10)</f>
        <v>10</v>
      </c>
      <c r="CL320">
        <f>HYPERLINK("http://exon.niaid.nih.gov/transcriptome/Anopheles_sialome/links/cluster-b/anopheline-sialome-cds-pep-larger-orf90-50SimCLU12.txt", 12)</f>
        <v>12</v>
      </c>
      <c r="CM320">
        <f>HYPERLINK("http://exon.niaid.nih.gov/transcriptome/Anopheles_sialome/links/cluster-b/anopheline-sialome-cds-pep-larger-orf90-50SimCLTL12.txt", 7)</f>
        <v>7</v>
      </c>
      <c r="CN320">
        <f>HYPERLINK("http://exon.niaid.nih.gov/transcriptome/Anopheles_sialome/links/cluster-b/anopheline-sialome-cds-pep-larger-orf95-50SimCLU8.txt", 8)</f>
        <v>8</v>
      </c>
      <c r="CO320">
        <f>HYPERLINK("http://exon.niaid.nih.gov/transcriptome/Anopheles_sialome/links/cluster-b/anopheline-sialome-cds-pep-larger-orf95-50SimCLTL8.txt", 6)</f>
        <v>6</v>
      </c>
    </row>
    <row r="321" spans="1:93">
      <c r="A321" s="2" t="str">
        <f>HYPERLINK("http://exon.niaid.nih.gov/transcriptome/Anopheles_sialome/links/cds/anoqua_D7r1-cds.txt","anoqua_D7r1")</f>
        <v>anoqua_D7r1</v>
      </c>
      <c r="B321">
        <v>498</v>
      </c>
      <c r="C321" t="s">
        <v>150</v>
      </c>
      <c r="D321" t="s">
        <v>7</v>
      </c>
      <c r="E321" t="s">
        <v>5</v>
      </c>
      <c r="F321" t="s">
        <v>1</v>
      </c>
      <c r="G321" t="str">
        <f>HYPERLINK("http://exon.niaid.nih.gov/transcriptome/Anopheles_sialome/links/pep/anoqua_D7r1-pep.txt","anoqua_D7r1")</f>
        <v>anoqua_D7r1</v>
      </c>
      <c r="H321">
        <v>165</v>
      </c>
      <c r="I321">
        <v>0</v>
      </c>
      <c r="J321" s="3" t="str">
        <f>HYPERLINK("http://exon.niaid.nih.gov/transcriptome/Anopheles_sialome/links/Sigp/anoqua_D7r1-SigP.txt","SIG")</f>
        <v>SIG</v>
      </c>
      <c r="K321" t="s">
        <v>689</v>
      </c>
      <c r="L321">
        <v>18.724</v>
      </c>
      <c r="M321">
        <v>9.25</v>
      </c>
      <c r="N321">
        <v>16.456</v>
      </c>
      <c r="O321">
        <v>9.23</v>
      </c>
      <c r="P321" t="s">
        <v>992</v>
      </c>
      <c r="Q321" s="3">
        <v>0</v>
      </c>
      <c r="R321" t="s">
        <v>128</v>
      </c>
      <c r="S321" t="s">
        <v>128</v>
      </c>
      <c r="T321" t="s">
        <v>128</v>
      </c>
      <c r="U321" t="s">
        <v>128</v>
      </c>
      <c r="V321" t="s">
        <v>128</v>
      </c>
      <c r="W321" s="3" t="str">
        <f>HYPERLINK("http://exon.niaid.nih.gov/transcriptome/Anopheles_sialome/links/netoglyc/anoqua_D7r1-netoglyc.txt","0")</f>
        <v>0</v>
      </c>
      <c r="X321">
        <v>8.5</v>
      </c>
      <c r="Y321">
        <v>4.2</v>
      </c>
      <c r="Z321">
        <v>3.6</v>
      </c>
      <c r="AA321" t="s">
        <v>654</v>
      </c>
      <c r="AB321" t="s">
        <v>128</v>
      </c>
      <c r="AC321" s="2" t="str">
        <f>HYPERLINK("http://exon.niaid.nih.gov/transcriptome/Anopheles_sialome/links/DIPTERA/anoqua_D7r1-DIPTERA.txt","short form D7r1 salivary protein")</f>
        <v>short form D7r1 salivary protein</v>
      </c>
      <c r="AD321" t="str">
        <f>HYPERLINK("http://www.ncbi.nlm.nih.gov/sutils/blink.cgi?pid=16225961","1E-090")</f>
        <v>1E-090</v>
      </c>
      <c r="AE321" t="str">
        <f>HYPERLINK("http://www.ncbi.nlm.nih.gov/protein/16225961","gi|16225961")</f>
        <v>gi|16225961</v>
      </c>
      <c r="AF321">
        <v>98</v>
      </c>
      <c r="AG321">
        <v>99</v>
      </c>
      <c r="AH321">
        <v>100</v>
      </c>
      <c r="AI321" t="s">
        <v>2453</v>
      </c>
      <c r="AJ321" s="2" t="str">
        <f>HYPERLINK("http://exon.niaid.nih.gov/transcriptome/Anopheles_sialome/links/CULICOMORPHA/anoqua_D7r1-CULICOMORPHA.txt","short form D7r1 salivary protein")</f>
        <v>short form D7r1 salivary protein</v>
      </c>
      <c r="AK321" t="str">
        <f>HYPERLINK("http://www.ncbi.nlm.nih.gov/sutils/blink.cgi?pid=16225961","2E-091")</f>
        <v>2E-091</v>
      </c>
      <c r="AL321" t="str">
        <f>HYPERLINK("http://www.ncbi.nlm.nih.gov/protein/16225961","gi|16225961")</f>
        <v>gi|16225961</v>
      </c>
      <c r="AM321">
        <v>98</v>
      </c>
      <c r="AN321">
        <v>99</v>
      </c>
      <c r="AO321">
        <v>100</v>
      </c>
      <c r="AP321" t="s">
        <v>2453</v>
      </c>
      <c r="AQ321" s="2" t="str">
        <f>HYPERLINK("http://exon.niaid.nih.gov/transcriptome/Anopheles_sialome/links/NR-LIGHT/anoqua_D7r1-NR-LIGHT.txt","short form D7r1 salivary protein")</f>
        <v>short form D7r1 salivary protein</v>
      </c>
      <c r="AR321" t="str">
        <f>HYPERLINK("http://www.ncbi.nlm.nih.gov/sutils/blink.cgi?pid=16225961","3E-090")</f>
        <v>3E-090</v>
      </c>
      <c r="AS321" t="str">
        <f>HYPERLINK("http://www.ncbi.nlm.nih.gov/protein/16225961","gi|16225961")</f>
        <v>gi|16225961</v>
      </c>
      <c r="AT321">
        <v>98</v>
      </c>
      <c r="AU321">
        <v>99</v>
      </c>
      <c r="AV321">
        <v>100</v>
      </c>
      <c r="AW321" t="s">
        <v>2453</v>
      </c>
      <c r="AX321" s="2" t="str">
        <f>HYPERLINK("http://exon.niaid.nih.gov/transcriptome/Anopheles_sialome/links/CDD/anoqua_D7r1-CDD.txt","PBP_GOBP")</f>
        <v>PBP_GOBP</v>
      </c>
      <c r="AY321" t="str">
        <f>HYPERLINK("http://www.ncbi.nlm.nih.gov/Structure/cdd/cddsrv.cgi?uid=pfam01395&amp;version=v4.0","1E-007")</f>
        <v>1E-007</v>
      </c>
      <c r="AZ321" t="s">
        <v>2456</v>
      </c>
      <c r="BA321" s="2" t="str">
        <f>HYPERLINK("http://exon.niaid.nih.gov/transcriptome/Anopheles_sialome/links/KOG/anoqua_D7r1-KOG.txt","Glucose-6-phosphate isomerase")</f>
        <v>Glucose-6-phosphate isomerase</v>
      </c>
      <c r="BB321" t="str">
        <f>HYPERLINK("http://www.ncbi.nlm.nih.gov/Structure/cdd/cddsrv.cgi?uid=KOG2446","0.96")</f>
        <v>0.96</v>
      </c>
      <c r="BC321" t="s">
        <v>2308</v>
      </c>
      <c r="BD321" t="str">
        <f>HYPERLINK("http://exon.niaid.nih.gov/transcriptome/Anopheles_sialome/links/KOG/anoqua_D7r1-KOG.txt","KOG2446")</f>
        <v>KOG2446</v>
      </c>
      <c r="BE321" t="str">
        <f>HYPERLINK("http://exon.niaid.nih.gov/transcriptome/Anopheles_sialome/links/PFAM/anoqua_D7r1-PFAM.txt","PBP_GOBP")</f>
        <v>PBP_GOBP</v>
      </c>
      <c r="BF321" t="str">
        <f>HYPERLINK("http://pfam.sanger.ac.uk/family?acc=PF01395","2E-008")</f>
        <v>2E-008</v>
      </c>
      <c r="BG321" s="2" t="str">
        <f>HYPERLINK("http://exon.niaid.nih.gov/transcriptome/Anopheles_sialome/links/SMART/anoqua_D7r1-SMART.txt","PhBP")</f>
        <v>PhBP</v>
      </c>
      <c r="BH321" t="str">
        <f>HYPERLINK("http://smart.embl-heidelberg.de/smart/do_annotation.pl?DOMAIN=PhBP&amp;BLAST=DUMMY","2E-008")</f>
        <v>2E-008</v>
      </c>
      <c r="BI321" t="s">
        <v>128</v>
      </c>
      <c r="BJ321" s="2" t="s">
        <v>128</v>
      </c>
      <c r="BK321" t="s">
        <v>994</v>
      </c>
      <c r="BL321">
        <f>HYPERLINK("http://exon.niaid.nih.gov/transcriptome/Anopheles_sialome/links/cluster-b/anopheline-sialome-cds-pep-larger-orf25-50SimCLU2.txt", 2)</f>
        <v>2</v>
      </c>
      <c r="BM321">
        <f>HYPERLINK("http://exon.niaid.nih.gov/transcriptome/Anopheles_sialome/links/cluster-b/anopheline-sialome-cds-pep-larger-orf25-50SimCLTL2.txt", 120)</f>
        <v>120</v>
      </c>
      <c r="BN321">
        <f>HYPERLINK("http://exon.niaid.nih.gov/transcriptome/Anopheles_sialome/links/cluster-b/anopheline-sialome-cds-pep-larger-orf30-50SimCLU2.txt", 2)</f>
        <v>2</v>
      </c>
      <c r="BO321">
        <f>HYPERLINK("http://exon.niaid.nih.gov/transcriptome/Anopheles_sialome/links/cluster-b/anopheline-sialome-cds-pep-larger-orf30-50SimCLTL2.txt", 120)</f>
        <v>120</v>
      </c>
      <c r="BP321">
        <f>HYPERLINK("http://exon.niaid.nih.gov/transcriptome/Anopheles_sialome/links/cluster-b/anopheline-sialome-cds-pep-larger-orf35-50SimCLU1.txt", 1)</f>
        <v>1</v>
      </c>
      <c r="BQ321">
        <f>HYPERLINK("http://exon.niaid.nih.gov/transcriptome/Anopheles_sialome/links/cluster-b/anopheline-sialome-cds-pep-larger-orf35-50SimCLTL1.txt", 120)</f>
        <v>120</v>
      </c>
      <c r="BR321">
        <f>HYPERLINK("http://exon.niaid.nih.gov/transcriptome/Anopheles_sialome/links/cluster-b/anopheline-sialome-cds-pep-larger-orf40-50SimCLU2.txt", 2)</f>
        <v>2</v>
      </c>
      <c r="BS321">
        <f>HYPERLINK("http://exon.niaid.nih.gov/transcriptome/Anopheles_sialome/links/cluster-b/anopheline-sialome-cds-pep-larger-orf40-50SimCLTL2.txt", 83)</f>
        <v>83</v>
      </c>
      <c r="BT321">
        <f>HYPERLINK("http://exon.niaid.nih.gov/transcriptome/Anopheles_sialome/links/cluster-b/anopheline-sialome-cds-pep-larger-orf45-50SimCLU1.txt", 1)</f>
        <v>1</v>
      </c>
      <c r="BU321">
        <f>HYPERLINK("http://exon.niaid.nih.gov/transcriptome/Anopheles_sialome/links/cluster-b/anopheline-sialome-cds-pep-larger-orf45-50SimCLTL1.txt", 83)</f>
        <v>83</v>
      </c>
      <c r="BV321">
        <f>HYPERLINK("http://exon.niaid.nih.gov/transcriptome/Anopheles_sialome/links/cluster-b/anopheline-sialome-cds-pep-larger-orf50-50SimCLU1.txt", 1)</f>
        <v>1</v>
      </c>
      <c r="BW321">
        <f>HYPERLINK("http://exon.niaid.nih.gov/transcriptome/Anopheles_sialome/links/cluster-b/anopheline-sialome-cds-pep-larger-orf50-50SimCLTL1.txt", 83)</f>
        <v>83</v>
      </c>
      <c r="BX321">
        <f>HYPERLINK("http://exon.niaid.nih.gov/transcriptome/Anopheles_sialome/links/cluster-b/anopheline-sialome-cds-pep-larger-orf55-50SimCLU1.txt", 1)</f>
        <v>1</v>
      </c>
      <c r="BY321">
        <f>HYPERLINK("http://exon.niaid.nih.gov/transcriptome/Anopheles_sialome/links/cluster-b/anopheline-sialome-cds-pep-larger-orf55-50SimCLTL1.txt", 79)</f>
        <v>79</v>
      </c>
      <c r="BZ321">
        <f>HYPERLINK("http://exon.niaid.nih.gov/transcriptome/Anopheles_sialome/links/cluster-b/anopheline-sialome-cds-pep-larger-orf60-50SimCLU1.txt", 1)</f>
        <v>1</v>
      </c>
      <c r="CA321">
        <f>HYPERLINK("http://exon.niaid.nih.gov/transcriptome/Anopheles_sialome/links/cluster-b/anopheline-sialome-cds-pep-larger-orf60-50SimCLTL1.txt", 60)</f>
        <v>60</v>
      </c>
      <c r="CB321">
        <f>HYPERLINK("http://exon.niaid.nih.gov/transcriptome/Anopheles_sialome/links/cluster-b/anopheline-sialome-cds-pep-larger-orf65-50SimCLU1.txt", 1)</f>
        <v>1</v>
      </c>
      <c r="CC321">
        <f>HYPERLINK("http://exon.niaid.nih.gov/transcriptome/Anopheles_sialome/links/cluster-b/anopheline-sialome-cds-pep-larger-orf65-50SimCLTL1.txt", 60)</f>
        <v>60</v>
      </c>
      <c r="CD321">
        <f>HYPERLINK("http://exon.niaid.nih.gov/transcriptome/Anopheles_sialome/links/cluster-b/anopheline-sialome-cds-pep-larger-orf70-50SimCLU2.txt", 2)</f>
        <v>2</v>
      </c>
      <c r="CE321">
        <f>HYPERLINK("http://exon.niaid.nih.gov/transcriptome/Anopheles_sialome/links/cluster-b/anopheline-sialome-cds-pep-larger-orf70-50SimCLTL2.txt", 29)</f>
        <v>29</v>
      </c>
      <c r="CF321">
        <f>HYPERLINK("http://exon.niaid.nih.gov/transcriptome/Anopheles_sialome/links/cluster-b/anopheline-sialome-cds-pep-larger-orf75-50SimCLU2.txt", 2)</f>
        <v>2</v>
      </c>
      <c r="CG321">
        <f>HYPERLINK("http://exon.niaid.nih.gov/transcriptome/Anopheles_sialome/links/cluster-b/anopheline-sialome-cds-pep-larger-orf75-50SimCLTL2.txt", 28)</f>
        <v>28</v>
      </c>
      <c r="CH321">
        <f>HYPERLINK("http://exon.niaid.nih.gov/transcriptome/Anopheles_sialome/links/cluster-b/anopheline-sialome-cds-pep-larger-orf80-50SimCLU17.txt", 17)</f>
        <v>17</v>
      </c>
      <c r="CI321">
        <f>HYPERLINK("http://exon.niaid.nih.gov/transcriptome/Anopheles_sialome/links/cluster-b/anopheline-sialome-cds-pep-larger-orf80-50SimCLTL17.txt", 13)</f>
        <v>13</v>
      </c>
      <c r="CJ321">
        <f>HYPERLINK("http://exon.niaid.nih.gov/transcriptome/Anopheles_sialome/links/cluster-b/anopheline-sialome-cds-pep-larger-orf85-50SimCLU17.txt", 17)</f>
        <v>17</v>
      </c>
      <c r="CK321">
        <f>HYPERLINK("http://exon.niaid.nih.gov/transcriptome/Anopheles_sialome/links/cluster-b/anopheline-sialome-cds-pep-larger-orf85-50SimCLTL17.txt", 10)</f>
        <v>10</v>
      </c>
      <c r="CL321">
        <f>HYPERLINK("http://exon.niaid.nih.gov/transcriptome/Anopheles_sialome/links/cluster-b/anopheline-sialome-cds-pep-larger-orf90-50SimCLU12.txt", 12)</f>
        <v>12</v>
      </c>
      <c r="CM321">
        <f>HYPERLINK("http://exon.niaid.nih.gov/transcriptome/Anopheles_sialome/links/cluster-b/anopheline-sialome-cds-pep-larger-orf90-50SimCLTL12.txt", 7)</f>
        <v>7</v>
      </c>
      <c r="CN321">
        <f>HYPERLINK("http://exon.niaid.nih.gov/transcriptome/Anopheles_sialome/links/cluster-b/anopheline-sialome-cds-pep-larger-orf95-50SimCLU8.txt", 8)</f>
        <v>8</v>
      </c>
      <c r="CO321">
        <f>HYPERLINK("http://exon.niaid.nih.gov/transcriptome/Anopheles_sialome/links/cluster-b/anopheline-sialome-cds-pep-larger-orf95-50SimCLTL8.txt", 6)</f>
        <v>6</v>
      </c>
    </row>
    <row r="322" spans="1:93">
      <c r="A322" s="2" t="str">
        <f>HYPERLINK("http://exon.niaid.nih.gov/transcriptome/Anopheles_sialome/links/cds/anomer_D7r1-cds.txt","anomer_D7r1")</f>
        <v>anomer_D7r1</v>
      </c>
      <c r="B322">
        <v>498</v>
      </c>
      <c r="C322" t="s">
        <v>151</v>
      </c>
      <c r="D322" t="s">
        <v>4</v>
      </c>
      <c r="E322" t="s">
        <v>5</v>
      </c>
      <c r="F322" t="s">
        <v>1</v>
      </c>
      <c r="G322" t="str">
        <f>HYPERLINK("http://exon.niaid.nih.gov/transcriptome/Anopheles_sialome/links/pep/anomer_D7r1-pep.txt","anomer_D7r1")</f>
        <v>anomer_D7r1</v>
      </c>
      <c r="H322">
        <v>165</v>
      </c>
      <c r="I322">
        <v>0</v>
      </c>
      <c r="J322" s="3" t="str">
        <f>HYPERLINK("http://exon.niaid.nih.gov/transcriptome/Anopheles_sialome/links/Sigp/anomer_D7r1-SigP.txt","SIG")</f>
        <v>SIG</v>
      </c>
      <c r="K322" t="s">
        <v>689</v>
      </c>
      <c r="L322">
        <v>18.669</v>
      </c>
      <c r="M322">
        <v>9.17</v>
      </c>
      <c r="N322">
        <v>16.401</v>
      </c>
      <c r="O322">
        <v>9.14</v>
      </c>
      <c r="P322" t="s">
        <v>992</v>
      </c>
      <c r="Q322" s="3">
        <v>0</v>
      </c>
      <c r="R322" t="s">
        <v>128</v>
      </c>
      <c r="S322" t="s">
        <v>128</v>
      </c>
      <c r="T322" t="s">
        <v>128</v>
      </c>
      <c r="U322" t="s">
        <v>128</v>
      </c>
      <c r="V322" t="s">
        <v>128</v>
      </c>
      <c r="W322" s="3" t="str">
        <f>HYPERLINK("http://exon.niaid.nih.gov/transcriptome/Anopheles_sialome/links/netoglyc/anomer_D7r1-netoglyc.txt","0")</f>
        <v>0</v>
      </c>
      <c r="X322">
        <v>9.1</v>
      </c>
      <c r="Y322">
        <v>4.2</v>
      </c>
      <c r="Z322">
        <v>3.6</v>
      </c>
      <c r="AA322" t="s">
        <v>654</v>
      </c>
      <c r="AB322" t="s">
        <v>128</v>
      </c>
      <c r="AC322" s="2" t="str">
        <f>HYPERLINK("http://exon.niaid.nih.gov/transcriptome/Anopheles_sialome/links/DIPTERA/anomer_D7r1-DIPTERA.txt","short form D7r1 salivary protein")</f>
        <v>short form D7r1 salivary protein</v>
      </c>
      <c r="AD322" t="str">
        <f>HYPERLINK("http://www.ncbi.nlm.nih.gov/sutils/blink.cgi?pid=16225961","2E-091")</f>
        <v>2E-091</v>
      </c>
      <c r="AE322" t="str">
        <f>HYPERLINK("http://www.ncbi.nlm.nih.gov/protein/16225961","gi|16225961")</f>
        <v>gi|16225961</v>
      </c>
      <c r="AF322">
        <v>98</v>
      </c>
      <c r="AG322">
        <v>100</v>
      </c>
      <c r="AH322">
        <v>100</v>
      </c>
      <c r="AI322" t="s">
        <v>2453</v>
      </c>
      <c r="AJ322" s="2" t="str">
        <f>HYPERLINK("http://exon.niaid.nih.gov/transcriptome/Anopheles_sialome/links/CULICOMORPHA/anomer_D7r1-CULICOMORPHA.txt","short form D7r1 salivary protein")</f>
        <v>short form D7r1 salivary protein</v>
      </c>
      <c r="AK322" t="str">
        <f>HYPERLINK("http://www.ncbi.nlm.nih.gov/sutils/blink.cgi?pid=16225961","4E-092")</f>
        <v>4E-092</v>
      </c>
      <c r="AL322" t="str">
        <f>HYPERLINK("http://www.ncbi.nlm.nih.gov/protein/16225961","gi|16225961")</f>
        <v>gi|16225961</v>
      </c>
      <c r="AM322">
        <v>98</v>
      </c>
      <c r="AN322">
        <v>100</v>
      </c>
      <c r="AO322">
        <v>100</v>
      </c>
      <c r="AP322" t="s">
        <v>2453</v>
      </c>
      <c r="AQ322" s="2" t="str">
        <f>HYPERLINK("http://exon.niaid.nih.gov/transcriptome/Anopheles_sialome/links/NR-LIGHT/anomer_D7r1-NR-LIGHT.txt","short form D7r1 salivary protein")</f>
        <v>short form D7r1 salivary protein</v>
      </c>
      <c r="AR322" t="str">
        <f>HYPERLINK("http://www.ncbi.nlm.nih.gov/sutils/blink.cgi?pid=16225961","5E-091")</f>
        <v>5E-091</v>
      </c>
      <c r="AS322" t="str">
        <f>HYPERLINK("http://www.ncbi.nlm.nih.gov/protein/16225961","gi|16225961")</f>
        <v>gi|16225961</v>
      </c>
      <c r="AT322">
        <v>98</v>
      </c>
      <c r="AU322">
        <v>100</v>
      </c>
      <c r="AV322">
        <v>100</v>
      </c>
      <c r="AW322" t="s">
        <v>2453</v>
      </c>
      <c r="AX322" s="2" t="str">
        <f>HYPERLINK("http://exon.niaid.nih.gov/transcriptome/Anopheles_sialome/links/CDD/anomer_D7r1-CDD.txt","PBP_GOBP")</f>
        <v>PBP_GOBP</v>
      </c>
      <c r="AY322" t="str">
        <f>HYPERLINK("http://www.ncbi.nlm.nih.gov/Structure/cdd/cddsrv.cgi?uid=pfam01395&amp;version=v4.0","9E-008")</f>
        <v>9E-008</v>
      </c>
      <c r="AZ322" t="s">
        <v>2457</v>
      </c>
      <c r="BA322" s="2" t="str">
        <f>HYPERLINK("http://exon.niaid.nih.gov/transcriptome/Anopheles_sialome/links/KOG/anomer_D7r1-KOG.txt","Glucose-6-phosphate isomerase")</f>
        <v>Glucose-6-phosphate isomerase</v>
      </c>
      <c r="BB322" t="str">
        <f>HYPERLINK("http://www.ncbi.nlm.nih.gov/Structure/cdd/cddsrv.cgi?uid=KOG2446","0.99")</f>
        <v>0.99</v>
      </c>
      <c r="BC322" t="s">
        <v>2308</v>
      </c>
      <c r="BD322" t="str">
        <f>HYPERLINK("http://exon.niaid.nih.gov/transcriptome/Anopheles_sialome/links/KOG/anomer_D7r1-KOG.txt","KOG2446")</f>
        <v>KOG2446</v>
      </c>
      <c r="BE322" t="str">
        <f>HYPERLINK("http://exon.niaid.nih.gov/transcriptome/Anopheles_sialome/links/PFAM/anomer_D7r1-PFAM.txt","PBP_GOBP")</f>
        <v>PBP_GOBP</v>
      </c>
      <c r="BF322" t="str">
        <f>HYPERLINK("http://pfam.sanger.ac.uk/family?acc=PF01395","2E-008")</f>
        <v>2E-008</v>
      </c>
      <c r="BG322" s="2" t="str">
        <f>HYPERLINK("http://exon.niaid.nih.gov/transcriptome/Anopheles_sialome/links/SMART/anomer_D7r1-SMART.txt","PhBP")</f>
        <v>PhBP</v>
      </c>
      <c r="BH322" t="str">
        <f>HYPERLINK("http://smart.embl-heidelberg.de/smart/do_annotation.pl?DOMAIN=PhBP&amp;BLAST=DUMMY","2E-008")</f>
        <v>2E-008</v>
      </c>
      <c r="BI322" t="s">
        <v>128</v>
      </c>
      <c r="BJ322" s="2" t="s">
        <v>128</v>
      </c>
      <c r="BK322" t="s">
        <v>995</v>
      </c>
      <c r="BL322">
        <f>HYPERLINK("http://exon.niaid.nih.gov/transcriptome/Anopheles_sialome/links/cluster-b/anopheline-sialome-cds-pep-larger-orf25-50SimCLU2.txt", 2)</f>
        <v>2</v>
      </c>
      <c r="BM322">
        <f>HYPERLINK("http://exon.niaid.nih.gov/transcriptome/Anopheles_sialome/links/cluster-b/anopheline-sialome-cds-pep-larger-orf25-50SimCLTL2.txt", 120)</f>
        <v>120</v>
      </c>
      <c r="BN322">
        <f>HYPERLINK("http://exon.niaid.nih.gov/transcriptome/Anopheles_sialome/links/cluster-b/anopheline-sialome-cds-pep-larger-orf30-50SimCLU2.txt", 2)</f>
        <v>2</v>
      </c>
      <c r="BO322">
        <f>HYPERLINK("http://exon.niaid.nih.gov/transcriptome/Anopheles_sialome/links/cluster-b/anopheline-sialome-cds-pep-larger-orf30-50SimCLTL2.txt", 120)</f>
        <v>120</v>
      </c>
      <c r="BP322">
        <f>HYPERLINK("http://exon.niaid.nih.gov/transcriptome/Anopheles_sialome/links/cluster-b/anopheline-sialome-cds-pep-larger-orf35-50SimCLU1.txt", 1)</f>
        <v>1</v>
      </c>
      <c r="BQ322">
        <f>HYPERLINK("http://exon.niaid.nih.gov/transcriptome/Anopheles_sialome/links/cluster-b/anopheline-sialome-cds-pep-larger-orf35-50SimCLTL1.txt", 120)</f>
        <v>120</v>
      </c>
      <c r="BR322">
        <f>HYPERLINK("http://exon.niaid.nih.gov/transcriptome/Anopheles_sialome/links/cluster-b/anopheline-sialome-cds-pep-larger-orf40-50SimCLU2.txt", 2)</f>
        <v>2</v>
      </c>
      <c r="BS322">
        <f>HYPERLINK("http://exon.niaid.nih.gov/transcriptome/Anopheles_sialome/links/cluster-b/anopheline-sialome-cds-pep-larger-orf40-50SimCLTL2.txt", 83)</f>
        <v>83</v>
      </c>
      <c r="BT322">
        <f>HYPERLINK("http://exon.niaid.nih.gov/transcriptome/Anopheles_sialome/links/cluster-b/anopheline-sialome-cds-pep-larger-orf45-50SimCLU1.txt", 1)</f>
        <v>1</v>
      </c>
      <c r="BU322">
        <f>HYPERLINK("http://exon.niaid.nih.gov/transcriptome/Anopheles_sialome/links/cluster-b/anopheline-sialome-cds-pep-larger-orf45-50SimCLTL1.txt", 83)</f>
        <v>83</v>
      </c>
      <c r="BV322">
        <f>HYPERLINK("http://exon.niaid.nih.gov/transcriptome/Anopheles_sialome/links/cluster-b/anopheline-sialome-cds-pep-larger-orf50-50SimCLU1.txt", 1)</f>
        <v>1</v>
      </c>
      <c r="BW322">
        <f>HYPERLINK("http://exon.niaid.nih.gov/transcriptome/Anopheles_sialome/links/cluster-b/anopheline-sialome-cds-pep-larger-orf50-50SimCLTL1.txt", 83)</f>
        <v>83</v>
      </c>
      <c r="BX322">
        <f>HYPERLINK("http://exon.niaid.nih.gov/transcriptome/Anopheles_sialome/links/cluster-b/anopheline-sialome-cds-pep-larger-orf55-50SimCLU1.txt", 1)</f>
        <v>1</v>
      </c>
      <c r="BY322">
        <f>HYPERLINK("http://exon.niaid.nih.gov/transcriptome/Anopheles_sialome/links/cluster-b/anopheline-sialome-cds-pep-larger-orf55-50SimCLTL1.txt", 79)</f>
        <v>79</v>
      </c>
      <c r="BZ322">
        <f>HYPERLINK("http://exon.niaid.nih.gov/transcriptome/Anopheles_sialome/links/cluster-b/anopheline-sialome-cds-pep-larger-orf60-50SimCLU1.txt", 1)</f>
        <v>1</v>
      </c>
      <c r="CA322">
        <f>HYPERLINK("http://exon.niaid.nih.gov/transcriptome/Anopheles_sialome/links/cluster-b/anopheline-sialome-cds-pep-larger-orf60-50SimCLTL1.txt", 60)</f>
        <v>60</v>
      </c>
      <c r="CB322">
        <f>HYPERLINK("http://exon.niaid.nih.gov/transcriptome/Anopheles_sialome/links/cluster-b/anopheline-sialome-cds-pep-larger-orf65-50SimCLU1.txt", 1)</f>
        <v>1</v>
      </c>
      <c r="CC322">
        <f>HYPERLINK("http://exon.niaid.nih.gov/transcriptome/Anopheles_sialome/links/cluster-b/anopheline-sialome-cds-pep-larger-orf65-50SimCLTL1.txt", 60)</f>
        <v>60</v>
      </c>
      <c r="CD322">
        <f>HYPERLINK("http://exon.niaid.nih.gov/transcriptome/Anopheles_sialome/links/cluster-b/anopheline-sialome-cds-pep-larger-orf70-50SimCLU2.txt", 2)</f>
        <v>2</v>
      </c>
      <c r="CE322">
        <f>HYPERLINK("http://exon.niaid.nih.gov/transcriptome/Anopheles_sialome/links/cluster-b/anopheline-sialome-cds-pep-larger-orf70-50SimCLTL2.txt", 29)</f>
        <v>29</v>
      </c>
      <c r="CF322">
        <f>HYPERLINK("http://exon.niaid.nih.gov/transcriptome/Anopheles_sialome/links/cluster-b/anopheline-sialome-cds-pep-larger-orf75-50SimCLU2.txt", 2)</f>
        <v>2</v>
      </c>
      <c r="CG322">
        <f>HYPERLINK("http://exon.niaid.nih.gov/transcriptome/Anopheles_sialome/links/cluster-b/anopheline-sialome-cds-pep-larger-orf75-50SimCLTL2.txt", 28)</f>
        <v>28</v>
      </c>
      <c r="CH322">
        <f>HYPERLINK("http://exon.niaid.nih.gov/transcriptome/Anopheles_sialome/links/cluster-b/anopheline-sialome-cds-pep-larger-orf80-50SimCLU17.txt", 17)</f>
        <v>17</v>
      </c>
      <c r="CI322">
        <f>HYPERLINK("http://exon.niaid.nih.gov/transcriptome/Anopheles_sialome/links/cluster-b/anopheline-sialome-cds-pep-larger-orf80-50SimCLTL17.txt", 13)</f>
        <v>13</v>
      </c>
      <c r="CJ322">
        <f>HYPERLINK("http://exon.niaid.nih.gov/transcriptome/Anopheles_sialome/links/cluster-b/anopheline-sialome-cds-pep-larger-orf85-50SimCLU17.txt", 17)</f>
        <v>17</v>
      </c>
      <c r="CK322">
        <f>HYPERLINK("http://exon.niaid.nih.gov/transcriptome/Anopheles_sialome/links/cluster-b/anopheline-sialome-cds-pep-larger-orf85-50SimCLTL17.txt", 10)</f>
        <v>10</v>
      </c>
      <c r="CL322">
        <f>HYPERLINK("http://exon.niaid.nih.gov/transcriptome/Anopheles_sialome/links/cluster-b/anopheline-sialome-cds-pep-larger-orf90-50SimCLU12.txt", 12)</f>
        <v>12</v>
      </c>
      <c r="CM322">
        <f>HYPERLINK("http://exon.niaid.nih.gov/transcriptome/Anopheles_sialome/links/cluster-b/anopheline-sialome-cds-pep-larger-orf90-50SimCLTL12.txt", 7)</f>
        <v>7</v>
      </c>
      <c r="CN322">
        <f>HYPERLINK("http://exon.niaid.nih.gov/transcriptome/Anopheles_sialome/links/cluster-b/anopheline-sialome-cds-pep-larger-orf95-50SimCLU8.txt", 8)</f>
        <v>8</v>
      </c>
      <c r="CO322">
        <f>HYPERLINK("http://exon.niaid.nih.gov/transcriptome/Anopheles_sialome/links/cluster-b/anopheline-sialome-cds-pep-larger-orf95-50SimCLTL8.txt", 6)</f>
        <v>6</v>
      </c>
    </row>
    <row r="323" spans="1:93">
      <c r="A323" s="2" t="str">
        <f>HYPERLINK("http://exon.niaid.nih.gov/transcriptome/Anopheles_sialome/links/cds/anomel_D7r1-cds.txt","anomel_D7r1")</f>
        <v>anomel_D7r1</v>
      </c>
      <c r="B323">
        <v>498</v>
      </c>
      <c r="C323" t="s">
        <v>152</v>
      </c>
      <c r="D323" t="s">
        <v>4</v>
      </c>
      <c r="E323" t="s">
        <v>5</v>
      </c>
      <c r="F323" t="s">
        <v>1</v>
      </c>
      <c r="G323" t="str">
        <f>HYPERLINK("http://exon.niaid.nih.gov/transcriptome/Anopheles_sialome/links/pep/anomel_D7r1-pep.txt","anomel_D7r1")</f>
        <v>anomel_D7r1</v>
      </c>
      <c r="H323">
        <v>165</v>
      </c>
      <c r="I323">
        <v>0</v>
      </c>
      <c r="J323" s="3" t="str">
        <f>HYPERLINK("http://exon.niaid.nih.gov/transcriptome/Anopheles_sialome/links/Sigp/anomel_D7r1-SigP.txt","SIG")</f>
        <v>SIG</v>
      </c>
      <c r="K323" t="s">
        <v>689</v>
      </c>
      <c r="L323">
        <v>18.71</v>
      </c>
      <c r="M323">
        <v>9.1</v>
      </c>
      <c r="N323">
        <v>16.442</v>
      </c>
      <c r="O323">
        <v>9.06</v>
      </c>
      <c r="P323" t="s">
        <v>997</v>
      </c>
      <c r="Q323" s="3">
        <v>0</v>
      </c>
      <c r="R323" t="s">
        <v>128</v>
      </c>
      <c r="S323" t="s">
        <v>128</v>
      </c>
      <c r="T323" t="s">
        <v>128</v>
      </c>
      <c r="U323" t="s">
        <v>128</v>
      </c>
      <c r="V323" t="s">
        <v>128</v>
      </c>
      <c r="W323" s="3" t="str">
        <f>HYPERLINK("http://exon.niaid.nih.gov/transcriptome/Anopheles_sialome/links/netoglyc/anomel_D7r1-netoglyc.txt","0")</f>
        <v>0</v>
      </c>
      <c r="X323">
        <v>8.5</v>
      </c>
      <c r="Y323">
        <v>4.2</v>
      </c>
      <c r="Z323">
        <v>3.6</v>
      </c>
      <c r="AA323" t="s">
        <v>654</v>
      </c>
      <c r="AB323" t="s">
        <v>128</v>
      </c>
      <c r="AC323" s="2" t="str">
        <f>HYPERLINK("http://exon.niaid.nih.gov/transcriptome/Anopheles_sialome/links/DIPTERA/anomel_D7r1-DIPTERA.txt","D7-related 1 protein")</f>
        <v>D7-related 1 protein</v>
      </c>
      <c r="AD323" t="str">
        <f>HYPERLINK("http://www.ncbi.nlm.nih.gov/sutils/blink.cgi?pid=4538887","8E-089")</f>
        <v>8E-089</v>
      </c>
      <c r="AE323" t="str">
        <f>HYPERLINK("http://www.ncbi.nlm.nih.gov/protein/4538887","gi|4538887")</f>
        <v>gi|4538887</v>
      </c>
      <c r="AF323">
        <v>96</v>
      </c>
      <c r="AG323">
        <v>97</v>
      </c>
      <c r="AH323">
        <v>100</v>
      </c>
      <c r="AI323" t="s">
        <v>2254</v>
      </c>
      <c r="AJ323" s="2" t="str">
        <f>HYPERLINK("http://exon.niaid.nih.gov/transcriptome/Anopheles_sialome/links/CULICOMORPHA/anomel_D7r1-CULICOMORPHA.txt","D7-related 1 protein")</f>
        <v>D7-related 1 protein</v>
      </c>
      <c r="AK323" t="str">
        <f>HYPERLINK("http://www.ncbi.nlm.nih.gov/sutils/blink.cgi?pid=4538887","2E-089")</f>
        <v>2E-089</v>
      </c>
      <c r="AL323" t="str">
        <f>HYPERLINK("http://www.ncbi.nlm.nih.gov/protein/4538887","gi|4538887")</f>
        <v>gi|4538887</v>
      </c>
      <c r="AM323">
        <v>96</v>
      </c>
      <c r="AN323">
        <v>97</v>
      </c>
      <c r="AO323">
        <v>100</v>
      </c>
      <c r="AP323" t="s">
        <v>2254</v>
      </c>
      <c r="AQ323" s="2" t="str">
        <f>HYPERLINK("http://exon.niaid.nih.gov/transcriptome/Anopheles_sialome/links/NR-LIGHT/anomel_D7r1-NR-LIGHT.txt","D7-related 1 protein")</f>
        <v>D7-related 1 protein</v>
      </c>
      <c r="AR323" t="str">
        <f>HYPERLINK("http://www.ncbi.nlm.nih.gov/sutils/blink.cgi?pid=4538887","2E-088")</f>
        <v>2E-088</v>
      </c>
      <c r="AS323" t="str">
        <f>HYPERLINK("http://www.ncbi.nlm.nih.gov/protein/4538887","gi|4538887")</f>
        <v>gi|4538887</v>
      </c>
      <c r="AT323">
        <v>96</v>
      </c>
      <c r="AU323">
        <v>97</v>
      </c>
      <c r="AV323">
        <v>100</v>
      </c>
      <c r="AW323" t="s">
        <v>2254</v>
      </c>
      <c r="AX323" s="2" t="str">
        <f>HYPERLINK("http://exon.niaid.nih.gov/transcriptome/Anopheles_sialome/links/CDD/anomel_D7r1-CDD.txt","PBP_GOBP")</f>
        <v>PBP_GOBP</v>
      </c>
      <c r="AY323" t="str">
        <f>HYPERLINK("http://www.ncbi.nlm.nih.gov/Structure/cdd/cddsrv.cgi?uid=pfam01395&amp;version=v4.0","1E-007")</f>
        <v>1E-007</v>
      </c>
      <c r="AZ323" t="s">
        <v>2458</v>
      </c>
      <c r="BA323" s="2" t="str">
        <f>HYPERLINK("http://exon.niaid.nih.gov/transcriptome/Anopheles_sialome/links/KOG/anomel_D7r1-KOG.txt","Glucose-6-phosphate isomerase")</f>
        <v>Glucose-6-phosphate isomerase</v>
      </c>
      <c r="BB323" t="str">
        <f>HYPERLINK("http://www.ncbi.nlm.nih.gov/Structure/cdd/cddsrv.cgi?uid=KOG2446","0.94")</f>
        <v>0.94</v>
      </c>
      <c r="BC323" t="s">
        <v>2308</v>
      </c>
      <c r="BD323" t="str">
        <f>HYPERLINK("http://exon.niaid.nih.gov/transcriptome/Anopheles_sialome/links/KOG/anomel_D7r1-KOG.txt","KOG2446")</f>
        <v>KOG2446</v>
      </c>
      <c r="BE323" t="str">
        <f>HYPERLINK("http://exon.niaid.nih.gov/transcriptome/Anopheles_sialome/links/PFAM/anomel_D7r1-PFAM.txt","PBP_GOBP")</f>
        <v>PBP_GOBP</v>
      </c>
      <c r="BF323" t="str">
        <f>HYPERLINK("http://pfam.sanger.ac.uk/family?acc=PF01395","3E-008")</f>
        <v>3E-008</v>
      </c>
      <c r="BG323" s="2" t="str">
        <f>HYPERLINK("http://exon.niaid.nih.gov/transcriptome/Anopheles_sialome/links/SMART/anomel_D7r1-SMART.txt","PhBP")</f>
        <v>PhBP</v>
      </c>
      <c r="BH323" t="str">
        <f>HYPERLINK("http://smart.embl-heidelberg.de/smart/do_annotation.pl?DOMAIN=PhBP&amp;BLAST=DUMMY","3E-008")</f>
        <v>3E-008</v>
      </c>
      <c r="BI323" t="s">
        <v>128</v>
      </c>
      <c r="BJ323" s="2" t="s">
        <v>128</v>
      </c>
      <c r="BK323" t="s">
        <v>996</v>
      </c>
      <c r="BL323">
        <f>HYPERLINK("http://exon.niaid.nih.gov/transcriptome/Anopheles_sialome/links/cluster-b/anopheline-sialome-cds-pep-larger-orf25-50SimCLU2.txt", 2)</f>
        <v>2</v>
      </c>
      <c r="BM323">
        <f>HYPERLINK("http://exon.niaid.nih.gov/transcriptome/Anopheles_sialome/links/cluster-b/anopheline-sialome-cds-pep-larger-orf25-50SimCLTL2.txt", 120)</f>
        <v>120</v>
      </c>
      <c r="BN323">
        <f>HYPERLINK("http://exon.niaid.nih.gov/transcriptome/Anopheles_sialome/links/cluster-b/anopheline-sialome-cds-pep-larger-orf30-50SimCLU2.txt", 2)</f>
        <v>2</v>
      </c>
      <c r="BO323">
        <f>HYPERLINK("http://exon.niaid.nih.gov/transcriptome/Anopheles_sialome/links/cluster-b/anopheline-sialome-cds-pep-larger-orf30-50SimCLTL2.txt", 120)</f>
        <v>120</v>
      </c>
      <c r="BP323">
        <f>HYPERLINK("http://exon.niaid.nih.gov/transcriptome/Anopheles_sialome/links/cluster-b/anopheline-sialome-cds-pep-larger-orf35-50SimCLU1.txt", 1)</f>
        <v>1</v>
      </c>
      <c r="BQ323">
        <f>HYPERLINK("http://exon.niaid.nih.gov/transcriptome/Anopheles_sialome/links/cluster-b/anopheline-sialome-cds-pep-larger-orf35-50SimCLTL1.txt", 120)</f>
        <v>120</v>
      </c>
      <c r="BR323">
        <f>HYPERLINK("http://exon.niaid.nih.gov/transcriptome/Anopheles_sialome/links/cluster-b/anopheline-sialome-cds-pep-larger-orf40-50SimCLU2.txt", 2)</f>
        <v>2</v>
      </c>
      <c r="BS323">
        <f>HYPERLINK("http://exon.niaid.nih.gov/transcriptome/Anopheles_sialome/links/cluster-b/anopheline-sialome-cds-pep-larger-orf40-50SimCLTL2.txt", 83)</f>
        <v>83</v>
      </c>
      <c r="BT323">
        <f>HYPERLINK("http://exon.niaid.nih.gov/transcriptome/Anopheles_sialome/links/cluster-b/anopheline-sialome-cds-pep-larger-orf45-50SimCLU1.txt", 1)</f>
        <v>1</v>
      </c>
      <c r="BU323">
        <f>HYPERLINK("http://exon.niaid.nih.gov/transcriptome/Anopheles_sialome/links/cluster-b/anopheline-sialome-cds-pep-larger-orf45-50SimCLTL1.txt", 83)</f>
        <v>83</v>
      </c>
      <c r="BV323">
        <f>HYPERLINK("http://exon.niaid.nih.gov/transcriptome/Anopheles_sialome/links/cluster-b/anopheline-sialome-cds-pep-larger-orf50-50SimCLU1.txt", 1)</f>
        <v>1</v>
      </c>
      <c r="BW323">
        <f>HYPERLINK("http://exon.niaid.nih.gov/transcriptome/Anopheles_sialome/links/cluster-b/anopheline-sialome-cds-pep-larger-orf50-50SimCLTL1.txt", 83)</f>
        <v>83</v>
      </c>
      <c r="BX323">
        <f>HYPERLINK("http://exon.niaid.nih.gov/transcriptome/Anopheles_sialome/links/cluster-b/anopheline-sialome-cds-pep-larger-orf55-50SimCLU1.txt", 1)</f>
        <v>1</v>
      </c>
      <c r="BY323">
        <f>HYPERLINK("http://exon.niaid.nih.gov/transcriptome/Anopheles_sialome/links/cluster-b/anopheline-sialome-cds-pep-larger-orf55-50SimCLTL1.txt", 79)</f>
        <v>79</v>
      </c>
      <c r="BZ323">
        <f>HYPERLINK("http://exon.niaid.nih.gov/transcriptome/Anopheles_sialome/links/cluster-b/anopheline-sialome-cds-pep-larger-orf60-50SimCLU1.txt", 1)</f>
        <v>1</v>
      </c>
      <c r="CA323">
        <f>HYPERLINK("http://exon.niaid.nih.gov/transcriptome/Anopheles_sialome/links/cluster-b/anopheline-sialome-cds-pep-larger-orf60-50SimCLTL1.txt", 60)</f>
        <v>60</v>
      </c>
      <c r="CB323">
        <f>HYPERLINK("http://exon.niaid.nih.gov/transcriptome/Anopheles_sialome/links/cluster-b/anopheline-sialome-cds-pep-larger-orf65-50SimCLU1.txt", 1)</f>
        <v>1</v>
      </c>
      <c r="CC323">
        <f>HYPERLINK("http://exon.niaid.nih.gov/transcriptome/Anopheles_sialome/links/cluster-b/anopheline-sialome-cds-pep-larger-orf65-50SimCLTL1.txt", 60)</f>
        <v>60</v>
      </c>
      <c r="CD323">
        <f>HYPERLINK("http://exon.niaid.nih.gov/transcriptome/Anopheles_sialome/links/cluster-b/anopheline-sialome-cds-pep-larger-orf70-50SimCLU2.txt", 2)</f>
        <v>2</v>
      </c>
      <c r="CE323">
        <f>HYPERLINK("http://exon.niaid.nih.gov/transcriptome/Anopheles_sialome/links/cluster-b/anopheline-sialome-cds-pep-larger-orf70-50SimCLTL2.txt", 29)</f>
        <v>29</v>
      </c>
      <c r="CF323">
        <f>HYPERLINK("http://exon.niaid.nih.gov/transcriptome/Anopheles_sialome/links/cluster-b/anopheline-sialome-cds-pep-larger-orf75-50SimCLU2.txt", 2)</f>
        <v>2</v>
      </c>
      <c r="CG323">
        <f>HYPERLINK("http://exon.niaid.nih.gov/transcriptome/Anopheles_sialome/links/cluster-b/anopheline-sialome-cds-pep-larger-orf75-50SimCLTL2.txt", 28)</f>
        <v>28</v>
      </c>
      <c r="CH323">
        <f>HYPERLINK("http://exon.niaid.nih.gov/transcriptome/Anopheles_sialome/links/cluster-b/anopheline-sialome-cds-pep-larger-orf80-50SimCLU17.txt", 17)</f>
        <v>17</v>
      </c>
      <c r="CI323">
        <f>HYPERLINK("http://exon.niaid.nih.gov/transcriptome/Anopheles_sialome/links/cluster-b/anopheline-sialome-cds-pep-larger-orf80-50SimCLTL17.txt", 13)</f>
        <v>13</v>
      </c>
      <c r="CJ323">
        <f>HYPERLINK("http://exon.niaid.nih.gov/transcriptome/Anopheles_sialome/links/cluster-b/anopheline-sialome-cds-pep-larger-orf85-50SimCLU17.txt", 17)</f>
        <v>17</v>
      </c>
      <c r="CK323">
        <f>HYPERLINK("http://exon.niaid.nih.gov/transcriptome/Anopheles_sialome/links/cluster-b/anopheline-sialome-cds-pep-larger-orf85-50SimCLTL17.txt", 10)</f>
        <v>10</v>
      </c>
      <c r="CL323">
        <f>HYPERLINK("http://exon.niaid.nih.gov/transcriptome/Anopheles_sialome/links/cluster-b/anopheline-sialome-cds-pep-larger-orf90-50SimCLU12.txt", 12)</f>
        <v>12</v>
      </c>
      <c r="CM323">
        <f>HYPERLINK("http://exon.niaid.nih.gov/transcriptome/Anopheles_sialome/links/cluster-b/anopheline-sialome-cds-pep-larger-orf90-50SimCLTL12.txt", 7)</f>
        <v>7</v>
      </c>
      <c r="CN323">
        <f>HYPERLINK("http://exon.niaid.nih.gov/transcriptome/Anopheles_sialome/links/cluster-b/anopheline-sialome-cds-pep-larger-orf95-50SimCLU8.txt", 8)</f>
        <v>8</v>
      </c>
      <c r="CO323">
        <f>HYPERLINK("http://exon.niaid.nih.gov/transcriptome/Anopheles_sialome/links/cluster-b/anopheline-sialome-cds-pep-larger-orf95-50SimCLTL8.txt", 6)</f>
        <v>6</v>
      </c>
    </row>
    <row r="324" spans="1:93">
      <c r="A324" s="2" t="str">
        <f>HYPERLINK("http://exon.niaid.nih.gov/transcriptome/Anopheles_sialome/links/cds/anochris_D7r1-cds.txt","anochris_D7r1")</f>
        <v>anochris_D7r1</v>
      </c>
      <c r="B324">
        <v>501</v>
      </c>
      <c r="C324" t="s">
        <v>4</v>
      </c>
      <c r="D324" s="8" t="s">
        <v>3178</v>
      </c>
      <c r="E324" t="s">
        <v>5</v>
      </c>
      <c r="F324" t="s">
        <v>1</v>
      </c>
      <c r="G324" t="str">
        <f>HYPERLINK("http://exon.niaid.nih.gov/transcriptome/Anopheles_sialome/links/pep/anochris_D7r1-pep.txt","anochris_D7r1")</f>
        <v>anochris_D7r1</v>
      </c>
      <c r="H324">
        <v>166</v>
      </c>
      <c r="I324">
        <v>0</v>
      </c>
      <c r="J324" s="3" t="str">
        <f>HYPERLINK("http://exon.niaid.nih.gov/transcriptome/Anopheles_sialome/links/Sigp/anochris_D7r1-SigP.txt","SIG")</f>
        <v>SIG</v>
      </c>
      <c r="K324" t="s">
        <v>689</v>
      </c>
      <c r="L324">
        <v>18.762</v>
      </c>
      <c r="M324">
        <v>9.2899999999999991</v>
      </c>
      <c r="N324">
        <v>16.468</v>
      </c>
      <c r="O324">
        <v>9.2899999999999991</v>
      </c>
      <c r="P324" t="s">
        <v>999</v>
      </c>
      <c r="Q324" s="3">
        <v>0</v>
      </c>
      <c r="R324" t="s">
        <v>128</v>
      </c>
      <c r="S324" t="s">
        <v>128</v>
      </c>
      <c r="T324" t="s">
        <v>128</v>
      </c>
      <c r="U324" t="s">
        <v>128</v>
      </c>
      <c r="V324" t="s">
        <v>128</v>
      </c>
      <c r="W324" s="3" t="str">
        <f>HYPERLINK("http://exon.niaid.nih.gov/transcriptome/Anopheles_sialome/links/netoglyc/anochris_D7r1-netoglyc.txt","0")</f>
        <v>0</v>
      </c>
      <c r="X324">
        <v>9</v>
      </c>
      <c r="Y324">
        <v>4.8</v>
      </c>
      <c r="Z324">
        <v>3</v>
      </c>
      <c r="AA324" t="s">
        <v>654</v>
      </c>
      <c r="AB324" t="s">
        <v>128</v>
      </c>
      <c r="AC324" s="2" t="str">
        <f>HYPERLINK("http://exon.niaid.nih.gov/transcriptome/Anopheles_sialome/links/DIPTERA/anochris_D7r1-DIPTERA.txt","D7-related 1 protein")</f>
        <v>D7-related 1 protein</v>
      </c>
      <c r="AD324" t="str">
        <f>HYPERLINK("http://www.ncbi.nlm.nih.gov/sutils/blink.cgi?pid=4538887","3E-074")</f>
        <v>3E-074</v>
      </c>
      <c r="AE324" t="str">
        <f>HYPERLINK("http://www.ncbi.nlm.nih.gov/protein/4538887","gi|4538887")</f>
        <v>gi|4538887</v>
      </c>
      <c r="AF324">
        <v>81</v>
      </c>
      <c r="AG324">
        <v>90</v>
      </c>
      <c r="AH324">
        <v>100</v>
      </c>
      <c r="AI324" t="s">
        <v>2254</v>
      </c>
      <c r="AJ324" s="2" t="str">
        <f>HYPERLINK("http://exon.niaid.nih.gov/transcriptome/Anopheles_sialome/links/CULICOMORPHA/anochris_D7r1-CULICOMORPHA.txt","D7-related 1 protein")</f>
        <v>D7-related 1 protein</v>
      </c>
      <c r="AK324" t="str">
        <f>HYPERLINK("http://www.ncbi.nlm.nih.gov/sutils/blink.cgi?pid=4538887","6E-075")</f>
        <v>6E-075</v>
      </c>
      <c r="AL324" t="str">
        <f>HYPERLINK("http://www.ncbi.nlm.nih.gov/protein/4538887","gi|4538887")</f>
        <v>gi|4538887</v>
      </c>
      <c r="AM324">
        <v>81</v>
      </c>
      <c r="AN324">
        <v>90</v>
      </c>
      <c r="AO324">
        <v>100</v>
      </c>
      <c r="AP324" t="s">
        <v>2254</v>
      </c>
      <c r="AQ324" s="2" t="str">
        <f>HYPERLINK("http://exon.niaid.nih.gov/transcriptome/Anopheles_sialome/links/NR-LIGHT/anochris_D7r1-NR-LIGHT.txt","D7-related 1 protein")</f>
        <v>D7-related 1 protein</v>
      </c>
      <c r="AR324" t="str">
        <f>HYPERLINK("http://www.ncbi.nlm.nih.gov/sutils/blink.cgi?pid=4538887","8E-074")</f>
        <v>8E-074</v>
      </c>
      <c r="AS324" t="str">
        <f>HYPERLINK("http://www.ncbi.nlm.nih.gov/protein/4538887","gi|4538887")</f>
        <v>gi|4538887</v>
      </c>
      <c r="AT324">
        <v>81</v>
      </c>
      <c r="AU324">
        <v>90</v>
      </c>
      <c r="AV324">
        <v>100</v>
      </c>
      <c r="AW324" t="s">
        <v>2254</v>
      </c>
      <c r="AX324" s="2" t="str">
        <f>HYPERLINK("http://exon.niaid.nih.gov/transcriptome/Anopheles_sialome/links/CDD/anochris_D7r1-CDD.txt","PBP_GOBP")</f>
        <v>PBP_GOBP</v>
      </c>
      <c r="AY324" t="str">
        <f>HYPERLINK("http://www.ncbi.nlm.nih.gov/Structure/cdd/cddsrv.cgi?uid=pfam01395&amp;version=v4.0","2E-007")</f>
        <v>2E-007</v>
      </c>
      <c r="AZ324" t="s">
        <v>2459</v>
      </c>
      <c r="BA324" s="2" t="str">
        <f>HYPERLINK("http://exon.niaid.nih.gov/transcriptome/Anopheles_sialome/links/KOG/anochris_D7r1-KOG.txt","Acetylglucosaminyltransferase EXT2/exostosin 2")</f>
        <v>Acetylglucosaminyltransferase EXT2/exostosin 2</v>
      </c>
      <c r="BB324" t="str">
        <f>HYPERLINK("http://www.ncbi.nlm.nih.gov/Structure/cdd/cddsrv.cgi?uid=KOG1022","0.15")</f>
        <v>0.15</v>
      </c>
      <c r="BC324" t="s">
        <v>2460</v>
      </c>
      <c r="BD324" t="str">
        <f>HYPERLINK("http://exon.niaid.nih.gov/transcriptome/Anopheles_sialome/links/KOG/anochris_D7r1-KOG.txt","KOG1022")</f>
        <v>KOG1022</v>
      </c>
      <c r="BE324" t="str">
        <f>HYPERLINK("http://exon.niaid.nih.gov/transcriptome/Anopheles_sialome/links/PFAM/anochris_D7r1-PFAM.txt","PBP_GOBP")</f>
        <v>PBP_GOBP</v>
      </c>
      <c r="BF324" t="str">
        <f>HYPERLINK("http://pfam.sanger.ac.uk/family?acc=PF01395","5E-008")</f>
        <v>5E-008</v>
      </c>
      <c r="BG324" s="2" t="str">
        <f>HYPERLINK("http://exon.niaid.nih.gov/transcriptome/Anopheles_sialome/links/SMART/anochris_D7r1-SMART.txt","PhBP")</f>
        <v>PhBP</v>
      </c>
      <c r="BH324" t="str">
        <f>HYPERLINK("http://smart.embl-heidelberg.de/smart/do_annotation.pl?DOMAIN=PhBP&amp;BLAST=DUMMY","6E-008")</f>
        <v>6E-008</v>
      </c>
      <c r="BI324" t="s">
        <v>128</v>
      </c>
      <c r="BJ324" s="2" t="s">
        <v>128</v>
      </c>
      <c r="BK324" t="s">
        <v>998</v>
      </c>
      <c r="BL324">
        <f>HYPERLINK("http://exon.niaid.nih.gov/transcriptome/Anopheles_sialome/links/cluster-b/anopheline-sialome-cds-pep-larger-orf25-50SimCLU2.txt", 2)</f>
        <v>2</v>
      </c>
      <c r="BM324">
        <f>HYPERLINK("http://exon.niaid.nih.gov/transcriptome/Anopheles_sialome/links/cluster-b/anopheline-sialome-cds-pep-larger-orf25-50SimCLTL2.txt", 120)</f>
        <v>120</v>
      </c>
      <c r="BN324">
        <f>HYPERLINK("http://exon.niaid.nih.gov/transcriptome/Anopheles_sialome/links/cluster-b/anopheline-sialome-cds-pep-larger-orf30-50SimCLU2.txt", 2)</f>
        <v>2</v>
      </c>
      <c r="BO324">
        <f>HYPERLINK("http://exon.niaid.nih.gov/transcriptome/Anopheles_sialome/links/cluster-b/anopheline-sialome-cds-pep-larger-orf30-50SimCLTL2.txt", 120)</f>
        <v>120</v>
      </c>
      <c r="BP324">
        <f>HYPERLINK("http://exon.niaid.nih.gov/transcriptome/Anopheles_sialome/links/cluster-b/anopheline-sialome-cds-pep-larger-orf35-50SimCLU1.txt", 1)</f>
        <v>1</v>
      </c>
      <c r="BQ324">
        <f>HYPERLINK("http://exon.niaid.nih.gov/transcriptome/Anopheles_sialome/links/cluster-b/anopheline-sialome-cds-pep-larger-orf35-50SimCLTL1.txt", 120)</f>
        <v>120</v>
      </c>
      <c r="BR324">
        <f>HYPERLINK("http://exon.niaid.nih.gov/transcriptome/Anopheles_sialome/links/cluster-b/anopheline-sialome-cds-pep-larger-orf40-50SimCLU2.txt", 2)</f>
        <v>2</v>
      </c>
      <c r="BS324">
        <f>HYPERLINK("http://exon.niaid.nih.gov/transcriptome/Anopheles_sialome/links/cluster-b/anopheline-sialome-cds-pep-larger-orf40-50SimCLTL2.txt", 83)</f>
        <v>83</v>
      </c>
      <c r="BT324">
        <f>HYPERLINK("http://exon.niaid.nih.gov/transcriptome/Anopheles_sialome/links/cluster-b/anopheline-sialome-cds-pep-larger-orf45-50SimCLU1.txt", 1)</f>
        <v>1</v>
      </c>
      <c r="BU324">
        <f>HYPERLINK("http://exon.niaid.nih.gov/transcriptome/Anopheles_sialome/links/cluster-b/anopheline-sialome-cds-pep-larger-orf45-50SimCLTL1.txt", 83)</f>
        <v>83</v>
      </c>
      <c r="BV324">
        <f>HYPERLINK("http://exon.niaid.nih.gov/transcriptome/Anopheles_sialome/links/cluster-b/anopheline-sialome-cds-pep-larger-orf50-50SimCLU1.txt", 1)</f>
        <v>1</v>
      </c>
      <c r="BW324">
        <f>HYPERLINK("http://exon.niaid.nih.gov/transcriptome/Anopheles_sialome/links/cluster-b/anopheline-sialome-cds-pep-larger-orf50-50SimCLTL1.txt", 83)</f>
        <v>83</v>
      </c>
      <c r="BX324">
        <f>HYPERLINK("http://exon.niaid.nih.gov/transcriptome/Anopheles_sialome/links/cluster-b/anopheline-sialome-cds-pep-larger-orf55-50SimCLU1.txt", 1)</f>
        <v>1</v>
      </c>
      <c r="BY324">
        <f>HYPERLINK("http://exon.niaid.nih.gov/transcriptome/Anopheles_sialome/links/cluster-b/anopheline-sialome-cds-pep-larger-orf55-50SimCLTL1.txt", 79)</f>
        <v>79</v>
      </c>
      <c r="BZ324">
        <f>HYPERLINK("http://exon.niaid.nih.gov/transcriptome/Anopheles_sialome/links/cluster-b/anopheline-sialome-cds-pep-larger-orf60-50SimCLU1.txt", 1)</f>
        <v>1</v>
      </c>
      <c r="CA324">
        <f>HYPERLINK("http://exon.niaid.nih.gov/transcriptome/Anopheles_sialome/links/cluster-b/anopheline-sialome-cds-pep-larger-orf60-50SimCLTL1.txt", 60)</f>
        <v>60</v>
      </c>
      <c r="CB324">
        <f>HYPERLINK("http://exon.niaid.nih.gov/transcriptome/Anopheles_sialome/links/cluster-b/anopheline-sialome-cds-pep-larger-orf65-50SimCLU1.txt", 1)</f>
        <v>1</v>
      </c>
      <c r="CC324">
        <f>HYPERLINK("http://exon.niaid.nih.gov/transcriptome/Anopheles_sialome/links/cluster-b/anopheline-sialome-cds-pep-larger-orf65-50SimCLTL1.txt", 60)</f>
        <v>60</v>
      </c>
      <c r="CD324">
        <f>HYPERLINK("http://exon.niaid.nih.gov/transcriptome/Anopheles_sialome/links/cluster-b/anopheline-sialome-cds-pep-larger-orf70-50SimCLU2.txt", 2)</f>
        <v>2</v>
      </c>
      <c r="CE324">
        <f>HYPERLINK("http://exon.niaid.nih.gov/transcriptome/Anopheles_sialome/links/cluster-b/anopheline-sialome-cds-pep-larger-orf70-50SimCLTL2.txt", 29)</f>
        <v>29</v>
      </c>
      <c r="CF324">
        <f>HYPERLINK("http://exon.niaid.nih.gov/transcriptome/Anopheles_sialome/links/cluster-b/anopheline-sialome-cds-pep-larger-orf75-50SimCLU2.txt", 2)</f>
        <v>2</v>
      </c>
      <c r="CG324">
        <f>HYPERLINK("http://exon.niaid.nih.gov/transcriptome/Anopheles_sialome/links/cluster-b/anopheline-sialome-cds-pep-larger-orf75-50SimCLTL2.txt", 28)</f>
        <v>28</v>
      </c>
      <c r="CH324">
        <f>HYPERLINK("http://exon.niaid.nih.gov/transcriptome/Anopheles_sialome/links/cluster-b/anopheline-sialome-cds-pep-larger-orf80-50SimCLU17.txt", 17)</f>
        <v>17</v>
      </c>
      <c r="CI324">
        <f>HYPERLINK("http://exon.niaid.nih.gov/transcriptome/Anopheles_sialome/links/cluster-b/anopheline-sialome-cds-pep-larger-orf80-50SimCLTL17.txt", 13)</f>
        <v>13</v>
      </c>
      <c r="CJ324">
        <f>HYPERLINK("http://exon.niaid.nih.gov/transcriptome/Anopheles_sialome/links/cluster-b/anopheline-sialome-cds-pep-larger-orf85-50SimCLU17.txt", 17)</f>
        <v>17</v>
      </c>
      <c r="CK324">
        <f>HYPERLINK("http://exon.niaid.nih.gov/transcriptome/Anopheles_sialome/links/cluster-b/anopheline-sialome-cds-pep-larger-orf85-50SimCLTL17.txt", 10)</f>
        <v>10</v>
      </c>
      <c r="CL324">
        <f>HYPERLINK("http://exon.niaid.nih.gov/transcriptome/Anopheles_sialome/links/cluster-b/anopheline-sialome-cds-pep-larger-orf90-50SimCLU12.txt", 12)</f>
        <v>12</v>
      </c>
      <c r="CM324">
        <f>HYPERLINK("http://exon.niaid.nih.gov/transcriptome/Anopheles_sialome/links/cluster-b/anopheline-sialome-cds-pep-larger-orf90-50SimCLTL12.txt", 7)</f>
        <v>7</v>
      </c>
      <c r="CN324">
        <v>149</v>
      </c>
      <c r="CO324">
        <v>1</v>
      </c>
    </row>
    <row r="325" spans="1:93">
      <c r="A325" s="2" t="str">
        <f>HYPERLINK("http://exon.niaid.nih.gov/transcriptome/Anopheles_sialome/links/cds/anoepi_D7r1-cds.txt","anoepi_D7r1")</f>
        <v>anoepi_D7r1</v>
      </c>
      <c r="B325">
        <v>504</v>
      </c>
      <c r="C325" t="s">
        <v>153</v>
      </c>
      <c r="D325" t="s">
        <v>7</v>
      </c>
      <c r="E325" t="s">
        <v>5</v>
      </c>
      <c r="F325" t="s">
        <v>1</v>
      </c>
      <c r="G325" t="str">
        <f>HYPERLINK("http://exon.niaid.nih.gov/transcriptome/Anopheles_sialome/links/pep/anoepi_D7r1-pep.txt","anoepi_D7r1")</f>
        <v>anoepi_D7r1</v>
      </c>
      <c r="H325">
        <v>167</v>
      </c>
      <c r="I325">
        <v>0</v>
      </c>
      <c r="J325" s="3" t="str">
        <f>HYPERLINK("http://exon.niaid.nih.gov/transcriptome/Anopheles_sialome/links/Sigp/anoepi_D7r1-SigP.txt","SIG")</f>
        <v>SIG</v>
      </c>
      <c r="K325" t="s">
        <v>689</v>
      </c>
      <c r="L325">
        <v>18.509</v>
      </c>
      <c r="M325">
        <v>9.14</v>
      </c>
      <c r="N325">
        <v>16.332999999999998</v>
      </c>
      <c r="O325">
        <v>9.18</v>
      </c>
      <c r="P325" t="s">
        <v>1001</v>
      </c>
      <c r="Q325" s="3" t="str">
        <f>HYPERLINK("http://exon.niaid.nih.gov/transcriptome/Anopheles_sialome/links/tmhmm/anoepi_D7r1-tmhmm.txt","1")</f>
        <v>1</v>
      </c>
      <c r="R325">
        <v>10.199999999999999</v>
      </c>
      <c r="S325">
        <v>86.8</v>
      </c>
      <c r="T325">
        <v>3</v>
      </c>
      <c r="U325" t="s">
        <v>128</v>
      </c>
      <c r="V325">
        <v>145</v>
      </c>
      <c r="W325" s="3" t="str">
        <f>HYPERLINK("http://exon.niaid.nih.gov/transcriptome/Anopheles_sialome/links/netoglyc/anoepi_D7r1-netoglyc.txt","0")</f>
        <v>0</v>
      </c>
      <c r="X325">
        <v>7.2</v>
      </c>
      <c r="Y325">
        <v>7.2</v>
      </c>
      <c r="Z325">
        <v>3.6</v>
      </c>
      <c r="AA325" t="s">
        <v>654</v>
      </c>
      <c r="AB325" t="s">
        <v>128</v>
      </c>
      <c r="AC325" s="2" t="str">
        <f>HYPERLINK("http://exon.niaid.nih.gov/transcriptome/Anopheles_sialome/links/DIPTERA/anoepi_D7r1-DIPTERA.txt","D7-related 1 protein")</f>
        <v>D7-related 1 protein</v>
      </c>
      <c r="AD325" t="str">
        <f>HYPERLINK("http://www.ncbi.nlm.nih.gov/sutils/blink.cgi?pid=4538887","5E-073")</f>
        <v>5E-073</v>
      </c>
      <c r="AE325" t="str">
        <f>HYPERLINK("http://www.ncbi.nlm.nih.gov/protein/4538887","gi|4538887")</f>
        <v>gi|4538887</v>
      </c>
      <c r="AF325">
        <v>81</v>
      </c>
      <c r="AG325">
        <v>89</v>
      </c>
      <c r="AH325">
        <v>101</v>
      </c>
      <c r="AI325" t="s">
        <v>2254</v>
      </c>
      <c r="AJ325" s="2" t="str">
        <f>HYPERLINK("http://exon.niaid.nih.gov/transcriptome/Anopheles_sialome/links/CULICOMORPHA/anoepi_D7r1-CULICOMORPHA.txt","D7-related 1 protein")</f>
        <v>D7-related 1 protein</v>
      </c>
      <c r="AK325" t="str">
        <f>HYPERLINK("http://www.ncbi.nlm.nih.gov/sutils/blink.cgi?pid=4538887","9E-074")</f>
        <v>9E-074</v>
      </c>
      <c r="AL325" t="str">
        <f>HYPERLINK("http://www.ncbi.nlm.nih.gov/protein/4538887","gi|4538887")</f>
        <v>gi|4538887</v>
      </c>
      <c r="AM325">
        <v>81</v>
      </c>
      <c r="AN325">
        <v>89</v>
      </c>
      <c r="AO325">
        <v>101</v>
      </c>
      <c r="AP325" t="s">
        <v>2254</v>
      </c>
      <c r="AQ325" s="2" t="str">
        <f>HYPERLINK("http://exon.niaid.nih.gov/transcriptome/Anopheles_sialome/links/NR-LIGHT/anoepi_D7r1-NR-LIGHT.txt","D7-related 1 protein")</f>
        <v>D7-related 1 protein</v>
      </c>
      <c r="AR325" t="str">
        <f>HYPERLINK("http://www.ncbi.nlm.nih.gov/sutils/blink.cgi?pid=4538887","1E-072")</f>
        <v>1E-072</v>
      </c>
      <c r="AS325" t="str">
        <f>HYPERLINK("http://www.ncbi.nlm.nih.gov/protein/4538887","gi|4538887")</f>
        <v>gi|4538887</v>
      </c>
      <c r="AT325">
        <v>81</v>
      </c>
      <c r="AU325">
        <v>89</v>
      </c>
      <c r="AV325">
        <v>101</v>
      </c>
      <c r="AW325" t="s">
        <v>2254</v>
      </c>
      <c r="AX325" s="2" t="str">
        <f>HYPERLINK("http://exon.niaid.nih.gov/transcriptome/Anopheles_sialome/links/CDD/anoepi_D7r1-CDD.txt","PBP_GOBP")</f>
        <v>PBP_GOBP</v>
      </c>
      <c r="AY325" t="str">
        <f>HYPERLINK("http://www.ncbi.nlm.nih.gov/Structure/cdd/cddsrv.cgi?uid=pfam01395&amp;version=v4.0","2E-007")</f>
        <v>2E-007</v>
      </c>
      <c r="AZ325" t="s">
        <v>2461</v>
      </c>
      <c r="BA325" s="2" t="str">
        <f>HYPERLINK("http://exon.niaid.nih.gov/transcriptome/Anopheles_sialome/links/KOG/anoepi_D7r1-KOG.txt","WD40 repeat protein")</f>
        <v>WD40 repeat protein</v>
      </c>
      <c r="BB325" t="str">
        <f>HYPERLINK("http://www.ncbi.nlm.nih.gov/Structure/cdd/cddsrv.cgi?uid=KOG1310","1.5")</f>
        <v>1.5</v>
      </c>
      <c r="BC325" t="s">
        <v>2310</v>
      </c>
      <c r="BD325" t="str">
        <f>HYPERLINK("http://exon.niaid.nih.gov/transcriptome/Anopheles_sialome/links/KOG/anoepi_D7r1-KOG.txt","KOG1310")</f>
        <v>KOG1310</v>
      </c>
      <c r="BE325" t="str">
        <f>HYPERLINK("http://exon.niaid.nih.gov/transcriptome/Anopheles_sialome/links/PFAM/anoepi_D7r1-PFAM.txt","PBP_GOBP")</f>
        <v>PBP_GOBP</v>
      </c>
      <c r="BF325" t="str">
        <f>HYPERLINK("http://pfam.sanger.ac.uk/family?acc=PF01395","4E-008")</f>
        <v>4E-008</v>
      </c>
      <c r="BG325" s="2" t="str">
        <f>HYPERLINK("http://exon.niaid.nih.gov/transcriptome/Anopheles_sialome/links/SMART/anoepi_D7r1-SMART.txt","PhBP")</f>
        <v>PhBP</v>
      </c>
      <c r="BH325" t="str">
        <f>HYPERLINK("http://smart.embl-heidelberg.de/smart/do_annotation.pl?DOMAIN=PhBP&amp;BLAST=DUMMY","3E-009")</f>
        <v>3E-009</v>
      </c>
      <c r="BI325" t="s">
        <v>128</v>
      </c>
      <c r="BJ325" s="2" t="s">
        <v>128</v>
      </c>
      <c r="BK325" t="s">
        <v>1000</v>
      </c>
      <c r="BL325">
        <f>HYPERLINK("http://exon.niaid.nih.gov/transcriptome/Anopheles_sialome/links/cluster-b/anopheline-sialome-cds-pep-larger-orf25-50SimCLU2.txt", 2)</f>
        <v>2</v>
      </c>
      <c r="BM325">
        <f>HYPERLINK("http://exon.niaid.nih.gov/transcriptome/Anopheles_sialome/links/cluster-b/anopheline-sialome-cds-pep-larger-orf25-50SimCLTL2.txt", 120)</f>
        <v>120</v>
      </c>
      <c r="BN325">
        <f>HYPERLINK("http://exon.niaid.nih.gov/transcriptome/Anopheles_sialome/links/cluster-b/anopheline-sialome-cds-pep-larger-orf30-50SimCLU2.txt", 2)</f>
        <v>2</v>
      </c>
      <c r="BO325">
        <f>HYPERLINK("http://exon.niaid.nih.gov/transcriptome/Anopheles_sialome/links/cluster-b/anopheline-sialome-cds-pep-larger-orf30-50SimCLTL2.txt", 120)</f>
        <v>120</v>
      </c>
      <c r="BP325">
        <f>HYPERLINK("http://exon.niaid.nih.gov/transcriptome/Anopheles_sialome/links/cluster-b/anopheline-sialome-cds-pep-larger-orf35-50SimCLU1.txt", 1)</f>
        <v>1</v>
      </c>
      <c r="BQ325">
        <f>HYPERLINK("http://exon.niaid.nih.gov/transcriptome/Anopheles_sialome/links/cluster-b/anopheline-sialome-cds-pep-larger-orf35-50SimCLTL1.txt", 120)</f>
        <v>120</v>
      </c>
      <c r="BR325">
        <f>HYPERLINK("http://exon.niaid.nih.gov/transcriptome/Anopheles_sialome/links/cluster-b/anopheline-sialome-cds-pep-larger-orf40-50SimCLU2.txt", 2)</f>
        <v>2</v>
      </c>
      <c r="BS325">
        <f>HYPERLINK("http://exon.niaid.nih.gov/transcriptome/Anopheles_sialome/links/cluster-b/anopheline-sialome-cds-pep-larger-orf40-50SimCLTL2.txt", 83)</f>
        <v>83</v>
      </c>
      <c r="BT325">
        <f>HYPERLINK("http://exon.niaid.nih.gov/transcriptome/Anopheles_sialome/links/cluster-b/anopheline-sialome-cds-pep-larger-orf45-50SimCLU1.txt", 1)</f>
        <v>1</v>
      </c>
      <c r="BU325">
        <f>HYPERLINK("http://exon.niaid.nih.gov/transcriptome/Anopheles_sialome/links/cluster-b/anopheline-sialome-cds-pep-larger-orf45-50SimCLTL1.txt", 83)</f>
        <v>83</v>
      </c>
      <c r="BV325">
        <f>HYPERLINK("http://exon.niaid.nih.gov/transcriptome/Anopheles_sialome/links/cluster-b/anopheline-sialome-cds-pep-larger-orf50-50SimCLU1.txt", 1)</f>
        <v>1</v>
      </c>
      <c r="BW325">
        <f>HYPERLINK("http://exon.niaid.nih.gov/transcriptome/Anopheles_sialome/links/cluster-b/anopheline-sialome-cds-pep-larger-orf50-50SimCLTL1.txt", 83)</f>
        <v>83</v>
      </c>
      <c r="BX325">
        <f>HYPERLINK("http://exon.niaid.nih.gov/transcriptome/Anopheles_sialome/links/cluster-b/anopheline-sialome-cds-pep-larger-orf55-50SimCLU1.txt", 1)</f>
        <v>1</v>
      </c>
      <c r="BY325">
        <f>HYPERLINK("http://exon.niaid.nih.gov/transcriptome/Anopheles_sialome/links/cluster-b/anopheline-sialome-cds-pep-larger-orf55-50SimCLTL1.txt", 79)</f>
        <v>79</v>
      </c>
      <c r="BZ325">
        <f>HYPERLINK("http://exon.niaid.nih.gov/transcriptome/Anopheles_sialome/links/cluster-b/anopheline-sialome-cds-pep-larger-orf60-50SimCLU1.txt", 1)</f>
        <v>1</v>
      </c>
      <c r="CA325">
        <f>HYPERLINK("http://exon.niaid.nih.gov/transcriptome/Anopheles_sialome/links/cluster-b/anopheline-sialome-cds-pep-larger-orf60-50SimCLTL1.txt", 60)</f>
        <v>60</v>
      </c>
      <c r="CB325">
        <f>HYPERLINK("http://exon.niaid.nih.gov/transcriptome/Anopheles_sialome/links/cluster-b/anopheline-sialome-cds-pep-larger-orf65-50SimCLU1.txt", 1)</f>
        <v>1</v>
      </c>
      <c r="CC325">
        <f>HYPERLINK("http://exon.niaid.nih.gov/transcriptome/Anopheles_sialome/links/cluster-b/anopheline-sialome-cds-pep-larger-orf65-50SimCLTL1.txt", 60)</f>
        <v>60</v>
      </c>
      <c r="CD325">
        <f>HYPERLINK("http://exon.niaid.nih.gov/transcriptome/Anopheles_sialome/links/cluster-b/anopheline-sialome-cds-pep-larger-orf70-50SimCLU2.txt", 2)</f>
        <v>2</v>
      </c>
      <c r="CE325">
        <f>HYPERLINK("http://exon.niaid.nih.gov/transcriptome/Anopheles_sialome/links/cluster-b/anopheline-sialome-cds-pep-larger-orf70-50SimCLTL2.txt", 29)</f>
        <v>29</v>
      </c>
      <c r="CF325">
        <f>HYPERLINK("http://exon.niaid.nih.gov/transcriptome/Anopheles_sialome/links/cluster-b/anopheline-sialome-cds-pep-larger-orf75-50SimCLU2.txt", 2)</f>
        <v>2</v>
      </c>
      <c r="CG325">
        <f>HYPERLINK("http://exon.niaid.nih.gov/transcriptome/Anopheles_sialome/links/cluster-b/anopheline-sialome-cds-pep-larger-orf75-50SimCLTL2.txt", 28)</f>
        <v>28</v>
      </c>
      <c r="CH325">
        <f>HYPERLINK("http://exon.niaid.nih.gov/transcriptome/Anopheles_sialome/links/cluster-b/anopheline-sialome-cds-pep-larger-orf80-50SimCLU17.txt", 17)</f>
        <v>17</v>
      </c>
      <c r="CI325">
        <f>HYPERLINK("http://exon.niaid.nih.gov/transcriptome/Anopheles_sialome/links/cluster-b/anopheline-sialome-cds-pep-larger-orf80-50SimCLTL17.txt", 13)</f>
        <v>13</v>
      </c>
      <c r="CJ325">
        <f>HYPERLINK("http://exon.niaid.nih.gov/transcriptome/Anopheles_sialome/links/cluster-b/anopheline-sialome-cds-pep-larger-orf85-50SimCLU17.txt", 17)</f>
        <v>17</v>
      </c>
      <c r="CK325">
        <f>HYPERLINK("http://exon.niaid.nih.gov/transcriptome/Anopheles_sialome/links/cluster-b/anopheline-sialome-cds-pep-larger-orf85-50SimCLTL17.txt", 10)</f>
        <v>10</v>
      </c>
      <c r="CL325">
        <v>154</v>
      </c>
      <c r="CM325">
        <v>1</v>
      </c>
      <c r="CN325">
        <v>150</v>
      </c>
      <c r="CO325">
        <v>1</v>
      </c>
    </row>
    <row r="326" spans="1:93">
      <c r="A326" s="2" t="str">
        <f>HYPERLINK("http://exon.niaid.nih.gov/transcriptome/Anopheles_sialome/links/cds/anofun_D7r1-cds.txt","anofun_D7r1")</f>
        <v>anofun_D7r1</v>
      </c>
      <c r="B326">
        <v>501</v>
      </c>
      <c r="C326" t="s">
        <v>154</v>
      </c>
      <c r="D326" t="s">
        <v>7</v>
      </c>
      <c r="E326" t="s">
        <v>5</v>
      </c>
      <c r="F326" t="s">
        <v>1</v>
      </c>
      <c r="G326" t="str">
        <f>HYPERLINK("http://exon.niaid.nih.gov/transcriptome/Anopheles_sialome/links/pep/anofun_D7r1-pep.txt","anofun_D7r1")</f>
        <v>anofun_D7r1</v>
      </c>
      <c r="H326">
        <v>166</v>
      </c>
      <c r="I326">
        <v>0</v>
      </c>
      <c r="J326" s="3" t="str">
        <f>HYPERLINK("http://exon.niaid.nih.gov/transcriptome/Anopheles_sialome/links/Sigp/anofun_D7r1-SigP.txt","SIG")</f>
        <v>SIG</v>
      </c>
      <c r="K326" t="s">
        <v>689</v>
      </c>
      <c r="L326">
        <v>18.751999999999999</v>
      </c>
      <c r="M326">
        <v>9.3000000000000007</v>
      </c>
      <c r="N326">
        <v>16.469000000000001</v>
      </c>
      <c r="O326">
        <v>9.23</v>
      </c>
      <c r="P326" t="s">
        <v>1003</v>
      </c>
      <c r="Q326" s="3">
        <v>0</v>
      </c>
      <c r="R326" t="s">
        <v>128</v>
      </c>
      <c r="S326" t="s">
        <v>128</v>
      </c>
      <c r="T326" t="s">
        <v>128</v>
      </c>
      <c r="U326" t="s">
        <v>128</v>
      </c>
      <c r="V326" t="s">
        <v>128</v>
      </c>
      <c r="W326" s="3" t="str">
        <f>HYPERLINK("http://exon.niaid.nih.gov/transcriptome/Anopheles_sialome/links/netoglyc/anofun_D7r1-netoglyc.txt","0")</f>
        <v>0</v>
      </c>
      <c r="X326">
        <v>9</v>
      </c>
      <c r="Y326">
        <v>5.4</v>
      </c>
      <c r="Z326">
        <v>3</v>
      </c>
      <c r="AA326" t="s">
        <v>654</v>
      </c>
      <c r="AB326" t="s">
        <v>128</v>
      </c>
      <c r="AC326" s="2" t="str">
        <f>HYPERLINK("http://exon.niaid.nih.gov/transcriptome/Anopheles_sialome/links/DIPTERA/anofun_D7r1-DIPTERA.txt","short form D7 salivary protein 1")</f>
        <v>short form D7 salivary protein 1</v>
      </c>
      <c r="AD326" t="str">
        <f>HYPERLINK("http://www.ncbi.nlm.nih.gov/sutils/blink.cgi?pid=114864654","8E-091")</f>
        <v>8E-091</v>
      </c>
      <c r="AE326" t="str">
        <f>HYPERLINK("http://www.ncbi.nlm.nih.gov/protein/114864654","gi|114864654")</f>
        <v>gi|114864654</v>
      </c>
      <c r="AF326">
        <v>98</v>
      </c>
      <c r="AG326">
        <v>98</v>
      </c>
      <c r="AH326">
        <v>100</v>
      </c>
      <c r="AI326" t="s">
        <v>2266</v>
      </c>
      <c r="AJ326" s="2" t="str">
        <f>HYPERLINK("http://exon.niaid.nih.gov/transcriptome/Anopheles_sialome/links/CULICOMORPHA/anofun_D7r1-CULICOMORPHA.txt","short form D7 salivary protein 1")</f>
        <v>short form D7 salivary protein 1</v>
      </c>
      <c r="AK326" t="str">
        <f>HYPERLINK("http://www.ncbi.nlm.nih.gov/sutils/blink.cgi?pid=114864654","2E-091")</f>
        <v>2E-091</v>
      </c>
      <c r="AL326" t="str">
        <f>HYPERLINK("http://www.ncbi.nlm.nih.gov/protein/114864654","gi|114864654")</f>
        <v>gi|114864654</v>
      </c>
      <c r="AM326">
        <v>98</v>
      </c>
      <c r="AN326">
        <v>98</v>
      </c>
      <c r="AO326">
        <v>100</v>
      </c>
      <c r="AP326" t="s">
        <v>2266</v>
      </c>
      <c r="AQ326" s="2" t="str">
        <f>HYPERLINK("http://exon.niaid.nih.gov/transcriptome/Anopheles_sialome/links/NR-LIGHT/anofun_D7r1-NR-LIGHT.txt","short form D7 salivary protein 1")</f>
        <v>short form D7 salivary protein 1</v>
      </c>
      <c r="AR326" t="str">
        <f>HYPERLINK("http://www.ncbi.nlm.nih.gov/sutils/blink.cgi?pid=114864654","2E-090")</f>
        <v>2E-090</v>
      </c>
      <c r="AS326" t="str">
        <f>HYPERLINK("http://www.ncbi.nlm.nih.gov/protein/114864654","gi|114864654")</f>
        <v>gi|114864654</v>
      </c>
      <c r="AT326">
        <v>98</v>
      </c>
      <c r="AU326">
        <v>98</v>
      </c>
      <c r="AV326">
        <v>100</v>
      </c>
      <c r="AW326" t="s">
        <v>2266</v>
      </c>
      <c r="AX326" s="2" t="str">
        <f>HYPERLINK("http://exon.niaid.nih.gov/transcriptome/Anopheles_sialome/links/CDD/anofun_D7r1-CDD.txt","PBP_GOBP")</f>
        <v>PBP_GOBP</v>
      </c>
      <c r="AY326" t="str">
        <f>HYPERLINK("http://www.ncbi.nlm.nih.gov/Structure/cdd/cddsrv.cgi?uid=pfam01395&amp;version=v4.0","9E-008")</f>
        <v>9E-008</v>
      </c>
      <c r="AZ326" t="s">
        <v>2462</v>
      </c>
      <c r="BA326" s="2" t="str">
        <f>HYPERLINK("http://exon.niaid.nih.gov/transcriptome/Anopheles_sialome/links/KOG/anofun_D7r1-KOG.txt","Permease of the major facilitator superfamily")</f>
        <v>Permease of the major facilitator superfamily</v>
      </c>
      <c r="BB326" t="str">
        <f>HYPERLINK("http://www.ncbi.nlm.nih.gov/Structure/cdd/cddsrv.cgi?uid=KOG2533","3.1")</f>
        <v>3.1</v>
      </c>
      <c r="BC326" t="s">
        <v>2308</v>
      </c>
      <c r="BD326" t="str">
        <f>HYPERLINK("http://exon.niaid.nih.gov/transcriptome/Anopheles_sialome/links/KOG/anofun_D7r1-KOG.txt","KOG2533")</f>
        <v>KOG2533</v>
      </c>
      <c r="BE326" t="str">
        <f>HYPERLINK("http://exon.niaid.nih.gov/transcriptome/Anopheles_sialome/links/PFAM/anofun_D7r1-PFAM.txt","PBP_GOBP")</f>
        <v>PBP_GOBP</v>
      </c>
      <c r="BF326" t="str">
        <f>HYPERLINK("http://pfam.sanger.ac.uk/family?acc=PF01395","2E-008")</f>
        <v>2E-008</v>
      </c>
      <c r="BG326" s="2" t="str">
        <f>HYPERLINK("http://exon.niaid.nih.gov/transcriptome/Anopheles_sialome/links/SMART/anofun_D7r1-SMART.txt","PhBP")</f>
        <v>PhBP</v>
      </c>
      <c r="BH326" t="str">
        <f>HYPERLINK("http://smart.embl-heidelberg.de/smart/do_annotation.pl?DOMAIN=PhBP&amp;BLAST=DUMMY","3E-006")</f>
        <v>3E-006</v>
      </c>
      <c r="BI326" t="s">
        <v>128</v>
      </c>
      <c r="BJ326" s="2" t="s">
        <v>128</v>
      </c>
      <c r="BK326" t="s">
        <v>1002</v>
      </c>
      <c r="BL326">
        <f>HYPERLINK("http://exon.niaid.nih.gov/transcriptome/Anopheles_sialome/links/cluster-b/anopheline-sialome-cds-pep-larger-orf25-50SimCLU2.txt", 2)</f>
        <v>2</v>
      </c>
      <c r="BM326">
        <f>HYPERLINK("http://exon.niaid.nih.gov/transcriptome/Anopheles_sialome/links/cluster-b/anopheline-sialome-cds-pep-larger-orf25-50SimCLTL2.txt", 120)</f>
        <v>120</v>
      </c>
      <c r="BN326">
        <f>HYPERLINK("http://exon.niaid.nih.gov/transcriptome/Anopheles_sialome/links/cluster-b/anopheline-sialome-cds-pep-larger-orf30-50SimCLU2.txt", 2)</f>
        <v>2</v>
      </c>
      <c r="BO326">
        <f>HYPERLINK("http://exon.niaid.nih.gov/transcriptome/Anopheles_sialome/links/cluster-b/anopheline-sialome-cds-pep-larger-orf30-50SimCLTL2.txt", 120)</f>
        <v>120</v>
      </c>
      <c r="BP326">
        <f>HYPERLINK("http://exon.niaid.nih.gov/transcriptome/Anopheles_sialome/links/cluster-b/anopheline-sialome-cds-pep-larger-orf35-50SimCLU1.txt", 1)</f>
        <v>1</v>
      </c>
      <c r="BQ326">
        <f>HYPERLINK("http://exon.niaid.nih.gov/transcriptome/Anopheles_sialome/links/cluster-b/anopheline-sialome-cds-pep-larger-orf35-50SimCLTL1.txt", 120)</f>
        <v>120</v>
      </c>
      <c r="BR326">
        <f>HYPERLINK("http://exon.niaid.nih.gov/transcriptome/Anopheles_sialome/links/cluster-b/anopheline-sialome-cds-pep-larger-orf40-50SimCLU2.txt", 2)</f>
        <v>2</v>
      </c>
      <c r="BS326">
        <f>HYPERLINK("http://exon.niaid.nih.gov/transcriptome/Anopheles_sialome/links/cluster-b/anopheline-sialome-cds-pep-larger-orf40-50SimCLTL2.txt", 83)</f>
        <v>83</v>
      </c>
      <c r="BT326">
        <f>HYPERLINK("http://exon.niaid.nih.gov/transcriptome/Anopheles_sialome/links/cluster-b/anopheline-sialome-cds-pep-larger-orf45-50SimCLU1.txt", 1)</f>
        <v>1</v>
      </c>
      <c r="BU326">
        <f>HYPERLINK("http://exon.niaid.nih.gov/transcriptome/Anopheles_sialome/links/cluster-b/anopheline-sialome-cds-pep-larger-orf45-50SimCLTL1.txt", 83)</f>
        <v>83</v>
      </c>
      <c r="BV326">
        <f>HYPERLINK("http://exon.niaid.nih.gov/transcriptome/Anopheles_sialome/links/cluster-b/anopheline-sialome-cds-pep-larger-orf50-50SimCLU1.txt", 1)</f>
        <v>1</v>
      </c>
      <c r="BW326">
        <f>HYPERLINK("http://exon.niaid.nih.gov/transcriptome/Anopheles_sialome/links/cluster-b/anopheline-sialome-cds-pep-larger-orf50-50SimCLTL1.txt", 83)</f>
        <v>83</v>
      </c>
      <c r="BX326">
        <f>HYPERLINK("http://exon.niaid.nih.gov/transcriptome/Anopheles_sialome/links/cluster-b/anopheline-sialome-cds-pep-larger-orf55-50SimCLU1.txt", 1)</f>
        <v>1</v>
      </c>
      <c r="BY326">
        <f>HYPERLINK("http://exon.niaid.nih.gov/transcriptome/Anopheles_sialome/links/cluster-b/anopheline-sialome-cds-pep-larger-orf55-50SimCLTL1.txt", 79)</f>
        <v>79</v>
      </c>
      <c r="BZ326">
        <f>HYPERLINK("http://exon.niaid.nih.gov/transcriptome/Anopheles_sialome/links/cluster-b/anopheline-sialome-cds-pep-larger-orf60-50SimCLU1.txt", 1)</f>
        <v>1</v>
      </c>
      <c r="CA326">
        <f>HYPERLINK("http://exon.niaid.nih.gov/transcriptome/Anopheles_sialome/links/cluster-b/anopheline-sialome-cds-pep-larger-orf60-50SimCLTL1.txt", 60)</f>
        <v>60</v>
      </c>
      <c r="CB326">
        <f>HYPERLINK("http://exon.niaid.nih.gov/transcriptome/Anopheles_sialome/links/cluster-b/anopheline-sialome-cds-pep-larger-orf65-50SimCLU1.txt", 1)</f>
        <v>1</v>
      </c>
      <c r="CC326">
        <f>HYPERLINK("http://exon.niaid.nih.gov/transcriptome/Anopheles_sialome/links/cluster-b/anopheline-sialome-cds-pep-larger-orf65-50SimCLTL1.txt", 60)</f>
        <v>60</v>
      </c>
      <c r="CD326">
        <f>HYPERLINK("http://exon.niaid.nih.gov/transcriptome/Anopheles_sialome/links/cluster-b/anopheline-sialome-cds-pep-larger-orf70-50SimCLU2.txt", 2)</f>
        <v>2</v>
      </c>
      <c r="CE326">
        <f>HYPERLINK("http://exon.niaid.nih.gov/transcriptome/Anopheles_sialome/links/cluster-b/anopheline-sialome-cds-pep-larger-orf70-50SimCLTL2.txt", 29)</f>
        <v>29</v>
      </c>
      <c r="CF326">
        <f>HYPERLINK("http://exon.niaid.nih.gov/transcriptome/Anopheles_sialome/links/cluster-b/anopheline-sialome-cds-pep-larger-orf75-50SimCLU2.txt", 2)</f>
        <v>2</v>
      </c>
      <c r="CG326">
        <f>HYPERLINK("http://exon.niaid.nih.gov/transcriptome/Anopheles_sialome/links/cluster-b/anopheline-sialome-cds-pep-larger-orf75-50SimCLTL2.txt", 28)</f>
        <v>28</v>
      </c>
      <c r="CH326">
        <f>HYPERLINK("http://exon.niaid.nih.gov/transcriptome/Anopheles_sialome/links/cluster-b/anopheline-sialome-cds-pep-larger-orf80-50SimCLU17.txt", 17)</f>
        <v>17</v>
      </c>
      <c r="CI326">
        <f>HYPERLINK("http://exon.niaid.nih.gov/transcriptome/Anopheles_sialome/links/cluster-b/anopheline-sialome-cds-pep-larger-orf80-50SimCLTL17.txt", 13)</f>
        <v>13</v>
      </c>
      <c r="CJ326">
        <f>HYPERLINK("http://exon.niaid.nih.gov/transcriptome/Anopheles_sialome/links/cluster-b/anopheline-sialome-cds-pep-larger-orf85-50SimCLU17.txt", 17)</f>
        <v>17</v>
      </c>
      <c r="CK326">
        <f>HYPERLINK("http://exon.niaid.nih.gov/transcriptome/Anopheles_sialome/links/cluster-b/anopheline-sialome-cds-pep-larger-orf85-50SimCLTL17.txt", 10)</f>
        <v>10</v>
      </c>
      <c r="CL326">
        <v>155</v>
      </c>
      <c r="CM326">
        <v>1</v>
      </c>
      <c r="CN326">
        <v>151</v>
      </c>
      <c r="CO326">
        <v>1</v>
      </c>
    </row>
    <row r="327" spans="1:93">
      <c r="A327" s="2" t="str">
        <f>HYPERLINK("http://exon.niaid.nih.gov/transcriptome/Anopheles_sialome/links/cds/anomin_D7r1-cds.txt","anomin_D7r1")</f>
        <v>anomin_D7r1</v>
      </c>
      <c r="B327">
        <v>504</v>
      </c>
      <c r="C327" t="s">
        <v>155</v>
      </c>
      <c r="D327" t="s">
        <v>7</v>
      </c>
      <c r="E327" t="s">
        <v>5</v>
      </c>
      <c r="F327" t="s">
        <v>1</v>
      </c>
      <c r="G327" t="str">
        <f>HYPERLINK("http://exon.niaid.nih.gov/transcriptome/Anopheles_sialome/links/pep/anomin_D7r1-pep.txt","anomin_D7r1")</f>
        <v>anomin_D7r1</v>
      </c>
      <c r="H327">
        <v>167</v>
      </c>
      <c r="I327">
        <v>0</v>
      </c>
      <c r="J327" s="3" t="str">
        <f>HYPERLINK("http://exon.niaid.nih.gov/transcriptome/Anopheles_sialome/links/Sigp/anomin_D7r1-SigP.txt","SIG")</f>
        <v>SIG</v>
      </c>
      <c r="K327" t="s">
        <v>689</v>
      </c>
      <c r="L327">
        <v>18.943999999999999</v>
      </c>
      <c r="M327">
        <v>9.24</v>
      </c>
      <c r="N327">
        <v>16.623000000000001</v>
      </c>
      <c r="O327">
        <v>9.18</v>
      </c>
      <c r="P327" t="s">
        <v>1005</v>
      </c>
      <c r="Q327" s="3">
        <v>0</v>
      </c>
      <c r="R327" t="s">
        <v>128</v>
      </c>
      <c r="S327" t="s">
        <v>128</v>
      </c>
      <c r="T327" t="s">
        <v>128</v>
      </c>
      <c r="U327" t="s">
        <v>128</v>
      </c>
      <c r="V327" t="s">
        <v>128</v>
      </c>
      <c r="W327" s="3" t="str">
        <f>HYPERLINK("http://exon.niaid.nih.gov/transcriptome/Anopheles_sialome/links/netoglyc/anomin_D7r1-netoglyc.txt","0")</f>
        <v>0</v>
      </c>
      <c r="X327">
        <v>9</v>
      </c>
      <c r="Y327">
        <v>4.2</v>
      </c>
      <c r="Z327">
        <v>3</v>
      </c>
      <c r="AA327" t="s">
        <v>654</v>
      </c>
      <c r="AB327" t="s">
        <v>128</v>
      </c>
      <c r="AC327" s="2" t="str">
        <f>HYPERLINK("http://exon.niaid.nih.gov/transcriptome/Anopheles_sialome/links/DIPTERA/anomin_D7r1-DIPTERA.txt","short form D7 salivary protein 1")</f>
        <v>short form D7 salivary protein 1</v>
      </c>
      <c r="AD327" t="str">
        <f>HYPERLINK("http://www.ncbi.nlm.nih.gov/sutils/blink.cgi?pid=114864654","7E-074")</f>
        <v>7E-074</v>
      </c>
      <c r="AE327" t="str">
        <f>HYPERLINK("http://www.ncbi.nlm.nih.gov/protein/114864654","gi|114864654")</f>
        <v>gi|114864654</v>
      </c>
      <c r="AF327">
        <v>80</v>
      </c>
      <c r="AG327">
        <v>87</v>
      </c>
      <c r="AH327">
        <v>100</v>
      </c>
      <c r="AI327" t="s">
        <v>2266</v>
      </c>
      <c r="AJ327" s="2" t="str">
        <f>HYPERLINK("http://exon.niaid.nih.gov/transcriptome/Anopheles_sialome/links/CULICOMORPHA/anomin_D7r1-CULICOMORPHA.txt","short form D7 salivary protein 1")</f>
        <v>short form D7 salivary protein 1</v>
      </c>
      <c r="AK327" t="str">
        <f>HYPERLINK("http://www.ncbi.nlm.nih.gov/sutils/blink.cgi?pid=114864654","1E-074")</f>
        <v>1E-074</v>
      </c>
      <c r="AL327" t="str">
        <f>HYPERLINK("http://www.ncbi.nlm.nih.gov/protein/114864654","gi|114864654")</f>
        <v>gi|114864654</v>
      </c>
      <c r="AM327">
        <v>80</v>
      </c>
      <c r="AN327">
        <v>87</v>
      </c>
      <c r="AO327">
        <v>100</v>
      </c>
      <c r="AP327" t="s">
        <v>2266</v>
      </c>
      <c r="AQ327" s="2" t="str">
        <f>HYPERLINK("http://exon.niaid.nih.gov/transcriptome/Anopheles_sialome/links/NR-LIGHT/anomin_D7r1-NR-LIGHT.txt","short form D7 salivary protein 1")</f>
        <v>short form D7 salivary protein 1</v>
      </c>
      <c r="AR327" t="str">
        <f>HYPERLINK("http://www.ncbi.nlm.nih.gov/sutils/blink.cgi?pid=114864654","2E-073")</f>
        <v>2E-073</v>
      </c>
      <c r="AS327" t="str">
        <f>HYPERLINK("http://www.ncbi.nlm.nih.gov/protein/114864654","gi|114864654")</f>
        <v>gi|114864654</v>
      </c>
      <c r="AT327">
        <v>80</v>
      </c>
      <c r="AU327">
        <v>87</v>
      </c>
      <c r="AV327">
        <v>100</v>
      </c>
      <c r="AW327" t="s">
        <v>2266</v>
      </c>
      <c r="AX327" s="2" t="str">
        <f>HYPERLINK("http://exon.niaid.nih.gov/transcriptome/Anopheles_sialome/links/CDD/anomin_D7r1-CDD.txt","PBP_GOBP")</f>
        <v>PBP_GOBP</v>
      </c>
      <c r="AY327" t="str">
        <f>HYPERLINK("http://www.ncbi.nlm.nih.gov/Structure/cdd/cddsrv.cgi?uid=pfam01395&amp;version=v4.0","1E-008")</f>
        <v>1E-008</v>
      </c>
      <c r="AZ327" t="s">
        <v>2463</v>
      </c>
      <c r="BA327" s="2" t="str">
        <f>HYPERLINK("http://exon.niaid.nih.gov/transcriptome/Anopheles_sialome/links/KOG/anomin_D7r1-KOG.txt","mRNA cleavage and polyadenylation factor IA/II complex, subunit CLP1")</f>
        <v>mRNA cleavage and polyadenylation factor IA/II complex, subunit CLP1</v>
      </c>
      <c r="BB327" t="str">
        <f>HYPERLINK("http://www.ncbi.nlm.nih.gov/Structure/cdd/cddsrv.cgi?uid=KOG2749","0.41")</f>
        <v>0.41</v>
      </c>
      <c r="BC327" t="s">
        <v>2464</v>
      </c>
      <c r="BD327" t="str">
        <f>HYPERLINK("http://exon.niaid.nih.gov/transcriptome/Anopheles_sialome/links/KOG/anomin_D7r1-KOG.txt","KOG2749")</f>
        <v>KOG2749</v>
      </c>
      <c r="BE327" t="str">
        <f>HYPERLINK("http://exon.niaid.nih.gov/transcriptome/Anopheles_sialome/links/PFAM/anomin_D7r1-PFAM.txt","PBP_GOBP")</f>
        <v>PBP_GOBP</v>
      </c>
      <c r="BF327" t="str">
        <f>HYPERLINK("http://pfam.sanger.ac.uk/family?acc=PF01395","3E-009")</f>
        <v>3E-009</v>
      </c>
      <c r="BG327" s="2" t="str">
        <f>HYPERLINK("http://exon.niaid.nih.gov/transcriptome/Anopheles_sialome/links/SMART/anomin_D7r1-SMART.txt","PhBP")</f>
        <v>PhBP</v>
      </c>
      <c r="BH327" t="str">
        <f>HYPERLINK("http://smart.embl-heidelberg.de/smart/do_annotation.pl?DOMAIN=PhBP&amp;BLAST=DUMMY","2E-007")</f>
        <v>2E-007</v>
      </c>
      <c r="BI327" t="s">
        <v>128</v>
      </c>
      <c r="BJ327" s="2" t="s">
        <v>128</v>
      </c>
      <c r="BK327" t="s">
        <v>1004</v>
      </c>
      <c r="BL327">
        <f>HYPERLINK("http://exon.niaid.nih.gov/transcriptome/Anopheles_sialome/links/cluster-b/anopheline-sialome-cds-pep-larger-orf25-50SimCLU2.txt", 2)</f>
        <v>2</v>
      </c>
      <c r="BM327">
        <f>HYPERLINK("http://exon.niaid.nih.gov/transcriptome/Anopheles_sialome/links/cluster-b/anopheline-sialome-cds-pep-larger-orf25-50SimCLTL2.txt", 120)</f>
        <v>120</v>
      </c>
      <c r="BN327">
        <f>HYPERLINK("http://exon.niaid.nih.gov/transcriptome/Anopheles_sialome/links/cluster-b/anopheline-sialome-cds-pep-larger-orf30-50SimCLU2.txt", 2)</f>
        <v>2</v>
      </c>
      <c r="BO327">
        <f>HYPERLINK("http://exon.niaid.nih.gov/transcriptome/Anopheles_sialome/links/cluster-b/anopheline-sialome-cds-pep-larger-orf30-50SimCLTL2.txt", 120)</f>
        <v>120</v>
      </c>
      <c r="BP327">
        <f>HYPERLINK("http://exon.niaid.nih.gov/transcriptome/Anopheles_sialome/links/cluster-b/anopheline-sialome-cds-pep-larger-orf35-50SimCLU1.txt", 1)</f>
        <v>1</v>
      </c>
      <c r="BQ327">
        <f>HYPERLINK("http://exon.niaid.nih.gov/transcriptome/Anopheles_sialome/links/cluster-b/anopheline-sialome-cds-pep-larger-orf35-50SimCLTL1.txt", 120)</f>
        <v>120</v>
      </c>
      <c r="BR327">
        <f>HYPERLINK("http://exon.niaid.nih.gov/transcriptome/Anopheles_sialome/links/cluster-b/anopheline-sialome-cds-pep-larger-orf40-50SimCLU2.txt", 2)</f>
        <v>2</v>
      </c>
      <c r="BS327">
        <f>HYPERLINK("http://exon.niaid.nih.gov/transcriptome/Anopheles_sialome/links/cluster-b/anopheline-sialome-cds-pep-larger-orf40-50SimCLTL2.txt", 83)</f>
        <v>83</v>
      </c>
      <c r="BT327">
        <f>HYPERLINK("http://exon.niaid.nih.gov/transcriptome/Anopheles_sialome/links/cluster-b/anopheline-sialome-cds-pep-larger-orf45-50SimCLU1.txt", 1)</f>
        <v>1</v>
      </c>
      <c r="BU327">
        <f>HYPERLINK("http://exon.niaid.nih.gov/transcriptome/Anopheles_sialome/links/cluster-b/anopheline-sialome-cds-pep-larger-orf45-50SimCLTL1.txt", 83)</f>
        <v>83</v>
      </c>
      <c r="BV327">
        <f>HYPERLINK("http://exon.niaid.nih.gov/transcriptome/Anopheles_sialome/links/cluster-b/anopheline-sialome-cds-pep-larger-orf50-50SimCLU1.txt", 1)</f>
        <v>1</v>
      </c>
      <c r="BW327">
        <f>HYPERLINK("http://exon.niaid.nih.gov/transcriptome/Anopheles_sialome/links/cluster-b/anopheline-sialome-cds-pep-larger-orf50-50SimCLTL1.txt", 83)</f>
        <v>83</v>
      </c>
      <c r="BX327">
        <f>HYPERLINK("http://exon.niaid.nih.gov/transcriptome/Anopheles_sialome/links/cluster-b/anopheline-sialome-cds-pep-larger-orf55-50SimCLU1.txt", 1)</f>
        <v>1</v>
      </c>
      <c r="BY327">
        <f>HYPERLINK("http://exon.niaid.nih.gov/transcriptome/Anopheles_sialome/links/cluster-b/anopheline-sialome-cds-pep-larger-orf55-50SimCLTL1.txt", 79)</f>
        <v>79</v>
      </c>
      <c r="BZ327">
        <f>HYPERLINK("http://exon.niaid.nih.gov/transcriptome/Anopheles_sialome/links/cluster-b/anopheline-sialome-cds-pep-larger-orf60-50SimCLU1.txt", 1)</f>
        <v>1</v>
      </c>
      <c r="CA327">
        <f>HYPERLINK("http://exon.niaid.nih.gov/transcriptome/Anopheles_sialome/links/cluster-b/anopheline-sialome-cds-pep-larger-orf60-50SimCLTL1.txt", 60)</f>
        <v>60</v>
      </c>
      <c r="CB327">
        <f>HYPERLINK("http://exon.niaid.nih.gov/transcriptome/Anopheles_sialome/links/cluster-b/anopheline-sialome-cds-pep-larger-orf65-50SimCLU1.txt", 1)</f>
        <v>1</v>
      </c>
      <c r="CC327">
        <f>HYPERLINK("http://exon.niaid.nih.gov/transcriptome/Anopheles_sialome/links/cluster-b/anopheline-sialome-cds-pep-larger-orf65-50SimCLTL1.txt", 60)</f>
        <v>60</v>
      </c>
      <c r="CD327">
        <f>HYPERLINK("http://exon.niaid.nih.gov/transcriptome/Anopheles_sialome/links/cluster-b/anopheline-sialome-cds-pep-larger-orf70-50SimCLU2.txt", 2)</f>
        <v>2</v>
      </c>
      <c r="CE327">
        <f>HYPERLINK("http://exon.niaid.nih.gov/transcriptome/Anopheles_sialome/links/cluster-b/anopheline-sialome-cds-pep-larger-orf70-50SimCLTL2.txt", 29)</f>
        <v>29</v>
      </c>
      <c r="CF327">
        <f>HYPERLINK("http://exon.niaid.nih.gov/transcriptome/Anopheles_sialome/links/cluster-b/anopheline-sialome-cds-pep-larger-orf75-50SimCLU2.txt", 2)</f>
        <v>2</v>
      </c>
      <c r="CG327">
        <f>HYPERLINK("http://exon.niaid.nih.gov/transcriptome/Anopheles_sialome/links/cluster-b/anopheline-sialome-cds-pep-larger-orf75-50SimCLTL2.txt", 28)</f>
        <v>28</v>
      </c>
      <c r="CH327">
        <f>HYPERLINK("http://exon.niaid.nih.gov/transcriptome/Anopheles_sialome/links/cluster-b/anopheline-sialome-cds-pep-larger-orf80-50SimCLU17.txt", 17)</f>
        <v>17</v>
      </c>
      <c r="CI327">
        <f>HYPERLINK("http://exon.niaid.nih.gov/transcriptome/Anopheles_sialome/links/cluster-b/anopheline-sialome-cds-pep-larger-orf80-50SimCLTL17.txt", 13)</f>
        <v>13</v>
      </c>
      <c r="CJ327">
        <f>HYPERLINK("http://exon.niaid.nih.gov/transcriptome/Anopheles_sialome/links/cluster-b/anopheline-sialome-cds-pep-larger-orf85-50SimCLU17.txt", 17)</f>
        <v>17</v>
      </c>
      <c r="CK327">
        <f>HYPERLINK("http://exon.niaid.nih.gov/transcriptome/Anopheles_sialome/links/cluster-b/anopheline-sialome-cds-pep-larger-orf85-50SimCLTL17.txt", 10)</f>
        <v>10</v>
      </c>
      <c r="CL327">
        <v>156</v>
      </c>
      <c r="CM327">
        <v>1</v>
      </c>
      <c r="CN327">
        <v>152</v>
      </c>
      <c r="CO327">
        <v>1</v>
      </c>
    </row>
    <row r="328" spans="1:93">
      <c r="A328" s="2" t="str">
        <f>HYPERLINK("http://exon.niaid.nih.gov/transcriptome/Anopheles_sialome/links/cds/anoste_D7r1-cds.txt","anoste_D7r1")</f>
        <v>anoste_D7r1</v>
      </c>
      <c r="B328">
        <v>501</v>
      </c>
      <c r="C328" t="s">
        <v>156</v>
      </c>
      <c r="D328" t="s">
        <v>7</v>
      </c>
      <c r="E328" t="s">
        <v>5</v>
      </c>
      <c r="F328" t="s">
        <v>1</v>
      </c>
      <c r="G328" t="str">
        <f>HYPERLINK("http://exon.niaid.nih.gov/transcriptome/Anopheles_sialome/links/pep/anoste_D7r1-pep.txt","anoste_D7r1")</f>
        <v>anoste_D7r1</v>
      </c>
      <c r="H328">
        <v>166</v>
      </c>
      <c r="I328">
        <v>0</v>
      </c>
      <c r="J328" s="3" t="str">
        <f>HYPERLINK("http://exon.niaid.nih.gov/transcriptome/Anopheles_sialome/links/Sigp/anoste_D7r1-SigP.txt","SIG")</f>
        <v>SIG</v>
      </c>
      <c r="K328" t="s">
        <v>689</v>
      </c>
      <c r="L328">
        <v>18.63</v>
      </c>
      <c r="M328">
        <v>9.31</v>
      </c>
      <c r="N328">
        <v>16.356000000000002</v>
      </c>
      <c r="O328">
        <v>9.2100000000000009</v>
      </c>
      <c r="P328" t="s">
        <v>1007</v>
      </c>
      <c r="Q328" s="3">
        <v>0</v>
      </c>
      <c r="R328" t="s">
        <v>128</v>
      </c>
      <c r="S328" t="s">
        <v>128</v>
      </c>
      <c r="T328" t="s">
        <v>128</v>
      </c>
      <c r="U328" t="s">
        <v>128</v>
      </c>
      <c r="V328" t="s">
        <v>128</v>
      </c>
      <c r="W328" s="3" t="str">
        <f>HYPERLINK("http://exon.niaid.nih.gov/transcriptome/Anopheles_sialome/links/netoglyc/anoste_D7r1-netoglyc.txt","0")</f>
        <v>0</v>
      </c>
      <c r="X328">
        <v>7.8</v>
      </c>
      <c r="Y328">
        <v>6</v>
      </c>
      <c r="Z328">
        <v>3.6</v>
      </c>
      <c r="AA328" t="s">
        <v>654</v>
      </c>
      <c r="AB328" t="s">
        <v>128</v>
      </c>
      <c r="AC328" s="2" t="str">
        <f>HYPERLINK("http://exon.niaid.nih.gov/transcriptome/Anopheles_sialome/links/DIPTERA/anoste_D7r1-DIPTERA.txt","short form D7clu5 salivary protein")</f>
        <v>short form D7clu5 salivary protein</v>
      </c>
      <c r="AD328" t="str">
        <f>HYPERLINK("http://www.ncbi.nlm.nih.gov/sutils/blink.cgi?pid=16225980","3E-092")</f>
        <v>3E-092</v>
      </c>
      <c r="AE328" t="str">
        <f>HYPERLINK("http://www.ncbi.nlm.nih.gov/protein/16225980","gi|16225980")</f>
        <v>gi|16225980</v>
      </c>
      <c r="AF328">
        <v>100</v>
      </c>
      <c r="AG328">
        <v>100</v>
      </c>
      <c r="AH328">
        <v>100</v>
      </c>
      <c r="AI328" t="s">
        <v>2271</v>
      </c>
      <c r="AJ328" s="2" t="str">
        <f>HYPERLINK("http://exon.niaid.nih.gov/transcriptome/Anopheles_sialome/links/CULICOMORPHA/anoste_D7r1-CULICOMORPHA.txt","short form D7clu5 salivary protein")</f>
        <v>short form D7clu5 salivary protein</v>
      </c>
      <c r="AK328" t="str">
        <f>HYPERLINK("http://www.ncbi.nlm.nih.gov/sutils/blink.cgi?pid=16225980","5E-093")</f>
        <v>5E-093</v>
      </c>
      <c r="AL328" t="str">
        <f>HYPERLINK("http://www.ncbi.nlm.nih.gov/protein/16225980","gi|16225980")</f>
        <v>gi|16225980</v>
      </c>
      <c r="AM328">
        <v>100</v>
      </c>
      <c r="AN328">
        <v>100</v>
      </c>
      <c r="AO328">
        <v>100</v>
      </c>
      <c r="AP328" t="s">
        <v>2271</v>
      </c>
      <c r="AQ328" s="2" t="str">
        <f>HYPERLINK("http://exon.niaid.nih.gov/transcriptome/Anopheles_sialome/links/NR-LIGHT/anoste_D7r1-NR-LIGHT.txt","short form D7clu5 salivary protein")</f>
        <v>short form D7clu5 salivary protein</v>
      </c>
      <c r="AR328" t="str">
        <f>HYPERLINK("http://www.ncbi.nlm.nih.gov/sutils/blink.cgi?pid=16225980","6E-092")</f>
        <v>6E-092</v>
      </c>
      <c r="AS328" t="str">
        <f>HYPERLINK("http://www.ncbi.nlm.nih.gov/protein/16225980","gi|16225980")</f>
        <v>gi|16225980</v>
      </c>
      <c r="AT328">
        <v>100</v>
      </c>
      <c r="AU328">
        <v>100</v>
      </c>
      <c r="AV328">
        <v>100</v>
      </c>
      <c r="AW328" t="s">
        <v>2271</v>
      </c>
      <c r="AX328" s="2" t="str">
        <f>HYPERLINK("http://exon.niaid.nih.gov/transcriptome/Anopheles_sialome/links/CDD/anoste_D7r1-CDD.txt","PBP_GOBP")</f>
        <v>PBP_GOBP</v>
      </c>
      <c r="AY328" t="str">
        <f>HYPERLINK("http://www.ncbi.nlm.nih.gov/Structure/cdd/cddsrv.cgi?uid=pfam01395&amp;version=v4.0","1E-006")</f>
        <v>1E-006</v>
      </c>
      <c r="AZ328" t="s">
        <v>2465</v>
      </c>
      <c r="BA328" s="2" t="str">
        <f>HYPERLINK("http://exon.niaid.nih.gov/transcriptome/Anopheles_sialome/links/KOG/anoste_D7r1-KOG.txt","Ubiquitin carboxyl-terminal hydrolase")</f>
        <v>Ubiquitin carboxyl-terminal hydrolase</v>
      </c>
      <c r="BB328" t="str">
        <f>HYPERLINK("http://www.ncbi.nlm.nih.gov/Structure/cdd/cddsrv.cgi?uid=KOG1887","2.7")</f>
        <v>2.7</v>
      </c>
      <c r="BC328" t="s">
        <v>2296</v>
      </c>
      <c r="BD328" t="str">
        <f>HYPERLINK("http://exon.niaid.nih.gov/transcriptome/Anopheles_sialome/links/KOG/anoste_D7r1-KOG.txt","KOG1887")</f>
        <v>KOG1887</v>
      </c>
      <c r="BE328" t="str">
        <f>HYPERLINK("http://exon.niaid.nih.gov/transcriptome/Anopheles_sialome/links/PFAM/anoste_D7r1-PFAM.txt","PBP_GOBP")</f>
        <v>PBP_GOBP</v>
      </c>
      <c r="BF328" t="str">
        <f>HYPERLINK("http://pfam.sanger.ac.uk/family?acc=PF01395","3E-007")</f>
        <v>3E-007</v>
      </c>
      <c r="BG328" s="2" t="str">
        <f>HYPERLINK("http://exon.niaid.nih.gov/transcriptome/Anopheles_sialome/links/SMART/anoste_D7r1-SMART.txt","PhBP")</f>
        <v>PhBP</v>
      </c>
      <c r="BH328" t="str">
        <f>HYPERLINK("http://smart.embl-heidelberg.de/smart/do_annotation.pl?DOMAIN=PhBP&amp;BLAST=DUMMY","1E-006")</f>
        <v>1E-006</v>
      </c>
      <c r="BI328" t="s">
        <v>128</v>
      </c>
      <c r="BJ328" s="2" t="s">
        <v>128</v>
      </c>
      <c r="BK328" t="s">
        <v>1006</v>
      </c>
      <c r="BL328">
        <f>HYPERLINK("http://exon.niaid.nih.gov/transcriptome/Anopheles_sialome/links/cluster-b/anopheline-sialome-cds-pep-larger-orf25-50SimCLU2.txt", 2)</f>
        <v>2</v>
      </c>
      <c r="BM328">
        <f>HYPERLINK("http://exon.niaid.nih.gov/transcriptome/Anopheles_sialome/links/cluster-b/anopheline-sialome-cds-pep-larger-orf25-50SimCLTL2.txt", 120)</f>
        <v>120</v>
      </c>
      <c r="BN328">
        <f>HYPERLINK("http://exon.niaid.nih.gov/transcriptome/Anopheles_sialome/links/cluster-b/anopheline-sialome-cds-pep-larger-orf30-50SimCLU2.txt", 2)</f>
        <v>2</v>
      </c>
      <c r="BO328">
        <f>HYPERLINK("http://exon.niaid.nih.gov/transcriptome/Anopheles_sialome/links/cluster-b/anopheline-sialome-cds-pep-larger-orf30-50SimCLTL2.txt", 120)</f>
        <v>120</v>
      </c>
      <c r="BP328">
        <f>HYPERLINK("http://exon.niaid.nih.gov/transcriptome/Anopheles_sialome/links/cluster-b/anopheline-sialome-cds-pep-larger-orf35-50SimCLU1.txt", 1)</f>
        <v>1</v>
      </c>
      <c r="BQ328">
        <f>HYPERLINK("http://exon.niaid.nih.gov/transcriptome/Anopheles_sialome/links/cluster-b/anopheline-sialome-cds-pep-larger-orf35-50SimCLTL1.txt", 120)</f>
        <v>120</v>
      </c>
      <c r="BR328">
        <f>HYPERLINK("http://exon.niaid.nih.gov/transcriptome/Anopheles_sialome/links/cluster-b/anopheline-sialome-cds-pep-larger-orf40-50SimCLU2.txt", 2)</f>
        <v>2</v>
      </c>
      <c r="BS328">
        <f>HYPERLINK("http://exon.niaid.nih.gov/transcriptome/Anopheles_sialome/links/cluster-b/anopheline-sialome-cds-pep-larger-orf40-50SimCLTL2.txt", 83)</f>
        <v>83</v>
      </c>
      <c r="BT328">
        <f>HYPERLINK("http://exon.niaid.nih.gov/transcriptome/Anopheles_sialome/links/cluster-b/anopheline-sialome-cds-pep-larger-orf45-50SimCLU1.txt", 1)</f>
        <v>1</v>
      </c>
      <c r="BU328">
        <f>HYPERLINK("http://exon.niaid.nih.gov/transcriptome/Anopheles_sialome/links/cluster-b/anopheline-sialome-cds-pep-larger-orf45-50SimCLTL1.txt", 83)</f>
        <v>83</v>
      </c>
      <c r="BV328">
        <f>HYPERLINK("http://exon.niaid.nih.gov/transcriptome/Anopheles_sialome/links/cluster-b/anopheline-sialome-cds-pep-larger-orf50-50SimCLU1.txt", 1)</f>
        <v>1</v>
      </c>
      <c r="BW328">
        <f>HYPERLINK("http://exon.niaid.nih.gov/transcriptome/Anopheles_sialome/links/cluster-b/anopheline-sialome-cds-pep-larger-orf50-50SimCLTL1.txt", 83)</f>
        <v>83</v>
      </c>
      <c r="BX328">
        <f>HYPERLINK("http://exon.niaid.nih.gov/transcriptome/Anopheles_sialome/links/cluster-b/anopheline-sialome-cds-pep-larger-orf55-50SimCLU1.txt", 1)</f>
        <v>1</v>
      </c>
      <c r="BY328">
        <f>HYPERLINK("http://exon.niaid.nih.gov/transcriptome/Anopheles_sialome/links/cluster-b/anopheline-sialome-cds-pep-larger-orf55-50SimCLTL1.txt", 79)</f>
        <v>79</v>
      </c>
      <c r="BZ328">
        <f>HYPERLINK("http://exon.niaid.nih.gov/transcriptome/Anopheles_sialome/links/cluster-b/anopheline-sialome-cds-pep-larger-orf60-50SimCLU1.txt", 1)</f>
        <v>1</v>
      </c>
      <c r="CA328">
        <f>HYPERLINK("http://exon.niaid.nih.gov/transcriptome/Anopheles_sialome/links/cluster-b/anopheline-sialome-cds-pep-larger-orf60-50SimCLTL1.txt", 60)</f>
        <v>60</v>
      </c>
      <c r="CB328">
        <f>HYPERLINK("http://exon.niaid.nih.gov/transcriptome/Anopheles_sialome/links/cluster-b/anopheline-sialome-cds-pep-larger-orf65-50SimCLU1.txt", 1)</f>
        <v>1</v>
      </c>
      <c r="CC328">
        <f>HYPERLINK("http://exon.niaid.nih.gov/transcriptome/Anopheles_sialome/links/cluster-b/anopheline-sialome-cds-pep-larger-orf65-50SimCLTL1.txt", 60)</f>
        <v>60</v>
      </c>
      <c r="CD328">
        <f>HYPERLINK("http://exon.niaid.nih.gov/transcriptome/Anopheles_sialome/links/cluster-b/anopheline-sialome-cds-pep-larger-orf70-50SimCLU2.txt", 2)</f>
        <v>2</v>
      </c>
      <c r="CE328">
        <f>HYPERLINK("http://exon.niaid.nih.gov/transcriptome/Anopheles_sialome/links/cluster-b/anopheline-sialome-cds-pep-larger-orf70-50SimCLTL2.txt", 29)</f>
        <v>29</v>
      </c>
      <c r="CF328">
        <f>HYPERLINK("http://exon.niaid.nih.gov/transcriptome/Anopheles_sialome/links/cluster-b/anopheline-sialome-cds-pep-larger-orf75-50SimCLU2.txt", 2)</f>
        <v>2</v>
      </c>
      <c r="CG328">
        <f>HYPERLINK("http://exon.niaid.nih.gov/transcriptome/Anopheles_sialome/links/cluster-b/anopheline-sialome-cds-pep-larger-orf75-50SimCLTL2.txt", 28)</f>
        <v>28</v>
      </c>
      <c r="CH328">
        <v>126</v>
      </c>
      <c r="CI328">
        <v>1</v>
      </c>
      <c r="CJ328">
        <v>139</v>
      </c>
      <c r="CK328">
        <v>1</v>
      </c>
      <c r="CL328">
        <v>157</v>
      </c>
      <c r="CM328">
        <v>1</v>
      </c>
      <c r="CN328">
        <v>153</v>
      </c>
      <c r="CO328">
        <v>1</v>
      </c>
    </row>
    <row r="329" spans="1:93">
      <c r="A329" s="2" t="str">
        <f>HYPERLINK("http://exon.niaid.nih.gov/transcriptome/Anopheles_sialome/links/cds/anofar_D7r1a-cds.txt","anofar_D7r1a")</f>
        <v>anofar_D7r1a</v>
      </c>
      <c r="B329">
        <v>504</v>
      </c>
      <c r="C329" t="s">
        <v>157</v>
      </c>
      <c r="D329" t="s">
        <v>4</v>
      </c>
      <c r="E329" t="s">
        <v>5</v>
      </c>
      <c r="F329" t="s">
        <v>1</v>
      </c>
      <c r="G329" t="str">
        <f>HYPERLINK("http://exon.niaid.nih.gov/transcriptome/Anopheles_sialome/links/pep/anofar_D7r1a-pep.txt","anofar_D7r1a")</f>
        <v>anofar_D7r1a</v>
      </c>
      <c r="H329">
        <v>167</v>
      </c>
      <c r="I329">
        <v>0</v>
      </c>
      <c r="J329" s="3" t="str">
        <f>HYPERLINK("http://exon.niaid.nih.gov/transcriptome/Anopheles_sialome/links/Sigp/anofar_D7r1a-SigP.txt","SIG")</f>
        <v>SIG</v>
      </c>
      <c r="K329" t="s">
        <v>689</v>
      </c>
      <c r="L329">
        <v>18.896999999999998</v>
      </c>
      <c r="M329">
        <v>9.2899999999999991</v>
      </c>
      <c r="N329">
        <v>16.600999999999999</v>
      </c>
      <c r="O329">
        <v>9.25</v>
      </c>
      <c r="P329" t="s">
        <v>1009</v>
      </c>
      <c r="Q329" s="3">
        <v>0</v>
      </c>
      <c r="R329" t="s">
        <v>128</v>
      </c>
      <c r="S329" t="s">
        <v>128</v>
      </c>
      <c r="T329" t="s">
        <v>128</v>
      </c>
      <c r="U329" t="s">
        <v>128</v>
      </c>
      <c r="V329" t="s">
        <v>128</v>
      </c>
      <c r="W329" s="3" t="str">
        <f>HYPERLINK("http://exon.niaid.nih.gov/transcriptome/Anopheles_sialome/links/netoglyc/anofar_D7r1a-netoglyc.txt","0")</f>
        <v>0</v>
      </c>
      <c r="X329">
        <v>11.4</v>
      </c>
      <c r="Y329">
        <v>3</v>
      </c>
      <c r="Z329">
        <v>2.4</v>
      </c>
      <c r="AA329" t="s">
        <v>654</v>
      </c>
      <c r="AB329" t="s">
        <v>128</v>
      </c>
      <c r="AC329" s="2" t="str">
        <f>HYPERLINK("http://exon.niaid.nih.gov/transcriptome/Anopheles_sialome/links/DIPTERA/anofar_D7r1a-DIPTERA.txt","a348")</f>
        <v>a348</v>
      </c>
      <c r="AD329" t="str">
        <f>HYPERLINK("http://www.ncbi.nlm.nih.gov/sutils/blink.cgi?pid=668454397","4E-052")</f>
        <v>4E-052</v>
      </c>
      <c r="AE329" t="str">
        <f>HYPERLINK("http://www.ncbi.nlm.nih.gov/protein/668454397","gi|668454397")</f>
        <v>gi|668454397</v>
      </c>
      <c r="AF329">
        <v>58</v>
      </c>
      <c r="AG329">
        <v>76</v>
      </c>
      <c r="AH329">
        <v>100</v>
      </c>
      <c r="AI329" t="s">
        <v>2277</v>
      </c>
      <c r="AJ329" s="2" t="str">
        <f>HYPERLINK("http://exon.niaid.nih.gov/transcriptome/Anopheles_sialome/links/CULICOMORPHA/anofar_D7r1a-CULICOMORPHA.txt","a348")</f>
        <v>a348</v>
      </c>
      <c r="AK329" t="str">
        <f>HYPERLINK("http://www.ncbi.nlm.nih.gov/sutils/blink.cgi?pid=668454397","7E-053")</f>
        <v>7E-053</v>
      </c>
      <c r="AL329" t="str">
        <f>HYPERLINK("http://www.ncbi.nlm.nih.gov/protein/668454397","gi|668454397")</f>
        <v>gi|668454397</v>
      </c>
      <c r="AM329">
        <v>58</v>
      </c>
      <c r="AN329">
        <v>76</v>
      </c>
      <c r="AO329">
        <v>100</v>
      </c>
      <c r="AP329" t="s">
        <v>2277</v>
      </c>
      <c r="AQ329" s="2" t="str">
        <f>HYPERLINK("http://exon.niaid.nih.gov/transcriptome/Anopheles_sialome/links/NR-LIGHT/anofar_D7r1a-NR-LIGHT.txt","a348")</f>
        <v>a348</v>
      </c>
      <c r="AR329" t="str">
        <f>HYPERLINK("http://www.ncbi.nlm.nih.gov/sutils/blink.cgi?pid=668454397","9E-052")</f>
        <v>9E-052</v>
      </c>
      <c r="AS329" t="str">
        <f>HYPERLINK("http://www.ncbi.nlm.nih.gov/protein/668454397","gi|668454397")</f>
        <v>gi|668454397</v>
      </c>
      <c r="AT329">
        <v>58</v>
      </c>
      <c r="AU329">
        <v>76</v>
      </c>
      <c r="AV329">
        <v>100</v>
      </c>
      <c r="AW329" t="s">
        <v>2277</v>
      </c>
      <c r="AX329" s="2" t="str">
        <f>HYPERLINK("http://exon.niaid.nih.gov/transcriptome/Anopheles_sialome/links/CDD/anofar_D7r1a-CDD.txt","PhBP")</f>
        <v>PhBP</v>
      </c>
      <c r="AY329" t="str">
        <f>HYPERLINK("http://www.ncbi.nlm.nih.gov/Structure/cdd/cddsrv.cgi?uid=smart00708&amp;version=v4.0","2E-007")</f>
        <v>2E-007</v>
      </c>
      <c r="AZ329" t="s">
        <v>2466</v>
      </c>
      <c r="BA329" s="2" t="str">
        <f>HYPERLINK("http://exon.niaid.nih.gov/transcriptome/Anopheles_sialome/links/KOG/anofar_D7r1a-KOG.txt","Nucleosome remodeling factor, subunit NURF301/BPTF")</f>
        <v>Nucleosome remodeling factor, subunit NURF301/BPTF</v>
      </c>
      <c r="BB329" t="str">
        <f>HYPERLINK("http://www.ncbi.nlm.nih.gov/Structure/cdd/cddsrv.cgi?uid=KOG1473","0.52")</f>
        <v>0.52</v>
      </c>
      <c r="BC329" t="s">
        <v>2467</v>
      </c>
      <c r="BD329" t="str">
        <f>HYPERLINK("http://exon.niaid.nih.gov/transcriptome/Anopheles_sialome/links/KOG/anofar_D7r1a-KOG.txt","KOG1473")</f>
        <v>KOG1473</v>
      </c>
      <c r="BE329" t="str">
        <f>HYPERLINK("http://exon.niaid.nih.gov/transcriptome/Anopheles_sialome/links/PFAM/anofar_D7r1a-PFAM.txt","PBP_GOBP")</f>
        <v>PBP_GOBP</v>
      </c>
      <c r="BF329" t="str">
        <f>HYPERLINK("http://pfam.sanger.ac.uk/family?acc=PF01395","7E-008")</f>
        <v>7E-008</v>
      </c>
      <c r="BG329" s="2" t="str">
        <f>HYPERLINK("http://exon.niaid.nih.gov/transcriptome/Anopheles_sialome/links/SMART/anofar_D7r1a-SMART.txt","PhBP")</f>
        <v>PhBP</v>
      </c>
      <c r="BH329" t="str">
        <f>HYPERLINK("http://smart.embl-heidelberg.de/smart/do_annotation.pl?DOMAIN=PhBP&amp;BLAST=DUMMY","2E-009")</f>
        <v>2E-009</v>
      </c>
      <c r="BI329" t="s">
        <v>128</v>
      </c>
      <c r="BJ329" s="2" t="s">
        <v>128</v>
      </c>
      <c r="BK329" t="s">
        <v>1008</v>
      </c>
      <c r="BL329">
        <f>HYPERLINK("http://exon.niaid.nih.gov/transcriptome/Anopheles_sialome/links/cluster-b/anopheline-sialome-cds-pep-larger-orf25-50SimCLU2.txt", 2)</f>
        <v>2</v>
      </c>
      <c r="BM329">
        <f>HYPERLINK("http://exon.niaid.nih.gov/transcriptome/Anopheles_sialome/links/cluster-b/anopheline-sialome-cds-pep-larger-orf25-50SimCLTL2.txt", 120)</f>
        <v>120</v>
      </c>
      <c r="BN329">
        <f>HYPERLINK("http://exon.niaid.nih.gov/transcriptome/Anopheles_sialome/links/cluster-b/anopheline-sialome-cds-pep-larger-orf30-50SimCLU2.txt", 2)</f>
        <v>2</v>
      </c>
      <c r="BO329">
        <f>HYPERLINK("http://exon.niaid.nih.gov/transcriptome/Anopheles_sialome/links/cluster-b/anopheline-sialome-cds-pep-larger-orf30-50SimCLTL2.txt", 120)</f>
        <v>120</v>
      </c>
      <c r="BP329">
        <f>HYPERLINK("http://exon.niaid.nih.gov/transcriptome/Anopheles_sialome/links/cluster-b/anopheline-sialome-cds-pep-larger-orf35-50SimCLU1.txt", 1)</f>
        <v>1</v>
      </c>
      <c r="BQ329">
        <f>HYPERLINK("http://exon.niaid.nih.gov/transcriptome/Anopheles_sialome/links/cluster-b/anopheline-sialome-cds-pep-larger-orf35-50SimCLTL1.txt", 120)</f>
        <v>120</v>
      </c>
      <c r="BR329">
        <f>HYPERLINK("http://exon.niaid.nih.gov/transcriptome/Anopheles_sialome/links/cluster-b/anopheline-sialome-cds-pep-larger-orf40-50SimCLU2.txt", 2)</f>
        <v>2</v>
      </c>
      <c r="BS329">
        <f>HYPERLINK("http://exon.niaid.nih.gov/transcriptome/Anopheles_sialome/links/cluster-b/anopheline-sialome-cds-pep-larger-orf40-50SimCLTL2.txt", 83)</f>
        <v>83</v>
      </c>
      <c r="BT329">
        <f>HYPERLINK("http://exon.niaid.nih.gov/transcriptome/Anopheles_sialome/links/cluster-b/anopheline-sialome-cds-pep-larger-orf45-50SimCLU1.txt", 1)</f>
        <v>1</v>
      </c>
      <c r="BU329">
        <f>HYPERLINK("http://exon.niaid.nih.gov/transcriptome/Anopheles_sialome/links/cluster-b/anopheline-sialome-cds-pep-larger-orf45-50SimCLTL1.txt", 83)</f>
        <v>83</v>
      </c>
      <c r="BV329">
        <f>HYPERLINK("http://exon.niaid.nih.gov/transcriptome/Anopheles_sialome/links/cluster-b/anopheline-sialome-cds-pep-larger-orf50-50SimCLU1.txt", 1)</f>
        <v>1</v>
      </c>
      <c r="BW329">
        <f>HYPERLINK("http://exon.niaid.nih.gov/transcriptome/Anopheles_sialome/links/cluster-b/anopheline-sialome-cds-pep-larger-orf50-50SimCLTL1.txt", 83)</f>
        <v>83</v>
      </c>
      <c r="BX329">
        <f>HYPERLINK("http://exon.niaid.nih.gov/transcriptome/Anopheles_sialome/links/cluster-b/anopheline-sialome-cds-pep-larger-orf55-50SimCLU1.txt", 1)</f>
        <v>1</v>
      </c>
      <c r="BY329">
        <f>HYPERLINK("http://exon.niaid.nih.gov/transcriptome/Anopheles_sialome/links/cluster-b/anopheline-sialome-cds-pep-larger-orf55-50SimCLTL1.txt", 79)</f>
        <v>79</v>
      </c>
      <c r="BZ329">
        <f>HYPERLINK("http://exon.niaid.nih.gov/transcriptome/Anopheles_sialome/links/cluster-b/anopheline-sialome-cds-pep-larger-orf60-50SimCLU1.txt", 1)</f>
        <v>1</v>
      </c>
      <c r="CA329">
        <f>HYPERLINK("http://exon.niaid.nih.gov/transcriptome/Anopheles_sialome/links/cluster-b/anopheline-sialome-cds-pep-larger-orf60-50SimCLTL1.txt", 60)</f>
        <v>60</v>
      </c>
      <c r="CB329">
        <f>HYPERLINK("http://exon.niaid.nih.gov/transcriptome/Anopheles_sialome/links/cluster-b/anopheline-sialome-cds-pep-larger-orf65-50SimCLU1.txt", 1)</f>
        <v>1</v>
      </c>
      <c r="CC329">
        <f>HYPERLINK("http://exon.niaid.nih.gov/transcriptome/Anopheles_sialome/links/cluster-b/anopheline-sialome-cds-pep-larger-orf65-50SimCLTL1.txt", 60)</f>
        <v>60</v>
      </c>
      <c r="CD329">
        <f>HYPERLINK("http://exon.niaid.nih.gov/transcriptome/Anopheles_sialome/links/cluster-b/anopheline-sialome-cds-pep-larger-orf70-50SimCLU2.txt", 2)</f>
        <v>2</v>
      </c>
      <c r="CE329">
        <f>HYPERLINK("http://exon.niaid.nih.gov/transcriptome/Anopheles_sialome/links/cluster-b/anopheline-sialome-cds-pep-larger-orf70-50SimCLTL2.txt", 29)</f>
        <v>29</v>
      </c>
      <c r="CF329">
        <f>HYPERLINK("http://exon.niaid.nih.gov/transcriptome/Anopheles_sialome/links/cluster-b/anopheline-sialome-cds-pep-larger-orf75-50SimCLU2.txt", 2)</f>
        <v>2</v>
      </c>
      <c r="CG329">
        <f>HYPERLINK("http://exon.niaid.nih.gov/transcriptome/Anopheles_sialome/links/cluster-b/anopheline-sialome-cds-pep-larger-orf75-50SimCLTL2.txt", 28)</f>
        <v>28</v>
      </c>
      <c r="CH329">
        <f>HYPERLINK("http://exon.niaid.nih.gov/transcriptome/Anopheles_sialome/links/cluster-b/anopheline-sialome-cds-pep-larger-orf80-50SimCLU17.txt", 17)</f>
        <v>17</v>
      </c>
      <c r="CI329">
        <f>HYPERLINK("http://exon.niaid.nih.gov/transcriptome/Anopheles_sialome/links/cluster-b/anopheline-sialome-cds-pep-larger-orf80-50SimCLTL17.txt", 13)</f>
        <v>13</v>
      </c>
      <c r="CJ329">
        <v>140</v>
      </c>
      <c r="CK329">
        <v>1</v>
      </c>
      <c r="CL329">
        <v>158</v>
      </c>
      <c r="CM329">
        <v>1</v>
      </c>
      <c r="CN329">
        <v>154</v>
      </c>
      <c r="CO329">
        <v>1</v>
      </c>
    </row>
    <row r="330" spans="1:93">
      <c r="A330" s="2" t="str">
        <f>HYPERLINK("http://exon.niaid.nih.gov/transcriptome/Anopheles_sialome/links/cds/anofar_D7r1b-cds.txt","anofar_D7r1b")</f>
        <v>anofar_D7r1b</v>
      </c>
      <c r="B330">
        <v>504</v>
      </c>
      <c r="C330" t="s">
        <v>158</v>
      </c>
      <c r="D330" t="s">
        <v>4</v>
      </c>
      <c r="E330" t="s">
        <v>5</v>
      </c>
      <c r="F330" t="s">
        <v>1</v>
      </c>
      <c r="G330" t="str">
        <f>HYPERLINK("http://exon.niaid.nih.gov/transcriptome/Anopheles_sialome/links/pep/anofar_D7r1b-pep.txt","anofar_D7r1b")</f>
        <v>anofar_D7r1b</v>
      </c>
      <c r="H330">
        <v>167</v>
      </c>
      <c r="I330">
        <v>0</v>
      </c>
      <c r="J330" s="3" t="str">
        <f>HYPERLINK("http://exon.niaid.nih.gov/transcriptome/Anopheles_sialome/links/Sigp/anofar_D7r1b-SigP.txt","SIG")</f>
        <v>SIG</v>
      </c>
      <c r="K330" t="s">
        <v>695</v>
      </c>
      <c r="L330">
        <v>18.811</v>
      </c>
      <c r="M330">
        <v>8.98</v>
      </c>
      <c r="N330">
        <v>16.422999999999998</v>
      </c>
      <c r="O330">
        <v>8.94</v>
      </c>
      <c r="P330" t="s">
        <v>1011</v>
      </c>
      <c r="Q330" s="3">
        <v>0</v>
      </c>
      <c r="R330" t="s">
        <v>128</v>
      </c>
      <c r="S330" t="s">
        <v>128</v>
      </c>
      <c r="T330" t="s">
        <v>128</v>
      </c>
      <c r="U330" t="s">
        <v>128</v>
      </c>
      <c r="V330" t="s">
        <v>128</v>
      </c>
      <c r="W330" s="3" t="str">
        <f>HYPERLINK("http://exon.niaid.nih.gov/transcriptome/Anopheles_sialome/links/netoglyc/anofar_D7r1b-netoglyc.txt","0")</f>
        <v>0</v>
      </c>
      <c r="X330">
        <v>7.8</v>
      </c>
      <c r="Y330">
        <v>5.4</v>
      </c>
      <c r="Z330">
        <v>3</v>
      </c>
      <c r="AA330" t="s">
        <v>654</v>
      </c>
      <c r="AB330" t="s">
        <v>128</v>
      </c>
      <c r="AC330" s="2" t="str">
        <f>HYPERLINK("http://exon.niaid.nih.gov/transcriptome/Anopheles_sialome/links/DIPTERA/anofar_D7r1b-DIPTERA.txt","short form D7 salivary protein 1")</f>
        <v>short form D7 salivary protein 1</v>
      </c>
      <c r="AD330" t="str">
        <f>HYPERLINK("http://www.ncbi.nlm.nih.gov/sutils/blink.cgi?pid=114864654","5E-057")</f>
        <v>5E-057</v>
      </c>
      <c r="AE330" t="str">
        <f>HYPERLINK("http://www.ncbi.nlm.nih.gov/protein/114864654","gi|114864654")</f>
        <v>gi|114864654</v>
      </c>
      <c r="AF330">
        <v>66</v>
      </c>
      <c r="AG330">
        <v>77</v>
      </c>
      <c r="AH330">
        <v>101</v>
      </c>
      <c r="AI330" t="s">
        <v>2266</v>
      </c>
      <c r="AJ330" s="2" t="str">
        <f>HYPERLINK("http://exon.niaid.nih.gov/transcriptome/Anopheles_sialome/links/CULICOMORPHA/anofar_D7r1b-CULICOMORPHA.txt","short form D7 salivary protein 1")</f>
        <v>short form D7 salivary protein 1</v>
      </c>
      <c r="AK330" t="str">
        <f>HYPERLINK("http://www.ncbi.nlm.nih.gov/sutils/blink.cgi?pid=114864654","9E-058")</f>
        <v>9E-058</v>
      </c>
      <c r="AL330" t="str">
        <f>HYPERLINK("http://www.ncbi.nlm.nih.gov/protein/114864654","gi|114864654")</f>
        <v>gi|114864654</v>
      </c>
      <c r="AM330">
        <v>66</v>
      </c>
      <c r="AN330">
        <v>77</v>
      </c>
      <c r="AO330">
        <v>101</v>
      </c>
      <c r="AP330" t="s">
        <v>2266</v>
      </c>
      <c r="AQ330" s="2" t="str">
        <f>HYPERLINK("http://exon.niaid.nih.gov/transcriptome/Anopheles_sialome/links/NR-LIGHT/anofar_D7r1b-NR-LIGHT.txt","short form D7 salivary protein 1")</f>
        <v>short form D7 salivary protein 1</v>
      </c>
      <c r="AR330" t="str">
        <f>HYPERLINK("http://www.ncbi.nlm.nih.gov/sutils/blink.cgi?pid=114864654","1E-056")</f>
        <v>1E-056</v>
      </c>
      <c r="AS330" t="str">
        <f>HYPERLINK("http://www.ncbi.nlm.nih.gov/protein/114864654","gi|114864654")</f>
        <v>gi|114864654</v>
      </c>
      <c r="AT330">
        <v>66</v>
      </c>
      <c r="AU330">
        <v>77</v>
      </c>
      <c r="AV330">
        <v>101</v>
      </c>
      <c r="AW330" t="s">
        <v>2266</v>
      </c>
      <c r="AX330" s="2" t="str">
        <f>HYPERLINK("http://exon.niaid.nih.gov/transcriptome/Anopheles_sialome/links/CDD/anofar_D7r1b-CDD.txt","PBP_GOBP")</f>
        <v>PBP_GOBP</v>
      </c>
      <c r="AY330" t="str">
        <f>HYPERLINK("http://www.ncbi.nlm.nih.gov/Structure/cdd/cddsrv.cgi?uid=pfam01395&amp;version=v4.0","7E-008")</f>
        <v>7E-008</v>
      </c>
      <c r="AZ330" t="s">
        <v>2468</v>
      </c>
      <c r="BA330" s="2" t="str">
        <f>HYPERLINK("http://exon.niaid.nih.gov/transcriptome/Anopheles_sialome/links/KOG/anofar_D7r1b-KOG.txt","Multidomain protein, contains SPEC repeats, PH, SH3, and separate rac-specific and rho-specific guanine nucleotide exchange factor domains")</f>
        <v>Multidomain protein, contains SPEC repeats, PH, SH3, and separate rac-specific and rho-specific guanine nucleotide exchange factor domains</v>
      </c>
      <c r="BB330" t="str">
        <f>HYPERLINK("http://www.ncbi.nlm.nih.gov/Structure/cdd/cddsrv.cgi?uid=KOG4240","2.2")</f>
        <v>2.2</v>
      </c>
      <c r="BC330" t="s">
        <v>2292</v>
      </c>
      <c r="BD330" t="str">
        <f>HYPERLINK("http://exon.niaid.nih.gov/transcriptome/Anopheles_sialome/links/KOG/anofar_D7r1b-KOG.txt","KOG4240")</f>
        <v>KOG4240</v>
      </c>
      <c r="BE330" t="str">
        <f>HYPERLINK("http://exon.niaid.nih.gov/transcriptome/Anopheles_sialome/links/PFAM/anofar_D7r1b-PFAM.txt","PBP_GOBP")</f>
        <v>PBP_GOBP</v>
      </c>
      <c r="BF330" t="str">
        <f>HYPERLINK("http://pfam.sanger.ac.uk/family?acc=PF01395","2E-008")</f>
        <v>2E-008</v>
      </c>
      <c r="BG330" s="2" t="str">
        <f>HYPERLINK("http://exon.niaid.nih.gov/transcriptome/Anopheles_sialome/links/SMART/anofar_D7r1b-SMART.txt","PhBP")</f>
        <v>PhBP</v>
      </c>
      <c r="BH330" t="str">
        <f>HYPERLINK("http://smart.embl-heidelberg.de/smart/do_annotation.pl?DOMAIN=PhBP&amp;BLAST=DUMMY","6E-007")</f>
        <v>6E-007</v>
      </c>
      <c r="BI330" t="s">
        <v>128</v>
      </c>
      <c r="BJ330" s="2" t="s">
        <v>128</v>
      </c>
      <c r="BK330" t="s">
        <v>1010</v>
      </c>
      <c r="BL330">
        <f>HYPERLINK("http://exon.niaid.nih.gov/transcriptome/Anopheles_sialome/links/cluster-b/anopheline-sialome-cds-pep-larger-orf25-50SimCLU2.txt", 2)</f>
        <v>2</v>
      </c>
      <c r="BM330">
        <f>HYPERLINK("http://exon.niaid.nih.gov/transcriptome/Anopheles_sialome/links/cluster-b/anopheline-sialome-cds-pep-larger-orf25-50SimCLTL2.txt", 120)</f>
        <v>120</v>
      </c>
      <c r="BN330">
        <f>HYPERLINK("http://exon.niaid.nih.gov/transcriptome/Anopheles_sialome/links/cluster-b/anopheline-sialome-cds-pep-larger-orf30-50SimCLU2.txt", 2)</f>
        <v>2</v>
      </c>
      <c r="BO330">
        <f>HYPERLINK("http://exon.niaid.nih.gov/transcriptome/Anopheles_sialome/links/cluster-b/anopheline-sialome-cds-pep-larger-orf30-50SimCLTL2.txt", 120)</f>
        <v>120</v>
      </c>
      <c r="BP330">
        <f>HYPERLINK("http://exon.niaid.nih.gov/transcriptome/Anopheles_sialome/links/cluster-b/anopheline-sialome-cds-pep-larger-orf35-50SimCLU1.txt", 1)</f>
        <v>1</v>
      </c>
      <c r="BQ330">
        <f>HYPERLINK("http://exon.niaid.nih.gov/transcriptome/Anopheles_sialome/links/cluster-b/anopheline-sialome-cds-pep-larger-orf35-50SimCLTL1.txt", 120)</f>
        <v>120</v>
      </c>
      <c r="BR330">
        <f>HYPERLINK("http://exon.niaid.nih.gov/transcriptome/Anopheles_sialome/links/cluster-b/anopheline-sialome-cds-pep-larger-orf40-50SimCLU2.txt", 2)</f>
        <v>2</v>
      </c>
      <c r="BS330">
        <f>HYPERLINK("http://exon.niaid.nih.gov/transcriptome/Anopheles_sialome/links/cluster-b/anopheline-sialome-cds-pep-larger-orf40-50SimCLTL2.txt", 83)</f>
        <v>83</v>
      </c>
      <c r="BT330">
        <f>HYPERLINK("http://exon.niaid.nih.gov/transcriptome/Anopheles_sialome/links/cluster-b/anopheline-sialome-cds-pep-larger-orf45-50SimCLU1.txt", 1)</f>
        <v>1</v>
      </c>
      <c r="BU330">
        <f>HYPERLINK("http://exon.niaid.nih.gov/transcriptome/Anopheles_sialome/links/cluster-b/anopheline-sialome-cds-pep-larger-orf45-50SimCLTL1.txt", 83)</f>
        <v>83</v>
      </c>
      <c r="BV330">
        <f>HYPERLINK("http://exon.niaid.nih.gov/transcriptome/Anopheles_sialome/links/cluster-b/anopheline-sialome-cds-pep-larger-orf50-50SimCLU1.txt", 1)</f>
        <v>1</v>
      </c>
      <c r="BW330">
        <f>HYPERLINK("http://exon.niaid.nih.gov/transcriptome/Anopheles_sialome/links/cluster-b/anopheline-sialome-cds-pep-larger-orf50-50SimCLTL1.txt", 83)</f>
        <v>83</v>
      </c>
      <c r="BX330">
        <f>HYPERLINK("http://exon.niaid.nih.gov/transcriptome/Anopheles_sialome/links/cluster-b/anopheline-sialome-cds-pep-larger-orf55-50SimCLU1.txt", 1)</f>
        <v>1</v>
      </c>
      <c r="BY330">
        <f>HYPERLINK("http://exon.niaid.nih.gov/transcriptome/Anopheles_sialome/links/cluster-b/anopheline-sialome-cds-pep-larger-orf55-50SimCLTL1.txt", 79)</f>
        <v>79</v>
      </c>
      <c r="BZ330">
        <f>HYPERLINK("http://exon.niaid.nih.gov/transcriptome/Anopheles_sialome/links/cluster-b/anopheline-sialome-cds-pep-larger-orf60-50SimCLU1.txt", 1)</f>
        <v>1</v>
      </c>
      <c r="CA330">
        <f>HYPERLINK("http://exon.niaid.nih.gov/transcriptome/Anopheles_sialome/links/cluster-b/anopheline-sialome-cds-pep-larger-orf60-50SimCLTL1.txt", 60)</f>
        <v>60</v>
      </c>
      <c r="CB330">
        <f>HYPERLINK("http://exon.niaid.nih.gov/transcriptome/Anopheles_sialome/links/cluster-b/anopheline-sialome-cds-pep-larger-orf65-50SimCLU1.txt", 1)</f>
        <v>1</v>
      </c>
      <c r="CC330">
        <f>HYPERLINK("http://exon.niaid.nih.gov/transcriptome/Anopheles_sialome/links/cluster-b/anopheline-sialome-cds-pep-larger-orf65-50SimCLTL1.txt", 60)</f>
        <v>60</v>
      </c>
      <c r="CD330">
        <f>HYPERLINK("http://exon.niaid.nih.gov/transcriptome/Anopheles_sialome/links/cluster-b/anopheline-sialome-cds-pep-larger-orf70-50SimCLU2.txt", 2)</f>
        <v>2</v>
      </c>
      <c r="CE330">
        <f>HYPERLINK("http://exon.niaid.nih.gov/transcriptome/Anopheles_sialome/links/cluster-b/anopheline-sialome-cds-pep-larger-orf70-50SimCLTL2.txt", 29)</f>
        <v>29</v>
      </c>
      <c r="CF330">
        <f>HYPERLINK("http://exon.niaid.nih.gov/transcriptome/Anopheles_sialome/links/cluster-b/anopheline-sialome-cds-pep-larger-orf75-50SimCLU2.txt", 2)</f>
        <v>2</v>
      </c>
      <c r="CG330">
        <f>HYPERLINK("http://exon.niaid.nih.gov/transcriptome/Anopheles_sialome/links/cluster-b/anopheline-sialome-cds-pep-larger-orf75-50SimCLTL2.txt", 28)</f>
        <v>28</v>
      </c>
      <c r="CH330">
        <f>HYPERLINK("http://exon.niaid.nih.gov/transcriptome/Anopheles_sialome/links/cluster-b/anopheline-sialome-cds-pep-larger-orf80-50SimCLU17.txt", 17)</f>
        <v>17</v>
      </c>
      <c r="CI330">
        <f>HYPERLINK("http://exon.niaid.nih.gov/transcriptome/Anopheles_sialome/links/cluster-b/anopheline-sialome-cds-pep-larger-orf80-50SimCLTL17.txt", 13)</f>
        <v>13</v>
      </c>
      <c r="CJ330">
        <v>141</v>
      </c>
      <c r="CK330">
        <v>1</v>
      </c>
      <c r="CL330">
        <v>159</v>
      </c>
      <c r="CM330">
        <v>1</v>
      </c>
      <c r="CN330">
        <v>155</v>
      </c>
      <c r="CO330">
        <v>1</v>
      </c>
    </row>
    <row r="331" spans="1:93">
      <c r="A331" s="2" t="str">
        <f>HYPERLINK("http://exon.niaid.nih.gov/transcriptome/Anopheles_sialome/links/cds/anodir_D7r1-cds.txt","anodir_D7r1")</f>
        <v>anodir_D7r1</v>
      </c>
      <c r="B331">
        <v>501</v>
      </c>
      <c r="C331" t="s">
        <v>159</v>
      </c>
      <c r="D331" t="s">
        <v>7</v>
      </c>
      <c r="E331" t="s">
        <v>5</v>
      </c>
      <c r="F331" t="s">
        <v>1</v>
      </c>
      <c r="G331" t="str">
        <f>HYPERLINK("http://exon.niaid.nih.gov/transcriptome/Anopheles_sialome/links/pep/anodir_D7r1-pep.txt","anodir_D7r1")</f>
        <v>anodir_D7r1</v>
      </c>
      <c r="H331">
        <v>166</v>
      </c>
      <c r="I331">
        <v>0</v>
      </c>
      <c r="J331" s="3" t="str">
        <f>HYPERLINK("http://exon.niaid.nih.gov/transcriptome/Anopheles_sialome/links/Sigp/anodir_D7r1-SigP.txt","SIG")</f>
        <v>SIG</v>
      </c>
      <c r="K331" t="s">
        <v>925</v>
      </c>
      <c r="L331">
        <v>18.63</v>
      </c>
      <c r="M331">
        <v>9.1300000000000008</v>
      </c>
      <c r="N331">
        <v>16.716000000000001</v>
      </c>
      <c r="O331">
        <v>9.1</v>
      </c>
      <c r="P331" t="s">
        <v>1013</v>
      </c>
      <c r="Q331" s="3">
        <v>0</v>
      </c>
      <c r="R331" t="s">
        <v>128</v>
      </c>
      <c r="S331" t="s">
        <v>128</v>
      </c>
      <c r="T331" t="s">
        <v>128</v>
      </c>
      <c r="U331" t="s">
        <v>128</v>
      </c>
      <c r="V331" t="s">
        <v>128</v>
      </c>
      <c r="W331" s="3" t="str">
        <f>HYPERLINK("http://exon.niaid.nih.gov/transcriptome/Anopheles_sialome/links/netoglyc/anodir_D7r1-netoglyc.txt","0")</f>
        <v>0</v>
      </c>
      <c r="X331">
        <v>8.4</v>
      </c>
      <c r="Y331">
        <v>4.8</v>
      </c>
      <c r="Z331">
        <v>3</v>
      </c>
      <c r="AA331" t="s">
        <v>654</v>
      </c>
      <c r="AB331" t="s">
        <v>128</v>
      </c>
      <c r="AC331" s="2" t="str">
        <f>HYPERLINK("http://exon.niaid.nih.gov/transcriptome/Anopheles_sialome/links/DIPTERA/anodir_D7r1-DIPTERA.txt","short form D7 salivary protein 1")</f>
        <v>short form D7 salivary protein 1</v>
      </c>
      <c r="AD331" t="str">
        <f>HYPERLINK("http://www.ncbi.nlm.nih.gov/sutils/blink.cgi?pid=114864654","3E-064")</f>
        <v>3E-064</v>
      </c>
      <c r="AE331" t="str">
        <f>HYPERLINK("http://www.ncbi.nlm.nih.gov/protein/114864654","gi|114864654")</f>
        <v>gi|114864654</v>
      </c>
      <c r="AF331">
        <v>69</v>
      </c>
      <c r="AG331">
        <v>81</v>
      </c>
      <c r="AH331">
        <v>100</v>
      </c>
      <c r="AI331" t="s">
        <v>2266</v>
      </c>
      <c r="AJ331" s="2" t="str">
        <f>HYPERLINK("http://exon.niaid.nih.gov/transcriptome/Anopheles_sialome/links/CULICOMORPHA/anodir_D7r1-CULICOMORPHA.txt","short form D7 salivary protein 1")</f>
        <v>short form D7 salivary protein 1</v>
      </c>
      <c r="AK331" t="str">
        <f>HYPERLINK("http://www.ncbi.nlm.nih.gov/sutils/blink.cgi?pid=114864654","6E-065")</f>
        <v>6E-065</v>
      </c>
      <c r="AL331" t="str">
        <f>HYPERLINK("http://www.ncbi.nlm.nih.gov/protein/114864654","gi|114864654")</f>
        <v>gi|114864654</v>
      </c>
      <c r="AM331">
        <v>69</v>
      </c>
      <c r="AN331">
        <v>81</v>
      </c>
      <c r="AO331">
        <v>100</v>
      </c>
      <c r="AP331" t="s">
        <v>2266</v>
      </c>
      <c r="AQ331" s="2" t="str">
        <f>HYPERLINK("http://exon.niaid.nih.gov/transcriptome/Anopheles_sialome/links/NR-LIGHT/anodir_D7r1-NR-LIGHT.txt","short form D7 salivary protein 1")</f>
        <v>short form D7 salivary protein 1</v>
      </c>
      <c r="AR331" t="str">
        <f>HYPERLINK("http://www.ncbi.nlm.nih.gov/sutils/blink.cgi?pid=114864654","7E-064")</f>
        <v>7E-064</v>
      </c>
      <c r="AS331" t="str">
        <f>HYPERLINK("http://www.ncbi.nlm.nih.gov/protein/114864654","gi|114864654")</f>
        <v>gi|114864654</v>
      </c>
      <c r="AT331">
        <v>69</v>
      </c>
      <c r="AU331">
        <v>81</v>
      </c>
      <c r="AV331">
        <v>100</v>
      </c>
      <c r="AW331" t="s">
        <v>2266</v>
      </c>
      <c r="AX331" s="2" t="str">
        <f>HYPERLINK("http://exon.niaid.nih.gov/transcriptome/Anopheles_sialome/links/CDD/anodir_D7r1-CDD.txt","PBP_GOBP")</f>
        <v>PBP_GOBP</v>
      </c>
      <c r="AY331" t="str">
        <f>HYPERLINK("http://www.ncbi.nlm.nih.gov/Structure/cdd/cddsrv.cgi?uid=pfam01395&amp;version=v4.0","5E-009")</f>
        <v>5E-009</v>
      </c>
      <c r="AZ331" t="s">
        <v>2469</v>
      </c>
      <c r="BA331" s="2" t="str">
        <f>HYPERLINK("http://exon.niaid.nih.gov/transcriptome/Anopheles_sialome/links/KOG/anodir_D7r1-KOG.txt","Phosphotyrosyl phosphatase activator")</f>
        <v>Phosphotyrosyl phosphatase activator</v>
      </c>
      <c r="BB331" t="str">
        <f>HYPERLINK("http://www.ncbi.nlm.nih.gov/Structure/cdd/cddsrv.cgi?uid=KOG2867","1.5")</f>
        <v>1.5</v>
      </c>
      <c r="BC331" t="s">
        <v>2470</v>
      </c>
      <c r="BD331" t="str">
        <f>HYPERLINK("http://exon.niaid.nih.gov/transcriptome/Anopheles_sialome/links/KOG/anodir_D7r1-KOG.txt","KOG2867")</f>
        <v>KOG2867</v>
      </c>
      <c r="BE331" t="str">
        <f>HYPERLINK("http://exon.niaid.nih.gov/transcriptome/Anopheles_sialome/links/PFAM/anodir_D7r1-PFAM.txt","PBP_GOBP")</f>
        <v>PBP_GOBP</v>
      </c>
      <c r="BF331" t="str">
        <f>HYPERLINK("http://pfam.sanger.ac.uk/family?acc=PF01395","1E-009")</f>
        <v>1E-009</v>
      </c>
      <c r="BG331" s="2" t="str">
        <f>HYPERLINK("http://exon.niaid.nih.gov/transcriptome/Anopheles_sialome/links/SMART/anodir_D7r1-SMART.txt","PhBP")</f>
        <v>PhBP</v>
      </c>
      <c r="BH331" t="str">
        <f>HYPERLINK("http://smart.embl-heidelberg.de/smart/do_annotation.pl?DOMAIN=PhBP&amp;BLAST=DUMMY","6E-008")</f>
        <v>6E-008</v>
      </c>
      <c r="BI331" t="s">
        <v>128</v>
      </c>
      <c r="BJ331" s="2" t="s">
        <v>128</v>
      </c>
      <c r="BK331" t="s">
        <v>1012</v>
      </c>
      <c r="BL331">
        <f>HYPERLINK("http://exon.niaid.nih.gov/transcriptome/Anopheles_sialome/links/cluster-b/anopheline-sialome-cds-pep-larger-orf25-50SimCLU2.txt", 2)</f>
        <v>2</v>
      </c>
      <c r="BM331">
        <f>HYPERLINK("http://exon.niaid.nih.gov/transcriptome/Anopheles_sialome/links/cluster-b/anopheline-sialome-cds-pep-larger-orf25-50SimCLTL2.txt", 120)</f>
        <v>120</v>
      </c>
      <c r="BN331">
        <f>HYPERLINK("http://exon.niaid.nih.gov/transcriptome/Anopheles_sialome/links/cluster-b/anopheline-sialome-cds-pep-larger-orf30-50SimCLU2.txt", 2)</f>
        <v>2</v>
      </c>
      <c r="BO331">
        <f>HYPERLINK("http://exon.niaid.nih.gov/transcriptome/Anopheles_sialome/links/cluster-b/anopheline-sialome-cds-pep-larger-orf30-50SimCLTL2.txt", 120)</f>
        <v>120</v>
      </c>
      <c r="BP331">
        <f>HYPERLINK("http://exon.niaid.nih.gov/transcriptome/Anopheles_sialome/links/cluster-b/anopheline-sialome-cds-pep-larger-orf35-50SimCLU1.txt", 1)</f>
        <v>1</v>
      </c>
      <c r="BQ331">
        <f>HYPERLINK("http://exon.niaid.nih.gov/transcriptome/Anopheles_sialome/links/cluster-b/anopheline-sialome-cds-pep-larger-orf35-50SimCLTL1.txt", 120)</f>
        <v>120</v>
      </c>
      <c r="BR331">
        <f>HYPERLINK("http://exon.niaid.nih.gov/transcriptome/Anopheles_sialome/links/cluster-b/anopheline-sialome-cds-pep-larger-orf40-50SimCLU2.txt", 2)</f>
        <v>2</v>
      </c>
      <c r="BS331">
        <f>HYPERLINK("http://exon.niaid.nih.gov/transcriptome/Anopheles_sialome/links/cluster-b/anopheline-sialome-cds-pep-larger-orf40-50SimCLTL2.txt", 83)</f>
        <v>83</v>
      </c>
      <c r="BT331">
        <f>HYPERLINK("http://exon.niaid.nih.gov/transcriptome/Anopheles_sialome/links/cluster-b/anopheline-sialome-cds-pep-larger-orf45-50SimCLU1.txt", 1)</f>
        <v>1</v>
      </c>
      <c r="BU331">
        <f>HYPERLINK("http://exon.niaid.nih.gov/transcriptome/Anopheles_sialome/links/cluster-b/anopheline-sialome-cds-pep-larger-orf45-50SimCLTL1.txt", 83)</f>
        <v>83</v>
      </c>
      <c r="BV331">
        <f>HYPERLINK("http://exon.niaid.nih.gov/transcriptome/Anopheles_sialome/links/cluster-b/anopheline-sialome-cds-pep-larger-orf50-50SimCLU1.txt", 1)</f>
        <v>1</v>
      </c>
      <c r="BW331">
        <f>HYPERLINK("http://exon.niaid.nih.gov/transcriptome/Anopheles_sialome/links/cluster-b/anopheline-sialome-cds-pep-larger-orf50-50SimCLTL1.txt", 83)</f>
        <v>83</v>
      </c>
      <c r="BX331">
        <f>HYPERLINK("http://exon.niaid.nih.gov/transcriptome/Anopheles_sialome/links/cluster-b/anopheline-sialome-cds-pep-larger-orf55-50SimCLU1.txt", 1)</f>
        <v>1</v>
      </c>
      <c r="BY331">
        <f>HYPERLINK("http://exon.niaid.nih.gov/transcriptome/Anopheles_sialome/links/cluster-b/anopheline-sialome-cds-pep-larger-orf55-50SimCLTL1.txt", 79)</f>
        <v>79</v>
      </c>
      <c r="BZ331">
        <f>HYPERLINK("http://exon.niaid.nih.gov/transcriptome/Anopheles_sialome/links/cluster-b/anopheline-sialome-cds-pep-larger-orf60-50SimCLU1.txt", 1)</f>
        <v>1</v>
      </c>
      <c r="CA331">
        <f>HYPERLINK("http://exon.niaid.nih.gov/transcriptome/Anopheles_sialome/links/cluster-b/anopheline-sialome-cds-pep-larger-orf60-50SimCLTL1.txt", 60)</f>
        <v>60</v>
      </c>
      <c r="CB331">
        <f>HYPERLINK("http://exon.niaid.nih.gov/transcriptome/Anopheles_sialome/links/cluster-b/anopheline-sialome-cds-pep-larger-orf65-50SimCLU1.txt", 1)</f>
        <v>1</v>
      </c>
      <c r="CC331">
        <f>HYPERLINK("http://exon.niaid.nih.gov/transcriptome/Anopheles_sialome/links/cluster-b/anopheline-sialome-cds-pep-larger-orf65-50SimCLTL1.txt", 60)</f>
        <v>60</v>
      </c>
      <c r="CD331">
        <f>HYPERLINK("http://exon.niaid.nih.gov/transcriptome/Anopheles_sialome/links/cluster-b/anopheline-sialome-cds-pep-larger-orf70-50SimCLU2.txt", 2)</f>
        <v>2</v>
      </c>
      <c r="CE331">
        <f>HYPERLINK("http://exon.niaid.nih.gov/transcriptome/Anopheles_sialome/links/cluster-b/anopheline-sialome-cds-pep-larger-orf70-50SimCLTL2.txt", 29)</f>
        <v>29</v>
      </c>
      <c r="CF331">
        <f>HYPERLINK("http://exon.niaid.nih.gov/transcriptome/Anopheles_sialome/links/cluster-b/anopheline-sialome-cds-pep-larger-orf75-50SimCLU2.txt", 2)</f>
        <v>2</v>
      </c>
      <c r="CG331">
        <f>HYPERLINK("http://exon.niaid.nih.gov/transcriptome/Anopheles_sialome/links/cluster-b/anopheline-sialome-cds-pep-larger-orf75-50SimCLTL2.txt", 28)</f>
        <v>28</v>
      </c>
      <c r="CH331">
        <f>HYPERLINK("http://exon.niaid.nih.gov/transcriptome/Anopheles_sialome/links/cluster-b/anopheline-sialome-cds-pep-larger-orf80-50SimCLU17.txt", 17)</f>
        <v>17</v>
      </c>
      <c r="CI331">
        <f>HYPERLINK("http://exon.niaid.nih.gov/transcriptome/Anopheles_sialome/links/cluster-b/anopheline-sialome-cds-pep-larger-orf80-50SimCLTL17.txt", 13)</f>
        <v>13</v>
      </c>
      <c r="CJ331">
        <v>142</v>
      </c>
      <c r="CK331">
        <v>1</v>
      </c>
      <c r="CL331">
        <v>160</v>
      </c>
      <c r="CM331">
        <v>1</v>
      </c>
      <c r="CN331">
        <v>156</v>
      </c>
      <c r="CO331">
        <v>1</v>
      </c>
    </row>
    <row r="332" spans="1:93">
      <c r="A332" s="2" t="str">
        <f>HYPERLINK("http://exon.niaid.nih.gov/transcriptome/Anopheles_sialome/links/cds/anoatro_D7r1-cds.txt","anoatro_D7r1")</f>
        <v>anoatro_D7r1</v>
      </c>
      <c r="B332">
        <v>507</v>
      </c>
      <c r="C332" t="s">
        <v>160</v>
      </c>
      <c r="D332" t="s">
        <v>4</v>
      </c>
      <c r="E332" t="s">
        <v>5</v>
      </c>
      <c r="F332" t="s">
        <v>1</v>
      </c>
      <c r="G332" t="str">
        <f>HYPERLINK("http://exon.niaid.nih.gov/transcriptome/Anopheles_sialome/links/pep/anoatro_D7r1-pep.txt","anoatro_D7r1")</f>
        <v>anoatro_D7r1</v>
      </c>
      <c r="H332">
        <v>168</v>
      </c>
      <c r="I332">
        <v>0</v>
      </c>
      <c r="J332" s="3" t="str">
        <f>HYPERLINK("http://exon.niaid.nih.gov/transcriptome/Anopheles_sialome/links/Sigp/anoatro_D7r1-SigP.txt","SIG")</f>
        <v>SIG</v>
      </c>
      <c r="K332" t="s">
        <v>695</v>
      </c>
      <c r="L332">
        <v>19.126000000000001</v>
      </c>
      <c r="M332">
        <v>9.27</v>
      </c>
      <c r="N332">
        <v>16.728999999999999</v>
      </c>
      <c r="O332">
        <v>9.26</v>
      </c>
      <c r="P332" t="s">
        <v>1015</v>
      </c>
      <c r="Q332" s="3">
        <v>0</v>
      </c>
      <c r="R332" t="s">
        <v>128</v>
      </c>
      <c r="S332" t="s">
        <v>128</v>
      </c>
      <c r="T332" t="s">
        <v>128</v>
      </c>
      <c r="U332" t="s">
        <v>128</v>
      </c>
      <c r="V332" t="s">
        <v>128</v>
      </c>
      <c r="W332" s="3" t="str">
        <f>HYPERLINK("http://exon.niaid.nih.gov/transcriptome/Anopheles_sialome/links/netoglyc/anoatro_D7r1-netoglyc.txt","0")</f>
        <v>0</v>
      </c>
      <c r="X332">
        <v>8.9</v>
      </c>
      <c r="Y332">
        <v>4.8</v>
      </c>
      <c r="Z332">
        <v>3</v>
      </c>
      <c r="AA332" t="s">
        <v>654</v>
      </c>
      <c r="AB332" t="s">
        <v>128</v>
      </c>
      <c r="AC332" s="2" t="str">
        <f>HYPERLINK("http://exon.niaid.nih.gov/transcriptome/Anopheles_sialome/links/DIPTERA/anoatro_D7r1-DIPTERA.txt","a348")</f>
        <v>a348</v>
      </c>
      <c r="AD332" t="str">
        <f>HYPERLINK("http://www.ncbi.nlm.nih.gov/sutils/blink.cgi?pid=238684469","4E-065")</f>
        <v>4E-065</v>
      </c>
      <c r="AE332" t="str">
        <f>HYPERLINK("http://www.ncbi.nlm.nih.gov/protein/238684469","gi|238684469")</f>
        <v>gi|238684469</v>
      </c>
      <c r="AF332">
        <v>70</v>
      </c>
      <c r="AG332">
        <v>84</v>
      </c>
      <c r="AH332">
        <v>101</v>
      </c>
      <c r="AI332" t="s">
        <v>2471</v>
      </c>
      <c r="AJ332" s="2" t="str">
        <f>HYPERLINK("http://exon.niaid.nih.gov/transcriptome/Anopheles_sialome/links/CULICOMORPHA/anoatro_D7r1-CULICOMORPHA.txt","a348")</f>
        <v>a348</v>
      </c>
      <c r="AK332" t="str">
        <f>HYPERLINK("http://www.ncbi.nlm.nih.gov/sutils/blink.cgi?pid=238684469","7E-066")</f>
        <v>7E-066</v>
      </c>
      <c r="AL332" t="str">
        <f>HYPERLINK("http://www.ncbi.nlm.nih.gov/protein/238684469","gi|238684469")</f>
        <v>gi|238684469</v>
      </c>
      <c r="AM332">
        <v>70</v>
      </c>
      <c r="AN332">
        <v>84</v>
      </c>
      <c r="AO332">
        <v>101</v>
      </c>
      <c r="AP332" t="s">
        <v>2471</v>
      </c>
      <c r="AQ332" s="2" t="str">
        <f>HYPERLINK("http://exon.niaid.nih.gov/transcriptome/Anopheles_sialome/links/NR-LIGHT/anoatro_D7r1-NR-LIGHT.txt","a348")</f>
        <v>a348</v>
      </c>
      <c r="AR332" t="str">
        <f>HYPERLINK("http://www.ncbi.nlm.nih.gov/sutils/blink.cgi?pid=238684469","9E-065")</f>
        <v>9E-065</v>
      </c>
      <c r="AS332" t="str">
        <f>HYPERLINK("http://www.ncbi.nlm.nih.gov/protein/238684469","gi|238684469")</f>
        <v>gi|238684469</v>
      </c>
      <c r="AT332">
        <v>70</v>
      </c>
      <c r="AU332">
        <v>84</v>
      </c>
      <c r="AV332">
        <v>101</v>
      </c>
      <c r="AW332" t="s">
        <v>2471</v>
      </c>
      <c r="AX332" s="2" t="str">
        <f>HYPERLINK("http://exon.niaid.nih.gov/transcriptome/Anopheles_sialome/links/CDD/anoatro_D7r1-CDD.txt","PBP_GOBP")</f>
        <v>PBP_GOBP</v>
      </c>
      <c r="AY332" t="str">
        <f>HYPERLINK("http://www.ncbi.nlm.nih.gov/Structure/cdd/cddsrv.cgi?uid=pfam01395&amp;version=v4.0","2E-007")</f>
        <v>2E-007</v>
      </c>
      <c r="AZ332" t="s">
        <v>2472</v>
      </c>
      <c r="BA332" s="2" t="str">
        <f>HYPERLINK("http://exon.niaid.nih.gov/transcriptome/Anopheles_sialome/links/KOG/anoatro_D7r1-KOG.txt","Neural cell adhesion molecule L1")</f>
        <v>Neural cell adhesion molecule L1</v>
      </c>
      <c r="BB332" t="str">
        <f>HYPERLINK("http://www.ncbi.nlm.nih.gov/Structure/cdd/cddsrv.cgi?uid=KOG3513","2.6")</f>
        <v>2.6</v>
      </c>
      <c r="BC332" t="s">
        <v>2292</v>
      </c>
      <c r="BD332" t="str">
        <f>HYPERLINK("http://exon.niaid.nih.gov/transcriptome/Anopheles_sialome/links/KOG/anoatro_D7r1-KOG.txt","KOG3513")</f>
        <v>KOG3513</v>
      </c>
      <c r="BE332" t="str">
        <f>HYPERLINK("http://exon.niaid.nih.gov/transcriptome/Anopheles_sialome/links/PFAM/anoatro_D7r1-PFAM.txt","PBP_GOBP")</f>
        <v>PBP_GOBP</v>
      </c>
      <c r="BF332" t="str">
        <f>HYPERLINK("http://pfam.sanger.ac.uk/family?acc=PF01395","5E-008")</f>
        <v>5E-008</v>
      </c>
      <c r="BG332" s="2" t="str">
        <f>HYPERLINK("http://exon.niaid.nih.gov/transcriptome/Anopheles_sialome/links/SMART/anoatro_D7r1-SMART.txt","PhBP")</f>
        <v>PhBP</v>
      </c>
      <c r="BH332" t="str">
        <f>HYPERLINK("http://smart.embl-heidelberg.de/smart/do_annotation.pl?DOMAIN=PhBP&amp;BLAST=DUMMY","4E-008")</f>
        <v>4E-008</v>
      </c>
      <c r="BI332" t="s">
        <v>128</v>
      </c>
      <c r="BJ332" s="2" t="s">
        <v>128</v>
      </c>
      <c r="BK332" t="s">
        <v>1014</v>
      </c>
      <c r="BL332">
        <f>HYPERLINK("http://exon.niaid.nih.gov/transcriptome/Anopheles_sialome/links/cluster-b/anopheline-sialome-cds-pep-larger-orf25-50SimCLU2.txt", 2)</f>
        <v>2</v>
      </c>
      <c r="BM332">
        <f>HYPERLINK("http://exon.niaid.nih.gov/transcriptome/Anopheles_sialome/links/cluster-b/anopheline-sialome-cds-pep-larger-orf25-50SimCLTL2.txt", 120)</f>
        <v>120</v>
      </c>
      <c r="BN332">
        <f>HYPERLINK("http://exon.niaid.nih.gov/transcriptome/Anopheles_sialome/links/cluster-b/anopheline-sialome-cds-pep-larger-orf30-50SimCLU2.txt", 2)</f>
        <v>2</v>
      </c>
      <c r="BO332">
        <f>HYPERLINK("http://exon.niaid.nih.gov/transcriptome/Anopheles_sialome/links/cluster-b/anopheline-sialome-cds-pep-larger-orf30-50SimCLTL2.txt", 120)</f>
        <v>120</v>
      </c>
      <c r="BP332">
        <f>HYPERLINK("http://exon.niaid.nih.gov/transcriptome/Anopheles_sialome/links/cluster-b/anopheline-sialome-cds-pep-larger-orf35-50SimCLU1.txt", 1)</f>
        <v>1</v>
      </c>
      <c r="BQ332">
        <f>HYPERLINK("http://exon.niaid.nih.gov/transcriptome/Anopheles_sialome/links/cluster-b/anopheline-sialome-cds-pep-larger-orf35-50SimCLTL1.txt", 120)</f>
        <v>120</v>
      </c>
      <c r="BR332">
        <f>HYPERLINK("http://exon.niaid.nih.gov/transcriptome/Anopheles_sialome/links/cluster-b/anopheline-sialome-cds-pep-larger-orf40-50SimCLU2.txt", 2)</f>
        <v>2</v>
      </c>
      <c r="BS332">
        <f>HYPERLINK("http://exon.niaid.nih.gov/transcriptome/Anopheles_sialome/links/cluster-b/anopheline-sialome-cds-pep-larger-orf40-50SimCLTL2.txt", 83)</f>
        <v>83</v>
      </c>
      <c r="BT332">
        <f>HYPERLINK("http://exon.niaid.nih.gov/transcriptome/Anopheles_sialome/links/cluster-b/anopheline-sialome-cds-pep-larger-orf45-50SimCLU1.txt", 1)</f>
        <v>1</v>
      </c>
      <c r="BU332">
        <f>HYPERLINK("http://exon.niaid.nih.gov/transcriptome/Anopheles_sialome/links/cluster-b/anopheline-sialome-cds-pep-larger-orf45-50SimCLTL1.txt", 83)</f>
        <v>83</v>
      </c>
      <c r="BV332">
        <f>HYPERLINK("http://exon.niaid.nih.gov/transcriptome/Anopheles_sialome/links/cluster-b/anopheline-sialome-cds-pep-larger-orf50-50SimCLU1.txt", 1)</f>
        <v>1</v>
      </c>
      <c r="BW332">
        <f>HYPERLINK("http://exon.niaid.nih.gov/transcriptome/Anopheles_sialome/links/cluster-b/anopheline-sialome-cds-pep-larger-orf50-50SimCLTL1.txt", 83)</f>
        <v>83</v>
      </c>
      <c r="BX332">
        <f>HYPERLINK("http://exon.niaid.nih.gov/transcriptome/Anopheles_sialome/links/cluster-b/anopheline-sialome-cds-pep-larger-orf55-50SimCLU1.txt", 1)</f>
        <v>1</v>
      </c>
      <c r="BY332">
        <f>HYPERLINK("http://exon.niaid.nih.gov/transcriptome/Anopheles_sialome/links/cluster-b/anopheline-sialome-cds-pep-larger-orf55-50SimCLTL1.txt", 79)</f>
        <v>79</v>
      </c>
      <c r="BZ332">
        <f>HYPERLINK("http://exon.niaid.nih.gov/transcriptome/Anopheles_sialome/links/cluster-b/anopheline-sialome-cds-pep-larger-orf60-50SimCLU1.txt", 1)</f>
        <v>1</v>
      </c>
      <c r="CA332">
        <f>HYPERLINK("http://exon.niaid.nih.gov/transcriptome/Anopheles_sialome/links/cluster-b/anopheline-sialome-cds-pep-larger-orf60-50SimCLTL1.txt", 60)</f>
        <v>60</v>
      </c>
      <c r="CB332">
        <f>HYPERLINK("http://exon.niaid.nih.gov/transcriptome/Anopheles_sialome/links/cluster-b/anopheline-sialome-cds-pep-larger-orf65-50SimCLU1.txt", 1)</f>
        <v>1</v>
      </c>
      <c r="CC332">
        <f>HYPERLINK("http://exon.niaid.nih.gov/transcriptome/Anopheles_sialome/links/cluster-b/anopheline-sialome-cds-pep-larger-orf65-50SimCLTL1.txt", 60)</f>
        <v>60</v>
      </c>
      <c r="CD332">
        <f>HYPERLINK("http://exon.niaid.nih.gov/transcriptome/Anopheles_sialome/links/cluster-b/anopheline-sialome-cds-pep-larger-orf70-50SimCLU2.txt", 2)</f>
        <v>2</v>
      </c>
      <c r="CE332">
        <f>HYPERLINK("http://exon.niaid.nih.gov/transcriptome/Anopheles_sialome/links/cluster-b/anopheline-sialome-cds-pep-larger-orf70-50SimCLTL2.txt", 29)</f>
        <v>29</v>
      </c>
      <c r="CF332">
        <f>HYPERLINK("http://exon.niaid.nih.gov/transcriptome/Anopheles_sialome/links/cluster-b/anopheline-sialome-cds-pep-larger-orf75-50SimCLU2.txt", 2)</f>
        <v>2</v>
      </c>
      <c r="CG332">
        <f>HYPERLINK("http://exon.niaid.nih.gov/transcriptome/Anopheles_sialome/links/cluster-b/anopheline-sialome-cds-pep-larger-orf75-50SimCLTL2.txt", 28)</f>
        <v>28</v>
      </c>
      <c r="CH332">
        <f>HYPERLINK("http://exon.niaid.nih.gov/transcriptome/Anopheles_sialome/links/cluster-b/anopheline-sialome-cds-pep-larger-orf80-50SimCLU68.txt", 68)</f>
        <v>68</v>
      </c>
      <c r="CI332">
        <f>HYPERLINK("http://exon.niaid.nih.gov/transcriptome/Anopheles_sialome/links/cluster-b/anopheline-sialome-cds-pep-larger-orf80-50SimCLTL68.txt", 2)</f>
        <v>2</v>
      </c>
      <c r="CJ332">
        <v>143</v>
      </c>
      <c r="CK332">
        <v>1</v>
      </c>
      <c r="CL332">
        <v>161</v>
      </c>
      <c r="CM332">
        <v>1</v>
      </c>
      <c r="CN332">
        <v>157</v>
      </c>
      <c r="CO332">
        <v>1</v>
      </c>
    </row>
    <row r="333" spans="1:93">
      <c r="A333" s="2" t="str">
        <f>HYPERLINK("http://exon.niaid.nih.gov/transcriptome/Anopheles_sialome/links/cds/anosin_D7r1a-cds.txt","anosin_D7r1a")</f>
        <v>anosin_D7r1a</v>
      </c>
      <c r="B333">
        <v>504</v>
      </c>
      <c r="C333" t="s">
        <v>161</v>
      </c>
      <c r="D333" t="s">
        <v>4</v>
      </c>
      <c r="E333" t="s">
        <v>5</v>
      </c>
      <c r="F333" t="s">
        <v>1</v>
      </c>
      <c r="G333" t="str">
        <f>HYPERLINK("http://exon.niaid.nih.gov/transcriptome/Anopheles_sialome/links/pep/anosin_D7r1a-pep.txt","anosin_D7r1a")</f>
        <v>anosin_D7r1a</v>
      </c>
      <c r="H333">
        <v>167</v>
      </c>
      <c r="I333">
        <v>0</v>
      </c>
      <c r="J333" s="3" t="str">
        <f>HYPERLINK("http://exon.niaid.nih.gov/transcriptome/Anopheles_sialome/links/Sigp/anosin_D7r1a-SigP.txt","SIG")</f>
        <v>SIG</v>
      </c>
      <c r="K333" t="s">
        <v>689</v>
      </c>
      <c r="L333">
        <v>18.777999999999999</v>
      </c>
      <c r="M333">
        <v>9.24</v>
      </c>
      <c r="N333">
        <v>16.513999999999999</v>
      </c>
      <c r="O333">
        <v>9.26</v>
      </c>
      <c r="P333" t="s">
        <v>1017</v>
      </c>
      <c r="Q333" s="3">
        <v>0</v>
      </c>
      <c r="R333" t="s">
        <v>128</v>
      </c>
      <c r="S333" t="s">
        <v>128</v>
      </c>
      <c r="T333" t="s">
        <v>128</v>
      </c>
      <c r="U333" t="s">
        <v>128</v>
      </c>
      <c r="V333" t="s">
        <v>128</v>
      </c>
      <c r="W333" s="3" t="str">
        <f>HYPERLINK("http://exon.niaid.nih.gov/transcriptome/Anopheles_sialome/links/netoglyc/anosin_D7r1a-netoglyc.txt","0")</f>
        <v>0</v>
      </c>
      <c r="X333">
        <v>7.2</v>
      </c>
      <c r="Y333">
        <v>6</v>
      </c>
      <c r="Z333">
        <v>3</v>
      </c>
      <c r="AA333" t="s">
        <v>654</v>
      </c>
      <c r="AB333" t="s">
        <v>128</v>
      </c>
      <c r="AC333" s="2" t="str">
        <f>HYPERLINK("http://exon.niaid.nih.gov/transcriptome/Anopheles_sialome/links/DIPTERA/anosin_D7r1a-DIPTERA.txt","a348")</f>
        <v>a348</v>
      </c>
      <c r="AD333" t="str">
        <f>HYPERLINK("http://www.ncbi.nlm.nih.gov/sutils/blink.cgi?pid=668454397","4E-091")</f>
        <v>4E-091</v>
      </c>
      <c r="AE333" t="str">
        <f>HYPERLINK("http://www.ncbi.nlm.nih.gov/protein/668454397","gi|668454397")</f>
        <v>gi|668454397</v>
      </c>
      <c r="AF333">
        <v>99</v>
      </c>
      <c r="AG333">
        <v>99</v>
      </c>
      <c r="AH333">
        <v>100</v>
      </c>
      <c r="AI333" t="s">
        <v>2277</v>
      </c>
      <c r="AJ333" s="2" t="str">
        <f>HYPERLINK("http://exon.niaid.nih.gov/transcriptome/Anopheles_sialome/links/CULICOMORPHA/anosin_D7r1a-CULICOMORPHA.txt","a348")</f>
        <v>a348</v>
      </c>
      <c r="AK333" t="str">
        <f>HYPERLINK("http://www.ncbi.nlm.nih.gov/sutils/blink.cgi?pid=668454397","8E-092")</f>
        <v>8E-092</v>
      </c>
      <c r="AL333" t="str">
        <f>HYPERLINK("http://www.ncbi.nlm.nih.gov/protein/668454397","gi|668454397")</f>
        <v>gi|668454397</v>
      </c>
      <c r="AM333">
        <v>99</v>
      </c>
      <c r="AN333">
        <v>99</v>
      </c>
      <c r="AO333">
        <v>100</v>
      </c>
      <c r="AP333" t="s">
        <v>2277</v>
      </c>
      <c r="AQ333" s="2" t="str">
        <f>HYPERLINK("http://exon.niaid.nih.gov/transcriptome/Anopheles_sialome/links/NR-LIGHT/anosin_D7r1a-NR-LIGHT.txt","a348")</f>
        <v>a348</v>
      </c>
      <c r="AR333" t="str">
        <f>HYPERLINK("http://www.ncbi.nlm.nih.gov/sutils/blink.cgi?pid=668454397","9E-091")</f>
        <v>9E-091</v>
      </c>
      <c r="AS333" t="str">
        <f>HYPERLINK("http://www.ncbi.nlm.nih.gov/protein/668454397","gi|668454397")</f>
        <v>gi|668454397</v>
      </c>
      <c r="AT333">
        <v>99</v>
      </c>
      <c r="AU333">
        <v>99</v>
      </c>
      <c r="AV333">
        <v>100</v>
      </c>
      <c r="AW333" t="s">
        <v>2277</v>
      </c>
      <c r="AX333" s="2" t="str">
        <f>HYPERLINK("http://exon.niaid.nih.gov/transcriptome/Anopheles_sialome/links/CDD/anosin_D7r1a-CDD.txt","PBP_GOBP")</f>
        <v>PBP_GOBP</v>
      </c>
      <c r="AY333" t="str">
        <f>HYPERLINK("http://www.ncbi.nlm.nih.gov/Structure/cdd/cddsrv.cgi?uid=pfam01395&amp;version=v4.0","3E-009")</f>
        <v>3E-009</v>
      </c>
      <c r="AZ333" t="s">
        <v>2473</v>
      </c>
      <c r="BA333" s="2" t="str">
        <f>HYPERLINK("http://exon.niaid.nih.gov/transcriptome/Anopheles_sialome/links/KOG/anosin_D7r1a-KOG.txt","Multifunctional pyrimidine synthesis protein CAD (includes carbamoyl-phophate synthetase, aspartate transcarbamylase, and glutamine amidotransferase)")</f>
        <v>Multifunctional pyrimidine synthesis protein CAD (includes carbamoyl-phophate synthetase, aspartate transcarbamylase, and glutamine amidotransferase)</v>
      </c>
      <c r="BB333" t="str">
        <f>HYPERLINK("http://www.ncbi.nlm.nih.gov/Structure/cdd/cddsrv.cgi?uid=KOG0370","5.8")</f>
        <v>5.8</v>
      </c>
      <c r="BC333" t="s">
        <v>2310</v>
      </c>
      <c r="BD333" t="str">
        <f>HYPERLINK("http://exon.niaid.nih.gov/transcriptome/Anopheles_sialome/links/KOG/anosin_D7r1a-KOG.txt","KOG0370")</f>
        <v>KOG0370</v>
      </c>
      <c r="BE333" t="str">
        <f>HYPERLINK("http://exon.niaid.nih.gov/transcriptome/Anopheles_sialome/links/PFAM/anosin_D7r1a-PFAM.txt","PBP_GOBP")</f>
        <v>PBP_GOBP</v>
      </c>
      <c r="BF333" t="str">
        <f>HYPERLINK("http://pfam.sanger.ac.uk/family?acc=PF01395","7E-010")</f>
        <v>7E-010</v>
      </c>
      <c r="BG333" s="2" t="str">
        <f>HYPERLINK("http://exon.niaid.nih.gov/transcriptome/Anopheles_sialome/links/SMART/anosin_D7r1a-SMART.txt","PhBP")</f>
        <v>PhBP</v>
      </c>
      <c r="BH333" t="str">
        <f>HYPERLINK("http://smart.embl-heidelberg.de/smart/do_annotation.pl?DOMAIN=PhBP&amp;BLAST=DUMMY","2E-009")</f>
        <v>2E-009</v>
      </c>
      <c r="BI333" t="s">
        <v>128</v>
      </c>
      <c r="BJ333" s="2" t="s">
        <v>128</v>
      </c>
      <c r="BK333" t="s">
        <v>1016</v>
      </c>
      <c r="BL333">
        <f>HYPERLINK("http://exon.niaid.nih.gov/transcriptome/Anopheles_sialome/links/cluster-b/anopheline-sialome-cds-pep-larger-orf25-50SimCLU2.txt", 2)</f>
        <v>2</v>
      </c>
      <c r="BM333">
        <f>HYPERLINK("http://exon.niaid.nih.gov/transcriptome/Anopheles_sialome/links/cluster-b/anopheline-sialome-cds-pep-larger-orf25-50SimCLTL2.txt", 120)</f>
        <v>120</v>
      </c>
      <c r="BN333">
        <f>HYPERLINK("http://exon.niaid.nih.gov/transcriptome/Anopheles_sialome/links/cluster-b/anopheline-sialome-cds-pep-larger-orf30-50SimCLU2.txt", 2)</f>
        <v>2</v>
      </c>
      <c r="BO333">
        <f>HYPERLINK("http://exon.niaid.nih.gov/transcriptome/Anopheles_sialome/links/cluster-b/anopheline-sialome-cds-pep-larger-orf30-50SimCLTL2.txt", 120)</f>
        <v>120</v>
      </c>
      <c r="BP333">
        <f>HYPERLINK("http://exon.niaid.nih.gov/transcriptome/Anopheles_sialome/links/cluster-b/anopheline-sialome-cds-pep-larger-orf35-50SimCLU1.txt", 1)</f>
        <v>1</v>
      </c>
      <c r="BQ333">
        <f>HYPERLINK("http://exon.niaid.nih.gov/transcriptome/Anopheles_sialome/links/cluster-b/anopheline-sialome-cds-pep-larger-orf35-50SimCLTL1.txt", 120)</f>
        <v>120</v>
      </c>
      <c r="BR333">
        <f>HYPERLINK("http://exon.niaid.nih.gov/transcriptome/Anopheles_sialome/links/cluster-b/anopheline-sialome-cds-pep-larger-orf40-50SimCLU2.txt", 2)</f>
        <v>2</v>
      </c>
      <c r="BS333">
        <f>HYPERLINK("http://exon.niaid.nih.gov/transcriptome/Anopheles_sialome/links/cluster-b/anopheline-sialome-cds-pep-larger-orf40-50SimCLTL2.txt", 83)</f>
        <v>83</v>
      </c>
      <c r="BT333">
        <f>HYPERLINK("http://exon.niaid.nih.gov/transcriptome/Anopheles_sialome/links/cluster-b/anopheline-sialome-cds-pep-larger-orf45-50SimCLU1.txt", 1)</f>
        <v>1</v>
      </c>
      <c r="BU333">
        <f>HYPERLINK("http://exon.niaid.nih.gov/transcriptome/Anopheles_sialome/links/cluster-b/anopheline-sialome-cds-pep-larger-orf45-50SimCLTL1.txt", 83)</f>
        <v>83</v>
      </c>
      <c r="BV333">
        <f>HYPERLINK("http://exon.niaid.nih.gov/transcriptome/Anopheles_sialome/links/cluster-b/anopheline-sialome-cds-pep-larger-orf50-50SimCLU1.txt", 1)</f>
        <v>1</v>
      </c>
      <c r="BW333">
        <f>HYPERLINK("http://exon.niaid.nih.gov/transcriptome/Anopheles_sialome/links/cluster-b/anopheline-sialome-cds-pep-larger-orf50-50SimCLTL1.txt", 83)</f>
        <v>83</v>
      </c>
      <c r="BX333">
        <f>HYPERLINK("http://exon.niaid.nih.gov/transcriptome/Anopheles_sialome/links/cluster-b/anopheline-sialome-cds-pep-larger-orf55-50SimCLU1.txt", 1)</f>
        <v>1</v>
      </c>
      <c r="BY333">
        <f>HYPERLINK("http://exon.niaid.nih.gov/transcriptome/Anopheles_sialome/links/cluster-b/anopheline-sialome-cds-pep-larger-orf55-50SimCLTL1.txt", 79)</f>
        <v>79</v>
      </c>
      <c r="BZ333">
        <f>HYPERLINK("http://exon.niaid.nih.gov/transcriptome/Anopheles_sialome/links/cluster-b/anopheline-sialome-cds-pep-larger-orf60-50SimCLU1.txt", 1)</f>
        <v>1</v>
      </c>
      <c r="CA333">
        <f>HYPERLINK("http://exon.niaid.nih.gov/transcriptome/Anopheles_sialome/links/cluster-b/anopheline-sialome-cds-pep-larger-orf60-50SimCLTL1.txt", 60)</f>
        <v>60</v>
      </c>
      <c r="CB333">
        <f>HYPERLINK("http://exon.niaid.nih.gov/transcriptome/Anopheles_sialome/links/cluster-b/anopheline-sialome-cds-pep-larger-orf65-50SimCLU1.txt", 1)</f>
        <v>1</v>
      </c>
      <c r="CC333">
        <f>HYPERLINK("http://exon.niaid.nih.gov/transcriptome/Anopheles_sialome/links/cluster-b/anopheline-sialome-cds-pep-larger-orf65-50SimCLTL1.txt", 60)</f>
        <v>60</v>
      </c>
      <c r="CD333">
        <f>HYPERLINK("http://exon.niaid.nih.gov/transcriptome/Anopheles_sialome/links/cluster-b/anopheline-sialome-cds-pep-larger-orf70-50SimCLU2.txt", 2)</f>
        <v>2</v>
      </c>
      <c r="CE333">
        <f>HYPERLINK("http://exon.niaid.nih.gov/transcriptome/Anopheles_sialome/links/cluster-b/anopheline-sialome-cds-pep-larger-orf70-50SimCLTL2.txt", 29)</f>
        <v>29</v>
      </c>
      <c r="CF333">
        <f>HYPERLINK("http://exon.niaid.nih.gov/transcriptome/Anopheles_sialome/links/cluster-b/anopheline-sialome-cds-pep-larger-orf75-50SimCLU2.txt", 2)</f>
        <v>2</v>
      </c>
      <c r="CG333">
        <f>HYPERLINK("http://exon.niaid.nih.gov/transcriptome/Anopheles_sialome/links/cluster-b/anopheline-sialome-cds-pep-larger-orf75-50SimCLTL2.txt", 28)</f>
        <v>28</v>
      </c>
      <c r="CH333">
        <f>HYPERLINK("http://exon.niaid.nih.gov/transcriptome/Anopheles_sialome/links/cluster-b/anopheline-sialome-cds-pep-larger-orf80-50SimCLU68.txt", 68)</f>
        <v>68</v>
      </c>
      <c r="CI333">
        <f>HYPERLINK("http://exon.niaid.nih.gov/transcriptome/Anopheles_sialome/links/cluster-b/anopheline-sialome-cds-pep-larger-orf80-50SimCLTL68.txt", 2)</f>
        <v>2</v>
      </c>
      <c r="CJ333">
        <v>144</v>
      </c>
      <c r="CK333">
        <v>1</v>
      </c>
      <c r="CL333">
        <v>162</v>
      </c>
      <c r="CM333">
        <v>1</v>
      </c>
      <c r="CN333">
        <v>158</v>
      </c>
      <c r="CO333">
        <v>1</v>
      </c>
    </row>
    <row r="334" spans="1:93">
      <c r="A334" s="2" t="str">
        <f>HYPERLINK("http://exon.niaid.nih.gov/transcriptome/Anopheles_sialome/links/cds/anosin_D7r1b-cds.txt","anosin_D7r1b")</f>
        <v>anosin_D7r1b</v>
      </c>
      <c r="B334">
        <v>504</v>
      </c>
      <c r="C334" t="s">
        <v>161</v>
      </c>
      <c r="D334" t="s">
        <v>4</v>
      </c>
      <c r="E334" t="s">
        <v>5</v>
      </c>
      <c r="F334" t="s">
        <v>1</v>
      </c>
      <c r="G334" t="str">
        <f>HYPERLINK("http://exon.niaid.nih.gov/transcriptome/Anopheles_sialome/links/pep/anosin_D7r1b-pep.txt","anosin_D7r1b")</f>
        <v>anosin_D7r1b</v>
      </c>
      <c r="H334">
        <v>167</v>
      </c>
      <c r="I334">
        <v>1</v>
      </c>
      <c r="J334" s="3" t="str">
        <f>HYPERLINK("http://exon.niaid.nih.gov/transcriptome/Anopheles_sialome/links/Sigp/anosin_D7r1b-SigP.txt","SIG")</f>
        <v>SIG</v>
      </c>
      <c r="K334" t="s">
        <v>689</v>
      </c>
      <c r="L334">
        <v>18.809000000000001</v>
      </c>
      <c r="M334">
        <v>8.1</v>
      </c>
      <c r="N334">
        <v>16.454999999999998</v>
      </c>
      <c r="O334">
        <v>8.1999999999999993</v>
      </c>
      <c r="P334" t="s">
        <v>1019</v>
      </c>
      <c r="Q334" s="3">
        <v>0</v>
      </c>
      <c r="R334" t="s">
        <v>128</v>
      </c>
      <c r="S334" t="s">
        <v>128</v>
      </c>
      <c r="T334" t="s">
        <v>128</v>
      </c>
      <c r="U334" t="s">
        <v>128</v>
      </c>
      <c r="V334" t="s">
        <v>128</v>
      </c>
      <c r="W334" s="3" t="str">
        <f>HYPERLINK("http://exon.niaid.nih.gov/transcriptome/Anopheles_sialome/links/netoglyc/anosin_D7r1b-netoglyc.txt","0")</f>
        <v>0</v>
      </c>
      <c r="X334">
        <v>10.199999999999999</v>
      </c>
      <c r="Y334">
        <v>6</v>
      </c>
      <c r="Z334">
        <v>2.4</v>
      </c>
      <c r="AA334" t="s">
        <v>654</v>
      </c>
      <c r="AB334" t="s">
        <v>128</v>
      </c>
      <c r="AC334" s="2" t="str">
        <f>HYPERLINK("http://exon.niaid.nih.gov/transcriptome/Anopheles_sialome/links/DIPTERA/anosin_D7r1b-DIPTERA.txt","a348")</f>
        <v>a348</v>
      </c>
      <c r="AD334" t="str">
        <f>HYPERLINK("http://www.ncbi.nlm.nih.gov/sutils/blink.cgi?pid=668454397","3E-054")</f>
        <v>3E-054</v>
      </c>
      <c r="AE334" t="str">
        <f>HYPERLINK("http://www.ncbi.nlm.nih.gov/protein/668454397","gi|668454397")</f>
        <v>gi|668454397</v>
      </c>
      <c r="AF334">
        <v>58</v>
      </c>
      <c r="AG334">
        <v>75</v>
      </c>
      <c r="AH334">
        <v>100</v>
      </c>
      <c r="AI334" t="s">
        <v>2277</v>
      </c>
      <c r="AJ334" s="2" t="str">
        <f>HYPERLINK("http://exon.niaid.nih.gov/transcriptome/Anopheles_sialome/links/CULICOMORPHA/anosin_D7r1b-CULICOMORPHA.txt","a348")</f>
        <v>a348</v>
      </c>
      <c r="AK334" t="str">
        <f>HYPERLINK("http://www.ncbi.nlm.nih.gov/sutils/blink.cgi?pid=668454397","6E-055")</f>
        <v>6E-055</v>
      </c>
      <c r="AL334" t="str">
        <f>HYPERLINK("http://www.ncbi.nlm.nih.gov/protein/668454397","gi|668454397")</f>
        <v>gi|668454397</v>
      </c>
      <c r="AM334">
        <v>58</v>
      </c>
      <c r="AN334">
        <v>75</v>
      </c>
      <c r="AO334">
        <v>100</v>
      </c>
      <c r="AP334" t="s">
        <v>2277</v>
      </c>
      <c r="AQ334" s="2" t="str">
        <f>HYPERLINK("http://exon.niaid.nih.gov/transcriptome/Anopheles_sialome/links/NR-LIGHT/anosin_D7r1b-NR-LIGHT.txt","a348")</f>
        <v>a348</v>
      </c>
      <c r="AR334" t="str">
        <f>HYPERLINK("http://www.ncbi.nlm.nih.gov/sutils/blink.cgi?pid=668454397","7E-054")</f>
        <v>7E-054</v>
      </c>
      <c r="AS334" t="str">
        <f>HYPERLINK("http://www.ncbi.nlm.nih.gov/protein/668454397","gi|668454397")</f>
        <v>gi|668454397</v>
      </c>
      <c r="AT334">
        <v>58</v>
      </c>
      <c r="AU334">
        <v>75</v>
      </c>
      <c r="AV334">
        <v>100</v>
      </c>
      <c r="AW334" t="s">
        <v>2277</v>
      </c>
      <c r="AX334" s="2" t="str">
        <f>HYPERLINK("http://exon.niaid.nih.gov/transcriptome/Anopheles_sialome/links/CDD/anosin_D7r1b-CDD.txt","PBP_GOBP")</f>
        <v>PBP_GOBP</v>
      </c>
      <c r="AY334" t="str">
        <f>HYPERLINK("http://www.ncbi.nlm.nih.gov/Structure/cdd/cddsrv.cgi?uid=pfam01395&amp;version=v4.0","1E-005")</f>
        <v>1E-005</v>
      </c>
      <c r="AZ334" t="s">
        <v>2474</v>
      </c>
      <c r="BA334" s="2" t="str">
        <f>HYPERLINK("http://exon.niaid.nih.gov/transcriptome/Anopheles_sialome/links/KOG/anosin_D7r1b-KOG.txt","Transforming growth factor beta/activin receptor subfamily of serine/threonine kinases")</f>
        <v>Transforming growth factor beta/activin receptor subfamily of serine/threonine kinases</v>
      </c>
      <c r="BB334" t="str">
        <f>HYPERLINK("http://www.ncbi.nlm.nih.gov/Structure/cdd/cddsrv.cgi?uid=KOG3653","1.3")</f>
        <v>1.3</v>
      </c>
      <c r="BC334" t="s">
        <v>2292</v>
      </c>
      <c r="BD334" t="str">
        <f>HYPERLINK("http://exon.niaid.nih.gov/transcriptome/Anopheles_sialome/links/KOG/anosin_D7r1b-KOG.txt","KOG3653")</f>
        <v>KOG3653</v>
      </c>
      <c r="BE334" t="str">
        <f>HYPERLINK("http://exon.niaid.nih.gov/transcriptome/Anopheles_sialome/links/PFAM/anosin_D7r1b-PFAM.txt","PBP_GOBP")</f>
        <v>PBP_GOBP</v>
      </c>
      <c r="BF334" t="str">
        <f>HYPERLINK("http://pfam.sanger.ac.uk/family?acc=PF01395","2E-006")</f>
        <v>2E-006</v>
      </c>
      <c r="BG334" s="2" t="str">
        <f>HYPERLINK("http://exon.niaid.nih.gov/transcriptome/Anopheles_sialome/links/SMART/anosin_D7r1b-SMART.txt","PhBP")</f>
        <v>PhBP</v>
      </c>
      <c r="BH334" t="str">
        <f>HYPERLINK("http://smart.embl-heidelberg.de/smart/do_annotation.pl?DOMAIN=PhBP&amp;BLAST=DUMMY","1E-006")</f>
        <v>1E-006</v>
      </c>
      <c r="BI334" t="s">
        <v>128</v>
      </c>
      <c r="BJ334" s="2" t="s">
        <v>128</v>
      </c>
      <c r="BK334" t="s">
        <v>1018</v>
      </c>
      <c r="BL334">
        <f>HYPERLINK("http://exon.niaid.nih.gov/transcriptome/Anopheles_sialome/links/cluster-b/anopheline-sialome-cds-pep-larger-orf25-50SimCLU2.txt", 2)</f>
        <v>2</v>
      </c>
      <c r="BM334">
        <f>HYPERLINK("http://exon.niaid.nih.gov/transcriptome/Anopheles_sialome/links/cluster-b/anopheline-sialome-cds-pep-larger-orf25-50SimCLTL2.txt", 120)</f>
        <v>120</v>
      </c>
      <c r="BN334">
        <f>HYPERLINK("http://exon.niaid.nih.gov/transcriptome/Anopheles_sialome/links/cluster-b/anopheline-sialome-cds-pep-larger-orf30-50SimCLU2.txt", 2)</f>
        <v>2</v>
      </c>
      <c r="BO334">
        <f>HYPERLINK("http://exon.niaid.nih.gov/transcriptome/Anopheles_sialome/links/cluster-b/anopheline-sialome-cds-pep-larger-orf30-50SimCLTL2.txt", 120)</f>
        <v>120</v>
      </c>
      <c r="BP334">
        <f>HYPERLINK("http://exon.niaid.nih.gov/transcriptome/Anopheles_sialome/links/cluster-b/anopheline-sialome-cds-pep-larger-orf35-50SimCLU1.txt", 1)</f>
        <v>1</v>
      </c>
      <c r="BQ334">
        <f>HYPERLINK("http://exon.niaid.nih.gov/transcriptome/Anopheles_sialome/links/cluster-b/anopheline-sialome-cds-pep-larger-orf35-50SimCLTL1.txt", 120)</f>
        <v>120</v>
      </c>
      <c r="BR334">
        <f>HYPERLINK("http://exon.niaid.nih.gov/transcriptome/Anopheles_sialome/links/cluster-b/anopheline-sialome-cds-pep-larger-orf40-50SimCLU2.txt", 2)</f>
        <v>2</v>
      </c>
      <c r="BS334">
        <f>HYPERLINK("http://exon.niaid.nih.gov/transcriptome/Anopheles_sialome/links/cluster-b/anopheline-sialome-cds-pep-larger-orf40-50SimCLTL2.txt", 83)</f>
        <v>83</v>
      </c>
      <c r="BT334">
        <f>HYPERLINK("http://exon.niaid.nih.gov/transcriptome/Anopheles_sialome/links/cluster-b/anopheline-sialome-cds-pep-larger-orf45-50SimCLU1.txt", 1)</f>
        <v>1</v>
      </c>
      <c r="BU334">
        <f>HYPERLINK("http://exon.niaid.nih.gov/transcriptome/Anopheles_sialome/links/cluster-b/anopheline-sialome-cds-pep-larger-orf45-50SimCLTL1.txt", 83)</f>
        <v>83</v>
      </c>
      <c r="BV334">
        <f>HYPERLINK("http://exon.niaid.nih.gov/transcriptome/Anopheles_sialome/links/cluster-b/anopheline-sialome-cds-pep-larger-orf50-50SimCLU1.txt", 1)</f>
        <v>1</v>
      </c>
      <c r="BW334">
        <f>HYPERLINK("http://exon.niaid.nih.gov/transcriptome/Anopheles_sialome/links/cluster-b/anopheline-sialome-cds-pep-larger-orf50-50SimCLTL1.txt", 83)</f>
        <v>83</v>
      </c>
      <c r="BX334">
        <f>HYPERLINK("http://exon.niaid.nih.gov/transcriptome/Anopheles_sialome/links/cluster-b/anopheline-sialome-cds-pep-larger-orf55-50SimCLU1.txt", 1)</f>
        <v>1</v>
      </c>
      <c r="BY334">
        <f>HYPERLINK("http://exon.niaid.nih.gov/transcriptome/Anopheles_sialome/links/cluster-b/anopheline-sialome-cds-pep-larger-orf55-50SimCLTL1.txt", 79)</f>
        <v>79</v>
      </c>
      <c r="BZ334">
        <f>HYPERLINK("http://exon.niaid.nih.gov/transcriptome/Anopheles_sialome/links/cluster-b/anopheline-sialome-cds-pep-larger-orf60-50SimCLU1.txt", 1)</f>
        <v>1</v>
      </c>
      <c r="CA334">
        <f>HYPERLINK("http://exon.niaid.nih.gov/transcriptome/Anopheles_sialome/links/cluster-b/anopheline-sialome-cds-pep-larger-orf60-50SimCLTL1.txt", 60)</f>
        <v>60</v>
      </c>
      <c r="CB334">
        <f>HYPERLINK("http://exon.niaid.nih.gov/transcriptome/Anopheles_sialome/links/cluster-b/anopheline-sialome-cds-pep-larger-orf65-50SimCLU1.txt", 1)</f>
        <v>1</v>
      </c>
      <c r="CC334">
        <f>HYPERLINK("http://exon.niaid.nih.gov/transcriptome/Anopheles_sialome/links/cluster-b/anopheline-sialome-cds-pep-larger-orf65-50SimCLTL1.txt", 60)</f>
        <v>60</v>
      </c>
      <c r="CD334">
        <f>HYPERLINK("http://exon.niaid.nih.gov/transcriptome/Anopheles_sialome/links/cluster-b/anopheline-sialome-cds-pep-larger-orf70-50SimCLU2.txt", 2)</f>
        <v>2</v>
      </c>
      <c r="CE334">
        <f>HYPERLINK("http://exon.niaid.nih.gov/transcriptome/Anopheles_sialome/links/cluster-b/anopheline-sialome-cds-pep-larger-orf70-50SimCLTL2.txt", 29)</f>
        <v>29</v>
      </c>
      <c r="CF334">
        <f>HYPERLINK("http://exon.niaid.nih.gov/transcriptome/Anopheles_sialome/links/cluster-b/anopheline-sialome-cds-pep-larger-orf75-50SimCLU2.txt", 2)</f>
        <v>2</v>
      </c>
      <c r="CG334">
        <f>HYPERLINK("http://exon.niaid.nih.gov/transcriptome/Anopheles_sialome/links/cluster-b/anopheline-sialome-cds-pep-larger-orf75-50SimCLTL2.txt", 28)</f>
        <v>28</v>
      </c>
      <c r="CH334">
        <v>127</v>
      </c>
      <c r="CI334">
        <v>1</v>
      </c>
      <c r="CJ334">
        <v>145</v>
      </c>
      <c r="CK334">
        <v>1</v>
      </c>
      <c r="CL334">
        <v>163</v>
      </c>
      <c r="CM334">
        <v>1</v>
      </c>
      <c r="CN334">
        <v>159</v>
      </c>
      <c r="CO334">
        <v>1</v>
      </c>
    </row>
    <row r="335" spans="1:93">
      <c r="A335" s="2" t="str">
        <f>HYPERLINK("http://exon.niaid.nih.gov/transcriptome/Anopheles_sialome/links/cds/anoalb_short-D7r1-cds.txt","anoalb_short-D7r1")</f>
        <v>anoalb_short-D7r1</v>
      </c>
      <c r="B335">
        <v>429</v>
      </c>
      <c r="C335" t="s">
        <v>4</v>
      </c>
      <c r="D335" s="8" t="s">
        <v>3178</v>
      </c>
      <c r="E335" t="s">
        <v>5</v>
      </c>
      <c r="F335" t="s">
        <v>1</v>
      </c>
      <c r="G335" t="str">
        <f>HYPERLINK("http://exon.niaid.nih.gov/transcriptome/Anopheles_sialome/links/pep/anoalb_short-D7r1-pep.txt","anoalb_short-D7r1")</f>
        <v>anoalb_short-D7r1</v>
      </c>
      <c r="H335">
        <v>142</v>
      </c>
      <c r="I335">
        <v>1</v>
      </c>
      <c r="J335" s="3" t="str">
        <f>HYPERLINK("http://exon.niaid.nih.gov/transcriptome/Anopheles_sialome/links/Sigp/anoalb_short-D7r1-SigP.txt","SIG")</f>
        <v>SIG</v>
      </c>
      <c r="K335" t="s">
        <v>708</v>
      </c>
      <c r="L335">
        <v>16.167000000000002</v>
      </c>
      <c r="M335">
        <v>8.0500000000000007</v>
      </c>
      <c r="N335">
        <v>13.505000000000001</v>
      </c>
      <c r="O335">
        <v>8.25</v>
      </c>
      <c r="P335" t="s">
        <v>1021</v>
      </c>
      <c r="Q335" s="3">
        <v>0</v>
      </c>
      <c r="R335" t="s">
        <v>128</v>
      </c>
      <c r="S335" t="s">
        <v>128</v>
      </c>
      <c r="T335" t="s">
        <v>128</v>
      </c>
      <c r="U335" t="s">
        <v>128</v>
      </c>
      <c r="V335" t="s">
        <v>128</v>
      </c>
      <c r="W335" s="3" t="str">
        <f>HYPERLINK("http://exon.niaid.nih.gov/transcriptome/Anopheles_sialome/links/netoglyc/anoalb_short-D7r1-netoglyc.txt","0")</f>
        <v>0</v>
      </c>
      <c r="X335">
        <v>9.1999999999999993</v>
      </c>
      <c r="Y335">
        <v>5.6</v>
      </c>
      <c r="Z335">
        <v>1.4</v>
      </c>
      <c r="AA335" t="s">
        <v>654</v>
      </c>
      <c r="AB335" t="s">
        <v>128</v>
      </c>
      <c r="AC335" s="2" t="str">
        <f>HYPERLINK("http://exon.niaid.nih.gov/transcriptome/Anopheles_sialome/links/DIPTERA/anoalb_short-D7r1-DIPTERA.txt","short from D7 salivary protein")</f>
        <v>short from D7 salivary protein</v>
      </c>
      <c r="AD335" t="str">
        <f>HYPERLINK("http://www.ncbi.nlm.nih.gov/sutils/blink.cgi?pid=208657495","4E-068")</f>
        <v>4E-068</v>
      </c>
      <c r="AE335" t="str">
        <f>HYPERLINK("http://www.ncbi.nlm.nih.gov/protein/208657495","gi|208657495")</f>
        <v>gi|208657495</v>
      </c>
      <c r="AF335">
        <v>87</v>
      </c>
      <c r="AG335">
        <v>91</v>
      </c>
      <c r="AH335">
        <v>100</v>
      </c>
      <c r="AI335" t="s">
        <v>2283</v>
      </c>
      <c r="AJ335" s="2" t="str">
        <f>HYPERLINK("http://exon.niaid.nih.gov/transcriptome/Anopheles_sialome/links/CULICOMORPHA/anoalb_short-D7r1-CULICOMORPHA.txt","short from D7 salivary protein")</f>
        <v>short from D7 salivary protein</v>
      </c>
      <c r="AK335" t="str">
        <f>HYPERLINK("http://www.ncbi.nlm.nih.gov/sutils/blink.cgi?pid=208657495","8E-069")</f>
        <v>8E-069</v>
      </c>
      <c r="AL335" t="str">
        <f>HYPERLINK("http://www.ncbi.nlm.nih.gov/protein/208657495","gi|208657495")</f>
        <v>gi|208657495</v>
      </c>
      <c r="AM335">
        <v>87</v>
      </c>
      <c r="AN335">
        <v>91</v>
      </c>
      <c r="AO335">
        <v>100</v>
      </c>
      <c r="AP335" t="s">
        <v>2283</v>
      </c>
      <c r="AQ335" s="2" t="str">
        <f>HYPERLINK("http://exon.niaid.nih.gov/transcriptome/Anopheles_sialome/links/NR-LIGHT/anoalb_short-D7r1-NR-LIGHT.txt","short form D7clu5 salivary protein")</f>
        <v>short form D7clu5 salivary protein</v>
      </c>
      <c r="AR335" t="str">
        <f>HYPERLINK("http://www.ncbi.nlm.nih.gov/sutils/blink.cgi?pid=16225980","7E-019")</f>
        <v>7E-019</v>
      </c>
      <c r="AS335" t="str">
        <f>HYPERLINK("http://www.ncbi.nlm.nih.gov/protein/16225980","gi|16225980")</f>
        <v>gi|16225980</v>
      </c>
      <c r="AT335">
        <v>37</v>
      </c>
      <c r="AU335">
        <v>61</v>
      </c>
      <c r="AV335">
        <v>82</v>
      </c>
      <c r="AW335" t="s">
        <v>2271</v>
      </c>
      <c r="AX335" s="2" t="str">
        <f>HYPERLINK("http://exon.niaid.nih.gov/transcriptome/Anopheles_sialome/links/CDD/anoalb_short-D7r1-CDD.txt","PLN02819")</f>
        <v>PLN02819</v>
      </c>
      <c r="AY335" t="str">
        <f>HYPERLINK("http://www.ncbi.nlm.nih.gov/Structure/cdd/cddsrv.cgi?uid=PLN02819&amp;version=v4.0","0.31")</f>
        <v>0.31</v>
      </c>
      <c r="AZ335" t="s">
        <v>2475</v>
      </c>
      <c r="BA335" s="2" t="str">
        <f>HYPERLINK("http://exon.niaid.nih.gov/transcriptome/Anopheles_sialome/links/KOG/anoalb_short-D7r1-KOG.txt","Chromosome condensation complex Condensin, subunit G")</f>
        <v>Chromosome condensation complex Condensin, subunit G</v>
      </c>
      <c r="BB335" t="str">
        <f>HYPERLINK("http://www.ncbi.nlm.nih.gov/Structure/cdd/cddsrv.cgi?uid=KOG2025","1.5")</f>
        <v>1.5</v>
      </c>
      <c r="BC335" t="s">
        <v>2476</v>
      </c>
      <c r="BD335" t="str">
        <f>HYPERLINK("http://exon.niaid.nih.gov/transcriptome/Anopheles_sialome/links/KOG/anoalb_short-D7r1-KOG.txt","KOG2025")</f>
        <v>KOG2025</v>
      </c>
      <c r="BE335" t="str">
        <f>HYPERLINK("http://exon.niaid.nih.gov/transcriptome/Anopheles_sialome/links/PFAM/anoalb_short-D7r1-PFAM.txt","PBP_GOBP")</f>
        <v>PBP_GOBP</v>
      </c>
      <c r="BF335" t="str">
        <f>HYPERLINK("http://pfam.sanger.ac.uk/family?acc=PF01395","0.13")</f>
        <v>0.13</v>
      </c>
      <c r="BG335" s="2" t="str">
        <f>HYPERLINK("http://exon.niaid.nih.gov/transcriptome/Anopheles_sialome/links/SMART/anoalb_short-D7r1-SMART.txt","PhBP")</f>
        <v>PhBP</v>
      </c>
      <c r="BH335" t="str">
        <f>HYPERLINK("http://smart.embl-heidelberg.de/smart/do_annotation.pl?DOMAIN=PhBP&amp;BLAST=DUMMY","0.16")</f>
        <v>0.16</v>
      </c>
      <c r="BI335" t="s">
        <v>128</v>
      </c>
      <c r="BJ335" s="2" t="s">
        <v>128</v>
      </c>
      <c r="BK335" t="s">
        <v>1020</v>
      </c>
      <c r="BL335">
        <f>HYPERLINK("http://exon.niaid.nih.gov/transcriptome/Anopheles_sialome/links/cluster-b/anopheline-sialome-cds-pep-larger-orf25-50SimCLU2.txt", 2)</f>
        <v>2</v>
      </c>
      <c r="BM335">
        <f>HYPERLINK("http://exon.niaid.nih.gov/transcriptome/Anopheles_sialome/links/cluster-b/anopheline-sialome-cds-pep-larger-orf25-50SimCLTL2.txt", 120)</f>
        <v>120</v>
      </c>
      <c r="BN335">
        <f>HYPERLINK("http://exon.niaid.nih.gov/transcriptome/Anopheles_sialome/links/cluster-b/anopheline-sialome-cds-pep-larger-orf30-50SimCLU2.txt", 2)</f>
        <v>2</v>
      </c>
      <c r="BO335">
        <f>HYPERLINK("http://exon.niaid.nih.gov/transcriptome/Anopheles_sialome/links/cluster-b/anopheline-sialome-cds-pep-larger-orf30-50SimCLTL2.txt", 120)</f>
        <v>120</v>
      </c>
      <c r="BP335">
        <f>HYPERLINK("http://exon.niaid.nih.gov/transcriptome/Anopheles_sialome/links/cluster-b/anopheline-sialome-cds-pep-larger-orf35-50SimCLU1.txt", 1)</f>
        <v>1</v>
      </c>
      <c r="BQ335">
        <f>HYPERLINK("http://exon.niaid.nih.gov/transcriptome/Anopheles_sialome/links/cluster-b/anopheline-sialome-cds-pep-larger-orf35-50SimCLTL1.txt", 120)</f>
        <v>120</v>
      </c>
      <c r="BR335">
        <f>HYPERLINK("http://exon.niaid.nih.gov/transcriptome/Anopheles_sialome/links/cluster-b/anopheline-sialome-cds-pep-larger-orf40-50SimCLU2.txt", 2)</f>
        <v>2</v>
      </c>
      <c r="BS335">
        <f>HYPERLINK("http://exon.niaid.nih.gov/transcriptome/Anopheles_sialome/links/cluster-b/anopheline-sialome-cds-pep-larger-orf40-50SimCLTL2.txt", 83)</f>
        <v>83</v>
      </c>
      <c r="BT335">
        <f>HYPERLINK("http://exon.niaid.nih.gov/transcriptome/Anopheles_sialome/links/cluster-b/anopheline-sialome-cds-pep-larger-orf45-50SimCLU1.txt", 1)</f>
        <v>1</v>
      </c>
      <c r="BU335">
        <f>HYPERLINK("http://exon.niaid.nih.gov/transcriptome/Anopheles_sialome/links/cluster-b/anopheline-sialome-cds-pep-larger-orf45-50SimCLTL1.txt", 83)</f>
        <v>83</v>
      </c>
      <c r="BV335">
        <f>HYPERLINK("http://exon.niaid.nih.gov/transcriptome/Anopheles_sialome/links/cluster-b/anopheline-sialome-cds-pep-larger-orf50-50SimCLU1.txt", 1)</f>
        <v>1</v>
      </c>
      <c r="BW335">
        <f>HYPERLINK("http://exon.niaid.nih.gov/transcriptome/Anopheles_sialome/links/cluster-b/anopheline-sialome-cds-pep-larger-orf50-50SimCLTL1.txt", 83)</f>
        <v>83</v>
      </c>
      <c r="BX335">
        <f>HYPERLINK("http://exon.niaid.nih.gov/transcriptome/Anopheles_sialome/links/cluster-b/anopheline-sialome-cds-pep-larger-orf55-50SimCLU33.txt", 33)</f>
        <v>33</v>
      </c>
      <c r="BY335">
        <f>HYPERLINK("http://exon.niaid.nih.gov/transcriptome/Anopheles_sialome/links/cluster-b/anopheline-sialome-cds-pep-larger-orf55-50SimCLTL33.txt", 4)</f>
        <v>4</v>
      </c>
      <c r="BZ335">
        <v>53</v>
      </c>
      <c r="CA335">
        <v>1</v>
      </c>
      <c r="CB335">
        <v>66</v>
      </c>
      <c r="CC335">
        <v>1</v>
      </c>
      <c r="CD335">
        <v>79</v>
      </c>
      <c r="CE335">
        <v>1</v>
      </c>
      <c r="CF335">
        <v>103</v>
      </c>
      <c r="CG335">
        <v>1</v>
      </c>
      <c r="CH335">
        <v>128</v>
      </c>
      <c r="CI335">
        <v>1</v>
      </c>
      <c r="CJ335">
        <v>146</v>
      </c>
      <c r="CK335">
        <v>1</v>
      </c>
      <c r="CL335">
        <v>164</v>
      </c>
      <c r="CM335">
        <v>1</v>
      </c>
      <c r="CN335">
        <v>160</v>
      </c>
      <c r="CO335">
        <v>1</v>
      </c>
    </row>
    <row r="336" spans="1:93">
      <c r="A336" s="2" t="str">
        <f>HYPERLINK("http://exon.niaid.nih.gov/transcriptome/Anopheles_sialome/links/cds/anoalb_short-D7r1a-cds.txt","anoalb_short-D7r1a")</f>
        <v>anoalb_short-D7r1a</v>
      </c>
      <c r="B336">
        <v>420</v>
      </c>
      <c r="C336" t="s">
        <v>4</v>
      </c>
      <c r="D336" s="8" t="s">
        <v>3178</v>
      </c>
      <c r="E336" t="s">
        <v>5</v>
      </c>
      <c r="F336" t="s">
        <v>1</v>
      </c>
      <c r="G336" t="str">
        <f>HYPERLINK("http://exon.niaid.nih.gov/transcriptome/Anopheles_sialome/links/pep/anoalb_short-D7r1a-pep.txt","anoalb_short-D7r1a")</f>
        <v>anoalb_short-D7r1a</v>
      </c>
      <c r="H336">
        <v>139</v>
      </c>
      <c r="I336">
        <v>0</v>
      </c>
      <c r="J336" s="3" t="str">
        <f>HYPERLINK("http://exon.niaid.nih.gov/transcriptome/Anopheles_sialome/links/Sigp/anoalb_short-D7r1a-SigP.txt","CYT")</f>
        <v>CYT</v>
      </c>
      <c r="K336" t="s">
        <v>128</v>
      </c>
      <c r="L336">
        <v>15.757</v>
      </c>
      <c r="M336">
        <v>8.9600000000000009</v>
      </c>
      <c r="N336" t="s">
        <v>128</v>
      </c>
      <c r="O336" t="s">
        <v>128</v>
      </c>
      <c r="P336" t="s">
        <v>1023</v>
      </c>
      <c r="Q336" s="3">
        <v>0</v>
      </c>
      <c r="R336" t="s">
        <v>128</v>
      </c>
      <c r="S336" t="s">
        <v>128</v>
      </c>
      <c r="T336" t="s">
        <v>128</v>
      </c>
      <c r="U336" t="s">
        <v>128</v>
      </c>
      <c r="V336" t="s">
        <v>128</v>
      </c>
      <c r="W336" s="3" t="str">
        <f>HYPERLINK("http://exon.niaid.nih.gov/transcriptome/Anopheles_sialome/links/netoglyc/anoalb_short-D7r1a-netoglyc.txt","0")</f>
        <v>0</v>
      </c>
      <c r="X336">
        <v>11.5</v>
      </c>
      <c r="Y336">
        <v>5</v>
      </c>
      <c r="Z336">
        <v>1.4</v>
      </c>
      <c r="AA336" t="s">
        <v>654</v>
      </c>
      <c r="AB336" t="s">
        <v>128</v>
      </c>
      <c r="AC336" s="2" t="str">
        <f>HYPERLINK("http://exon.niaid.nih.gov/transcriptome/Anopheles_sialome/links/DIPTERA/anoalb_short-D7r1a-DIPTERA.txt","putative short from d7 salivary protein")</f>
        <v>putative short from d7 salivary protein</v>
      </c>
      <c r="AD336" t="str">
        <f>HYPERLINK("http://www.ncbi.nlm.nih.gov/sutils/blink.cgi?pid=524939570","2E-061")</f>
        <v>2E-061</v>
      </c>
      <c r="AE336" t="str">
        <f>HYPERLINK("http://www.ncbi.nlm.nih.gov/protein/524939570","gi|524939570")</f>
        <v>gi|524939570</v>
      </c>
      <c r="AF336">
        <v>90</v>
      </c>
      <c r="AG336">
        <v>96</v>
      </c>
      <c r="AH336">
        <v>88</v>
      </c>
      <c r="AI336" t="s">
        <v>2477</v>
      </c>
      <c r="AJ336" s="2" t="str">
        <f>HYPERLINK("http://exon.niaid.nih.gov/transcriptome/Anopheles_sialome/links/CULICOMORPHA/anoalb_short-D7r1a-CULICOMORPHA.txt","putative short from d7 salivary protein")</f>
        <v>putative short from d7 salivary protein</v>
      </c>
      <c r="AK336" t="str">
        <f>HYPERLINK("http://www.ncbi.nlm.nih.gov/sutils/blink.cgi?pid=524939570","3E-062")</f>
        <v>3E-062</v>
      </c>
      <c r="AL336" t="str">
        <f>HYPERLINK("http://www.ncbi.nlm.nih.gov/protein/524939570","gi|524939570")</f>
        <v>gi|524939570</v>
      </c>
      <c r="AM336">
        <v>90</v>
      </c>
      <c r="AN336">
        <v>96</v>
      </c>
      <c r="AO336">
        <v>88</v>
      </c>
      <c r="AP336" t="s">
        <v>2477</v>
      </c>
      <c r="AQ336" s="2" t="str">
        <f>HYPERLINK("http://exon.niaid.nih.gov/transcriptome/Anopheles_sialome/links/NR-LIGHT/anoalb_short-D7r1a-NR-LIGHT.txt","a348")</f>
        <v>a348</v>
      </c>
      <c r="AR336" t="str">
        <f>HYPERLINK("http://www.ncbi.nlm.nih.gov/sutils/blink.cgi?pid=668454397","3E-027")</f>
        <v>3E-027</v>
      </c>
      <c r="AS336" t="str">
        <f>HYPERLINK("http://www.ncbi.nlm.nih.gov/protein/668454397","gi|668454397")</f>
        <v>gi|668454397</v>
      </c>
      <c r="AT336">
        <v>48</v>
      </c>
      <c r="AU336">
        <v>66</v>
      </c>
      <c r="AV336">
        <v>76</v>
      </c>
      <c r="AW336" t="s">
        <v>2277</v>
      </c>
      <c r="AX336" s="2" t="str">
        <f>HYPERLINK("http://exon.niaid.nih.gov/transcriptome/Anopheles_sialome/links/CDD/anoalb_short-D7r1a-CDD.txt","COG2733")</f>
        <v>COG2733</v>
      </c>
      <c r="AY336" t="str">
        <f>HYPERLINK("http://www.ncbi.nlm.nih.gov/Structure/cdd/cddsrv.cgi?uid=COG2733&amp;version=v4.0","0.33")</f>
        <v>0.33</v>
      </c>
      <c r="AZ336" t="s">
        <v>2478</v>
      </c>
      <c r="BA336" s="2" t="str">
        <f>HYPERLINK("http://exon.niaid.nih.gov/transcriptome/Anopheles_sialome/links/KOG/anoalb_short-D7r1a-KOG.txt","Aryl-hydrocarbon receptor-interacting protein")</f>
        <v>Aryl-hydrocarbon receptor-interacting protein</v>
      </c>
      <c r="BB336" t="str">
        <f>HYPERLINK("http://www.ncbi.nlm.nih.gov/Structure/cdd/cddsrv.cgi?uid=KOG0545","0.30")</f>
        <v>0.30</v>
      </c>
      <c r="BC336" t="s">
        <v>2296</v>
      </c>
      <c r="BD336" t="str">
        <f>HYPERLINK("http://exon.niaid.nih.gov/transcriptome/Anopheles_sialome/links/KOG/anoalb_short-D7r1a-KOG.txt","KOG0545")</f>
        <v>KOG0545</v>
      </c>
      <c r="BE336" t="str">
        <f>HYPERLINK("http://exon.niaid.nih.gov/transcriptome/Anopheles_sialome/links/PFAM/anoalb_short-D7r1a-PFAM.txt","PBP_GOBP")</f>
        <v>PBP_GOBP</v>
      </c>
      <c r="BF336" t="str">
        <f>HYPERLINK("http://pfam.sanger.ac.uk/family?acc=PF01395","1.4")</f>
        <v>1.4</v>
      </c>
      <c r="BG336" s="2" t="str">
        <f>HYPERLINK("http://exon.niaid.nih.gov/transcriptome/Anopheles_sialome/links/SMART/anoalb_short-D7r1a-SMART.txt","HEPN")</f>
        <v>HEPN</v>
      </c>
      <c r="BH336" t="str">
        <f>HYPERLINK("http://smart.embl-heidelberg.de/smart/do_annotation.pl?DOMAIN=HEPN&amp;BLAST=DUMMY","1.0")</f>
        <v>1.0</v>
      </c>
      <c r="BI336" t="s">
        <v>128</v>
      </c>
      <c r="BJ336" s="2" t="s">
        <v>128</v>
      </c>
      <c r="BK336" t="s">
        <v>1022</v>
      </c>
      <c r="BL336">
        <f>HYPERLINK("http://exon.niaid.nih.gov/transcriptome/Anopheles_sialome/links/cluster-b/anopheline-sialome-cds-pep-larger-orf25-50SimCLU2.txt", 2)</f>
        <v>2</v>
      </c>
      <c r="BM336">
        <f>HYPERLINK("http://exon.niaid.nih.gov/transcriptome/Anopheles_sialome/links/cluster-b/anopheline-sialome-cds-pep-larger-orf25-50SimCLTL2.txt", 120)</f>
        <v>120</v>
      </c>
      <c r="BN336">
        <f>HYPERLINK("http://exon.niaid.nih.gov/transcriptome/Anopheles_sialome/links/cluster-b/anopheline-sialome-cds-pep-larger-orf30-50SimCLU2.txt", 2)</f>
        <v>2</v>
      </c>
      <c r="BO336">
        <f>HYPERLINK("http://exon.niaid.nih.gov/transcriptome/Anopheles_sialome/links/cluster-b/anopheline-sialome-cds-pep-larger-orf30-50SimCLTL2.txt", 120)</f>
        <v>120</v>
      </c>
      <c r="BP336">
        <f>HYPERLINK("http://exon.niaid.nih.gov/transcriptome/Anopheles_sialome/links/cluster-b/anopheline-sialome-cds-pep-larger-orf35-50SimCLU1.txt", 1)</f>
        <v>1</v>
      </c>
      <c r="BQ336">
        <f>HYPERLINK("http://exon.niaid.nih.gov/transcriptome/Anopheles_sialome/links/cluster-b/anopheline-sialome-cds-pep-larger-orf35-50SimCLTL1.txt", 120)</f>
        <v>120</v>
      </c>
      <c r="BR336">
        <f>HYPERLINK("http://exon.niaid.nih.gov/transcriptome/Anopheles_sialome/links/cluster-b/anopheline-sialome-cds-pep-larger-orf40-50SimCLU2.txt", 2)</f>
        <v>2</v>
      </c>
      <c r="BS336">
        <f>HYPERLINK("http://exon.niaid.nih.gov/transcriptome/Anopheles_sialome/links/cluster-b/anopheline-sialome-cds-pep-larger-orf40-50SimCLTL2.txt", 83)</f>
        <v>83</v>
      </c>
      <c r="BT336">
        <f>HYPERLINK("http://exon.niaid.nih.gov/transcriptome/Anopheles_sialome/links/cluster-b/anopheline-sialome-cds-pep-larger-orf45-50SimCLU1.txt", 1)</f>
        <v>1</v>
      </c>
      <c r="BU336">
        <f>HYPERLINK("http://exon.niaid.nih.gov/transcriptome/Anopheles_sialome/links/cluster-b/anopheline-sialome-cds-pep-larger-orf45-50SimCLTL1.txt", 83)</f>
        <v>83</v>
      </c>
      <c r="BV336">
        <f>HYPERLINK("http://exon.niaid.nih.gov/transcriptome/Anopheles_sialome/links/cluster-b/anopheline-sialome-cds-pep-larger-orf50-50SimCLU1.txt", 1)</f>
        <v>1</v>
      </c>
      <c r="BW336">
        <f>HYPERLINK("http://exon.niaid.nih.gov/transcriptome/Anopheles_sialome/links/cluster-b/anopheline-sialome-cds-pep-larger-orf50-50SimCLTL1.txt", 83)</f>
        <v>83</v>
      </c>
      <c r="BX336">
        <f>HYPERLINK("http://exon.niaid.nih.gov/transcriptome/Anopheles_sialome/links/cluster-b/anopheline-sialome-cds-pep-larger-orf55-50SimCLU33.txt", 33)</f>
        <v>33</v>
      </c>
      <c r="BY336">
        <f>HYPERLINK("http://exon.niaid.nih.gov/transcriptome/Anopheles_sialome/links/cluster-b/anopheline-sialome-cds-pep-larger-orf55-50SimCLTL33.txt", 4)</f>
        <v>4</v>
      </c>
      <c r="BZ336">
        <v>54</v>
      </c>
      <c r="CA336">
        <v>1</v>
      </c>
      <c r="CB336">
        <v>67</v>
      </c>
      <c r="CC336">
        <v>1</v>
      </c>
      <c r="CD336">
        <v>80</v>
      </c>
      <c r="CE336">
        <v>1</v>
      </c>
      <c r="CF336">
        <v>104</v>
      </c>
      <c r="CG336">
        <v>1</v>
      </c>
      <c r="CH336">
        <v>129</v>
      </c>
      <c r="CI336">
        <v>1</v>
      </c>
      <c r="CJ336">
        <v>147</v>
      </c>
      <c r="CK336">
        <v>1</v>
      </c>
      <c r="CL336">
        <v>165</v>
      </c>
      <c r="CM336">
        <v>1</v>
      </c>
      <c r="CN336">
        <v>161</v>
      </c>
      <c r="CO336">
        <v>1</v>
      </c>
    </row>
    <row r="337" spans="1:93">
      <c r="A337" s="2" t="str">
        <f>HYPERLINK("http://exon.niaid.nih.gov/transcriptome/Anopheles_sialome/links/cds/anoalb_short-D7r1b-cds.txt","anoalb_short-D7r1b")</f>
        <v>anoalb_short-D7r1b</v>
      </c>
      <c r="B337">
        <v>417</v>
      </c>
      <c r="C337" t="s">
        <v>4</v>
      </c>
      <c r="D337" s="8" t="s">
        <v>3178</v>
      </c>
      <c r="E337" t="s">
        <v>5</v>
      </c>
      <c r="F337" t="s">
        <v>1</v>
      </c>
      <c r="G337" t="str">
        <f>HYPERLINK("http://exon.niaid.nih.gov/transcriptome/Anopheles_sialome/links/pep/anoalb_short-D7r1b-pep.txt","anoalb_short-D7r1b")</f>
        <v>anoalb_short-D7r1b</v>
      </c>
      <c r="H337">
        <v>138</v>
      </c>
      <c r="I337">
        <v>0</v>
      </c>
      <c r="J337" s="3" t="str">
        <f>HYPERLINK("http://exon.niaid.nih.gov/transcriptome/Anopheles_sialome/links/Sigp/anoalb_short-D7r1b-SigP.txt","CYT")</f>
        <v>CYT</v>
      </c>
      <c r="K337" t="s">
        <v>128</v>
      </c>
      <c r="L337">
        <v>15.914</v>
      </c>
      <c r="M337">
        <v>8.09</v>
      </c>
      <c r="N337" t="s">
        <v>128</v>
      </c>
      <c r="O337" t="s">
        <v>128</v>
      </c>
      <c r="P337" t="s">
        <v>1025</v>
      </c>
      <c r="Q337" s="3">
        <v>0</v>
      </c>
      <c r="R337" t="s">
        <v>128</v>
      </c>
      <c r="S337" t="s">
        <v>128</v>
      </c>
      <c r="T337" t="s">
        <v>128</v>
      </c>
      <c r="U337" t="s">
        <v>128</v>
      </c>
      <c r="V337" t="s">
        <v>128</v>
      </c>
      <c r="W337" s="3" t="str">
        <f>HYPERLINK("http://exon.niaid.nih.gov/transcriptome/Anopheles_sialome/links/netoglyc/anoalb_short-D7r1b-netoglyc.txt","0")</f>
        <v>0</v>
      </c>
      <c r="X337">
        <v>9.4</v>
      </c>
      <c r="Y337">
        <v>2.9</v>
      </c>
      <c r="Z337">
        <v>1.4</v>
      </c>
      <c r="AA337" t="s">
        <v>654</v>
      </c>
      <c r="AB337" t="s">
        <v>128</v>
      </c>
      <c r="AC337" s="2" t="str">
        <f>HYPERLINK("http://exon.niaid.nih.gov/transcriptome/Anopheles_sialome/links/DIPTERA/anoalb_short-D7r1b-DIPTERA.txt","short from D7 salivary protein")</f>
        <v>short from D7 salivary protein</v>
      </c>
      <c r="AD337" t="str">
        <f>HYPERLINK("http://www.ncbi.nlm.nih.gov/sutils/blink.cgi?pid=208657497","2E-055")</f>
        <v>2E-055</v>
      </c>
      <c r="AE337" t="str">
        <f>HYPERLINK("http://www.ncbi.nlm.nih.gov/protein/208657497","gi|208657497")</f>
        <v>gi|208657497</v>
      </c>
      <c r="AF337">
        <v>84</v>
      </c>
      <c r="AG337">
        <v>94</v>
      </c>
      <c r="AH337">
        <v>84</v>
      </c>
      <c r="AI337" t="s">
        <v>2283</v>
      </c>
      <c r="AJ337" s="2" t="str">
        <f>HYPERLINK("http://exon.niaid.nih.gov/transcriptome/Anopheles_sialome/links/CULICOMORPHA/anoalb_short-D7r1b-CULICOMORPHA.txt","short from D7 salivary protein")</f>
        <v>short from D7 salivary protein</v>
      </c>
      <c r="AK337" t="str">
        <f>HYPERLINK("http://www.ncbi.nlm.nih.gov/sutils/blink.cgi?pid=208657497","4E-056")</f>
        <v>4E-056</v>
      </c>
      <c r="AL337" t="str">
        <f>HYPERLINK("http://www.ncbi.nlm.nih.gov/protein/208657497","gi|208657497")</f>
        <v>gi|208657497</v>
      </c>
      <c r="AM337">
        <v>84</v>
      </c>
      <c r="AN337">
        <v>94</v>
      </c>
      <c r="AO337">
        <v>84</v>
      </c>
      <c r="AP337" t="s">
        <v>2283</v>
      </c>
      <c r="AQ337" s="2" t="str">
        <f>HYPERLINK("http://exon.niaid.nih.gov/transcriptome/Anopheles_sialome/links/NR-LIGHT/anoalb_short-D7r1b-NR-LIGHT.txt","short form D7 salivary protein D7r4")</f>
        <v>short form D7 salivary protein D7r4</v>
      </c>
      <c r="AR337" t="str">
        <f>HYPERLINK("http://www.ncbi.nlm.nih.gov/sutils/blink.cgi?pid=114864647","5E-015")</f>
        <v>5E-015</v>
      </c>
      <c r="AS337" t="str">
        <f>HYPERLINK("http://www.ncbi.nlm.nih.gov/protein/114864647","gi|114864647")</f>
        <v>gi|114864647</v>
      </c>
      <c r="AT337">
        <v>31</v>
      </c>
      <c r="AU337">
        <v>55</v>
      </c>
      <c r="AV337">
        <v>77</v>
      </c>
      <c r="AW337" t="s">
        <v>2266</v>
      </c>
      <c r="AX337" s="2" t="str">
        <f>HYPERLINK("http://exon.niaid.nih.gov/transcriptome/Anopheles_sialome/links/CDD/anoalb_short-D7r1b-CDD.txt","PhBP")</f>
        <v>PhBP</v>
      </c>
      <c r="AY337" t="str">
        <f>HYPERLINK("http://www.ncbi.nlm.nih.gov/Structure/cdd/cddsrv.cgi?uid=smart00708&amp;version=v4.0","0.008")</f>
        <v>0.008</v>
      </c>
      <c r="AZ337" t="s">
        <v>2479</v>
      </c>
      <c r="BA337" s="2" t="str">
        <f>HYPERLINK("http://exon.niaid.nih.gov/transcriptome/Anopheles_sialome/links/KOG/anoalb_short-D7r1b-KOG.txt","DNA-dependent protein kinase")</f>
        <v>DNA-dependent protein kinase</v>
      </c>
      <c r="BB337" t="str">
        <f>HYPERLINK("http://www.ncbi.nlm.nih.gov/Structure/cdd/cddsrv.cgi?uid=KOG0891","0.76")</f>
        <v>0.76</v>
      </c>
      <c r="BC337" t="s">
        <v>2290</v>
      </c>
      <c r="BD337" t="str">
        <f>HYPERLINK("http://exon.niaid.nih.gov/transcriptome/Anopheles_sialome/links/KOG/anoalb_short-D7r1b-KOG.txt","KOG0891")</f>
        <v>KOG0891</v>
      </c>
      <c r="BE337" t="str">
        <f>HYPERLINK("http://exon.niaid.nih.gov/transcriptome/Anopheles_sialome/links/PFAM/anoalb_short-D7r1b-PFAM.txt","PBP_GOBP")</f>
        <v>PBP_GOBP</v>
      </c>
      <c r="BF337" t="str">
        <f>HYPERLINK("http://pfam.sanger.ac.uk/family?acc=PF01395","0.005")</f>
        <v>0.005</v>
      </c>
      <c r="BG337" s="2" t="str">
        <f>HYPERLINK("http://exon.niaid.nih.gov/transcriptome/Anopheles_sialome/links/SMART/anoalb_short-D7r1b-SMART.txt","PhBP")</f>
        <v>PhBP</v>
      </c>
      <c r="BH337" t="str">
        <f>HYPERLINK("http://smart.embl-heidelberg.de/smart/do_annotation.pl?DOMAIN=PhBP&amp;BLAST=DUMMY","1E-004")</f>
        <v>1E-004</v>
      </c>
      <c r="BI337" t="s">
        <v>128</v>
      </c>
      <c r="BJ337" s="2" t="s">
        <v>128</v>
      </c>
      <c r="BK337" t="s">
        <v>1024</v>
      </c>
      <c r="BL337">
        <f>HYPERLINK("http://exon.niaid.nih.gov/transcriptome/Anopheles_sialome/links/cluster-b/anopheline-sialome-cds-pep-larger-orf25-50SimCLU2.txt", 2)</f>
        <v>2</v>
      </c>
      <c r="BM337">
        <f>HYPERLINK("http://exon.niaid.nih.gov/transcriptome/Anopheles_sialome/links/cluster-b/anopheline-sialome-cds-pep-larger-orf25-50SimCLTL2.txt", 120)</f>
        <v>120</v>
      </c>
      <c r="BN337">
        <f>HYPERLINK("http://exon.niaid.nih.gov/transcriptome/Anopheles_sialome/links/cluster-b/anopheline-sialome-cds-pep-larger-orf30-50SimCLU2.txt", 2)</f>
        <v>2</v>
      </c>
      <c r="BO337">
        <f>HYPERLINK("http://exon.niaid.nih.gov/transcriptome/Anopheles_sialome/links/cluster-b/anopheline-sialome-cds-pep-larger-orf30-50SimCLTL2.txt", 120)</f>
        <v>120</v>
      </c>
      <c r="BP337">
        <f>HYPERLINK("http://exon.niaid.nih.gov/transcriptome/Anopheles_sialome/links/cluster-b/anopheline-sialome-cds-pep-larger-orf35-50SimCLU1.txt", 1)</f>
        <v>1</v>
      </c>
      <c r="BQ337">
        <f>HYPERLINK("http://exon.niaid.nih.gov/transcriptome/Anopheles_sialome/links/cluster-b/anopheline-sialome-cds-pep-larger-orf35-50SimCLTL1.txt", 120)</f>
        <v>120</v>
      </c>
      <c r="BR337">
        <f>HYPERLINK("http://exon.niaid.nih.gov/transcriptome/Anopheles_sialome/links/cluster-b/anopheline-sialome-cds-pep-larger-orf40-50SimCLU2.txt", 2)</f>
        <v>2</v>
      </c>
      <c r="BS337">
        <f>HYPERLINK("http://exon.niaid.nih.gov/transcriptome/Anopheles_sialome/links/cluster-b/anopheline-sialome-cds-pep-larger-orf40-50SimCLTL2.txt", 83)</f>
        <v>83</v>
      </c>
      <c r="BT337">
        <f>HYPERLINK("http://exon.niaid.nih.gov/transcriptome/Anopheles_sialome/links/cluster-b/anopheline-sialome-cds-pep-larger-orf45-50SimCLU1.txt", 1)</f>
        <v>1</v>
      </c>
      <c r="BU337">
        <f>HYPERLINK("http://exon.niaid.nih.gov/transcriptome/Anopheles_sialome/links/cluster-b/anopheline-sialome-cds-pep-larger-orf45-50SimCLTL1.txt", 83)</f>
        <v>83</v>
      </c>
      <c r="BV337">
        <f>HYPERLINK("http://exon.niaid.nih.gov/transcriptome/Anopheles_sialome/links/cluster-b/anopheline-sialome-cds-pep-larger-orf50-50SimCLU1.txt", 1)</f>
        <v>1</v>
      </c>
      <c r="BW337">
        <f>HYPERLINK("http://exon.niaid.nih.gov/transcriptome/Anopheles_sialome/links/cluster-b/anopheline-sialome-cds-pep-larger-orf50-50SimCLTL1.txt", 83)</f>
        <v>83</v>
      </c>
      <c r="BX337">
        <f>HYPERLINK("http://exon.niaid.nih.gov/transcriptome/Anopheles_sialome/links/cluster-b/anopheline-sialome-cds-pep-larger-orf55-50SimCLU33.txt", 33)</f>
        <v>33</v>
      </c>
      <c r="BY337">
        <f>HYPERLINK("http://exon.niaid.nih.gov/transcriptome/Anopheles_sialome/links/cluster-b/anopheline-sialome-cds-pep-larger-orf55-50SimCLTL33.txt", 4)</f>
        <v>4</v>
      </c>
      <c r="BZ337">
        <f>HYPERLINK("http://exon.niaid.nih.gov/transcriptome/Anopheles_sialome/links/cluster-b/anopheline-sialome-cds-pep-larger-orf60-50SimCLU39.txt", 39)</f>
        <v>39</v>
      </c>
      <c r="CA337">
        <f>HYPERLINK("http://exon.niaid.nih.gov/transcriptome/Anopheles_sialome/links/cluster-b/anopheline-sialome-cds-pep-larger-orf60-50SimCLTL39.txt", 2)</f>
        <v>2</v>
      </c>
      <c r="CB337">
        <f>HYPERLINK("http://exon.niaid.nih.gov/transcriptome/Anopheles_sialome/links/cluster-b/anopheline-sialome-cds-pep-larger-orf65-50SimCLU45.txt", 45)</f>
        <v>45</v>
      </c>
      <c r="CC337">
        <f>HYPERLINK("http://exon.niaid.nih.gov/transcriptome/Anopheles_sialome/links/cluster-b/anopheline-sialome-cds-pep-larger-orf65-50SimCLTL45.txt", 2)</f>
        <v>2</v>
      </c>
      <c r="CD337">
        <f>HYPERLINK("http://exon.niaid.nih.gov/transcriptome/Anopheles_sialome/links/cluster-b/anopheline-sialome-cds-pep-larger-orf70-50SimCLU48.txt", 48)</f>
        <v>48</v>
      </c>
      <c r="CE337">
        <f>HYPERLINK("http://exon.niaid.nih.gov/transcriptome/Anopheles_sialome/links/cluster-b/anopheline-sialome-cds-pep-larger-orf70-50SimCLTL48.txt", 2)</f>
        <v>2</v>
      </c>
      <c r="CF337">
        <f>HYPERLINK("http://exon.niaid.nih.gov/transcriptome/Anopheles_sialome/links/cluster-b/anopheline-sialome-cds-pep-larger-orf75-50SimCLU60.txt", 60)</f>
        <v>60</v>
      </c>
      <c r="CG337">
        <f>HYPERLINK("http://exon.niaid.nih.gov/transcriptome/Anopheles_sialome/links/cluster-b/anopheline-sialome-cds-pep-larger-orf75-50SimCLTL60.txt", 2)</f>
        <v>2</v>
      </c>
      <c r="CH337">
        <v>130</v>
      </c>
      <c r="CI337">
        <v>1</v>
      </c>
      <c r="CJ337">
        <v>148</v>
      </c>
      <c r="CK337">
        <v>1</v>
      </c>
      <c r="CL337">
        <v>166</v>
      </c>
      <c r="CM337">
        <v>1</v>
      </c>
      <c r="CN337">
        <v>162</v>
      </c>
      <c r="CO337">
        <v>1</v>
      </c>
    </row>
    <row r="338" spans="1:93">
      <c r="A338" s="2" t="str">
        <f>HYPERLINK("http://exon.niaid.nih.gov/transcriptome/Anopheles_sialome/links/cds/anodar_short-D7r1-cds.txt","anodar_short-D7r1")</f>
        <v>anodar_short-D7r1</v>
      </c>
      <c r="B338">
        <v>423</v>
      </c>
      <c r="C338" t="s">
        <v>4</v>
      </c>
      <c r="D338" s="8" t="s">
        <v>3178</v>
      </c>
      <c r="E338" t="s">
        <v>5</v>
      </c>
      <c r="F338" t="s">
        <v>1</v>
      </c>
      <c r="G338" t="str">
        <f>HYPERLINK("http://exon.niaid.nih.gov/transcriptome/Anopheles_sialome/links/pep/anodar_short-D7r1-pep.txt","anodar_short-D7r1")</f>
        <v>anodar_short-D7r1</v>
      </c>
      <c r="H338">
        <v>140</v>
      </c>
      <c r="I338">
        <v>0</v>
      </c>
      <c r="J338" s="3" t="str">
        <f>HYPERLINK("http://exon.niaid.nih.gov/transcriptome/Anopheles_sialome/links/Sigp/anodar_short-D7r1-SigP.txt","SIG")</f>
        <v>SIG</v>
      </c>
      <c r="K338" t="s">
        <v>689</v>
      </c>
      <c r="L338">
        <v>16.111999999999998</v>
      </c>
      <c r="M338">
        <v>5.94</v>
      </c>
      <c r="N338">
        <v>13.786</v>
      </c>
      <c r="O338">
        <v>5.95</v>
      </c>
      <c r="P338" t="s">
        <v>1027</v>
      </c>
      <c r="Q338" s="3">
        <v>0</v>
      </c>
      <c r="R338" t="s">
        <v>128</v>
      </c>
      <c r="S338" t="s">
        <v>128</v>
      </c>
      <c r="T338" t="s">
        <v>128</v>
      </c>
      <c r="U338" t="s">
        <v>128</v>
      </c>
      <c r="V338" t="s">
        <v>128</v>
      </c>
      <c r="W338" s="3" t="str">
        <f>HYPERLINK("http://exon.niaid.nih.gov/transcriptome/Anopheles_sialome/links/netoglyc/anodar_short-D7r1-netoglyc.txt","0")</f>
        <v>0</v>
      </c>
      <c r="X338">
        <v>11.4</v>
      </c>
      <c r="Y338">
        <v>3.6</v>
      </c>
      <c r="Z338">
        <v>0.7</v>
      </c>
      <c r="AA338" t="s">
        <v>654</v>
      </c>
      <c r="AB338" t="s">
        <v>128</v>
      </c>
      <c r="AC338" s="2" t="str">
        <f>HYPERLINK("http://exon.niaid.nih.gov/transcriptome/Anopheles_sialome/links/DIPTERA/anodar_short-D7r1-DIPTERA.txt","short from D7 salivary protein")</f>
        <v>short from D7 salivary protein</v>
      </c>
      <c r="AD338" t="str">
        <f>HYPERLINK("http://www.ncbi.nlm.nih.gov/sutils/blink.cgi?pid=208657497","1E-076")</f>
        <v>1E-076</v>
      </c>
      <c r="AE338" t="str">
        <f>HYPERLINK("http://www.ncbi.nlm.nih.gov/protein/208657497","gi|208657497")</f>
        <v>gi|208657497</v>
      </c>
      <c r="AF338">
        <v>100</v>
      </c>
      <c r="AG338">
        <v>100</v>
      </c>
      <c r="AH338">
        <v>100</v>
      </c>
      <c r="AI338" t="s">
        <v>2283</v>
      </c>
      <c r="AJ338" s="2" t="str">
        <f>HYPERLINK("http://exon.niaid.nih.gov/transcriptome/Anopheles_sialome/links/CULICOMORPHA/anodar_short-D7r1-CULICOMORPHA.txt","short from D7 salivary protein")</f>
        <v>short from D7 salivary protein</v>
      </c>
      <c r="AK338" t="str">
        <f>HYPERLINK("http://www.ncbi.nlm.nih.gov/sutils/blink.cgi?pid=208657497","2E-077")</f>
        <v>2E-077</v>
      </c>
      <c r="AL338" t="str">
        <f>HYPERLINK("http://www.ncbi.nlm.nih.gov/protein/208657497","gi|208657497")</f>
        <v>gi|208657497</v>
      </c>
      <c r="AM338">
        <v>100</v>
      </c>
      <c r="AN338">
        <v>100</v>
      </c>
      <c r="AO338">
        <v>100</v>
      </c>
      <c r="AP338" t="s">
        <v>2283</v>
      </c>
      <c r="AQ338" s="2" t="str">
        <f>HYPERLINK("http://exon.niaid.nih.gov/transcriptome/Anopheles_sialome/links/NR-LIGHT/anodar_short-D7r1-NR-LIGHT.txt","short form D7 salivary protein D7r4")</f>
        <v>short form D7 salivary protein D7r4</v>
      </c>
      <c r="AR338" t="str">
        <f>HYPERLINK("http://www.ncbi.nlm.nih.gov/sutils/blink.cgi?pid=114864647","2E-015")</f>
        <v>2E-015</v>
      </c>
      <c r="AS338" t="str">
        <f>HYPERLINK("http://www.ncbi.nlm.nih.gov/protein/114864647","gi|114864647")</f>
        <v>gi|114864647</v>
      </c>
      <c r="AT338">
        <v>31</v>
      </c>
      <c r="AU338">
        <v>55</v>
      </c>
      <c r="AV338">
        <v>79</v>
      </c>
      <c r="AW338" t="s">
        <v>2266</v>
      </c>
      <c r="AX338" s="2" t="str">
        <f>HYPERLINK("http://exon.niaid.nih.gov/transcriptome/Anopheles_sialome/links/CDD/anodar_short-D7r1-CDD.txt","PhBP")</f>
        <v>PhBP</v>
      </c>
      <c r="AY338" t="str">
        <f>HYPERLINK("http://www.ncbi.nlm.nih.gov/Structure/cdd/cddsrv.cgi?uid=smart00708&amp;version=v4.0","3E-004")</f>
        <v>3E-004</v>
      </c>
      <c r="AZ338" t="s">
        <v>2480</v>
      </c>
      <c r="BA338" s="2" t="str">
        <f>HYPERLINK("http://exon.niaid.nih.gov/transcriptome/Anopheles_sialome/links/KOG/anodar_short-D7r1-KOG.txt","Anaphase-promoting complex (APC), subunit 10")</f>
        <v>Anaphase-promoting complex (APC), subunit 10</v>
      </c>
      <c r="BB338" t="str">
        <f>HYPERLINK("http://www.ncbi.nlm.nih.gov/Structure/cdd/cddsrv.cgi?uid=KOG3437","0.92")</f>
        <v>0.92</v>
      </c>
      <c r="BC338" t="s">
        <v>2481</v>
      </c>
      <c r="BD338" t="str">
        <f>HYPERLINK("http://exon.niaid.nih.gov/transcriptome/Anopheles_sialome/links/KOG/anodar_short-D7r1-KOG.txt","KOG3437")</f>
        <v>KOG3437</v>
      </c>
      <c r="BE338" t="str">
        <f>HYPERLINK("http://exon.niaid.nih.gov/transcriptome/Anopheles_sialome/links/PFAM/anodar_short-D7r1-PFAM.txt","PBP_GOBP")</f>
        <v>PBP_GOBP</v>
      </c>
      <c r="BF338" t="str">
        <f>HYPERLINK("http://pfam.sanger.ac.uk/family?acc=PF01395","4E-004")</f>
        <v>4E-004</v>
      </c>
      <c r="BG338" s="2" t="str">
        <f>HYPERLINK("http://exon.niaid.nih.gov/transcriptome/Anopheles_sialome/links/SMART/anodar_short-D7r1-SMART.txt","PhBP")</f>
        <v>PhBP</v>
      </c>
      <c r="BH338" t="str">
        <f>HYPERLINK("http://smart.embl-heidelberg.de/smart/do_annotation.pl?DOMAIN=PhBP&amp;BLAST=DUMMY","4E-006")</f>
        <v>4E-006</v>
      </c>
      <c r="BI338" t="s">
        <v>128</v>
      </c>
      <c r="BJ338" s="2" t="s">
        <v>128</v>
      </c>
      <c r="BK338" t="s">
        <v>1026</v>
      </c>
      <c r="BL338">
        <f>HYPERLINK("http://exon.niaid.nih.gov/transcriptome/Anopheles_sialome/links/cluster-b/anopheline-sialome-cds-pep-larger-orf25-50SimCLU2.txt", 2)</f>
        <v>2</v>
      </c>
      <c r="BM338">
        <f>HYPERLINK("http://exon.niaid.nih.gov/transcriptome/Anopheles_sialome/links/cluster-b/anopheline-sialome-cds-pep-larger-orf25-50SimCLTL2.txt", 120)</f>
        <v>120</v>
      </c>
      <c r="BN338">
        <f>HYPERLINK("http://exon.niaid.nih.gov/transcriptome/Anopheles_sialome/links/cluster-b/anopheline-sialome-cds-pep-larger-orf30-50SimCLU2.txt", 2)</f>
        <v>2</v>
      </c>
      <c r="BO338">
        <f>HYPERLINK("http://exon.niaid.nih.gov/transcriptome/Anopheles_sialome/links/cluster-b/anopheline-sialome-cds-pep-larger-orf30-50SimCLTL2.txt", 120)</f>
        <v>120</v>
      </c>
      <c r="BP338">
        <f>HYPERLINK("http://exon.niaid.nih.gov/transcriptome/Anopheles_sialome/links/cluster-b/anopheline-sialome-cds-pep-larger-orf35-50SimCLU1.txt", 1)</f>
        <v>1</v>
      </c>
      <c r="BQ338">
        <f>HYPERLINK("http://exon.niaid.nih.gov/transcriptome/Anopheles_sialome/links/cluster-b/anopheline-sialome-cds-pep-larger-orf35-50SimCLTL1.txt", 120)</f>
        <v>120</v>
      </c>
      <c r="BR338">
        <f>HYPERLINK("http://exon.niaid.nih.gov/transcriptome/Anopheles_sialome/links/cluster-b/anopheline-sialome-cds-pep-larger-orf40-50SimCLU2.txt", 2)</f>
        <v>2</v>
      </c>
      <c r="BS338">
        <f>HYPERLINK("http://exon.niaid.nih.gov/transcriptome/Anopheles_sialome/links/cluster-b/anopheline-sialome-cds-pep-larger-orf40-50SimCLTL2.txt", 83)</f>
        <v>83</v>
      </c>
      <c r="BT338">
        <f>HYPERLINK("http://exon.niaid.nih.gov/transcriptome/Anopheles_sialome/links/cluster-b/anopheline-sialome-cds-pep-larger-orf45-50SimCLU1.txt", 1)</f>
        <v>1</v>
      </c>
      <c r="BU338">
        <f>HYPERLINK("http://exon.niaid.nih.gov/transcriptome/Anopheles_sialome/links/cluster-b/anopheline-sialome-cds-pep-larger-orf45-50SimCLTL1.txt", 83)</f>
        <v>83</v>
      </c>
      <c r="BV338">
        <f>HYPERLINK("http://exon.niaid.nih.gov/transcriptome/Anopheles_sialome/links/cluster-b/anopheline-sialome-cds-pep-larger-orf50-50SimCLU1.txt", 1)</f>
        <v>1</v>
      </c>
      <c r="BW338">
        <f>HYPERLINK("http://exon.niaid.nih.gov/transcriptome/Anopheles_sialome/links/cluster-b/anopheline-sialome-cds-pep-larger-orf50-50SimCLTL1.txt", 83)</f>
        <v>83</v>
      </c>
      <c r="BX338">
        <f>HYPERLINK("http://exon.niaid.nih.gov/transcriptome/Anopheles_sialome/links/cluster-b/anopheline-sialome-cds-pep-larger-orf55-50SimCLU33.txt", 33)</f>
        <v>33</v>
      </c>
      <c r="BY338">
        <f>HYPERLINK("http://exon.niaid.nih.gov/transcriptome/Anopheles_sialome/links/cluster-b/anopheline-sialome-cds-pep-larger-orf55-50SimCLTL33.txt", 4)</f>
        <v>4</v>
      </c>
      <c r="BZ338">
        <f>HYPERLINK("http://exon.niaid.nih.gov/transcriptome/Anopheles_sialome/links/cluster-b/anopheline-sialome-cds-pep-larger-orf60-50SimCLU39.txt", 39)</f>
        <v>39</v>
      </c>
      <c r="CA338">
        <f>HYPERLINK("http://exon.niaid.nih.gov/transcriptome/Anopheles_sialome/links/cluster-b/anopheline-sialome-cds-pep-larger-orf60-50SimCLTL39.txt", 2)</f>
        <v>2</v>
      </c>
      <c r="CB338">
        <f>HYPERLINK("http://exon.niaid.nih.gov/transcriptome/Anopheles_sialome/links/cluster-b/anopheline-sialome-cds-pep-larger-orf65-50SimCLU45.txt", 45)</f>
        <v>45</v>
      </c>
      <c r="CC338">
        <f>HYPERLINK("http://exon.niaid.nih.gov/transcriptome/Anopheles_sialome/links/cluster-b/anopheline-sialome-cds-pep-larger-orf65-50SimCLTL45.txt", 2)</f>
        <v>2</v>
      </c>
      <c r="CD338">
        <f>HYPERLINK("http://exon.niaid.nih.gov/transcriptome/Anopheles_sialome/links/cluster-b/anopheline-sialome-cds-pep-larger-orf70-50SimCLU48.txt", 48)</f>
        <v>48</v>
      </c>
      <c r="CE338">
        <f>HYPERLINK("http://exon.niaid.nih.gov/transcriptome/Anopheles_sialome/links/cluster-b/anopheline-sialome-cds-pep-larger-orf70-50SimCLTL48.txt", 2)</f>
        <v>2</v>
      </c>
      <c r="CF338">
        <f>HYPERLINK("http://exon.niaid.nih.gov/transcriptome/Anopheles_sialome/links/cluster-b/anopheline-sialome-cds-pep-larger-orf75-50SimCLU60.txt", 60)</f>
        <v>60</v>
      </c>
      <c r="CG338">
        <f>HYPERLINK("http://exon.niaid.nih.gov/transcriptome/Anopheles_sialome/links/cluster-b/anopheline-sialome-cds-pep-larger-orf75-50SimCLTL60.txt", 2)</f>
        <v>2</v>
      </c>
      <c r="CH338">
        <v>131</v>
      </c>
      <c r="CI338">
        <v>1</v>
      </c>
      <c r="CJ338">
        <v>149</v>
      </c>
      <c r="CK338">
        <v>1</v>
      </c>
      <c r="CL338">
        <v>167</v>
      </c>
      <c r="CM338">
        <v>1</v>
      </c>
      <c r="CN338">
        <v>163</v>
      </c>
      <c r="CO338">
        <v>1</v>
      </c>
    </row>
    <row r="339" spans="1:93">
      <c r="A339" s="6" t="s">
        <v>3201</v>
      </c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</row>
    <row r="340" spans="1:93">
      <c r="A340" s="2" t="str">
        <f>HYPERLINK("http://exon.niaid.nih.gov/transcriptome/Anopheles_sialome/links/cds/anoga_D7r2-cds.txt","anoga_D7r2")</f>
        <v>anoga_D7r2</v>
      </c>
      <c r="B340">
        <v>507</v>
      </c>
      <c r="C340" t="s">
        <v>162</v>
      </c>
      <c r="D340" t="s">
        <v>4</v>
      </c>
      <c r="E340" t="s">
        <v>5</v>
      </c>
      <c r="F340" t="s">
        <v>1</v>
      </c>
      <c r="G340" t="str">
        <f>HYPERLINK("http://exon.niaid.nih.gov/transcriptome/Anopheles_sialome/links/pep/anoga_D7r2-pep.txt","anoga_D7r2")</f>
        <v>anoga_D7r2</v>
      </c>
      <c r="H340">
        <v>168</v>
      </c>
      <c r="I340">
        <v>1</v>
      </c>
      <c r="J340" s="3" t="str">
        <f>HYPERLINK("http://exon.niaid.nih.gov/transcriptome/Anopheles_sialome/links/Sigp/anoga_D7r2-SigP.txt","SIG")</f>
        <v>SIG</v>
      </c>
      <c r="K340" t="s">
        <v>689</v>
      </c>
      <c r="L340">
        <v>18.483000000000001</v>
      </c>
      <c r="M340">
        <v>5.1100000000000003</v>
      </c>
      <c r="N340">
        <v>16.186</v>
      </c>
      <c r="O340">
        <v>4.8600000000000003</v>
      </c>
      <c r="P340" t="s">
        <v>1029</v>
      </c>
      <c r="Q340" s="3">
        <v>0</v>
      </c>
      <c r="R340" t="s">
        <v>128</v>
      </c>
      <c r="S340" t="s">
        <v>128</v>
      </c>
      <c r="T340" t="s">
        <v>128</v>
      </c>
      <c r="U340" t="s">
        <v>128</v>
      </c>
      <c r="V340" t="s">
        <v>128</v>
      </c>
      <c r="W340" s="3" t="str">
        <f>HYPERLINK("http://exon.niaid.nih.gov/transcriptome/Anopheles_sialome/links/netoglyc/anoga_D7r2-netoglyc.txt","0")</f>
        <v>0</v>
      </c>
      <c r="X340">
        <v>13.1</v>
      </c>
      <c r="Y340">
        <v>7.1</v>
      </c>
      <c r="Z340">
        <v>1.2</v>
      </c>
      <c r="AA340" t="s">
        <v>654</v>
      </c>
      <c r="AB340" t="s">
        <v>128</v>
      </c>
      <c r="AC340" s="2" t="str">
        <f>HYPERLINK("http://exon.niaid.nih.gov/transcriptome/Anopheles_sialome/links/DIPTERA/anoga_D7r2-DIPTERA.txt","D7-related 2 protein")</f>
        <v>D7-related 2 protein</v>
      </c>
      <c r="AD340" t="str">
        <f>HYPERLINK("http://www.ncbi.nlm.nih.gov/sutils/blink.cgi?pid=4538889","4E-092")</f>
        <v>4E-092</v>
      </c>
      <c r="AE340" t="str">
        <f t="shared" ref="AE340:AE345" si="141">HYPERLINK("http://www.ncbi.nlm.nih.gov/protein/4538889","gi|4538889")</f>
        <v>gi|4538889</v>
      </c>
      <c r="AF340">
        <v>100</v>
      </c>
      <c r="AG340">
        <v>100</v>
      </c>
      <c r="AH340">
        <v>100</v>
      </c>
      <c r="AI340" t="s">
        <v>2254</v>
      </c>
      <c r="AJ340" s="2" t="str">
        <f>HYPERLINK("http://exon.niaid.nih.gov/transcriptome/Anopheles_sialome/links/CULICOMORPHA/anoga_D7r2-CULICOMORPHA.txt","D7-related 2 protein")</f>
        <v>D7-related 2 protein</v>
      </c>
      <c r="AK340" t="str">
        <f>HYPERLINK("http://www.ncbi.nlm.nih.gov/sutils/blink.cgi?pid=4538889","7E-093")</f>
        <v>7E-093</v>
      </c>
      <c r="AL340" t="str">
        <f t="shared" ref="AL340:AL345" si="142">HYPERLINK("http://www.ncbi.nlm.nih.gov/protein/4538889","gi|4538889")</f>
        <v>gi|4538889</v>
      </c>
      <c r="AM340">
        <v>100</v>
      </c>
      <c r="AN340">
        <v>100</v>
      </c>
      <c r="AO340">
        <v>100</v>
      </c>
      <c r="AP340" t="s">
        <v>2254</v>
      </c>
      <c r="AQ340" s="2" t="str">
        <f>HYPERLINK("http://exon.niaid.nih.gov/transcriptome/Anopheles_sialome/links/NR-LIGHT/anoga_D7r2-NR-LIGHT.txt","AGAP008282-PA")</f>
        <v>AGAP008282-PA</v>
      </c>
      <c r="AR340" t="str">
        <f>HYPERLINK("http://www.ncbi.nlm.nih.gov/sutils/blink.cgi?pid=58389663","8E-092")</f>
        <v>8E-092</v>
      </c>
      <c r="AS340" t="str">
        <f t="shared" ref="AS340:AS345" si="143">HYPERLINK("http://www.ncbi.nlm.nih.gov/protein/58389663","gi|58389663")</f>
        <v>gi|58389663</v>
      </c>
      <c r="AT340">
        <v>100</v>
      </c>
      <c r="AU340">
        <v>100</v>
      </c>
      <c r="AV340">
        <v>100</v>
      </c>
      <c r="AW340" t="s">
        <v>2285</v>
      </c>
      <c r="AX340" s="2" t="str">
        <f>HYPERLINK("http://exon.niaid.nih.gov/transcriptome/Anopheles_sialome/links/CDD/anoga_D7r2-CDD.txt","PBP_GOBP")</f>
        <v>PBP_GOBP</v>
      </c>
      <c r="AY340" t="str">
        <f>HYPERLINK("http://www.ncbi.nlm.nih.gov/Structure/cdd/cddsrv.cgi?uid=pfam01395&amp;version=v4.0","4E-010")</f>
        <v>4E-010</v>
      </c>
      <c r="AZ340" t="s">
        <v>2482</v>
      </c>
      <c r="BA340" s="2" t="str">
        <f>HYPERLINK("http://exon.niaid.nih.gov/transcriptome/Anopheles_sialome/links/KOG/anoga_D7r2-KOG.txt","Putative beta-catenin-Tcf/Lef signaling pathway component DRCTNNB1A")</f>
        <v>Putative beta-catenin-Tcf/Lef signaling pathway component DRCTNNB1A</v>
      </c>
      <c r="BB340" t="str">
        <f>HYPERLINK("http://www.ncbi.nlm.nih.gov/Structure/cdd/cddsrv.cgi?uid=KOG4688","1.4")</f>
        <v>1.4</v>
      </c>
      <c r="BC340" t="s">
        <v>2292</v>
      </c>
      <c r="BD340" t="str">
        <f>HYPERLINK("http://exon.niaid.nih.gov/transcriptome/Anopheles_sialome/links/KOG/anoga_D7r2-KOG.txt","KOG4688")</f>
        <v>KOG4688</v>
      </c>
      <c r="BE340" t="str">
        <f>HYPERLINK("http://exon.niaid.nih.gov/transcriptome/Anopheles_sialome/links/PFAM/anoga_D7r2-PFAM.txt","PBP_GOBP")</f>
        <v>PBP_GOBP</v>
      </c>
      <c r="BF340" t="str">
        <f>HYPERLINK("http://pfam.sanger.ac.uk/family?acc=PF01395","8E-011")</f>
        <v>8E-011</v>
      </c>
      <c r="BG340" s="2" t="str">
        <f>HYPERLINK("http://exon.niaid.nih.gov/transcriptome/Anopheles_sialome/links/SMART/anoga_D7r2-SMART.txt","PhBP")</f>
        <v>PhBP</v>
      </c>
      <c r="BH340" t="str">
        <f>HYPERLINK("http://smart.embl-heidelberg.de/smart/do_annotation.pl?DOMAIN=PhBP&amp;BLAST=DUMMY","1E-011")</f>
        <v>1E-011</v>
      </c>
      <c r="BI340" t="s">
        <v>128</v>
      </c>
      <c r="BJ340" s="2" t="s">
        <v>128</v>
      </c>
      <c r="BK340" t="s">
        <v>1028</v>
      </c>
      <c r="BL340">
        <f>HYPERLINK("http://exon.niaid.nih.gov/transcriptome/Anopheles_sialome/links/cluster-b/anopheline-sialome-cds-pep-larger-orf25-50SimCLU2.txt", 2)</f>
        <v>2</v>
      </c>
      <c r="BM340">
        <f>HYPERLINK("http://exon.niaid.nih.gov/transcriptome/Anopheles_sialome/links/cluster-b/anopheline-sialome-cds-pep-larger-orf25-50SimCLTL2.txt", 120)</f>
        <v>120</v>
      </c>
      <c r="BN340">
        <f>HYPERLINK("http://exon.niaid.nih.gov/transcriptome/Anopheles_sialome/links/cluster-b/anopheline-sialome-cds-pep-larger-orf30-50SimCLU2.txt", 2)</f>
        <v>2</v>
      </c>
      <c r="BO340">
        <f>HYPERLINK("http://exon.niaid.nih.gov/transcriptome/Anopheles_sialome/links/cluster-b/anopheline-sialome-cds-pep-larger-orf30-50SimCLTL2.txt", 120)</f>
        <v>120</v>
      </c>
      <c r="BP340">
        <f>HYPERLINK("http://exon.niaid.nih.gov/transcriptome/Anopheles_sialome/links/cluster-b/anopheline-sialome-cds-pep-larger-orf35-50SimCLU1.txt", 1)</f>
        <v>1</v>
      </c>
      <c r="BQ340">
        <f>HYPERLINK("http://exon.niaid.nih.gov/transcriptome/Anopheles_sialome/links/cluster-b/anopheline-sialome-cds-pep-larger-orf35-50SimCLTL1.txt", 120)</f>
        <v>120</v>
      </c>
      <c r="BR340">
        <f>HYPERLINK("http://exon.niaid.nih.gov/transcriptome/Anopheles_sialome/links/cluster-b/anopheline-sialome-cds-pep-larger-orf40-50SimCLU2.txt", 2)</f>
        <v>2</v>
      </c>
      <c r="BS340">
        <f>HYPERLINK("http://exon.niaid.nih.gov/transcriptome/Anopheles_sialome/links/cluster-b/anopheline-sialome-cds-pep-larger-orf40-50SimCLTL2.txt", 83)</f>
        <v>83</v>
      </c>
      <c r="BT340">
        <f>HYPERLINK("http://exon.niaid.nih.gov/transcriptome/Anopheles_sialome/links/cluster-b/anopheline-sialome-cds-pep-larger-orf45-50SimCLU1.txt", 1)</f>
        <v>1</v>
      </c>
      <c r="BU340">
        <f>HYPERLINK("http://exon.niaid.nih.gov/transcriptome/Anopheles_sialome/links/cluster-b/anopheline-sialome-cds-pep-larger-orf45-50SimCLTL1.txt", 83)</f>
        <v>83</v>
      </c>
      <c r="BV340">
        <f>HYPERLINK("http://exon.niaid.nih.gov/transcriptome/Anopheles_sialome/links/cluster-b/anopheline-sialome-cds-pep-larger-orf50-50SimCLU1.txt", 1)</f>
        <v>1</v>
      </c>
      <c r="BW340">
        <f>HYPERLINK("http://exon.niaid.nih.gov/transcriptome/Anopheles_sialome/links/cluster-b/anopheline-sialome-cds-pep-larger-orf50-50SimCLTL1.txt", 83)</f>
        <v>83</v>
      </c>
      <c r="BX340">
        <f>HYPERLINK("http://exon.niaid.nih.gov/transcriptome/Anopheles_sialome/links/cluster-b/anopheline-sialome-cds-pep-larger-orf55-50SimCLU1.txt", 1)</f>
        <v>1</v>
      </c>
      <c r="BY340">
        <f>HYPERLINK("http://exon.niaid.nih.gov/transcriptome/Anopheles_sialome/links/cluster-b/anopheline-sialome-cds-pep-larger-orf55-50SimCLTL1.txt", 79)</f>
        <v>79</v>
      </c>
      <c r="BZ340">
        <f>HYPERLINK("http://exon.niaid.nih.gov/transcriptome/Anopheles_sialome/links/cluster-b/anopheline-sialome-cds-pep-larger-orf60-50SimCLU1.txt", 1)</f>
        <v>1</v>
      </c>
      <c r="CA340">
        <f>HYPERLINK("http://exon.niaid.nih.gov/transcriptome/Anopheles_sialome/links/cluster-b/anopheline-sialome-cds-pep-larger-orf60-50SimCLTL1.txt", 60)</f>
        <v>60</v>
      </c>
      <c r="CB340">
        <f>HYPERLINK("http://exon.niaid.nih.gov/transcriptome/Anopheles_sialome/links/cluster-b/anopheline-sialome-cds-pep-larger-orf65-50SimCLU1.txt", 1)</f>
        <v>1</v>
      </c>
      <c r="CC340">
        <f>HYPERLINK("http://exon.niaid.nih.gov/transcriptome/Anopheles_sialome/links/cluster-b/anopheline-sialome-cds-pep-larger-orf65-50SimCLTL1.txt", 60)</f>
        <v>60</v>
      </c>
      <c r="CD340">
        <f>HYPERLINK("http://exon.niaid.nih.gov/transcriptome/Anopheles_sialome/links/cluster-b/anopheline-sialome-cds-pep-larger-orf70-50SimCLU1.txt", 1)</f>
        <v>1</v>
      </c>
      <c r="CE340">
        <f>HYPERLINK("http://exon.niaid.nih.gov/transcriptome/Anopheles_sialome/links/cluster-b/anopheline-sialome-cds-pep-larger-orf70-50SimCLTL1.txt", 30)</f>
        <v>30</v>
      </c>
      <c r="CF340">
        <f>HYPERLINK("http://exon.niaid.nih.gov/transcriptome/Anopheles_sialome/links/cluster-b/anopheline-sialome-cds-pep-larger-orf75-50SimCLU1.txt", 1)</f>
        <v>1</v>
      </c>
      <c r="CG340">
        <f>HYPERLINK("http://exon.niaid.nih.gov/transcriptome/Anopheles_sialome/links/cluster-b/anopheline-sialome-cds-pep-larger-orf75-50SimCLTL1.txt", 30)</f>
        <v>30</v>
      </c>
      <c r="CH340">
        <f>HYPERLINK("http://exon.niaid.nih.gov/transcriptome/Anopheles_sialome/links/cluster-b/anopheline-sialome-cds-pep-larger-orf80-50SimCLU1.txt", 1)</f>
        <v>1</v>
      </c>
      <c r="CI340">
        <f>HYPERLINK("http://exon.niaid.nih.gov/transcriptome/Anopheles_sialome/links/cluster-b/anopheline-sialome-cds-pep-larger-orf80-50SimCLTL1.txt", 30)</f>
        <v>30</v>
      </c>
      <c r="CJ340">
        <f>HYPERLINK("http://exon.niaid.nih.gov/transcriptome/Anopheles_sialome/links/cluster-b/anopheline-sialome-cds-pep-larger-orf85-50SimCLU9.txt", 9)</f>
        <v>9</v>
      </c>
      <c r="CK340">
        <f>HYPERLINK("http://exon.niaid.nih.gov/transcriptome/Anopheles_sialome/links/cluster-b/anopheline-sialome-cds-pep-larger-orf85-50SimCLTL9.txt", 14)</f>
        <v>14</v>
      </c>
      <c r="CL340">
        <f>HYPERLINK("http://exon.niaid.nih.gov/transcriptome/Anopheles_sialome/links/cluster-b/anopheline-sialome-cds-pep-larger-orf90-50SimCLU4.txt", 4)</f>
        <v>4</v>
      </c>
      <c r="CM340">
        <f>HYPERLINK("http://exon.niaid.nih.gov/transcriptome/Anopheles_sialome/links/cluster-b/anopheline-sialome-cds-pep-larger-orf90-50SimCLTL4.txt", 14)</f>
        <v>14</v>
      </c>
      <c r="CN340">
        <f>HYPERLINK("http://exon.niaid.nih.gov/transcriptome/Anopheles_sialome/links/cluster-b/anopheline-sialome-cds-pep-larger-orf95-50SimCLU9.txt", 9)</f>
        <v>9</v>
      </c>
      <c r="CO340">
        <f>HYPERLINK("http://exon.niaid.nih.gov/transcriptome/Anopheles_sialome/links/cluster-b/anopheline-sialome-cds-pep-larger-orf95-50SimCLTL9.txt", 6)</f>
        <v>6</v>
      </c>
    </row>
    <row r="341" spans="1:93">
      <c r="A341" s="2" t="str">
        <f>HYPERLINK("http://exon.niaid.nih.gov/transcriptome/Anopheles_sialome/links/cds/anocol_D7r2-cds.txt","anocol_D7r2")</f>
        <v>anocol_D7r2</v>
      </c>
      <c r="B341">
        <v>507</v>
      </c>
      <c r="C341" t="s">
        <v>163</v>
      </c>
      <c r="D341" t="s">
        <v>4</v>
      </c>
      <c r="E341" t="s">
        <v>5</v>
      </c>
      <c r="F341" t="s">
        <v>1</v>
      </c>
      <c r="G341" t="str">
        <f>HYPERLINK("http://exon.niaid.nih.gov/transcriptome/Anopheles_sialome/links/pep/anocol_D7r2-pep.txt","anocol_D7r2")</f>
        <v>anocol_D7r2</v>
      </c>
      <c r="H341">
        <v>168</v>
      </c>
      <c r="I341">
        <v>1</v>
      </c>
      <c r="J341" s="3" t="str">
        <f>HYPERLINK("http://exon.niaid.nih.gov/transcriptome/Anopheles_sialome/links/Sigp/anocol_D7r2-SigP.txt","SIG")</f>
        <v>SIG</v>
      </c>
      <c r="K341" t="s">
        <v>689</v>
      </c>
      <c r="L341">
        <v>18.484999999999999</v>
      </c>
      <c r="M341">
        <v>5.1100000000000003</v>
      </c>
      <c r="N341">
        <v>16.186</v>
      </c>
      <c r="O341">
        <v>4.8600000000000003</v>
      </c>
      <c r="P341" t="s">
        <v>1029</v>
      </c>
      <c r="Q341" s="3">
        <v>0</v>
      </c>
      <c r="R341" t="s">
        <v>128</v>
      </c>
      <c r="S341" t="s">
        <v>128</v>
      </c>
      <c r="T341" t="s">
        <v>128</v>
      </c>
      <c r="U341" t="s">
        <v>128</v>
      </c>
      <c r="V341" t="s">
        <v>128</v>
      </c>
      <c r="W341" s="3" t="str">
        <f>HYPERLINK("http://exon.niaid.nih.gov/transcriptome/Anopheles_sialome/links/netoglyc/anocol_D7r2-netoglyc.txt","0")</f>
        <v>0</v>
      </c>
      <c r="X341">
        <v>13.1</v>
      </c>
      <c r="Y341">
        <v>7.1</v>
      </c>
      <c r="Z341">
        <v>1.2</v>
      </c>
      <c r="AA341" t="s">
        <v>654</v>
      </c>
      <c r="AB341" t="s">
        <v>128</v>
      </c>
      <c r="AC341" s="2" t="str">
        <f>HYPERLINK("http://exon.niaid.nih.gov/transcriptome/Anopheles_sialome/links/DIPTERA/anocol_D7r2-DIPTERA.txt","D7-related 2 protein")</f>
        <v>D7-related 2 protein</v>
      </c>
      <c r="AD341" t="str">
        <f>HYPERLINK("http://www.ncbi.nlm.nih.gov/sutils/blink.cgi?pid=4538889","4E-092")</f>
        <v>4E-092</v>
      </c>
      <c r="AE341" t="str">
        <f t="shared" si="141"/>
        <v>gi|4538889</v>
      </c>
      <c r="AF341">
        <v>100</v>
      </c>
      <c r="AG341">
        <v>100</v>
      </c>
      <c r="AH341">
        <v>100</v>
      </c>
      <c r="AI341" t="s">
        <v>2254</v>
      </c>
      <c r="AJ341" s="2" t="str">
        <f>HYPERLINK("http://exon.niaid.nih.gov/transcriptome/Anopheles_sialome/links/CULICOMORPHA/anocol_D7r2-CULICOMORPHA.txt","D7-related 2 protein")</f>
        <v>D7-related 2 protein</v>
      </c>
      <c r="AK341" t="str">
        <f>HYPERLINK("http://www.ncbi.nlm.nih.gov/sutils/blink.cgi?pid=4538889","7E-093")</f>
        <v>7E-093</v>
      </c>
      <c r="AL341" t="str">
        <f t="shared" si="142"/>
        <v>gi|4538889</v>
      </c>
      <c r="AM341">
        <v>100</v>
      </c>
      <c r="AN341">
        <v>100</v>
      </c>
      <c r="AO341">
        <v>100</v>
      </c>
      <c r="AP341" t="s">
        <v>2254</v>
      </c>
      <c r="AQ341" s="2" t="str">
        <f>HYPERLINK("http://exon.niaid.nih.gov/transcriptome/Anopheles_sialome/links/NR-LIGHT/anocol_D7r2-NR-LIGHT.txt","AGAP008282-PA")</f>
        <v>AGAP008282-PA</v>
      </c>
      <c r="AR341" t="str">
        <f>HYPERLINK("http://www.ncbi.nlm.nih.gov/sutils/blink.cgi?pid=58389663","8E-092")</f>
        <v>8E-092</v>
      </c>
      <c r="AS341" t="str">
        <f t="shared" si="143"/>
        <v>gi|58389663</v>
      </c>
      <c r="AT341">
        <v>100</v>
      </c>
      <c r="AU341">
        <v>100</v>
      </c>
      <c r="AV341">
        <v>100</v>
      </c>
      <c r="AW341" t="s">
        <v>2285</v>
      </c>
      <c r="AX341" s="2" t="str">
        <f>HYPERLINK("http://exon.niaid.nih.gov/transcriptome/Anopheles_sialome/links/CDD/anocol_D7r2-CDD.txt","PBP_GOBP")</f>
        <v>PBP_GOBP</v>
      </c>
      <c r="AY341" t="str">
        <f>HYPERLINK("http://www.ncbi.nlm.nih.gov/Structure/cdd/cddsrv.cgi?uid=pfam01395&amp;version=v4.0","4E-010")</f>
        <v>4E-010</v>
      </c>
      <c r="AZ341" t="s">
        <v>2482</v>
      </c>
      <c r="BA341" s="2" t="str">
        <f>HYPERLINK("http://exon.niaid.nih.gov/transcriptome/Anopheles_sialome/links/KOG/anocol_D7r2-KOG.txt","Putative beta-catenin-Tcf/Lef signaling pathway component DRCTNNB1A")</f>
        <v>Putative beta-catenin-Tcf/Lef signaling pathway component DRCTNNB1A</v>
      </c>
      <c r="BB341" t="str">
        <f>HYPERLINK("http://www.ncbi.nlm.nih.gov/Structure/cdd/cddsrv.cgi?uid=KOG4688","1.4")</f>
        <v>1.4</v>
      </c>
      <c r="BC341" t="s">
        <v>2292</v>
      </c>
      <c r="BD341" t="str">
        <f>HYPERLINK("http://exon.niaid.nih.gov/transcriptome/Anopheles_sialome/links/KOG/anocol_D7r2-KOG.txt","KOG4688")</f>
        <v>KOG4688</v>
      </c>
      <c r="BE341" t="str">
        <f>HYPERLINK("http://exon.niaid.nih.gov/transcriptome/Anopheles_sialome/links/PFAM/anocol_D7r2-PFAM.txt","PBP_GOBP")</f>
        <v>PBP_GOBP</v>
      </c>
      <c r="BF341" t="str">
        <f>HYPERLINK("http://pfam.sanger.ac.uk/family?acc=PF01395","8E-011")</f>
        <v>8E-011</v>
      </c>
      <c r="BG341" s="2" t="str">
        <f>HYPERLINK("http://exon.niaid.nih.gov/transcriptome/Anopheles_sialome/links/SMART/anocol_D7r2-SMART.txt","PhBP")</f>
        <v>PhBP</v>
      </c>
      <c r="BH341" t="str">
        <f>HYPERLINK("http://smart.embl-heidelberg.de/smart/do_annotation.pl?DOMAIN=PhBP&amp;BLAST=DUMMY","1E-011")</f>
        <v>1E-011</v>
      </c>
      <c r="BI341" t="s">
        <v>128</v>
      </c>
      <c r="BJ341" s="2" t="s">
        <v>128</v>
      </c>
      <c r="BK341" t="s">
        <v>1030</v>
      </c>
      <c r="BL341">
        <f>HYPERLINK("http://exon.niaid.nih.gov/transcriptome/Anopheles_sialome/links/cluster-b/anopheline-sialome-cds-pep-larger-orf25-50SimCLU2.txt", 2)</f>
        <v>2</v>
      </c>
      <c r="BM341">
        <f>HYPERLINK("http://exon.niaid.nih.gov/transcriptome/Anopheles_sialome/links/cluster-b/anopheline-sialome-cds-pep-larger-orf25-50SimCLTL2.txt", 120)</f>
        <v>120</v>
      </c>
      <c r="BN341">
        <f>HYPERLINK("http://exon.niaid.nih.gov/transcriptome/Anopheles_sialome/links/cluster-b/anopheline-sialome-cds-pep-larger-orf30-50SimCLU2.txt", 2)</f>
        <v>2</v>
      </c>
      <c r="BO341">
        <f>HYPERLINK("http://exon.niaid.nih.gov/transcriptome/Anopheles_sialome/links/cluster-b/anopheline-sialome-cds-pep-larger-orf30-50SimCLTL2.txt", 120)</f>
        <v>120</v>
      </c>
      <c r="BP341">
        <f>HYPERLINK("http://exon.niaid.nih.gov/transcriptome/Anopheles_sialome/links/cluster-b/anopheline-sialome-cds-pep-larger-orf35-50SimCLU1.txt", 1)</f>
        <v>1</v>
      </c>
      <c r="BQ341">
        <f>HYPERLINK("http://exon.niaid.nih.gov/transcriptome/Anopheles_sialome/links/cluster-b/anopheline-sialome-cds-pep-larger-orf35-50SimCLTL1.txt", 120)</f>
        <v>120</v>
      </c>
      <c r="BR341">
        <f>HYPERLINK("http://exon.niaid.nih.gov/transcriptome/Anopheles_sialome/links/cluster-b/anopheline-sialome-cds-pep-larger-orf40-50SimCLU2.txt", 2)</f>
        <v>2</v>
      </c>
      <c r="BS341">
        <f>HYPERLINK("http://exon.niaid.nih.gov/transcriptome/Anopheles_sialome/links/cluster-b/anopheline-sialome-cds-pep-larger-orf40-50SimCLTL2.txt", 83)</f>
        <v>83</v>
      </c>
      <c r="BT341">
        <f>HYPERLINK("http://exon.niaid.nih.gov/transcriptome/Anopheles_sialome/links/cluster-b/anopheline-sialome-cds-pep-larger-orf45-50SimCLU1.txt", 1)</f>
        <v>1</v>
      </c>
      <c r="BU341">
        <f>HYPERLINK("http://exon.niaid.nih.gov/transcriptome/Anopheles_sialome/links/cluster-b/anopheline-sialome-cds-pep-larger-orf45-50SimCLTL1.txt", 83)</f>
        <v>83</v>
      </c>
      <c r="BV341">
        <f>HYPERLINK("http://exon.niaid.nih.gov/transcriptome/Anopheles_sialome/links/cluster-b/anopheline-sialome-cds-pep-larger-orf50-50SimCLU1.txt", 1)</f>
        <v>1</v>
      </c>
      <c r="BW341">
        <f>HYPERLINK("http://exon.niaid.nih.gov/transcriptome/Anopheles_sialome/links/cluster-b/anopheline-sialome-cds-pep-larger-orf50-50SimCLTL1.txt", 83)</f>
        <v>83</v>
      </c>
      <c r="BX341">
        <f>HYPERLINK("http://exon.niaid.nih.gov/transcriptome/Anopheles_sialome/links/cluster-b/anopheline-sialome-cds-pep-larger-orf55-50SimCLU1.txt", 1)</f>
        <v>1</v>
      </c>
      <c r="BY341">
        <f>HYPERLINK("http://exon.niaid.nih.gov/transcriptome/Anopheles_sialome/links/cluster-b/anopheline-sialome-cds-pep-larger-orf55-50SimCLTL1.txt", 79)</f>
        <v>79</v>
      </c>
      <c r="BZ341">
        <f>HYPERLINK("http://exon.niaid.nih.gov/transcriptome/Anopheles_sialome/links/cluster-b/anopheline-sialome-cds-pep-larger-orf60-50SimCLU1.txt", 1)</f>
        <v>1</v>
      </c>
      <c r="CA341">
        <f>HYPERLINK("http://exon.niaid.nih.gov/transcriptome/Anopheles_sialome/links/cluster-b/anopheline-sialome-cds-pep-larger-orf60-50SimCLTL1.txt", 60)</f>
        <v>60</v>
      </c>
      <c r="CB341">
        <f>HYPERLINK("http://exon.niaid.nih.gov/transcriptome/Anopheles_sialome/links/cluster-b/anopheline-sialome-cds-pep-larger-orf65-50SimCLU1.txt", 1)</f>
        <v>1</v>
      </c>
      <c r="CC341">
        <f>HYPERLINK("http://exon.niaid.nih.gov/transcriptome/Anopheles_sialome/links/cluster-b/anopheline-sialome-cds-pep-larger-orf65-50SimCLTL1.txt", 60)</f>
        <v>60</v>
      </c>
      <c r="CD341">
        <f>HYPERLINK("http://exon.niaid.nih.gov/transcriptome/Anopheles_sialome/links/cluster-b/anopheline-sialome-cds-pep-larger-orf70-50SimCLU1.txt", 1)</f>
        <v>1</v>
      </c>
      <c r="CE341">
        <f>HYPERLINK("http://exon.niaid.nih.gov/transcriptome/Anopheles_sialome/links/cluster-b/anopheline-sialome-cds-pep-larger-orf70-50SimCLTL1.txt", 30)</f>
        <v>30</v>
      </c>
      <c r="CF341">
        <f>HYPERLINK("http://exon.niaid.nih.gov/transcriptome/Anopheles_sialome/links/cluster-b/anopheline-sialome-cds-pep-larger-orf75-50SimCLU1.txt", 1)</f>
        <v>1</v>
      </c>
      <c r="CG341">
        <f>HYPERLINK("http://exon.niaid.nih.gov/transcriptome/Anopheles_sialome/links/cluster-b/anopheline-sialome-cds-pep-larger-orf75-50SimCLTL1.txt", 30)</f>
        <v>30</v>
      </c>
      <c r="CH341">
        <f>HYPERLINK("http://exon.niaid.nih.gov/transcriptome/Anopheles_sialome/links/cluster-b/anopheline-sialome-cds-pep-larger-orf80-50SimCLU1.txt", 1)</f>
        <v>1</v>
      </c>
      <c r="CI341">
        <f>HYPERLINK("http://exon.niaid.nih.gov/transcriptome/Anopheles_sialome/links/cluster-b/anopheline-sialome-cds-pep-larger-orf80-50SimCLTL1.txt", 30)</f>
        <v>30</v>
      </c>
      <c r="CJ341">
        <f>HYPERLINK("http://exon.niaid.nih.gov/transcriptome/Anopheles_sialome/links/cluster-b/anopheline-sialome-cds-pep-larger-orf85-50SimCLU9.txt", 9)</f>
        <v>9</v>
      </c>
      <c r="CK341">
        <f>HYPERLINK("http://exon.niaid.nih.gov/transcriptome/Anopheles_sialome/links/cluster-b/anopheline-sialome-cds-pep-larger-orf85-50SimCLTL9.txt", 14)</f>
        <v>14</v>
      </c>
      <c r="CL341">
        <f>HYPERLINK("http://exon.niaid.nih.gov/transcriptome/Anopheles_sialome/links/cluster-b/anopheline-sialome-cds-pep-larger-orf90-50SimCLU4.txt", 4)</f>
        <v>4</v>
      </c>
      <c r="CM341">
        <f>HYPERLINK("http://exon.niaid.nih.gov/transcriptome/Anopheles_sialome/links/cluster-b/anopheline-sialome-cds-pep-larger-orf90-50SimCLTL4.txt", 14)</f>
        <v>14</v>
      </c>
      <c r="CN341">
        <f>HYPERLINK("http://exon.niaid.nih.gov/transcriptome/Anopheles_sialome/links/cluster-b/anopheline-sialome-cds-pep-larger-orf95-50SimCLU9.txt", 9)</f>
        <v>9</v>
      </c>
      <c r="CO341">
        <f>HYPERLINK("http://exon.niaid.nih.gov/transcriptome/Anopheles_sialome/links/cluster-b/anopheline-sialome-cds-pep-larger-orf95-50SimCLTL9.txt", 6)</f>
        <v>6</v>
      </c>
    </row>
    <row r="342" spans="1:93">
      <c r="A342" s="2" t="str">
        <f>HYPERLINK("http://exon.niaid.nih.gov/transcriptome/Anopheles_sialome/links/cds/anoara_D7r2-cds.txt","anoara_D7r2")</f>
        <v>anoara_D7r2</v>
      </c>
      <c r="B342">
        <v>507</v>
      </c>
      <c r="C342" t="s">
        <v>149</v>
      </c>
      <c r="D342" t="s">
        <v>7</v>
      </c>
      <c r="E342" t="s">
        <v>5</v>
      </c>
      <c r="F342" t="s">
        <v>1</v>
      </c>
      <c r="G342" t="str">
        <f>HYPERLINK("http://exon.niaid.nih.gov/transcriptome/Anopheles_sialome/links/pep/anoara_D7r2-pep.txt","anoara_D7r2")</f>
        <v>anoara_D7r2</v>
      </c>
      <c r="H342">
        <v>168</v>
      </c>
      <c r="I342">
        <v>1</v>
      </c>
      <c r="J342" s="3" t="str">
        <f>HYPERLINK("http://exon.niaid.nih.gov/transcriptome/Anopheles_sialome/links/Sigp/anoara_D7r2-SigP.txt","SIG")</f>
        <v>SIG</v>
      </c>
      <c r="K342" t="s">
        <v>689</v>
      </c>
      <c r="L342">
        <v>18.471</v>
      </c>
      <c r="M342">
        <v>5.09</v>
      </c>
      <c r="N342">
        <v>16.172000000000001</v>
      </c>
      <c r="O342">
        <v>4.8499999999999996</v>
      </c>
      <c r="P342" t="s">
        <v>1029</v>
      </c>
      <c r="Q342" s="3">
        <v>0</v>
      </c>
      <c r="R342" t="s">
        <v>128</v>
      </c>
      <c r="S342" t="s">
        <v>128</v>
      </c>
      <c r="T342" t="s">
        <v>128</v>
      </c>
      <c r="U342" t="s">
        <v>128</v>
      </c>
      <c r="V342" t="s">
        <v>128</v>
      </c>
      <c r="W342" s="3" t="str">
        <f>HYPERLINK("http://exon.niaid.nih.gov/transcriptome/Anopheles_sialome/links/netoglyc/anoara_D7r2-netoglyc.txt","0")</f>
        <v>0</v>
      </c>
      <c r="X342">
        <v>13.1</v>
      </c>
      <c r="Y342">
        <v>7.1</v>
      </c>
      <c r="Z342">
        <v>1.2</v>
      </c>
      <c r="AA342" t="s">
        <v>654</v>
      </c>
      <c r="AB342" t="s">
        <v>128</v>
      </c>
      <c r="AC342" s="2" t="str">
        <f>HYPERLINK("http://exon.niaid.nih.gov/transcriptome/Anopheles_sialome/links/DIPTERA/anoara_D7r2-DIPTERA.txt","D7-related 2 protein")</f>
        <v>D7-related 2 protein</v>
      </c>
      <c r="AD342" t="str">
        <f>HYPERLINK("http://www.ncbi.nlm.nih.gov/sutils/blink.cgi?pid=4538889","8E-092")</f>
        <v>8E-092</v>
      </c>
      <c r="AE342" t="str">
        <f t="shared" si="141"/>
        <v>gi|4538889</v>
      </c>
      <c r="AF342">
        <v>99</v>
      </c>
      <c r="AG342">
        <v>100</v>
      </c>
      <c r="AH342">
        <v>100</v>
      </c>
      <c r="AI342" t="s">
        <v>2254</v>
      </c>
      <c r="AJ342" s="2" t="str">
        <f>HYPERLINK("http://exon.niaid.nih.gov/transcriptome/Anopheles_sialome/links/CULICOMORPHA/anoara_D7r2-CULICOMORPHA.txt","D7-related 2 protein")</f>
        <v>D7-related 2 protein</v>
      </c>
      <c r="AK342" t="str">
        <f>HYPERLINK("http://www.ncbi.nlm.nih.gov/sutils/blink.cgi?pid=4538889","2E-092")</f>
        <v>2E-092</v>
      </c>
      <c r="AL342" t="str">
        <f t="shared" si="142"/>
        <v>gi|4538889</v>
      </c>
      <c r="AM342">
        <v>99</v>
      </c>
      <c r="AN342">
        <v>100</v>
      </c>
      <c r="AO342">
        <v>100</v>
      </c>
      <c r="AP342" t="s">
        <v>2254</v>
      </c>
      <c r="AQ342" s="2" t="str">
        <f>HYPERLINK("http://exon.niaid.nih.gov/transcriptome/Anopheles_sialome/links/NR-LIGHT/anoara_D7r2-NR-LIGHT.txt","AGAP008282-PA")</f>
        <v>AGAP008282-PA</v>
      </c>
      <c r="AR342" t="str">
        <f>HYPERLINK("http://www.ncbi.nlm.nih.gov/sutils/blink.cgi?pid=58389663","2E-091")</f>
        <v>2E-091</v>
      </c>
      <c r="AS342" t="str">
        <f t="shared" si="143"/>
        <v>gi|58389663</v>
      </c>
      <c r="AT342">
        <v>99</v>
      </c>
      <c r="AU342">
        <v>100</v>
      </c>
      <c r="AV342">
        <v>100</v>
      </c>
      <c r="AW342" t="s">
        <v>2285</v>
      </c>
      <c r="AX342" s="2" t="str">
        <f>HYPERLINK("http://exon.niaid.nih.gov/transcriptome/Anopheles_sialome/links/CDD/anoara_D7r2-CDD.txt","PBP_GOBP")</f>
        <v>PBP_GOBP</v>
      </c>
      <c r="AY342" t="str">
        <f>HYPERLINK("http://www.ncbi.nlm.nih.gov/Structure/cdd/cddsrv.cgi?uid=pfam01395&amp;version=v4.0","8E-010")</f>
        <v>8E-010</v>
      </c>
      <c r="AZ342" t="s">
        <v>2483</v>
      </c>
      <c r="BA342" s="2" t="str">
        <f>HYPERLINK("http://exon.niaid.nih.gov/transcriptome/Anopheles_sialome/links/KOG/anoara_D7r2-KOG.txt","Putative beta-catenin-Tcf/Lef signaling pathway component DRCTNNB1A")</f>
        <v>Putative beta-catenin-Tcf/Lef signaling pathway component DRCTNNB1A</v>
      </c>
      <c r="BB342" t="str">
        <f>HYPERLINK("http://www.ncbi.nlm.nih.gov/Structure/cdd/cddsrv.cgi?uid=KOG4688","1.3")</f>
        <v>1.3</v>
      </c>
      <c r="BC342" t="s">
        <v>2292</v>
      </c>
      <c r="BD342" t="str">
        <f>HYPERLINK("http://exon.niaid.nih.gov/transcriptome/Anopheles_sialome/links/KOG/anoara_D7r2-KOG.txt","KOG4688")</f>
        <v>KOG4688</v>
      </c>
      <c r="BE342" t="str">
        <f>HYPERLINK("http://exon.niaid.nih.gov/transcriptome/Anopheles_sialome/links/PFAM/anoara_D7r2-PFAM.txt","PBP_GOBP")</f>
        <v>PBP_GOBP</v>
      </c>
      <c r="BF342" t="str">
        <f>HYPERLINK("http://pfam.sanger.ac.uk/family?acc=PF01395","2E-010")</f>
        <v>2E-010</v>
      </c>
      <c r="BG342" s="2" t="str">
        <f>HYPERLINK("http://exon.niaid.nih.gov/transcriptome/Anopheles_sialome/links/SMART/anoara_D7r2-SMART.txt","PhBP")</f>
        <v>PhBP</v>
      </c>
      <c r="BH342" t="str">
        <f>HYPERLINK("http://smart.embl-heidelberg.de/smart/do_annotation.pl?DOMAIN=PhBP&amp;BLAST=DUMMY","3E-011")</f>
        <v>3E-011</v>
      </c>
      <c r="BI342" t="s">
        <v>128</v>
      </c>
      <c r="BJ342" s="2" t="s">
        <v>128</v>
      </c>
      <c r="BK342" t="s">
        <v>1031</v>
      </c>
      <c r="BL342">
        <f>HYPERLINK("http://exon.niaid.nih.gov/transcriptome/Anopheles_sialome/links/cluster-b/anopheline-sialome-cds-pep-larger-orf25-50SimCLU2.txt", 2)</f>
        <v>2</v>
      </c>
      <c r="BM342">
        <f>HYPERLINK("http://exon.niaid.nih.gov/transcriptome/Anopheles_sialome/links/cluster-b/anopheline-sialome-cds-pep-larger-orf25-50SimCLTL2.txt", 120)</f>
        <v>120</v>
      </c>
      <c r="BN342">
        <f>HYPERLINK("http://exon.niaid.nih.gov/transcriptome/Anopheles_sialome/links/cluster-b/anopheline-sialome-cds-pep-larger-orf30-50SimCLU2.txt", 2)</f>
        <v>2</v>
      </c>
      <c r="BO342">
        <f>HYPERLINK("http://exon.niaid.nih.gov/transcriptome/Anopheles_sialome/links/cluster-b/anopheline-sialome-cds-pep-larger-orf30-50SimCLTL2.txt", 120)</f>
        <v>120</v>
      </c>
      <c r="BP342">
        <f>HYPERLINK("http://exon.niaid.nih.gov/transcriptome/Anopheles_sialome/links/cluster-b/anopheline-sialome-cds-pep-larger-orf35-50SimCLU1.txt", 1)</f>
        <v>1</v>
      </c>
      <c r="BQ342">
        <f>HYPERLINK("http://exon.niaid.nih.gov/transcriptome/Anopheles_sialome/links/cluster-b/anopheline-sialome-cds-pep-larger-orf35-50SimCLTL1.txt", 120)</f>
        <v>120</v>
      </c>
      <c r="BR342">
        <f>HYPERLINK("http://exon.niaid.nih.gov/transcriptome/Anopheles_sialome/links/cluster-b/anopheline-sialome-cds-pep-larger-orf40-50SimCLU2.txt", 2)</f>
        <v>2</v>
      </c>
      <c r="BS342">
        <f>HYPERLINK("http://exon.niaid.nih.gov/transcriptome/Anopheles_sialome/links/cluster-b/anopheline-sialome-cds-pep-larger-orf40-50SimCLTL2.txt", 83)</f>
        <v>83</v>
      </c>
      <c r="BT342">
        <f>HYPERLINK("http://exon.niaid.nih.gov/transcriptome/Anopheles_sialome/links/cluster-b/anopheline-sialome-cds-pep-larger-orf45-50SimCLU1.txt", 1)</f>
        <v>1</v>
      </c>
      <c r="BU342">
        <f>HYPERLINK("http://exon.niaid.nih.gov/transcriptome/Anopheles_sialome/links/cluster-b/anopheline-sialome-cds-pep-larger-orf45-50SimCLTL1.txt", 83)</f>
        <v>83</v>
      </c>
      <c r="BV342">
        <f>HYPERLINK("http://exon.niaid.nih.gov/transcriptome/Anopheles_sialome/links/cluster-b/anopheline-sialome-cds-pep-larger-orf50-50SimCLU1.txt", 1)</f>
        <v>1</v>
      </c>
      <c r="BW342">
        <f>HYPERLINK("http://exon.niaid.nih.gov/transcriptome/Anopheles_sialome/links/cluster-b/anopheline-sialome-cds-pep-larger-orf50-50SimCLTL1.txt", 83)</f>
        <v>83</v>
      </c>
      <c r="BX342">
        <f>HYPERLINK("http://exon.niaid.nih.gov/transcriptome/Anopheles_sialome/links/cluster-b/anopheline-sialome-cds-pep-larger-orf55-50SimCLU1.txt", 1)</f>
        <v>1</v>
      </c>
      <c r="BY342">
        <f>HYPERLINK("http://exon.niaid.nih.gov/transcriptome/Anopheles_sialome/links/cluster-b/anopheline-sialome-cds-pep-larger-orf55-50SimCLTL1.txt", 79)</f>
        <v>79</v>
      </c>
      <c r="BZ342">
        <f>HYPERLINK("http://exon.niaid.nih.gov/transcriptome/Anopheles_sialome/links/cluster-b/anopheline-sialome-cds-pep-larger-orf60-50SimCLU1.txt", 1)</f>
        <v>1</v>
      </c>
      <c r="CA342">
        <f>HYPERLINK("http://exon.niaid.nih.gov/transcriptome/Anopheles_sialome/links/cluster-b/anopheline-sialome-cds-pep-larger-orf60-50SimCLTL1.txt", 60)</f>
        <v>60</v>
      </c>
      <c r="CB342">
        <f>HYPERLINK("http://exon.niaid.nih.gov/transcriptome/Anopheles_sialome/links/cluster-b/anopheline-sialome-cds-pep-larger-orf65-50SimCLU1.txt", 1)</f>
        <v>1</v>
      </c>
      <c r="CC342">
        <f>HYPERLINK("http://exon.niaid.nih.gov/transcriptome/Anopheles_sialome/links/cluster-b/anopheline-sialome-cds-pep-larger-orf65-50SimCLTL1.txt", 60)</f>
        <v>60</v>
      </c>
      <c r="CD342">
        <f>HYPERLINK("http://exon.niaid.nih.gov/transcriptome/Anopheles_sialome/links/cluster-b/anopheline-sialome-cds-pep-larger-orf70-50SimCLU1.txt", 1)</f>
        <v>1</v>
      </c>
      <c r="CE342">
        <f>HYPERLINK("http://exon.niaid.nih.gov/transcriptome/Anopheles_sialome/links/cluster-b/anopheline-sialome-cds-pep-larger-orf70-50SimCLTL1.txt", 30)</f>
        <v>30</v>
      </c>
      <c r="CF342">
        <f>HYPERLINK("http://exon.niaid.nih.gov/transcriptome/Anopheles_sialome/links/cluster-b/anopheline-sialome-cds-pep-larger-orf75-50SimCLU1.txt", 1)</f>
        <v>1</v>
      </c>
      <c r="CG342">
        <f>HYPERLINK("http://exon.niaid.nih.gov/transcriptome/Anopheles_sialome/links/cluster-b/anopheline-sialome-cds-pep-larger-orf75-50SimCLTL1.txt", 30)</f>
        <v>30</v>
      </c>
      <c r="CH342">
        <f>HYPERLINK("http://exon.niaid.nih.gov/transcriptome/Anopheles_sialome/links/cluster-b/anopheline-sialome-cds-pep-larger-orf80-50SimCLU1.txt", 1)</f>
        <v>1</v>
      </c>
      <c r="CI342">
        <f>HYPERLINK("http://exon.niaid.nih.gov/transcriptome/Anopheles_sialome/links/cluster-b/anopheline-sialome-cds-pep-larger-orf80-50SimCLTL1.txt", 30)</f>
        <v>30</v>
      </c>
      <c r="CJ342">
        <f>HYPERLINK("http://exon.niaid.nih.gov/transcriptome/Anopheles_sialome/links/cluster-b/anopheline-sialome-cds-pep-larger-orf85-50SimCLU9.txt", 9)</f>
        <v>9</v>
      </c>
      <c r="CK342">
        <f>HYPERLINK("http://exon.niaid.nih.gov/transcriptome/Anopheles_sialome/links/cluster-b/anopheline-sialome-cds-pep-larger-orf85-50SimCLTL9.txt", 14)</f>
        <v>14</v>
      </c>
      <c r="CL342">
        <f>HYPERLINK("http://exon.niaid.nih.gov/transcriptome/Anopheles_sialome/links/cluster-b/anopheline-sialome-cds-pep-larger-orf90-50SimCLU4.txt", 4)</f>
        <v>4</v>
      </c>
      <c r="CM342">
        <f>HYPERLINK("http://exon.niaid.nih.gov/transcriptome/Anopheles_sialome/links/cluster-b/anopheline-sialome-cds-pep-larger-orf90-50SimCLTL4.txt", 14)</f>
        <v>14</v>
      </c>
      <c r="CN342">
        <f>HYPERLINK("http://exon.niaid.nih.gov/transcriptome/Anopheles_sialome/links/cluster-b/anopheline-sialome-cds-pep-larger-orf95-50SimCLU9.txt", 9)</f>
        <v>9</v>
      </c>
      <c r="CO342">
        <f>HYPERLINK("http://exon.niaid.nih.gov/transcriptome/Anopheles_sialome/links/cluster-b/anopheline-sialome-cds-pep-larger-orf95-50SimCLTL9.txt", 6)</f>
        <v>6</v>
      </c>
    </row>
    <row r="343" spans="1:93">
      <c r="A343" s="2" t="str">
        <f>HYPERLINK("http://exon.niaid.nih.gov/transcriptome/Anopheles_sialome/links/cds/anoqua_D7r2-cds.txt","anoqua_D7r2")</f>
        <v>anoqua_D7r2</v>
      </c>
      <c r="B343">
        <v>507</v>
      </c>
      <c r="C343" t="s">
        <v>150</v>
      </c>
      <c r="D343" t="s">
        <v>7</v>
      </c>
      <c r="E343" t="s">
        <v>5</v>
      </c>
      <c r="F343" t="s">
        <v>1</v>
      </c>
      <c r="G343" t="str">
        <f>HYPERLINK("http://exon.niaid.nih.gov/transcriptome/Anopheles_sialome/links/pep/anoqua_D7r2-pep.txt","anoqua_D7r2")</f>
        <v>anoqua_D7r2</v>
      </c>
      <c r="H343">
        <v>168</v>
      </c>
      <c r="I343">
        <v>1</v>
      </c>
      <c r="J343" s="3" t="str">
        <f>HYPERLINK("http://exon.niaid.nih.gov/transcriptome/Anopheles_sialome/links/Sigp/anoqua_D7r2-SigP.txt","SIG")</f>
        <v>SIG</v>
      </c>
      <c r="K343" t="s">
        <v>689</v>
      </c>
      <c r="L343">
        <v>18.471</v>
      </c>
      <c r="M343">
        <v>5.09</v>
      </c>
      <c r="N343">
        <v>16.172000000000001</v>
      </c>
      <c r="O343">
        <v>4.8499999999999996</v>
      </c>
      <c r="P343" t="s">
        <v>1029</v>
      </c>
      <c r="Q343" s="3">
        <v>0</v>
      </c>
      <c r="R343" t="s">
        <v>128</v>
      </c>
      <c r="S343" t="s">
        <v>128</v>
      </c>
      <c r="T343" t="s">
        <v>128</v>
      </c>
      <c r="U343" t="s">
        <v>128</v>
      </c>
      <c r="V343" t="s">
        <v>128</v>
      </c>
      <c r="W343" s="3" t="str">
        <f>HYPERLINK("http://exon.niaid.nih.gov/transcriptome/Anopheles_sialome/links/netoglyc/anoqua_D7r2-netoglyc.txt","0")</f>
        <v>0</v>
      </c>
      <c r="X343">
        <v>13.1</v>
      </c>
      <c r="Y343">
        <v>7.1</v>
      </c>
      <c r="Z343">
        <v>1.2</v>
      </c>
      <c r="AA343" t="s">
        <v>654</v>
      </c>
      <c r="AB343" t="s">
        <v>128</v>
      </c>
      <c r="AC343" s="2" t="str">
        <f>HYPERLINK("http://exon.niaid.nih.gov/transcriptome/Anopheles_sialome/links/DIPTERA/anoqua_D7r2-DIPTERA.txt","D7-related 2 protein")</f>
        <v>D7-related 2 protein</v>
      </c>
      <c r="AD343" t="str">
        <f>HYPERLINK("http://www.ncbi.nlm.nih.gov/sutils/blink.cgi?pid=4538889","8E-092")</f>
        <v>8E-092</v>
      </c>
      <c r="AE343" t="str">
        <f t="shared" si="141"/>
        <v>gi|4538889</v>
      </c>
      <c r="AF343">
        <v>99</v>
      </c>
      <c r="AG343">
        <v>100</v>
      </c>
      <c r="AH343">
        <v>100</v>
      </c>
      <c r="AI343" t="s">
        <v>2254</v>
      </c>
      <c r="AJ343" s="2" t="str">
        <f>HYPERLINK("http://exon.niaid.nih.gov/transcriptome/Anopheles_sialome/links/CULICOMORPHA/anoqua_D7r2-CULICOMORPHA.txt","D7-related 2 protein")</f>
        <v>D7-related 2 protein</v>
      </c>
      <c r="AK343" t="str">
        <f>HYPERLINK("http://www.ncbi.nlm.nih.gov/sutils/blink.cgi?pid=4538889","2E-092")</f>
        <v>2E-092</v>
      </c>
      <c r="AL343" t="str">
        <f t="shared" si="142"/>
        <v>gi|4538889</v>
      </c>
      <c r="AM343">
        <v>99</v>
      </c>
      <c r="AN343">
        <v>100</v>
      </c>
      <c r="AO343">
        <v>100</v>
      </c>
      <c r="AP343" t="s">
        <v>2254</v>
      </c>
      <c r="AQ343" s="2" t="str">
        <f>HYPERLINK("http://exon.niaid.nih.gov/transcriptome/Anopheles_sialome/links/NR-LIGHT/anoqua_D7r2-NR-LIGHT.txt","AGAP008282-PA")</f>
        <v>AGAP008282-PA</v>
      </c>
      <c r="AR343" t="str">
        <f>HYPERLINK("http://www.ncbi.nlm.nih.gov/sutils/blink.cgi?pid=58389663","2E-091")</f>
        <v>2E-091</v>
      </c>
      <c r="AS343" t="str">
        <f t="shared" si="143"/>
        <v>gi|58389663</v>
      </c>
      <c r="AT343">
        <v>99</v>
      </c>
      <c r="AU343">
        <v>100</v>
      </c>
      <c r="AV343">
        <v>100</v>
      </c>
      <c r="AW343" t="s">
        <v>2285</v>
      </c>
      <c r="AX343" s="2" t="str">
        <f>HYPERLINK("http://exon.niaid.nih.gov/transcriptome/Anopheles_sialome/links/CDD/anoqua_D7r2-CDD.txt","PBP_GOBP")</f>
        <v>PBP_GOBP</v>
      </c>
      <c r="AY343" t="str">
        <f>HYPERLINK("http://www.ncbi.nlm.nih.gov/Structure/cdd/cddsrv.cgi?uid=pfam01395&amp;version=v4.0","8E-010")</f>
        <v>8E-010</v>
      </c>
      <c r="AZ343" t="s">
        <v>2483</v>
      </c>
      <c r="BA343" s="2" t="str">
        <f>HYPERLINK("http://exon.niaid.nih.gov/transcriptome/Anopheles_sialome/links/KOG/anoqua_D7r2-KOG.txt","Putative beta-catenin-Tcf/Lef signaling pathway component DRCTNNB1A")</f>
        <v>Putative beta-catenin-Tcf/Lef signaling pathway component DRCTNNB1A</v>
      </c>
      <c r="BB343" t="str">
        <f>HYPERLINK("http://www.ncbi.nlm.nih.gov/Structure/cdd/cddsrv.cgi?uid=KOG4688","1.3")</f>
        <v>1.3</v>
      </c>
      <c r="BC343" t="s">
        <v>2292</v>
      </c>
      <c r="BD343" t="str">
        <f>HYPERLINK("http://exon.niaid.nih.gov/transcriptome/Anopheles_sialome/links/KOG/anoqua_D7r2-KOG.txt","KOG4688")</f>
        <v>KOG4688</v>
      </c>
      <c r="BE343" t="str">
        <f>HYPERLINK("http://exon.niaid.nih.gov/transcriptome/Anopheles_sialome/links/PFAM/anoqua_D7r2-PFAM.txt","PBP_GOBP")</f>
        <v>PBP_GOBP</v>
      </c>
      <c r="BF343" t="str">
        <f>HYPERLINK("http://pfam.sanger.ac.uk/family?acc=PF01395","2E-010")</f>
        <v>2E-010</v>
      </c>
      <c r="BG343" s="2" t="str">
        <f>HYPERLINK("http://exon.niaid.nih.gov/transcriptome/Anopheles_sialome/links/SMART/anoqua_D7r2-SMART.txt","PhBP")</f>
        <v>PhBP</v>
      </c>
      <c r="BH343" t="str">
        <f>HYPERLINK("http://smart.embl-heidelberg.de/smart/do_annotation.pl?DOMAIN=PhBP&amp;BLAST=DUMMY","3E-011")</f>
        <v>3E-011</v>
      </c>
      <c r="BI343" t="s">
        <v>128</v>
      </c>
      <c r="BJ343" s="2" t="s">
        <v>128</v>
      </c>
      <c r="BK343" t="s">
        <v>1032</v>
      </c>
      <c r="BL343">
        <f>HYPERLINK("http://exon.niaid.nih.gov/transcriptome/Anopheles_sialome/links/cluster-b/anopheline-sialome-cds-pep-larger-orf25-50SimCLU2.txt", 2)</f>
        <v>2</v>
      </c>
      <c r="BM343">
        <f>HYPERLINK("http://exon.niaid.nih.gov/transcriptome/Anopheles_sialome/links/cluster-b/anopheline-sialome-cds-pep-larger-orf25-50SimCLTL2.txt", 120)</f>
        <v>120</v>
      </c>
      <c r="BN343">
        <f>HYPERLINK("http://exon.niaid.nih.gov/transcriptome/Anopheles_sialome/links/cluster-b/anopheline-sialome-cds-pep-larger-orf30-50SimCLU2.txt", 2)</f>
        <v>2</v>
      </c>
      <c r="BO343">
        <f>HYPERLINK("http://exon.niaid.nih.gov/transcriptome/Anopheles_sialome/links/cluster-b/anopheline-sialome-cds-pep-larger-orf30-50SimCLTL2.txt", 120)</f>
        <v>120</v>
      </c>
      <c r="BP343">
        <f>HYPERLINK("http://exon.niaid.nih.gov/transcriptome/Anopheles_sialome/links/cluster-b/anopheline-sialome-cds-pep-larger-orf35-50SimCLU1.txt", 1)</f>
        <v>1</v>
      </c>
      <c r="BQ343">
        <f>HYPERLINK("http://exon.niaid.nih.gov/transcriptome/Anopheles_sialome/links/cluster-b/anopheline-sialome-cds-pep-larger-orf35-50SimCLTL1.txt", 120)</f>
        <v>120</v>
      </c>
      <c r="BR343">
        <f>HYPERLINK("http://exon.niaid.nih.gov/transcriptome/Anopheles_sialome/links/cluster-b/anopheline-sialome-cds-pep-larger-orf40-50SimCLU2.txt", 2)</f>
        <v>2</v>
      </c>
      <c r="BS343">
        <f>HYPERLINK("http://exon.niaid.nih.gov/transcriptome/Anopheles_sialome/links/cluster-b/anopheline-sialome-cds-pep-larger-orf40-50SimCLTL2.txt", 83)</f>
        <v>83</v>
      </c>
      <c r="BT343">
        <f>HYPERLINK("http://exon.niaid.nih.gov/transcriptome/Anopheles_sialome/links/cluster-b/anopheline-sialome-cds-pep-larger-orf45-50SimCLU1.txt", 1)</f>
        <v>1</v>
      </c>
      <c r="BU343">
        <f>HYPERLINK("http://exon.niaid.nih.gov/transcriptome/Anopheles_sialome/links/cluster-b/anopheline-sialome-cds-pep-larger-orf45-50SimCLTL1.txt", 83)</f>
        <v>83</v>
      </c>
      <c r="BV343">
        <f>HYPERLINK("http://exon.niaid.nih.gov/transcriptome/Anopheles_sialome/links/cluster-b/anopheline-sialome-cds-pep-larger-orf50-50SimCLU1.txt", 1)</f>
        <v>1</v>
      </c>
      <c r="BW343">
        <f>HYPERLINK("http://exon.niaid.nih.gov/transcriptome/Anopheles_sialome/links/cluster-b/anopheline-sialome-cds-pep-larger-orf50-50SimCLTL1.txt", 83)</f>
        <v>83</v>
      </c>
      <c r="BX343">
        <f>HYPERLINK("http://exon.niaid.nih.gov/transcriptome/Anopheles_sialome/links/cluster-b/anopheline-sialome-cds-pep-larger-orf55-50SimCLU1.txt", 1)</f>
        <v>1</v>
      </c>
      <c r="BY343">
        <f>HYPERLINK("http://exon.niaid.nih.gov/transcriptome/Anopheles_sialome/links/cluster-b/anopheline-sialome-cds-pep-larger-orf55-50SimCLTL1.txt", 79)</f>
        <v>79</v>
      </c>
      <c r="BZ343">
        <f>HYPERLINK("http://exon.niaid.nih.gov/transcriptome/Anopheles_sialome/links/cluster-b/anopheline-sialome-cds-pep-larger-orf60-50SimCLU1.txt", 1)</f>
        <v>1</v>
      </c>
      <c r="CA343">
        <f>HYPERLINK("http://exon.niaid.nih.gov/transcriptome/Anopheles_sialome/links/cluster-b/anopheline-sialome-cds-pep-larger-orf60-50SimCLTL1.txt", 60)</f>
        <v>60</v>
      </c>
      <c r="CB343">
        <f>HYPERLINK("http://exon.niaid.nih.gov/transcriptome/Anopheles_sialome/links/cluster-b/anopheline-sialome-cds-pep-larger-orf65-50SimCLU1.txt", 1)</f>
        <v>1</v>
      </c>
      <c r="CC343">
        <f>HYPERLINK("http://exon.niaid.nih.gov/transcriptome/Anopheles_sialome/links/cluster-b/anopheline-sialome-cds-pep-larger-orf65-50SimCLTL1.txt", 60)</f>
        <v>60</v>
      </c>
      <c r="CD343">
        <f>HYPERLINK("http://exon.niaid.nih.gov/transcriptome/Anopheles_sialome/links/cluster-b/anopheline-sialome-cds-pep-larger-orf70-50SimCLU1.txt", 1)</f>
        <v>1</v>
      </c>
      <c r="CE343">
        <f>HYPERLINK("http://exon.niaid.nih.gov/transcriptome/Anopheles_sialome/links/cluster-b/anopheline-sialome-cds-pep-larger-orf70-50SimCLTL1.txt", 30)</f>
        <v>30</v>
      </c>
      <c r="CF343">
        <f>HYPERLINK("http://exon.niaid.nih.gov/transcriptome/Anopheles_sialome/links/cluster-b/anopheline-sialome-cds-pep-larger-orf75-50SimCLU1.txt", 1)</f>
        <v>1</v>
      </c>
      <c r="CG343">
        <f>HYPERLINK("http://exon.niaid.nih.gov/transcriptome/Anopheles_sialome/links/cluster-b/anopheline-sialome-cds-pep-larger-orf75-50SimCLTL1.txt", 30)</f>
        <v>30</v>
      </c>
      <c r="CH343">
        <f>HYPERLINK("http://exon.niaid.nih.gov/transcriptome/Anopheles_sialome/links/cluster-b/anopheline-sialome-cds-pep-larger-orf80-50SimCLU1.txt", 1)</f>
        <v>1</v>
      </c>
      <c r="CI343">
        <f>HYPERLINK("http://exon.niaid.nih.gov/transcriptome/Anopheles_sialome/links/cluster-b/anopheline-sialome-cds-pep-larger-orf80-50SimCLTL1.txt", 30)</f>
        <v>30</v>
      </c>
      <c r="CJ343">
        <f>HYPERLINK("http://exon.niaid.nih.gov/transcriptome/Anopheles_sialome/links/cluster-b/anopheline-sialome-cds-pep-larger-orf85-50SimCLU9.txt", 9)</f>
        <v>9</v>
      </c>
      <c r="CK343">
        <f>HYPERLINK("http://exon.niaid.nih.gov/transcriptome/Anopheles_sialome/links/cluster-b/anopheline-sialome-cds-pep-larger-orf85-50SimCLTL9.txt", 14)</f>
        <v>14</v>
      </c>
      <c r="CL343">
        <f>HYPERLINK("http://exon.niaid.nih.gov/transcriptome/Anopheles_sialome/links/cluster-b/anopheline-sialome-cds-pep-larger-orf90-50SimCLU4.txt", 4)</f>
        <v>4</v>
      </c>
      <c r="CM343">
        <f>HYPERLINK("http://exon.niaid.nih.gov/transcriptome/Anopheles_sialome/links/cluster-b/anopheline-sialome-cds-pep-larger-orf90-50SimCLTL4.txt", 14)</f>
        <v>14</v>
      </c>
      <c r="CN343">
        <f>HYPERLINK("http://exon.niaid.nih.gov/transcriptome/Anopheles_sialome/links/cluster-b/anopheline-sialome-cds-pep-larger-orf95-50SimCLU9.txt", 9)</f>
        <v>9</v>
      </c>
      <c r="CO343">
        <f>HYPERLINK("http://exon.niaid.nih.gov/transcriptome/Anopheles_sialome/links/cluster-b/anopheline-sialome-cds-pep-larger-orf95-50SimCLTL9.txt", 6)</f>
        <v>6</v>
      </c>
    </row>
    <row r="344" spans="1:93">
      <c r="A344" s="2" t="str">
        <f>HYPERLINK("http://exon.niaid.nih.gov/transcriptome/Anopheles_sialome/links/cds/anomer_D7r2-cds.txt","anomer_D7r2")</f>
        <v>anomer_D7r2</v>
      </c>
      <c r="B344">
        <v>507</v>
      </c>
      <c r="C344" t="s">
        <v>164</v>
      </c>
      <c r="D344" t="s">
        <v>4</v>
      </c>
      <c r="E344" t="s">
        <v>5</v>
      </c>
      <c r="F344" t="s">
        <v>1</v>
      </c>
      <c r="G344" t="str">
        <f>HYPERLINK("http://exon.niaid.nih.gov/transcriptome/Anopheles_sialome/links/pep/anomer_D7r2-pep.txt","anomer_D7r2")</f>
        <v>anomer_D7r2</v>
      </c>
      <c r="H344">
        <v>168</v>
      </c>
      <c r="I344">
        <v>1</v>
      </c>
      <c r="J344" s="3" t="str">
        <f>HYPERLINK("http://exon.niaid.nih.gov/transcriptome/Anopheles_sialome/links/Sigp/anomer_D7r2-SigP.txt","SIG")</f>
        <v>SIG</v>
      </c>
      <c r="K344" t="s">
        <v>689</v>
      </c>
      <c r="L344">
        <v>18.510999999999999</v>
      </c>
      <c r="M344">
        <v>5.09</v>
      </c>
      <c r="N344">
        <v>16.186</v>
      </c>
      <c r="O344">
        <v>4.8499999999999996</v>
      </c>
      <c r="P344" t="s">
        <v>1034</v>
      </c>
      <c r="Q344" s="3">
        <v>0</v>
      </c>
      <c r="R344" t="s">
        <v>128</v>
      </c>
      <c r="S344" t="s">
        <v>128</v>
      </c>
      <c r="T344" t="s">
        <v>128</v>
      </c>
      <c r="U344" t="s">
        <v>128</v>
      </c>
      <c r="V344" t="s">
        <v>128</v>
      </c>
      <c r="W344" s="3" t="str">
        <f>HYPERLINK("http://exon.niaid.nih.gov/transcriptome/Anopheles_sialome/links/netoglyc/anomer_D7r2-netoglyc.txt","0")</f>
        <v>0</v>
      </c>
      <c r="X344">
        <v>12.5</v>
      </c>
      <c r="Y344">
        <v>6.5</v>
      </c>
      <c r="Z344">
        <v>1.2</v>
      </c>
      <c r="AA344" t="s">
        <v>654</v>
      </c>
      <c r="AB344" t="s">
        <v>128</v>
      </c>
      <c r="AC344" s="2" t="str">
        <f>HYPERLINK("http://exon.niaid.nih.gov/transcriptome/Anopheles_sialome/links/DIPTERA/anomer_D7r2-DIPTERA.txt","D7-related 2 protein")</f>
        <v>D7-related 2 protein</v>
      </c>
      <c r="AD344" t="str">
        <f>HYPERLINK("http://www.ncbi.nlm.nih.gov/sutils/blink.cgi?pid=4538889","2E-090")</f>
        <v>2E-090</v>
      </c>
      <c r="AE344" t="str">
        <f t="shared" si="141"/>
        <v>gi|4538889</v>
      </c>
      <c r="AF344">
        <v>98</v>
      </c>
      <c r="AG344">
        <v>98</v>
      </c>
      <c r="AH344">
        <v>100</v>
      </c>
      <c r="AI344" t="s">
        <v>2254</v>
      </c>
      <c r="AJ344" s="2" t="str">
        <f>HYPERLINK("http://exon.niaid.nih.gov/transcriptome/Anopheles_sialome/links/CULICOMORPHA/anomer_D7r2-CULICOMORPHA.txt","D7-related 2 protein")</f>
        <v>D7-related 2 protein</v>
      </c>
      <c r="AK344" t="str">
        <f>HYPERLINK("http://www.ncbi.nlm.nih.gov/sutils/blink.cgi?pid=4538889","4E-091")</f>
        <v>4E-091</v>
      </c>
      <c r="AL344" t="str">
        <f t="shared" si="142"/>
        <v>gi|4538889</v>
      </c>
      <c r="AM344">
        <v>98</v>
      </c>
      <c r="AN344">
        <v>98</v>
      </c>
      <c r="AO344">
        <v>100</v>
      </c>
      <c r="AP344" t="s">
        <v>2254</v>
      </c>
      <c r="AQ344" s="2" t="str">
        <f>HYPERLINK("http://exon.niaid.nih.gov/transcriptome/Anopheles_sialome/links/NR-LIGHT/anomer_D7r2-NR-LIGHT.txt","AGAP008282-PA")</f>
        <v>AGAP008282-PA</v>
      </c>
      <c r="AR344" t="str">
        <f>HYPERLINK("http://www.ncbi.nlm.nih.gov/sutils/blink.cgi?pid=58389663","5E-090")</f>
        <v>5E-090</v>
      </c>
      <c r="AS344" t="str">
        <f t="shared" si="143"/>
        <v>gi|58389663</v>
      </c>
      <c r="AT344">
        <v>98</v>
      </c>
      <c r="AU344">
        <v>98</v>
      </c>
      <c r="AV344">
        <v>100</v>
      </c>
      <c r="AW344" t="s">
        <v>2285</v>
      </c>
      <c r="AX344" s="2" t="str">
        <f>HYPERLINK("http://exon.niaid.nih.gov/transcriptome/Anopheles_sialome/links/CDD/anomer_D7r2-CDD.txt","PBP_GOBP")</f>
        <v>PBP_GOBP</v>
      </c>
      <c r="AY344" t="str">
        <f>HYPERLINK("http://www.ncbi.nlm.nih.gov/Structure/cdd/cddsrv.cgi?uid=pfam01395&amp;version=v4.0","1E-009")</f>
        <v>1E-009</v>
      </c>
      <c r="AZ344" t="s">
        <v>2484</v>
      </c>
      <c r="BA344" s="2" t="str">
        <f>HYPERLINK("http://exon.niaid.nih.gov/transcriptome/Anopheles_sialome/links/KOG/anomer_D7r2-KOG.txt","Putative beta-catenin-Tcf/Lef signaling pathway component DRCTNNB1A")</f>
        <v>Putative beta-catenin-Tcf/Lef signaling pathway component DRCTNNB1A</v>
      </c>
      <c r="BB344" t="str">
        <f>HYPERLINK("http://www.ncbi.nlm.nih.gov/Structure/cdd/cddsrv.cgi?uid=KOG4688","2.8")</f>
        <v>2.8</v>
      </c>
      <c r="BC344" t="s">
        <v>2292</v>
      </c>
      <c r="BD344" t="str">
        <f>HYPERLINK("http://exon.niaid.nih.gov/transcriptome/Anopheles_sialome/links/KOG/anomer_D7r2-KOG.txt","KOG4688")</f>
        <v>KOG4688</v>
      </c>
      <c r="BE344" t="str">
        <f>HYPERLINK("http://exon.niaid.nih.gov/transcriptome/Anopheles_sialome/links/PFAM/anomer_D7r2-PFAM.txt","PBP_GOBP")</f>
        <v>PBP_GOBP</v>
      </c>
      <c r="BF344" t="str">
        <f>HYPERLINK("http://pfam.sanger.ac.uk/family?acc=PF01395","2E-010")</f>
        <v>2E-010</v>
      </c>
      <c r="BG344" s="2" t="str">
        <f>HYPERLINK("http://exon.niaid.nih.gov/transcriptome/Anopheles_sialome/links/SMART/anomer_D7r2-SMART.txt","PhBP")</f>
        <v>PhBP</v>
      </c>
      <c r="BH344" t="str">
        <f>HYPERLINK("http://smart.embl-heidelberg.de/smart/do_annotation.pl?DOMAIN=PhBP&amp;BLAST=DUMMY","3E-011")</f>
        <v>3E-011</v>
      </c>
      <c r="BI344" t="s">
        <v>128</v>
      </c>
      <c r="BJ344" s="2" t="s">
        <v>128</v>
      </c>
      <c r="BK344" t="s">
        <v>1033</v>
      </c>
      <c r="BL344">
        <f>HYPERLINK("http://exon.niaid.nih.gov/transcriptome/Anopheles_sialome/links/cluster-b/anopheline-sialome-cds-pep-larger-orf25-50SimCLU2.txt", 2)</f>
        <v>2</v>
      </c>
      <c r="BM344">
        <f>HYPERLINK("http://exon.niaid.nih.gov/transcriptome/Anopheles_sialome/links/cluster-b/anopheline-sialome-cds-pep-larger-orf25-50SimCLTL2.txt", 120)</f>
        <v>120</v>
      </c>
      <c r="BN344">
        <f>HYPERLINK("http://exon.niaid.nih.gov/transcriptome/Anopheles_sialome/links/cluster-b/anopheline-sialome-cds-pep-larger-orf30-50SimCLU2.txt", 2)</f>
        <v>2</v>
      </c>
      <c r="BO344">
        <f>HYPERLINK("http://exon.niaid.nih.gov/transcriptome/Anopheles_sialome/links/cluster-b/anopheline-sialome-cds-pep-larger-orf30-50SimCLTL2.txt", 120)</f>
        <v>120</v>
      </c>
      <c r="BP344">
        <f>HYPERLINK("http://exon.niaid.nih.gov/transcriptome/Anopheles_sialome/links/cluster-b/anopheline-sialome-cds-pep-larger-orf35-50SimCLU1.txt", 1)</f>
        <v>1</v>
      </c>
      <c r="BQ344">
        <f>HYPERLINK("http://exon.niaid.nih.gov/transcriptome/Anopheles_sialome/links/cluster-b/anopheline-sialome-cds-pep-larger-orf35-50SimCLTL1.txt", 120)</f>
        <v>120</v>
      </c>
      <c r="BR344">
        <f>HYPERLINK("http://exon.niaid.nih.gov/transcriptome/Anopheles_sialome/links/cluster-b/anopheline-sialome-cds-pep-larger-orf40-50SimCLU2.txt", 2)</f>
        <v>2</v>
      </c>
      <c r="BS344">
        <f>HYPERLINK("http://exon.niaid.nih.gov/transcriptome/Anopheles_sialome/links/cluster-b/anopheline-sialome-cds-pep-larger-orf40-50SimCLTL2.txt", 83)</f>
        <v>83</v>
      </c>
      <c r="BT344">
        <f>HYPERLINK("http://exon.niaid.nih.gov/transcriptome/Anopheles_sialome/links/cluster-b/anopheline-sialome-cds-pep-larger-orf45-50SimCLU1.txt", 1)</f>
        <v>1</v>
      </c>
      <c r="BU344">
        <f>HYPERLINK("http://exon.niaid.nih.gov/transcriptome/Anopheles_sialome/links/cluster-b/anopheline-sialome-cds-pep-larger-orf45-50SimCLTL1.txt", 83)</f>
        <v>83</v>
      </c>
      <c r="BV344">
        <f>HYPERLINK("http://exon.niaid.nih.gov/transcriptome/Anopheles_sialome/links/cluster-b/anopheline-sialome-cds-pep-larger-orf50-50SimCLU1.txt", 1)</f>
        <v>1</v>
      </c>
      <c r="BW344">
        <f>HYPERLINK("http://exon.niaid.nih.gov/transcriptome/Anopheles_sialome/links/cluster-b/anopheline-sialome-cds-pep-larger-orf50-50SimCLTL1.txt", 83)</f>
        <v>83</v>
      </c>
      <c r="BX344">
        <f>HYPERLINK("http://exon.niaid.nih.gov/transcriptome/Anopheles_sialome/links/cluster-b/anopheline-sialome-cds-pep-larger-orf55-50SimCLU1.txt", 1)</f>
        <v>1</v>
      </c>
      <c r="BY344">
        <f>HYPERLINK("http://exon.niaid.nih.gov/transcriptome/Anopheles_sialome/links/cluster-b/anopheline-sialome-cds-pep-larger-orf55-50SimCLTL1.txt", 79)</f>
        <v>79</v>
      </c>
      <c r="BZ344">
        <f>HYPERLINK("http://exon.niaid.nih.gov/transcriptome/Anopheles_sialome/links/cluster-b/anopheline-sialome-cds-pep-larger-orf60-50SimCLU1.txt", 1)</f>
        <v>1</v>
      </c>
      <c r="CA344">
        <f>HYPERLINK("http://exon.niaid.nih.gov/transcriptome/Anopheles_sialome/links/cluster-b/anopheline-sialome-cds-pep-larger-orf60-50SimCLTL1.txt", 60)</f>
        <v>60</v>
      </c>
      <c r="CB344">
        <f>HYPERLINK("http://exon.niaid.nih.gov/transcriptome/Anopheles_sialome/links/cluster-b/anopheline-sialome-cds-pep-larger-orf65-50SimCLU1.txt", 1)</f>
        <v>1</v>
      </c>
      <c r="CC344">
        <f>HYPERLINK("http://exon.niaid.nih.gov/transcriptome/Anopheles_sialome/links/cluster-b/anopheline-sialome-cds-pep-larger-orf65-50SimCLTL1.txt", 60)</f>
        <v>60</v>
      </c>
      <c r="CD344">
        <f>HYPERLINK("http://exon.niaid.nih.gov/transcriptome/Anopheles_sialome/links/cluster-b/anopheline-sialome-cds-pep-larger-orf70-50SimCLU1.txt", 1)</f>
        <v>1</v>
      </c>
      <c r="CE344">
        <f>HYPERLINK("http://exon.niaid.nih.gov/transcriptome/Anopheles_sialome/links/cluster-b/anopheline-sialome-cds-pep-larger-orf70-50SimCLTL1.txt", 30)</f>
        <v>30</v>
      </c>
      <c r="CF344">
        <f>HYPERLINK("http://exon.niaid.nih.gov/transcriptome/Anopheles_sialome/links/cluster-b/anopheline-sialome-cds-pep-larger-orf75-50SimCLU1.txt", 1)</f>
        <v>1</v>
      </c>
      <c r="CG344">
        <f>HYPERLINK("http://exon.niaid.nih.gov/transcriptome/Anopheles_sialome/links/cluster-b/anopheline-sialome-cds-pep-larger-orf75-50SimCLTL1.txt", 30)</f>
        <v>30</v>
      </c>
      <c r="CH344">
        <f>HYPERLINK("http://exon.niaid.nih.gov/transcriptome/Anopheles_sialome/links/cluster-b/anopheline-sialome-cds-pep-larger-orf80-50SimCLU1.txt", 1)</f>
        <v>1</v>
      </c>
      <c r="CI344">
        <f>HYPERLINK("http://exon.niaid.nih.gov/transcriptome/Anopheles_sialome/links/cluster-b/anopheline-sialome-cds-pep-larger-orf80-50SimCLTL1.txt", 30)</f>
        <v>30</v>
      </c>
      <c r="CJ344">
        <f>HYPERLINK("http://exon.niaid.nih.gov/transcriptome/Anopheles_sialome/links/cluster-b/anopheline-sialome-cds-pep-larger-orf85-50SimCLU9.txt", 9)</f>
        <v>9</v>
      </c>
      <c r="CK344">
        <f>HYPERLINK("http://exon.niaid.nih.gov/transcriptome/Anopheles_sialome/links/cluster-b/anopheline-sialome-cds-pep-larger-orf85-50SimCLTL9.txt", 14)</f>
        <v>14</v>
      </c>
      <c r="CL344">
        <f>HYPERLINK("http://exon.niaid.nih.gov/transcriptome/Anopheles_sialome/links/cluster-b/anopheline-sialome-cds-pep-larger-orf90-50SimCLU4.txt", 4)</f>
        <v>4</v>
      </c>
      <c r="CM344">
        <f>HYPERLINK("http://exon.niaid.nih.gov/transcriptome/Anopheles_sialome/links/cluster-b/anopheline-sialome-cds-pep-larger-orf90-50SimCLTL4.txt", 14)</f>
        <v>14</v>
      </c>
      <c r="CN344">
        <f>HYPERLINK("http://exon.niaid.nih.gov/transcriptome/Anopheles_sialome/links/cluster-b/anopheline-sialome-cds-pep-larger-orf95-50SimCLU9.txt", 9)</f>
        <v>9</v>
      </c>
      <c r="CO344">
        <f>HYPERLINK("http://exon.niaid.nih.gov/transcriptome/Anopheles_sialome/links/cluster-b/anopheline-sialome-cds-pep-larger-orf95-50SimCLTL9.txt", 6)</f>
        <v>6</v>
      </c>
    </row>
    <row r="345" spans="1:93">
      <c r="A345" s="2" t="str">
        <f>HYPERLINK("http://exon.niaid.nih.gov/transcriptome/Anopheles_sialome/links/cds/anomel_D7r2-cds.txt","anomel_D7r2")</f>
        <v>anomel_D7r2</v>
      </c>
      <c r="B345">
        <v>507</v>
      </c>
      <c r="C345" t="s">
        <v>165</v>
      </c>
      <c r="D345" t="s">
        <v>7</v>
      </c>
      <c r="E345" t="s">
        <v>5</v>
      </c>
      <c r="F345" t="s">
        <v>1</v>
      </c>
      <c r="G345" t="str">
        <f>HYPERLINK("http://exon.niaid.nih.gov/transcriptome/Anopheles_sialome/links/pep/anomel_D7r2-pep.txt","anomel_D7r2")</f>
        <v>anomel_D7r2</v>
      </c>
      <c r="H345">
        <v>168</v>
      </c>
      <c r="I345">
        <v>1</v>
      </c>
      <c r="J345" s="3" t="str">
        <f>HYPERLINK("http://exon.niaid.nih.gov/transcriptome/Anopheles_sialome/links/Sigp/anomel_D7r2-SigP.txt","SIG")</f>
        <v>SIG</v>
      </c>
      <c r="K345" t="s">
        <v>689</v>
      </c>
      <c r="L345">
        <v>18.457000000000001</v>
      </c>
      <c r="M345">
        <v>4.96</v>
      </c>
      <c r="N345">
        <v>16.172000000000001</v>
      </c>
      <c r="O345">
        <v>4.8499999999999996</v>
      </c>
      <c r="P345" t="s">
        <v>1036</v>
      </c>
      <c r="Q345" s="3">
        <v>0</v>
      </c>
      <c r="R345" t="s">
        <v>128</v>
      </c>
      <c r="S345" t="s">
        <v>128</v>
      </c>
      <c r="T345" t="s">
        <v>128</v>
      </c>
      <c r="U345" t="s">
        <v>128</v>
      </c>
      <c r="V345" t="s">
        <v>128</v>
      </c>
      <c r="W345" s="3" t="str">
        <f>HYPERLINK("http://exon.niaid.nih.gov/transcriptome/Anopheles_sialome/links/netoglyc/anomel_D7r2-netoglyc.txt","0")</f>
        <v>0</v>
      </c>
      <c r="X345">
        <v>13.1</v>
      </c>
      <c r="Y345">
        <v>7.1</v>
      </c>
      <c r="Z345">
        <v>1.2</v>
      </c>
      <c r="AA345" t="s">
        <v>654</v>
      </c>
      <c r="AB345" t="s">
        <v>128</v>
      </c>
      <c r="AC345" s="2" t="str">
        <f>HYPERLINK("http://exon.niaid.nih.gov/transcriptome/Anopheles_sialome/links/DIPTERA/anomel_D7r2-DIPTERA.txt","D7-related 2 protein")</f>
        <v>D7-related 2 protein</v>
      </c>
      <c r="AD345" t="str">
        <f>HYPERLINK("http://www.ncbi.nlm.nih.gov/sutils/blink.cgi?pid=4538889","3E-091")</f>
        <v>3E-091</v>
      </c>
      <c r="AE345" t="str">
        <f t="shared" si="141"/>
        <v>gi|4538889</v>
      </c>
      <c r="AF345">
        <v>98</v>
      </c>
      <c r="AG345">
        <v>99</v>
      </c>
      <c r="AH345">
        <v>100</v>
      </c>
      <c r="AI345" t="s">
        <v>2254</v>
      </c>
      <c r="AJ345" s="2" t="str">
        <f>HYPERLINK("http://exon.niaid.nih.gov/transcriptome/Anopheles_sialome/links/CULICOMORPHA/anomel_D7r2-CULICOMORPHA.txt","D7-related 2 protein")</f>
        <v>D7-related 2 protein</v>
      </c>
      <c r="AK345" t="str">
        <f>HYPERLINK("http://www.ncbi.nlm.nih.gov/sutils/blink.cgi?pid=4538889","6E-092")</f>
        <v>6E-092</v>
      </c>
      <c r="AL345" t="str">
        <f t="shared" si="142"/>
        <v>gi|4538889</v>
      </c>
      <c r="AM345">
        <v>98</v>
      </c>
      <c r="AN345">
        <v>99</v>
      </c>
      <c r="AO345">
        <v>100</v>
      </c>
      <c r="AP345" t="s">
        <v>2254</v>
      </c>
      <c r="AQ345" s="2" t="str">
        <f>HYPERLINK("http://exon.niaid.nih.gov/transcriptome/Anopheles_sialome/links/NR-LIGHT/anomel_D7r2-NR-LIGHT.txt","AGAP008282-PA")</f>
        <v>AGAP008282-PA</v>
      </c>
      <c r="AR345" t="str">
        <f>HYPERLINK("http://www.ncbi.nlm.nih.gov/sutils/blink.cgi?pid=58389663","7E-091")</f>
        <v>7E-091</v>
      </c>
      <c r="AS345" t="str">
        <f t="shared" si="143"/>
        <v>gi|58389663</v>
      </c>
      <c r="AT345">
        <v>98</v>
      </c>
      <c r="AU345">
        <v>99</v>
      </c>
      <c r="AV345">
        <v>100</v>
      </c>
      <c r="AW345" t="s">
        <v>2285</v>
      </c>
      <c r="AX345" s="2" t="str">
        <f>HYPERLINK("http://exon.niaid.nih.gov/transcriptome/Anopheles_sialome/links/CDD/anomel_D7r2-CDD.txt","PBP_GOBP")</f>
        <v>PBP_GOBP</v>
      </c>
      <c r="AY345" t="str">
        <f>HYPERLINK("http://www.ncbi.nlm.nih.gov/Structure/cdd/cddsrv.cgi?uid=pfam01395&amp;version=v4.0","7E-010")</f>
        <v>7E-010</v>
      </c>
      <c r="AZ345" t="s">
        <v>2485</v>
      </c>
      <c r="BA345" s="2" t="str">
        <f>HYPERLINK("http://exon.niaid.nih.gov/transcriptome/Anopheles_sialome/links/KOG/anomel_D7r2-KOG.txt","Nucleotide excision repair protein RAD16")</f>
        <v>Nucleotide excision repair protein RAD16</v>
      </c>
      <c r="BB345" t="str">
        <f>HYPERLINK("http://www.ncbi.nlm.nih.gov/Structure/cdd/cddsrv.cgi?uid=KOG1002","2.7")</f>
        <v>2.7</v>
      </c>
      <c r="BC345" t="s">
        <v>2290</v>
      </c>
      <c r="BD345" t="str">
        <f>HYPERLINK("http://exon.niaid.nih.gov/transcriptome/Anopheles_sialome/links/KOG/anomel_D7r2-KOG.txt","KOG1002")</f>
        <v>KOG1002</v>
      </c>
      <c r="BE345" t="str">
        <f>HYPERLINK("http://exon.niaid.nih.gov/transcriptome/Anopheles_sialome/links/PFAM/anomel_D7r2-PFAM.txt","PBP_GOBP")</f>
        <v>PBP_GOBP</v>
      </c>
      <c r="BF345" t="str">
        <f>HYPERLINK("http://pfam.sanger.ac.uk/family?acc=PF01395","2E-010")</f>
        <v>2E-010</v>
      </c>
      <c r="BG345" s="2" t="str">
        <f>HYPERLINK("http://exon.niaid.nih.gov/transcriptome/Anopheles_sialome/links/SMART/anomel_D7r2-SMART.txt","PhBP")</f>
        <v>PhBP</v>
      </c>
      <c r="BH345" t="str">
        <f>HYPERLINK("http://smart.embl-heidelberg.de/smart/do_annotation.pl?DOMAIN=PhBP&amp;BLAST=DUMMY","2E-011")</f>
        <v>2E-011</v>
      </c>
      <c r="BI345" t="s">
        <v>128</v>
      </c>
      <c r="BJ345" s="2" t="s">
        <v>128</v>
      </c>
      <c r="BK345" t="s">
        <v>1035</v>
      </c>
      <c r="BL345">
        <f>HYPERLINK("http://exon.niaid.nih.gov/transcriptome/Anopheles_sialome/links/cluster-b/anopheline-sialome-cds-pep-larger-orf25-50SimCLU2.txt", 2)</f>
        <v>2</v>
      </c>
      <c r="BM345">
        <f>HYPERLINK("http://exon.niaid.nih.gov/transcriptome/Anopheles_sialome/links/cluster-b/anopheline-sialome-cds-pep-larger-orf25-50SimCLTL2.txt", 120)</f>
        <v>120</v>
      </c>
      <c r="BN345">
        <f>HYPERLINK("http://exon.niaid.nih.gov/transcriptome/Anopheles_sialome/links/cluster-b/anopheline-sialome-cds-pep-larger-orf30-50SimCLU2.txt", 2)</f>
        <v>2</v>
      </c>
      <c r="BO345">
        <f>HYPERLINK("http://exon.niaid.nih.gov/transcriptome/Anopheles_sialome/links/cluster-b/anopheline-sialome-cds-pep-larger-orf30-50SimCLTL2.txt", 120)</f>
        <v>120</v>
      </c>
      <c r="BP345">
        <f>HYPERLINK("http://exon.niaid.nih.gov/transcriptome/Anopheles_sialome/links/cluster-b/anopheline-sialome-cds-pep-larger-orf35-50SimCLU1.txt", 1)</f>
        <v>1</v>
      </c>
      <c r="BQ345">
        <f>HYPERLINK("http://exon.niaid.nih.gov/transcriptome/Anopheles_sialome/links/cluster-b/anopheline-sialome-cds-pep-larger-orf35-50SimCLTL1.txt", 120)</f>
        <v>120</v>
      </c>
      <c r="BR345">
        <f>HYPERLINK("http://exon.niaid.nih.gov/transcriptome/Anopheles_sialome/links/cluster-b/anopheline-sialome-cds-pep-larger-orf40-50SimCLU2.txt", 2)</f>
        <v>2</v>
      </c>
      <c r="BS345">
        <f>HYPERLINK("http://exon.niaid.nih.gov/transcriptome/Anopheles_sialome/links/cluster-b/anopheline-sialome-cds-pep-larger-orf40-50SimCLTL2.txt", 83)</f>
        <v>83</v>
      </c>
      <c r="BT345">
        <f>HYPERLINK("http://exon.niaid.nih.gov/transcriptome/Anopheles_sialome/links/cluster-b/anopheline-sialome-cds-pep-larger-orf45-50SimCLU1.txt", 1)</f>
        <v>1</v>
      </c>
      <c r="BU345">
        <f>HYPERLINK("http://exon.niaid.nih.gov/transcriptome/Anopheles_sialome/links/cluster-b/anopheline-sialome-cds-pep-larger-orf45-50SimCLTL1.txt", 83)</f>
        <v>83</v>
      </c>
      <c r="BV345">
        <f>HYPERLINK("http://exon.niaid.nih.gov/transcriptome/Anopheles_sialome/links/cluster-b/anopheline-sialome-cds-pep-larger-orf50-50SimCLU1.txt", 1)</f>
        <v>1</v>
      </c>
      <c r="BW345">
        <f>HYPERLINK("http://exon.niaid.nih.gov/transcriptome/Anopheles_sialome/links/cluster-b/anopheline-sialome-cds-pep-larger-orf50-50SimCLTL1.txt", 83)</f>
        <v>83</v>
      </c>
      <c r="BX345">
        <f>HYPERLINK("http://exon.niaid.nih.gov/transcriptome/Anopheles_sialome/links/cluster-b/anopheline-sialome-cds-pep-larger-orf55-50SimCLU1.txt", 1)</f>
        <v>1</v>
      </c>
      <c r="BY345">
        <f>HYPERLINK("http://exon.niaid.nih.gov/transcriptome/Anopheles_sialome/links/cluster-b/anopheline-sialome-cds-pep-larger-orf55-50SimCLTL1.txt", 79)</f>
        <v>79</v>
      </c>
      <c r="BZ345">
        <f>HYPERLINK("http://exon.niaid.nih.gov/transcriptome/Anopheles_sialome/links/cluster-b/anopheline-sialome-cds-pep-larger-orf60-50SimCLU1.txt", 1)</f>
        <v>1</v>
      </c>
      <c r="CA345">
        <f>HYPERLINK("http://exon.niaid.nih.gov/transcriptome/Anopheles_sialome/links/cluster-b/anopheline-sialome-cds-pep-larger-orf60-50SimCLTL1.txt", 60)</f>
        <v>60</v>
      </c>
      <c r="CB345">
        <f>HYPERLINK("http://exon.niaid.nih.gov/transcriptome/Anopheles_sialome/links/cluster-b/anopheline-sialome-cds-pep-larger-orf65-50SimCLU1.txt", 1)</f>
        <v>1</v>
      </c>
      <c r="CC345">
        <f>HYPERLINK("http://exon.niaid.nih.gov/transcriptome/Anopheles_sialome/links/cluster-b/anopheline-sialome-cds-pep-larger-orf65-50SimCLTL1.txt", 60)</f>
        <v>60</v>
      </c>
      <c r="CD345">
        <f>HYPERLINK("http://exon.niaid.nih.gov/transcriptome/Anopheles_sialome/links/cluster-b/anopheline-sialome-cds-pep-larger-orf70-50SimCLU1.txt", 1)</f>
        <v>1</v>
      </c>
      <c r="CE345">
        <f>HYPERLINK("http://exon.niaid.nih.gov/transcriptome/Anopheles_sialome/links/cluster-b/anopheline-sialome-cds-pep-larger-orf70-50SimCLTL1.txt", 30)</f>
        <v>30</v>
      </c>
      <c r="CF345">
        <f>HYPERLINK("http://exon.niaid.nih.gov/transcriptome/Anopheles_sialome/links/cluster-b/anopheline-sialome-cds-pep-larger-orf75-50SimCLU1.txt", 1)</f>
        <v>1</v>
      </c>
      <c r="CG345">
        <f>HYPERLINK("http://exon.niaid.nih.gov/transcriptome/Anopheles_sialome/links/cluster-b/anopheline-sialome-cds-pep-larger-orf75-50SimCLTL1.txt", 30)</f>
        <v>30</v>
      </c>
      <c r="CH345">
        <f>HYPERLINK("http://exon.niaid.nih.gov/transcriptome/Anopheles_sialome/links/cluster-b/anopheline-sialome-cds-pep-larger-orf80-50SimCLU1.txt", 1)</f>
        <v>1</v>
      </c>
      <c r="CI345">
        <f>HYPERLINK("http://exon.niaid.nih.gov/transcriptome/Anopheles_sialome/links/cluster-b/anopheline-sialome-cds-pep-larger-orf80-50SimCLTL1.txt", 30)</f>
        <v>30</v>
      </c>
      <c r="CJ345">
        <f>HYPERLINK("http://exon.niaid.nih.gov/transcriptome/Anopheles_sialome/links/cluster-b/anopheline-sialome-cds-pep-larger-orf85-50SimCLU9.txt", 9)</f>
        <v>9</v>
      </c>
      <c r="CK345">
        <f>HYPERLINK("http://exon.niaid.nih.gov/transcriptome/Anopheles_sialome/links/cluster-b/anopheline-sialome-cds-pep-larger-orf85-50SimCLTL9.txt", 14)</f>
        <v>14</v>
      </c>
      <c r="CL345">
        <f>HYPERLINK("http://exon.niaid.nih.gov/transcriptome/Anopheles_sialome/links/cluster-b/anopheline-sialome-cds-pep-larger-orf90-50SimCLU4.txt", 4)</f>
        <v>4</v>
      </c>
      <c r="CM345">
        <f>HYPERLINK("http://exon.niaid.nih.gov/transcriptome/Anopheles_sialome/links/cluster-b/anopheline-sialome-cds-pep-larger-orf90-50SimCLTL4.txt", 14)</f>
        <v>14</v>
      </c>
      <c r="CN345">
        <f>HYPERLINK("http://exon.niaid.nih.gov/transcriptome/Anopheles_sialome/links/cluster-b/anopheline-sialome-cds-pep-larger-orf95-50SimCLU9.txt", 9)</f>
        <v>9</v>
      </c>
      <c r="CO345">
        <f>HYPERLINK("http://exon.niaid.nih.gov/transcriptome/Anopheles_sialome/links/cluster-b/anopheline-sialome-cds-pep-larger-orf95-50SimCLTL9.txt", 6)</f>
        <v>6</v>
      </c>
    </row>
    <row r="346" spans="1:93">
      <c r="A346" s="2" t="str">
        <f>HYPERLINK("http://exon.niaid.nih.gov/transcriptome/Anopheles_sialome/links/cds/anochris_D7r2-cds.txt","anochris_D7r2")</f>
        <v>anochris_D7r2</v>
      </c>
      <c r="B346">
        <v>516</v>
      </c>
      <c r="C346" t="s">
        <v>4</v>
      </c>
      <c r="D346" s="8" t="s">
        <v>3178</v>
      </c>
      <c r="E346" t="s">
        <v>5</v>
      </c>
      <c r="F346" t="s">
        <v>1</v>
      </c>
      <c r="G346" t="str">
        <f>HYPERLINK("http://exon.niaid.nih.gov/transcriptome/Anopheles_sialome/links/pep/anochris_D7r2-pep.txt","anochris_D7r2")</f>
        <v>anochris_D7r2</v>
      </c>
      <c r="H346">
        <v>171</v>
      </c>
      <c r="I346">
        <v>1</v>
      </c>
      <c r="J346" s="3" t="str">
        <f>HYPERLINK("http://exon.niaid.nih.gov/transcriptome/Anopheles_sialome/links/Sigp/anochris_D7r2-SigP.txt","SIG")</f>
        <v>SIG</v>
      </c>
      <c r="K346" t="s">
        <v>689</v>
      </c>
      <c r="L346">
        <v>18.797000000000001</v>
      </c>
      <c r="M346">
        <v>6.13</v>
      </c>
      <c r="N346">
        <v>16.497</v>
      </c>
      <c r="O346">
        <v>5.41</v>
      </c>
      <c r="P346" t="s">
        <v>1029</v>
      </c>
      <c r="Q346" s="3">
        <v>0</v>
      </c>
      <c r="R346" t="s">
        <v>128</v>
      </c>
      <c r="S346" t="s">
        <v>128</v>
      </c>
      <c r="T346" t="s">
        <v>128</v>
      </c>
      <c r="U346" t="s">
        <v>128</v>
      </c>
      <c r="V346" t="s">
        <v>128</v>
      </c>
      <c r="W346" s="3" t="str">
        <f>HYPERLINK("http://exon.niaid.nih.gov/transcriptome/Anopheles_sialome/links/netoglyc/anochris_D7r2-netoglyc.txt","0")</f>
        <v>0</v>
      </c>
      <c r="X346">
        <v>14</v>
      </c>
      <c r="Y346">
        <v>6.4</v>
      </c>
      <c r="Z346">
        <v>1.8</v>
      </c>
      <c r="AA346" t="s">
        <v>654</v>
      </c>
      <c r="AB346" t="s">
        <v>128</v>
      </c>
      <c r="AC346" s="2" t="str">
        <f>HYPERLINK("http://exon.niaid.nih.gov/transcriptome/Anopheles_sialome/links/DIPTERA/anochris_D7r2-DIPTERA.txt","short form D7 salivary protein 2")</f>
        <v>short form D7 salivary protein 2</v>
      </c>
      <c r="AD346" t="str">
        <f>HYPERLINK("http://www.ncbi.nlm.nih.gov/sutils/blink.cgi?pid=114864704","2E-079")</f>
        <v>2E-079</v>
      </c>
      <c r="AE346" t="str">
        <f>HYPERLINK("http://www.ncbi.nlm.nih.gov/protein/114864704","gi|114864704")</f>
        <v>gi|114864704</v>
      </c>
      <c r="AF346">
        <v>87</v>
      </c>
      <c r="AG346">
        <v>92</v>
      </c>
      <c r="AH346">
        <v>101</v>
      </c>
      <c r="AI346" t="s">
        <v>2266</v>
      </c>
      <c r="AJ346" s="2" t="str">
        <f>HYPERLINK("http://exon.niaid.nih.gov/transcriptome/Anopheles_sialome/links/CULICOMORPHA/anochris_D7r2-CULICOMORPHA.txt","short form D7 salivary protein 2")</f>
        <v>short form D7 salivary protein 2</v>
      </c>
      <c r="AK346" t="str">
        <f>HYPERLINK("http://www.ncbi.nlm.nih.gov/sutils/blink.cgi?pid=114864704","3E-080")</f>
        <v>3E-080</v>
      </c>
      <c r="AL346" t="str">
        <f>HYPERLINK("http://www.ncbi.nlm.nih.gov/protein/114864704","gi|114864704")</f>
        <v>gi|114864704</v>
      </c>
      <c r="AM346">
        <v>87</v>
      </c>
      <c r="AN346">
        <v>92</v>
      </c>
      <c r="AO346">
        <v>101</v>
      </c>
      <c r="AP346" t="s">
        <v>2266</v>
      </c>
      <c r="AQ346" s="2" t="str">
        <f>HYPERLINK("http://exon.niaid.nih.gov/transcriptome/Anopheles_sialome/links/NR-LIGHT/anochris_D7r2-NR-LIGHT.txt","short form D7 salivary protein 2")</f>
        <v>short form D7 salivary protein 2</v>
      </c>
      <c r="AR346" t="str">
        <f>HYPERLINK("http://www.ncbi.nlm.nih.gov/sutils/blink.cgi?pid=114864704","4E-079")</f>
        <v>4E-079</v>
      </c>
      <c r="AS346" t="str">
        <f>HYPERLINK("http://www.ncbi.nlm.nih.gov/protein/114864704","gi|114864704")</f>
        <v>gi|114864704</v>
      </c>
      <c r="AT346">
        <v>87</v>
      </c>
      <c r="AU346">
        <v>92</v>
      </c>
      <c r="AV346">
        <v>101</v>
      </c>
      <c r="AW346" t="s">
        <v>2266</v>
      </c>
      <c r="AX346" s="2" t="str">
        <f>HYPERLINK("http://exon.niaid.nih.gov/transcriptome/Anopheles_sialome/links/CDD/anochris_D7r2-CDD.txt","PhBP")</f>
        <v>PhBP</v>
      </c>
      <c r="AY346" t="str">
        <f>HYPERLINK("http://www.ncbi.nlm.nih.gov/Structure/cdd/cddsrv.cgi?uid=smart00708&amp;version=v4.0","2E-008")</f>
        <v>2E-008</v>
      </c>
      <c r="AZ346" t="s">
        <v>2486</v>
      </c>
      <c r="BA346" s="2" t="str">
        <f>HYPERLINK("http://exon.niaid.nih.gov/transcriptome/Anopheles_sialome/links/KOG/anochris_D7r2-KOG.txt","SNARE protein Syntaxin 18/UFE1")</f>
        <v>SNARE protein Syntaxin 18/UFE1</v>
      </c>
      <c r="BB346" t="str">
        <f>HYPERLINK("http://www.ncbi.nlm.nih.gov/Structure/cdd/cddsrv.cgi?uid=KOG3894","1.5")</f>
        <v>1.5</v>
      </c>
      <c r="BC346" t="s">
        <v>2487</v>
      </c>
      <c r="BD346" t="str">
        <f>HYPERLINK("http://exon.niaid.nih.gov/transcriptome/Anopheles_sialome/links/KOG/anochris_D7r2-KOG.txt","KOG3894")</f>
        <v>KOG3894</v>
      </c>
      <c r="BE346" t="str">
        <f>HYPERLINK("http://exon.niaid.nih.gov/transcriptome/Anopheles_sialome/links/PFAM/anochris_D7r2-PFAM.txt","PBP_GOBP")</f>
        <v>PBP_GOBP</v>
      </c>
      <c r="BF346" t="str">
        <f>HYPERLINK("http://pfam.sanger.ac.uk/family?acc=PF01395","3E-008")</f>
        <v>3E-008</v>
      </c>
      <c r="BG346" s="2" t="str">
        <f>HYPERLINK("http://exon.niaid.nih.gov/transcriptome/Anopheles_sialome/links/SMART/anochris_D7r2-SMART.txt","PhBP")</f>
        <v>PhBP</v>
      </c>
      <c r="BH346" t="str">
        <f>HYPERLINK("http://smart.embl-heidelberg.de/smart/do_annotation.pl?DOMAIN=PhBP&amp;BLAST=DUMMY","2E-010")</f>
        <v>2E-010</v>
      </c>
      <c r="BI346" t="s">
        <v>128</v>
      </c>
      <c r="BJ346" s="2" t="s">
        <v>128</v>
      </c>
      <c r="BK346" t="s">
        <v>1037</v>
      </c>
      <c r="BL346">
        <f>HYPERLINK("http://exon.niaid.nih.gov/transcriptome/Anopheles_sialome/links/cluster-b/anopheline-sialome-cds-pep-larger-orf25-50SimCLU2.txt", 2)</f>
        <v>2</v>
      </c>
      <c r="BM346">
        <f>HYPERLINK("http://exon.niaid.nih.gov/transcriptome/Anopheles_sialome/links/cluster-b/anopheline-sialome-cds-pep-larger-orf25-50SimCLTL2.txt", 120)</f>
        <v>120</v>
      </c>
      <c r="BN346">
        <f>HYPERLINK("http://exon.niaid.nih.gov/transcriptome/Anopheles_sialome/links/cluster-b/anopheline-sialome-cds-pep-larger-orf30-50SimCLU2.txt", 2)</f>
        <v>2</v>
      </c>
      <c r="BO346">
        <f>HYPERLINK("http://exon.niaid.nih.gov/transcriptome/Anopheles_sialome/links/cluster-b/anopheline-sialome-cds-pep-larger-orf30-50SimCLTL2.txt", 120)</f>
        <v>120</v>
      </c>
      <c r="BP346">
        <f>HYPERLINK("http://exon.niaid.nih.gov/transcriptome/Anopheles_sialome/links/cluster-b/anopheline-sialome-cds-pep-larger-orf35-50SimCLU1.txt", 1)</f>
        <v>1</v>
      </c>
      <c r="BQ346">
        <f>HYPERLINK("http://exon.niaid.nih.gov/transcriptome/Anopheles_sialome/links/cluster-b/anopheline-sialome-cds-pep-larger-orf35-50SimCLTL1.txt", 120)</f>
        <v>120</v>
      </c>
      <c r="BR346">
        <f>HYPERLINK("http://exon.niaid.nih.gov/transcriptome/Anopheles_sialome/links/cluster-b/anopheline-sialome-cds-pep-larger-orf40-50SimCLU2.txt", 2)</f>
        <v>2</v>
      </c>
      <c r="BS346">
        <f>HYPERLINK("http://exon.niaid.nih.gov/transcriptome/Anopheles_sialome/links/cluster-b/anopheline-sialome-cds-pep-larger-orf40-50SimCLTL2.txt", 83)</f>
        <v>83</v>
      </c>
      <c r="BT346">
        <f>HYPERLINK("http://exon.niaid.nih.gov/transcriptome/Anopheles_sialome/links/cluster-b/anopheline-sialome-cds-pep-larger-orf45-50SimCLU1.txt", 1)</f>
        <v>1</v>
      </c>
      <c r="BU346">
        <f>HYPERLINK("http://exon.niaid.nih.gov/transcriptome/Anopheles_sialome/links/cluster-b/anopheline-sialome-cds-pep-larger-orf45-50SimCLTL1.txt", 83)</f>
        <v>83</v>
      </c>
      <c r="BV346">
        <f>HYPERLINK("http://exon.niaid.nih.gov/transcriptome/Anopheles_sialome/links/cluster-b/anopheline-sialome-cds-pep-larger-orf50-50SimCLU1.txt", 1)</f>
        <v>1</v>
      </c>
      <c r="BW346">
        <f>HYPERLINK("http://exon.niaid.nih.gov/transcriptome/Anopheles_sialome/links/cluster-b/anopheline-sialome-cds-pep-larger-orf50-50SimCLTL1.txt", 83)</f>
        <v>83</v>
      </c>
      <c r="BX346">
        <f>HYPERLINK("http://exon.niaid.nih.gov/transcriptome/Anopheles_sialome/links/cluster-b/anopheline-sialome-cds-pep-larger-orf55-50SimCLU1.txt", 1)</f>
        <v>1</v>
      </c>
      <c r="BY346">
        <f>HYPERLINK("http://exon.niaid.nih.gov/transcriptome/Anopheles_sialome/links/cluster-b/anopheline-sialome-cds-pep-larger-orf55-50SimCLTL1.txt", 79)</f>
        <v>79</v>
      </c>
      <c r="BZ346">
        <f>HYPERLINK("http://exon.niaid.nih.gov/transcriptome/Anopheles_sialome/links/cluster-b/anopheline-sialome-cds-pep-larger-orf60-50SimCLU1.txt", 1)</f>
        <v>1</v>
      </c>
      <c r="CA346">
        <f>HYPERLINK("http://exon.niaid.nih.gov/transcriptome/Anopheles_sialome/links/cluster-b/anopheline-sialome-cds-pep-larger-orf60-50SimCLTL1.txt", 60)</f>
        <v>60</v>
      </c>
      <c r="CB346">
        <f>HYPERLINK("http://exon.niaid.nih.gov/transcriptome/Anopheles_sialome/links/cluster-b/anopheline-sialome-cds-pep-larger-orf65-50SimCLU1.txt", 1)</f>
        <v>1</v>
      </c>
      <c r="CC346">
        <f>HYPERLINK("http://exon.niaid.nih.gov/transcriptome/Anopheles_sialome/links/cluster-b/anopheline-sialome-cds-pep-larger-orf65-50SimCLTL1.txt", 60)</f>
        <v>60</v>
      </c>
      <c r="CD346">
        <f>HYPERLINK("http://exon.niaid.nih.gov/transcriptome/Anopheles_sialome/links/cluster-b/anopheline-sialome-cds-pep-larger-orf70-50SimCLU1.txt", 1)</f>
        <v>1</v>
      </c>
      <c r="CE346">
        <f>HYPERLINK("http://exon.niaid.nih.gov/transcriptome/Anopheles_sialome/links/cluster-b/anopheline-sialome-cds-pep-larger-orf70-50SimCLTL1.txt", 30)</f>
        <v>30</v>
      </c>
      <c r="CF346">
        <f>HYPERLINK("http://exon.niaid.nih.gov/transcriptome/Anopheles_sialome/links/cluster-b/anopheline-sialome-cds-pep-larger-orf75-50SimCLU1.txt", 1)</f>
        <v>1</v>
      </c>
      <c r="CG346">
        <f>HYPERLINK("http://exon.niaid.nih.gov/transcriptome/Anopheles_sialome/links/cluster-b/anopheline-sialome-cds-pep-larger-orf75-50SimCLTL1.txt", 30)</f>
        <v>30</v>
      </c>
      <c r="CH346">
        <f>HYPERLINK("http://exon.niaid.nih.gov/transcriptome/Anopheles_sialome/links/cluster-b/anopheline-sialome-cds-pep-larger-orf80-50SimCLU1.txt", 1)</f>
        <v>1</v>
      </c>
      <c r="CI346">
        <f>HYPERLINK("http://exon.niaid.nih.gov/transcriptome/Anopheles_sialome/links/cluster-b/anopheline-sialome-cds-pep-larger-orf80-50SimCLTL1.txt", 30)</f>
        <v>30</v>
      </c>
      <c r="CJ346">
        <f>HYPERLINK("http://exon.niaid.nih.gov/transcriptome/Anopheles_sialome/links/cluster-b/anopheline-sialome-cds-pep-larger-orf85-50SimCLU9.txt", 9)</f>
        <v>9</v>
      </c>
      <c r="CK346">
        <f>HYPERLINK("http://exon.niaid.nih.gov/transcriptome/Anopheles_sialome/links/cluster-b/anopheline-sialome-cds-pep-larger-orf85-50SimCLTL9.txt", 14)</f>
        <v>14</v>
      </c>
      <c r="CL346">
        <f>HYPERLINK("http://exon.niaid.nih.gov/transcriptome/Anopheles_sialome/links/cluster-b/anopheline-sialome-cds-pep-larger-orf90-50SimCLU4.txt", 4)</f>
        <v>4</v>
      </c>
      <c r="CM346">
        <f>HYPERLINK("http://exon.niaid.nih.gov/transcriptome/Anopheles_sialome/links/cluster-b/anopheline-sialome-cds-pep-larger-orf90-50SimCLTL4.txt", 14)</f>
        <v>14</v>
      </c>
      <c r="CN346">
        <v>164</v>
      </c>
      <c r="CO346">
        <v>1</v>
      </c>
    </row>
    <row r="347" spans="1:93">
      <c r="A347" s="2" t="str">
        <f>HYPERLINK("http://exon.niaid.nih.gov/transcriptome/Anopheles_sialome/links/cds/anoepi_D7r2-cds.txt","anoepi_D7r2")</f>
        <v>anoepi_D7r2</v>
      </c>
      <c r="B347">
        <v>507</v>
      </c>
      <c r="C347" t="s">
        <v>153</v>
      </c>
      <c r="D347" t="s">
        <v>7</v>
      </c>
      <c r="E347" t="s">
        <v>5</v>
      </c>
      <c r="F347" t="s">
        <v>1</v>
      </c>
      <c r="G347" t="str">
        <f>HYPERLINK("http://exon.niaid.nih.gov/transcriptome/Anopheles_sialome/links/pep/anoepi_D7r2-pep.txt","anoepi_D7r2")</f>
        <v>anoepi_D7r2</v>
      </c>
      <c r="H347">
        <v>168</v>
      </c>
      <c r="I347">
        <v>1</v>
      </c>
      <c r="J347" s="3" t="str">
        <f>HYPERLINK("http://exon.niaid.nih.gov/transcriptome/Anopheles_sialome/links/Sigp/anoepi_D7r2-SigP.txt","SIG")</f>
        <v>SIG</v>
      </c>
      <c r="K347" t="s">
        <v>689</v>
      </c>
      <c r="L347">
        <v>18.64</v>
      </c>
      <c r="M347">
        <v>5.08</v>
      </c>
      <c r="N347">
        <v>16.288</v>
      </c>
      <c r="O347">
        <v>4.95</v>
      </c>
      <c r="P347" t="s">
        <v>1039</v>
      </c>
      <c r="Q347" s="3">
        <v>0</v>
      </c>
      <c r="R347" t="s">
        <v>128</v>
      </c>
      <c r="S347" t="s">
        <v>128</v>
      </c>
      <c r="T347" t="s">
        <v>128</v>
      </c>
      <c r="U347" t="s">
        <v>128</v>
      </c>
      <c r="V347" t="s">
        <v>128</v>
      </c>
      <c r="W347" s="3" t="str">
        <f>HYPERLINK("http://exon.niaid.nih.gov/transcriptome/Anopheles_sialome/links/netoglyc/anoepi_D7r2-netoglyc.txt","0")</f>
        <v>0</v>
      </c>
      <c r="X347">
        <v>11.3</v>
      </c>
      <c r="Y347">
        <v>7.7</v>
      </c>
      <c r="Z347">
        <v>1.2</v>
      </c>
      <c r="AA347" t="s">
        <v>654</v>
      </c>
      <c r="AB347" t="s">
        <v>128</v>
      </c>
      <c r="AC347" s="2" t="str">
        <f>HYPERLINK("http://exon.niaid.nih.gov/transcriptome/Anopheles_sialome/links/DIPTERA/anoepi_D7r2-DIPTERA.txt","D7-related 2 protein")</f>
        <v>D7-related 2 protein</v>
      </c>
      <c r="AD347" t="str">
        <f>HYPERLINK("http://www.ncbi.nlm.nih.gov/sutils/blink.cgi?pid=4538889","9E-077")</f>
        <v>9E-077</v>
      </c>
      <c r="AE347" t="str">
        <f>HYPERLINK("http://www.ncbi.nlm.nih.gov/protein/4538889","gi|4538889")</f>
        <v>gi|4538889</v>
      </c>
      <c r="AF347">
        <v>83</v>
      </c>
      <c r="AG347">
        <v>91</v>
      </c>
      <c r="AH347">
        <v>100</v>
      </c>
      <c r="AI347" t="s">
        <v>2254</v>
      </c>
      <c r="AJ347" s="2" t="str">
        <f>HYPERLINK("http://exon.niaid.nih.gov/transcriptome/Anopheles_sialome/links/CULICOMORPHA/anoepi_D7r2-CULICOMORPHA.txt","D7-related 2 protein")</f>
        <v>D7-related 2 protein</v>
      </c>
      <c r="AK347" t="str">
        <f>HYPERLINK("http://www.ncbi.nlm.nih.gov/sutils/blink.cgi?pid=4538889","2E-077")</f>
        <v>2E-077</v>
      </c>
      <c r="AL347" t="str">
        <f>HYPERLINK("http://www.ncbi.nlm.nih.gov/protein/4538889","gi|4538889")</f>
        <v>gi|4538889</v>
      </c>
      <c r="AM347">
        <v>83</v>
      </c>
      <c r="AN347">
        <v>91</v>
      </c>
      <c r="AO347">
        <v>100</v>
      </c>
      <c r="AP347" t="s">
        <v>2254</v>
      </c>
      <c r="AQ347" s="2" t="str">
        <f>HYPERLINK("http://exon.niaid.nih.gov/transcriptome/Anopheles_sialome/links/NR-LIGHT/anoepi_D7r2-NR-LIGHT.txt","short form D7r2 salivary protein")</f>
        <v>short form D7r2 salivary protein</v>
      </c>
      <c r="AR347" t="str">
        <f>HYPERLINK("http://www.ncbi.nlm.nih.gov/sutils/blink.cgi?pid=16225965","2E-076")</f>
        <v>2E-076</v>
      </c>
      <c r="AS347" t="str">
        <f>HYPERLINK("http://www.ncbi.nlm.nih.gov/protein/16225965","gi|16225965")</f>
        <v>gi|16225965</v>
      </c>
      <c r="AT347">
        <v>83</v>
      </c>
      <c r="AU347">
        <v>91</v>
      </c>
      <c r="AV347">
        <v>100</v>
      </c>
      <c r="AW347" t="s">
        <v>2453</v>
      </c>
      <c r="AX347" s="2" t="str">
        <f>HYPERLINK("http://exon.niaid.nih.gov/transcriptome/Anopheles_sialome/links/CDD/anoepi_D7r2-CDD.txt","PBP_GOBP")</f>
        <v>PBP_GOBP</v>
      </c>
      <c r="AY347" t="str">
        <f>HYPERLINK("http://www.ncbi.nlm.nih.gov/Structure/cdd/cddsrv.cgi?uid=pfam01395&amp;version=v4.0","4E-010")</f>
        <v>4E-010</v>
      </c>
      <c r="AZ347" t="s">
        <v>2488</v>
      </c>
      <c r="BA347" s="2" t="str">
        <f>HYPERLINK("http://exon.niaid.nih.gov/transcriptome/Anopheles_sialome/links/KOG/anoepi_D7r2-KOG.txt","Predicted G-alpha GTPase interaction protein, contains GoLoco domain")</f>
        <v>Predicted G-alpha GTPase interaction protein, contains GoLoco domain</v>
      </c>
      <c r="BB347" t="str">
        <f>HYPERLINK("http://www.ncbi.nlm.nih.gov/Structure/cdd/cddsrv.cgi?uid=KOG1130","0.84")</f>
        <v>0.84</v>
      </c>
      <c r="BC347" t="s">
        <v>2292</v>
      </c>
      <c r="BD347" t="str">
        <f>HYPERLINK("http://exon.niaid.nih.gov/transcriptome/Anopheles_sialome/links/KOG/anoepi_D7r2-KOG.txt","KOG1130")</f>
        <v>KOG1130</v>
      </c>
      <c r="BE347" t="str">
        <f>HYPERLINK("http://exon.niaid.nih.gov/transcriptome/Anopheles_sialome/links/PFAM/anoepi_D7r2-PFAM.txt","PBP_GOBP")</f>
        <v>PBP_GOBP</v>
      </c>
      <c r="BF347" t="str">
        <f>HYPERLINK("http://pfam.sanger.ac.uk/family?acc=PF01395","9E-011")</f>
        <v>9E-011</v>
      </c>
      <c r="BG347" s="2" t="str">
        <f>HYPERLINK("http://exon.niaid.nih.gov/transcriptome/Anopheles_sialome/links/SMART/anoepi_D7r2-SMART.txt","PhBP")</f>
        <v>PhBP</v>
      </c>
      <c r="BH347" t="str">
        <f>HYPERLINK("http://smart.embl-heidelberg.de/smart/do_annotation.pl?DOMAIN=PhBP&amp;BLAST=DUMMY","1E-011")</f>
        <v>1E-011</v>
      </c>
      <c r="BI347" t="s">
        <v>128</v>
      </c>
      <c r="BJ347" s="2" t="s">
        <v>128</v>
      </c>
      <c r="BK347" t="s">
        <v>1038</v>
      </c>
      <c r="BL347">
        <f>HYPERLINK("http://exon.niaid.nih.gov/transcriptome/Anopheles_sialome/links/cluster-b/anopheline-sialome-cds-pep-larger-orf25-50SimCLU2.txt", 2)</f>
        <v>2</v>
      </c>
      <c r="BM347">
        <f>HYPERLINK("http://exon.niaid.nih.gov/transcriptome/Anopheles_sialome/links/cluster-b/anopheline-sialome-cds-pep-larger-orf25-50SimCLTL2.txt", 120)</f>
        <v>120</v>
      </c>
      <c r="BN347">
        <f>HYPERLINK("http://exon.niaid.nih.gov/transcriptome/Anopheles_sialome/links/cluster-b/anopheline-sialome-cds-pep-larger-orf30-50SimCLU2.txt", 2)</f>
        <v>2</v>
      </c>
      <c r="BO347">
        <f>HYPERLINK("http://exon.niaid.nih.gov/transcriptome/Anopheles_sialome/links/cluster-b/anopheline-sialome-cds-pep-larger-orf30-50SimCLTL2.txt", 120)</f>
        <v>120</v>
      </c>
      <c r="BP347">
        <f>HYPERLINK("http://exon.niaid.nih.gov/transcriptome/Anopheles_sialome/links/cluster-b/anopheline-sialome-cds-pep-larger-orf35-50SimCLU1.txt", 1)</f>
        <v>1</v>
      </c>
      <c r="BQ347">
        <f>HYPERLINK("http://exon.niaid.nih.gov/transcriptome/Anopheles_sialome/links/cluster-b/anopheline-sialome-cds-pep-larger-orf35-50SimCLTL1.txt", 120)</f>
        <v>120</v>
      </c>
      <c r="BR347">
        <f>HYPERLINK("http://exon.niaid.nih.gov/transcriptome/Anopheles_sialome/links/cluster-b/anopheline-sialome-cds-pep-larger-orf40-50SimCLU2.txt", 2)</f>
        <v>2</v>
      </c>
      <c r="BS347">
        <f>HYPERLINK("http://exon.niaid.nih.gov/transcriptome/Anopheles_sialome/links/cluster-b/anopheline-sialome-cds-pep-larger-orf40-50SimCLTL2.txt", 83)</f>
        <v>83</v>
      </c>
      <c r="BT347">
        <f>HYPERLINK("http://exon.niaid.nih.gov/transcriptome/Anopheles_sialome/links/cluster-b/anopheline-sialome-cds-pep-larger-orf45-50SimCLU1.txt", 1)</f>
        <v>1</v>
      </c>
      <c r="BU347">
        <f>HYPERLINK("http://exon.niaid.nih.gov/transcriptome/Anopheles_sialome/links/cluster-b/anopheline-sialome-cds-pep-larger-orf45-50SimCLTL1.txt", 83)</f>
        <v>83</v>
      </c>
      <c r="BV347">
        <f>HYPERLINK("http://exon.niaid.nih.gov/transcriptome/Anopheles_sialome/links/cluster-b/anopheline-sialome-cds-pep-larger-orf50-50SimCLU1.txt", 1)</f>
        <v>1</v>
      </c>
      <c r="BW347">
        <f>HYPERLINK("http://exon.niaid.nih.gov/transcriptome/Anopheles_sialome/links/cluster-b/anopheline-sialome-cds-pep-larger-orf50-50SimCLTL1.txt", 83)</f>
        <v>83</v>
      </c>
      <c r="BX347">
        <f>HYPERLINK("http://exon.niaid.nih.gov/transcriptome/Anopheles_sialome/links/cluster-b/anopheline-sialome-cds-pep-larger-orf55-50SimCLU1.txt", 1)</f>
        <v>1</v>
      </c>
      <c r="BY347">
        <f>HYPERLINK("http://exon.niaid.nih.gov/transcriptome/Anopheles_sialome/links/cluster-b/anopheline-sialome-cds-pep-larger-orf55-50SimCLTL1.txt", 79)</f>
        <v>79</v>
      </c>
      <c r="BZ347">
        <f>HYPERLINK("http://exon.niaid.nih.gov/transcriptome/Anopheles_sialome/links/cluster-b/anopheline-sialome-cds-pep-larger-orf60-50SimCLU1.txt", 1)</f>
        <v>1</v>
      </c>
      <c r="CA347">
        <f>HYPERLINK("http://exon.niaid.nih.gov/transcriptome/Anopheles_sialome/links/cluster-b/anopheline-sialome-cds-pep-larger-orf60-50SimCLTL1.txt", 60)</f>
        <v>60</v>
      </c>
      <c r="CB347">
        <f>HYPERLINK("http://exon.niaid.nih.gov/transcriptome/Anopheles_sialome/links/cluster-b/anopheline-sialome-cds-pep-larger-orf65-50SimCLU1.txt", 1)</f>
        <v>1</v>
      </c>
      <c r="CC347">
        <f>HYPERLINK("http://exon.niaid.nih.gov/transcriptome/Anopheles_sialome/links/cluster-b/anopheline-sialome-cds-pep-larger-orf65-50SimCLTL1.txt", 60)</f>
        <v>60</v>
      </c>
      <c r="CD347">
        <f>HYPERLINK("http://exon.niaid.nih.gov/transcriptome/Anopheles_sialome/links/cluster-b/anopheline-sialome-cds-pep-larger-orf70-50SimCLU1.txt", 1)</f>
        <v>1</v>
      </c>
      <c r="CE347">
        <f>HYPERLINK("http://exon.niaid.nih.gov/transcriptome/Anopheles_sialome/links/cluster-b/anopheline-sialome-cds-pep-larger-orf70-50SimCLTL1.txt", 30)</f>
        <v>30</v>
      </c>
      <c r="CF347">
        <f>HYPERLINK("http://exon.niaid.nih.gov/transcriptome/Anopheles_sialome/links/cluster-b/anopheline-sialome-cds-pep-larger-orf75-50SimCLU1.txt", 1)</f>
        <v>1</v>
      </c>
      <c r="CG347">
        <f>HYPERLINK("http://exon.niaid.nih.gov/transcriptome/Anopheles_sialome/links/cluster-b/anopheline-sialome-cds-pep-larger-orf75-50SimCLTL1.txt", 30)</f>
        <v>30</v>
      </c>
      <c r="CH347">
        <f>HYPERLINK("http://exon.niaid.nih.gov/transcriptome/Anopheles_sialome/links/cluster-b/anopheline-sialome-cds-pep-larger-orf80-50SimCLU1.txt", 1)</f>
        <v>1</v>
      </c>
      <c r="CI347">
        <f>HYPERLINK("http://exon.niaid.nih.gov/transcriptome/Anopheles_sialome/links/cluster-b/anopheline-sialome-cds-pep-larger-orf80-50SimCLTL1.txt", 30)</f>
        <v>30</v>
      </c>
      <c r="CJ347">
        <f>HYPERLINK("http://exon.niaid.nih.gov/transcriptome/Anopheles_sialome/links/cluster-b/anopheline-sialome-cds-pep-larger-orf85-50SimCLU9.txt", 9)</f>
        <v>9</v>
      </c>
      <c r="CK347">
        <f>HYPERLINK("http://exon.niaid.nih.gov/transcriptome/Anopheles_sialome/links/cluster-b/anopheline-sialome-cds-pep-larger-orf85-50SimCLTL9.txt", 14)</f>
        <v>14</v>
      </c>
      <c r="CL347">
        <f>HYPERLINK("http://exon.niaid.nih.gov/transcriptome/Anopheles_sialome/links/cluster-b/anopheline-sialome-cds-pep-larger-orf90-50SimCLU4.txt", 4)</f>
        <v>4</v>
      </c>
      <c r="CM347">
        <f>HYPERLINK("http://exon.niaid.nih.gov/transcriptome/Anopheles_sialome/links/cluster-b/anopheline-sialome-cds-pep-larger-orf90-50SimCLTL4.txt", 14)</f>
        <v>14</v>
      </c>
      <c r="CN347">
        <v>165</v>
      </c>
      <c r="CO347">
        <v>1</v>
      </c>
    </row>
    <row r="348" spans="1:93">
      <c r="A348" s="2" t="str">
        <f>HYPERLINK("http://exon.niaid.nih.gov/transcriptome/Anopheles_sialome/links/cds/anofun_D7r2-cds.txt","anofun_D7r2")</f>
        <v>anofun_D7r2</v>
      </c>
      <c r="B348">
        <v>510</v>
      </c>
      <c r="C348" t="s">
        <v>154</v>
      </c>
      <c r="D348" t="s">
        <v>7</v>
      </c>
      <c r="E348" t="s">
        <v>5</v>
      </c>
      <c r="F348" t="s">
        <v>1</v>
      </c>
      <c r="G348" t="str">
        <f>HYPERLINK("http://exon.niaid.nih.gov/transcriptome/Anopheles_sialome/links/pep/anofun_D7r2-pep.txt","anofun_D7r2")</f>
        <v>anofun_D7r2</v>
      </c>
      <c r="H348">
        <v>169</v>
      </c>
      <c r="I348">
        <v>1</v>
      </c>
      <c r="J348" s="3" t="str">
        <f>HYPERLINK("http://exon.niaid.nih.gov/transcriptome/Anopheles_sialome/links/Sigp/anofun_D7r2-SigP.txt","SIG")</f>
        <v>SIG</v>
      </c>
      <c r="K348" t="s">
        <v>689</v>
      </c>
      <c r="L348">
        <v>18.591999999999999</v>
      </c>
      <c r="M348">
        <v>5.74</v>
      </c>
      <c r="N348">
        <v>16.326000000000001</v>
      </c>
      <c r="O348">
        <v>5.45</v>
      </c>
      <c r="P348" t="s">
        <v>1041</v>
      </c>
      <c r="Q348" s="3">
        <v>0</v>
      </c>
      <c r="R348" t="s">
        <v>128</v>
      </c>
      <c r="S348" t="s">
        <v>128</v>
      </c>
      <c r="T348" t="s">
        <v>128</v>
      </c>
      <c r="U348" t="s">
        <v>128</v>
      </c>
      <c r="V348" t="s">
        <v>128</v>
      </c>
      <c r="W348" s="3" t="str">
        <f>HYPERLINK("http://exon.niaid.nih.gov/transcriptome/Anopheles_sialome/links/netoglyc/anofun_D7r2-netoglyc.txt","0")</f>
        <v>0</v>
      </c>
      <c r="X348">
        <v>14.2</v>
      </c>
      <c r="Y348">
        <v>5.3</v>
      </c>
      <c r="Z348">
        <v>2.4</v>
      </c>
      <c r="AA348" t="s">
        <v>654</v>
      </c>
      <c r="AB348" t="s">
        <v>128</v>
      </c>
      <c r="AC348" s="2" t="str">
        <f>HYPERLINK("http://exon.niaid.nih.gov/transcriptome/Anopheles_sialome/links/DIPTERA/anofun_D7r2-DIPTERA.txt","short form D7 salivary protein 2")</f>
        <v>short form D7 salivary protein 2</v>
      </c>
      <c r="AD348" t="str">
        <f>HYPERLINK("http://www.ncbi.nlm.nih.gov/sutils/blink.cgi?pid=114864704","1E-091")</f>
        <v>1E-091</v>
      </c>
      <c r="AE348" t="str">
        <f>HYPERLINK("http://www.ncbi.nlm.nih.gov/protein/114864704","gi|114864704")</f>
        <v>gi|114864704</v>
      </c>
      <c r="AF348">
        <v>98</v>
      </c>
      <c r="AG348">
        <v>99</v>
      </c>
      <c r="AH348">
        <v>100</v>
      </c>
      <c r="AI348" t="s">
        <v>2266</v>
      </c>
      <c r="AJ348" s="2" t="str">
        <f>HYPERLINK("http://exon.niaid.nih.gov/transcriptome/Anopheles_sialome/links/CULICOMORPHA/anofun_D7r2-CULICOMORPHA.txt","short form D7 salivary protein 2")</f>
        <v>short form D7 salivary protein 2</v>
      </c>
      <c r="AK348" t="str">
        <f>HYPERLINK("http://www.ncbi.nlm.nih.gov/sutils/blink.cgi?pid=114864704","3E-092")</f>
        <v>3E-092</v>
      </c>
      <c r="AL348" t="str">
        <f>HYPERLINK("http://www.ncbi.nlm.nih.gov/protein/114864704","gi|114864704")</f>
        <v>gi|114864704</v>
      </c>
      <c r="AM348">
        <v>98</v>
      </c>
      <c r="AN348">
        <v>99</v>
      </c>
      <c r="AO348">
        <v>100</v>
      </c>
      <c r="AP348" t="s">
        <v>2266</v>
      </c>
      <c r="AQ348" s="2" t="str">
        <f>HYPERLINK("http://exon.niaid.nih.gov/transcriptome/Anopheles_sialome/links/NR-LIGHT/anofun_D7r2-NR-LIGHT.txt","short form D7 salivary protein 2")</f>
        <v>short form D7 salivary protein 2</v>
      </c>
      <c r="AR348" t="str">
        <f>HYPERLINK("http://www.ncbi.nlm.nih.gov/sutils/blink.cgi?pid=114864704","3E-091")</f>
        <v>3E-091</v>
      </c>
      <c r="AS348" t="str">
        <f>HYPERLINK("http://www.ncbi.nlm.nih.gov/protein/114864704","gi|114864704")</f>
        <v>gi|114864704</v>
      </c>
      <c r="AT348">
        <v>98</v>
      </c>
      <c r="AU348">
        <v>99</v>
      </c>
      <c r="AV348">
        <v>100</v>
      </c>
      <c r="AW348" t="s">
        <v>2266</v>
      </c>
      <c r="AX348" s="2" t="str">
        <f>HYPERLINK("http://exon.niaid.nih.gov/transcriptome/Anopheles_sialome/links/CDD/anofun_D7r2-CDD.txt","PhBP")</f>
        <v>PhBP</v>
      </c>
      <c r="AY348" t="str">
        <f>HYPERLINK("http://www.ncbi.nlm.nih.gov/Structure/cdd/cddsrv.cgi?uid=smart00708&amp;version=v4.0","4E-009")</f>
        <v>4E-009</v>
      </c>
      <c r="AZ348" t="s">
        <v>2489</v>
      </c>
      <c r="BA348" s="2" t="str">
        <f>HYPERLINK("http://exon.niaid.nih.gov/transcriptome/Anopheles_sialome/links/KOG/anofun_D7r2-KOG.txt","Mitochondrial Fe/S cluster exporter, ABC superfamily")</f>
        <v>Mitochondrial Fe/S cluster exporter, ABC superfamily</v>
      </c>
      <c r="BB348" t="str">
        <f>HYPERLINK("http://www.ncbi.nlm.nih.gov/Structure/cdd/cddsrv.cgi?uid=KOG0057","4.8")</f>
        <v>4.8</v>
      </c>
      <c r="BC348" t="s">
        <v>2487</v>
      </c>
      <c r="BD348" t="str">
        <f>HYPERLINK("http://exon.niaid.nih.gov/transcriptome/Anopheles_sialome/links/KOG/anofun_D7r2-KOG.txt","KOG0057")</f>
        <v>KOG0057</v>
      </c>
      <c r="BE348" t="str">
        <f>HYPERLINK("http://exon.niaid.nih.gov/transcriptome/Anopheles_sialome/links/PFAM/anofun_D7r2-PFAM.txt","PBP_GOBP")</f>
        <v>PBP_GOBP</v>
      </c>
      <c r="BF348" t="str">
        <f>HYPERLINK("http://pfam.sanger.ac.uk/family?acc=PF01395","1E-009")</f>
        <v>1E-009</v>
      </c>
      <c r="BG348" s="2" t="str">
        <f>HYPERLINK("http://exon.niaid.nih.gov/transcriptome/Anopheles_sialome/links/SMART/anofun_D7r2-SMART.txt","PhBP")</f>
        <v>PhBP</v>
      </c>
      <c r="BH348" t="str">
        <f>HYPERLINK("http://smart.embl-heidelberg.de/smart/do_annotation.pl?DOMAIN=PhBP&amp;BLAST=DUMMY","4E-011")</f>
        <v>4E-011</v>
      </c>
      <c r="BI348" t="s">
        <v>128</v>
      </c>
      <c r="BJ348" s="2" t="s">
        <v>128</v>
      </c>
      <c r="BK348" t="s">
        <v>1040</v>
      </c>
      <c r="BL348">
        <f>HYPERLINK("http://exon.niaid.nih.gov/transcriptome/Anopheles_sialome/links/cluster-b/anopheline-sialome-cds-pep-larger-orf25-50SimCLU2.txt", 2)</f>
        <v>2</v>
      </c>
      <c r="BM348">
        <f>HYPERLINK("http://exon.niaid.nih.gov/transcriptome/Anopheles_sialome/links/cluster-b/anopheline-sialome-cds-pep-larger-orf25-50SimCLTL2.txt", 120)</f>
        <v>120</v>
      </c>
      <c r="BN348">
        <f>HYPERLINK("http://exon.niaid.nih.gov/transcriptome/Anopheles_sialome/links/cluster-b/anopheline-sialome-cds-pep-larger-orf30-50SimCLU2.txt", 2)</f>
        <v>2</v>
      </c>
      <c r="BO348">
        <f>HYPERLINK("http://exon.niaid.nih.gov/transcriptome/Anopheles_sialome/links/cluster-b/anopheline-sialome-cds-pep-larger-orf30-50SimCLTL2.txt", 120)</f>
        <v>120</v>
      </c>
      <c r="BP348">
        <f>HYPERLINK("http://exon.niaid.nih.gov/transcriptome/Anopheles_sialome/links/cluster-b/anopheline-sialome-cds-pep-larger-orf35-50SimCLU1.txt", 1)</f>
        <v>1</v>
      </c>
      <c r="BQ348">
        <f>HYPERLINK("http://exon.niaid.nih.gov/transcriptome/Anopheles_sialome/links/cluster-b/anopheline-sialome-cds-pep-larger-orf35-50SimCLTL1.txt", 120)</f>
        <v>120</v>
      </c>
      <c r="BR348">
        <f>HYPERLINK("http://exon.niaid.nih.gov/transcriptome/Anopheles_sialome/links/cluster-b/anopheline-sialome-cds-pep-larger-orf40-50SimCLU2.txt", 2)</f>
        <v>2</v>
      </c>
      <c r="BS348">
        <f>HYPERLINK("http://exon.niaid.nih.gov/transcriptome/Anopheles_sialome/links/cluster-b/anopheline-sialome-cds-pep-larger-orf40-50SimCLTL2.txt", 83)</f>
        <v>83</v>
      </c>
      <c r="BT348">
        <f>HYPERLINK("http://exon.niaid.nih.gov/transcriptome/Anopheles_sialome/links/cluster-b/anopheline-sialome-cds-pep-larger-orf45-50SimCLU1.txt", 1)</f>
        <v>1</v>
      </c>
      <c r="BU348">
        <f>HYPERLINK("http://exon.niaid.nih.gov/transcriptome/Anopheles_sialome/links/cluster-b/anopheline-sialome-cds-pep-larger-orf45-50SimCLTL1.txt", 83)</f>
        <v>83</v>
      </c>
      <c r="BV348">
        <f>HYPERLINK("http://exon.niaid.nih.gov/transcriptome/Anopheles_sialome/links/cluster-b/anopheline-sialome-cds-pep-larger-orf50-50SimCLU1.txt", 1)</f>
        <v>1</v>
      </c>
      <c r="BW348">
        <f>HYPERLINK("http://exon.niaid.nih.gov/transcriptome/Anopheles_sialome/links/cluster-b/anopheline-sialome-cds-pep-larger-orf50-50SimCLTL1.txt", 83)</f>
        <v>83</v>
      </c>
      <c r="BX348">
        <f>HYPERLINK("http://exon.niaid.nih.gov/transcriptome/Anopheles_sialome/links/cluster-b/anopheline-sialome-cds-pep-larger-orf55-50SimCLU1.txt", 1)</f>
        <v>1</v>
      </c>
      <c r="BY348">
        <f>HYPERLINK("http://exon.niaid.nih.gov/transcriptome/Anopheles_sialome/links/cluster-b/anopheline-sialome-cds-pep-larger-orf55-50SimCLTL1.txt", 79)</f>
        <v>79</v>
      </c>
      <c r="BZ348">
        <f>HYPERLINK("http://exon.niaid.nih.gov/transcriptome/Anopheles_sialome/links/cluster-b/anopheline-sialome-cds-pep-larger-orf60-50SimCLU1.txt", 1)</f>
        <v>1</v>
      </c>
      <c r="CA348">
        <f>HYPERLINK("http://exon.niaid.nih.gov/transcriptome/Anopheles_sialome/links/cluster-b/anopheline-sialome-cds-pep-larger-orf60-50SimCLTL1.txt", 60)</f>
        <v>60</v>
      </c>
      <c r="CB348">
        <f>HYPERLINK("http://exon.niaid.nih.gov/transcriptome/Anopheles_sialome/links/cluster-b/anopheline-sialome-cds-pep-larger-orf65-50SimCLU1.txt", 1)</f>
        <v>1</v>
      </c>
      <c r="CC348">
        <f>HYPERLINK("http://exon.niaid.nih.gov/transcriptome/Anopheles_sialome/links/cluster-b/anopheline-sialome-cds-pep-larger-orf65-50SimCLTL1.txt", 60)</f>
        <v>60</v>
      </c>
      <c r="CD348">
        <f>HYPERLINK("http://exon.niaid.nih.gov/transcriptome/Anopheles_sialome/links/cluster-b/anopheline-sialome-cds-pep-larger-orf70-50SimCLU1.txt", 1)</f>
        <v>1</v>
      </c>
      <c r="CE348">
        <f>HYPERLINK("http://exon.niaid.nih.gov/transcriptome/Anopheles_sialome/links/cluster-b/anopheline-sialome-cds-pep-larger-orf70-50SimCLTL1.txt", 30)</f>
        <v>30</v>
      </c>
      <c r="CF348">
        <f>HYPERLINK("http://exon.niaid.nih.gov/transcriptome/Anopheles_sialome/links/cluster-b/anopheline-sialome-cds-pep-larger-orf75-50SimCLU1.txt", 1)</f>
        <v>1</v>
      </c>
      <c r="CG348">
        <f>HYPERLINK("http://exon.niaid.nih.gov/transcriptome/Anopheles_sialome/links/cluster-b/anopheline-sialome-cds-pep-larger-orf75-50SimCLTL1.txt", 30)</f>
        <v>30</v>
      </c>
      <c r="CH348">
        <f>HYPERLINK("http://exon.niaid.nih.gov/transcriptome/Anopheles_sialome/links/cluster-b/anopheline-sialome-cds-pep-larger-orf80-50SimCLU1.txt", 1)</f>
        <v>1</v>
      </c>
      <c r="CI348">
        <f>HYPERLINK("http://exon.niaid.nih.gov/transcriptome/Anopheles_sialome/links/cluster-b/anopheline-sialome-cds-pep-larger-orf80-50SimCLTL1.txt", 30)</f>
        <v>30</v>
      </c>
      <c r="CJ348">
        <f>HYPERLINK("http://exon.niaid.nih.gov/transcriptome/Anopheles_sialome/links/cluster-b/anopheline-sialome-cds-pep-larger-orf85-50SimCLU9.txt", 9)</f>
        <v>9</v>
      </c>
      <c r="CK348">
        <f>HYPERLINK("http://exon.niaid.nih.gov/transcriptome/Anopheles_sialome/links/cluster-b/anopheline-sialome-cds-pep-larger-orf85-50SimCLTL9.txt", 14)</f>
        <v>14</v>
      </c>
      <c r="CL348">
        <f>HYPERLINK("http://exon.niaid.nih.gov/transcriptome/Anopheles_sialome/links/cluster-b/anopheline-sialome-cds-pep-larger-orf90-50SimCLU4.txt", 4)</f>
        <v>4</v>
      </c>
      <c r="CM348">
        <f>HYPERLINK("http://exon.niaid.nih.gov/transcriptome/Anopheles_sialome/links/cluster-b/anopheline-sialome-cds-pep-larger-orf90-50SimCLTL4.txt", 14)</f>
        <v>14</v>
      </c>
      <c r="CN348">
        <v>166</v>
      </c>
      <c r="CO348">
        <v>1</v>
      </c>
    </row>
    <row r="349" spans="1:93">
      <c r="A349" s="2" t="str">
        <f>HYPERLINK("http://exon.niaid.nih.gov/transcriptome/Anopheles_sialome/links/cds/anomin_D7r2-cds.txt","anomin_D7r2")</f>
        <v>anomin_D7r2</v>
      </c>
      <c r="B349">
        <v>510</v>
      </c>
      <c r="C349" t="s">
        <v>155</v>
      </c>
      <c r="D349" t="s">
        <v>7</v>
      </c>
      <c r="E349" t="s">
        <v>5</v>
      </c>
      <c r="F349" t="s">
        <v>1</v>
      </c>
      <c r="G349" t="str">
        <f>HYPERLINK("http://exon.niaid.nih.gov/transcriptome/Anopheles_sialome/links/pep/anomin_D7r2-pep.txt","anomin_D7r2")</f>
        <v>anomin_D7r2</v>
      </c>
      <c r="H349">
        <v>169</v>
      </c>
      <c r="I349">
        <v>1</v>
      </c>
      <c r="J349" s="3" t="str">
        <f>HYPERLINK("http://exon.niaid.nih.gov/transcriptome/Anopheles_sialome/links/Sigp/anomin_D7r2-SigP.txt","SIG")</f>
        <v>SIG</v>
      </c>
      <c r="K349" t="s">
        <v>689</v>
      </c>
      <c r="L349">
        <v>18.695</v>
      </c>
      <c r="M349">
        <v>5.26</v>
      </c>
      <c r="N349">
        <v>16.428999999999998</v>
      </c>
      <c r="O349">
        <v>4.96</v>
      </c>
      <c r="P349" t="s">
        <v>1043</v>
      </c>
      <c r="Q349" s="3">
        <v>0</v>
      </c>
      <c r="R349" t="s">
        <v>128</v>
      </c>
      <c r="S349" t="s">
        <v>128</v>
      </c>
      <c r="T349" t="s">
        <v>128</v>
      </c>
      <c r="U349" t="s">
        <v>128</v>
      </c>
      <c r="V349" t="s">
        <v>128</v>
      </c>
      <c r="W349" s="3" t="str">
        <f>HYPERLINK("http://exon.niaid.nih.gov/transcriptome/Anopheles_sialome/links/netoglyc/anomin_D7r2-netoglyc.txt","0")</f>
        <v>0</v>
      </c>
      <c r="X349">
        <v>13</v>
      </c>
      <c r="Y349">
        <v>6.5</v>
      </c>
      <c r="Z349">
        <v>1.8</v>
      </c>
      <c r="AA349" t="s">
        <v>654</v>
      </c>
      <c r="AB349" t="s">
        <v>128</v>
      </c>
      <c r="AC349" s="2" t="str">
        <f>HYPERLINK("http://exon.niaid.nih.gov/transcriptome/Anopheles_sialome/links/DIPTERA/anomin_D7r2-DIPTERA.txt","short form D7 salivary protein 2")</f>
        <v>short form D7 salivary protein 2</v>
      </c>
      <c r="AD349" t="str">
        <f>HYPERLINK("http://www.ncbi.nlm.nih.gov/sutils/blink.cgi?pid=114864704","1E-080")</f>
        <v>1E-080</v>
      </c>
      <c r="AE349" t="str">
        <f>HYPERLINK("http://www.ncbi.nlm.nih.gov/protein/114864704","gi|114864704")</f>
        <v>gi|114864704</v>
      </c>
      <c r="AF349">
        <v>88</v>
      </c>
      <c r="AG349">
        <v>93</v>
      </c>
      <c r="AH349">
        <v>99</v>
      </c>
      <c r="AI349" t="s">
        <v>2266</v>
      </c>
      <c r="AJ349" s="2" t="str">
        <f>HYPERLINK("http://exon.niaid.nih.gov/transcriptome/Anopheles_sialome/links/CULICOMORPHA/anomin_D7r2-CULICOMORPHA.txt","short form D7 salivary protein 2")</f>
        <v>short form D7 salivary protein 2</v>
      </c>
      <c r="AK349" t="str">
        <f>HYPERLINK("http://www.ncbi.nlm.nih.gov/sutils/blink.cgi?pid=114864704","2E-081")</f>
        <v>2E-081</v>
      </c>
      <c r="AL349" t="str">
        <f>HYPERLINK("http://www.ncbi.nlm.nih.gov/protein/114864704","gi|114864704")</f>
        <v>gi|114864704</v>
      </c>
      <c r="AM349">
        <v>88</v>
      </c>
      <c r="AN349">
        <v>93</v>
      </c>
      <c r="AO349">
        <v>99</v>
      </c>
      <c r="AP349" t="s">
        <v>2266</v>
      </c>
      <c r="AQ349" s="2" t="str">
        <f>HYPERLINK("http://exon.niaid.nih.gov/transcriptome/Anopheles_sialome/links/NR-LIGHT/anomin_D7r2-NR-LIGHT.txt","short form D7 salivary protein 2")</f>
        <v>short form D7 salivary protein 2</v>
      </c>
      <c r="AR349" t="str">
        <f>HYPERLINK("http://www.ncbi.nlm.nih.gov/sutils/blink.cgi?pid=114864704","3E-080")</f>
        <v>3E-080</v>
      </c>
      <c r="AS349" t="str">
        <f>HYPERLINK("http://www.ncbi.nlm.nih.gov/protein/114864704","gi|114864704")</f>
        <v>gi|114864704</v>
      </c>
      <c r="AT349">
        <v>88</v>
      </c>
      <c r="AU349">
        <v>93</v>
      </c>
      <c r="AV349">
        <v>99</v>
      </c>
      <c r="AW349" t="s">
        <v>2266</v>
      </c>
      <c r="AX349" s="2" t="str">
        <f>HYPERLINK("http://exon.niaid.nih.gov/transcriptome/Anopheles_sialome/links/CDD/anomin_D7r2-CDD.txt","PBP_GOBP")</f>
        <v>PBP_GOBP</v>
      </c>
      <c r="AY349" t="str">
        <f>HYPERLINK("http://www.ncbi.nlm.nih.gov/Structure/cdd/cddsrv.cgi?uid=pfam01395&amp;version=v4.0","2E-009")</f>
        <v>2E-009</v>
      </c>
      <c r="AZ349" t="s">
        <v>2490</v>
      </c>
      <c r="BA349" s="2" t="str">
        <f>HYPERLINK("http://exon.niaid.nih.gov/transcriptome/Anopheles_sialome/links/KOG/anomin_D7r2-KOG.txt","Porphobilinogen deaminase")</f>
        <v>Porphobilinogen deaminase</v>
      </c>
      <c r="BB349" t="str">
        <f>HYPERLINK("http://www.ncbi.nlm.nih.gov/Structure/cdd/cddsrv.cgi?uid=KOG2892","7.9")</f>
        <v>7.9</v>
      </c>
      <c r="BC349" t="s">
        <v>2491</v>
      </c>
      <c r="BD349" t="str">
        <f>HYPERLINK("http://exon.niaid.nih.gov/transcriptome/Anopheles_sialome/links/KOG/anomin_D7r2-KOG.txt","KOG2892")</f>
        <v>KOG2892</v>
      </c>
      <c r="BE349" t="str">
        <f>HYPERLINK("http://exon.niaid.nih.gov/transcriptome/Anopheles_sialome/links/PFAM/anomin_D7r2-PFAM.txt","PBP_GOBP")</f>
        <v>PBP_GOBP</v>
      </c>
      <c r="BF349" t="str">
        <f>HYPERLINK("http://pfam.sanger.ac.uk/family?acc=PF01395","5E-010")</f>
        <v>5E-010</v>
      </c>
      <c r="BG349" s="2" t="str">
        <f>HYPERLINK("http://exon.niaid.nih.gov/transcriptome/Anopheles_sialome/links/SMART/anomin_D7r2-SMART.txt","PhBP")</f>
        <v>PhBP</v>
      </c>
      <c r="BH349" t="str">
        <f>HYPERLINK("http://smart.embl-heidelberg.de/smart/do_annotation.pl?DOMAIN=PhBP&amp;BLAST=DUMMY","5E-010")</f>
        <v>5E-010</v>
      </c>
      <c r="BI349" t="s">
        <v>128</v>
      </c>
      <c r="BJ349" s="2" t="s">
        <v>128</v>
      </c>
      <c r="BK349" t="s">
        <v>1042</v>
      </c>
      <c r="BL349">
        <f>HYPERLINK("http://exon.niaid.nih.gov/transcriptome/Anopheles_sialome/links/cluster-b/anopheline-sialome-cds-pep-larger-orf25-50SimCLU2.txt", 2)</f>
        <v>2</v>
      </c>
      <c r="BM349">
        <f>HYPERLINK("http://exon.niaid.nih.gov/transcriptome/Anopheles_sialome/links/cluster-b/anopheline-sialome-cds-pep-larger-orf25-50SimCLTL2.txt", 120)</f>
        <v>120</v>
      </c>
      <c r="BN349">
        <f>HYPERLINK("http://exon.niaid.nih.gov/transcriptome/Anopheles_sialome/links/cluster-b/anopheline-sialome-cds-pep-larger-orf30-50SimCLU2.txt", 2)</f>
        <v>2</v>
      </c>
      <c r="BO349">
        <f>HYPERLINK("http://exon.niaid.nih.gov/transcriptome/Anopheles_sialome/links/cluster-b/anopheline-sialome-cds-pep-larger-orf30-50SimCLTL2.txt", 120)</f>
        <v>120</v>
      </c>
      <c r="BP349">
        <f>HYPERLINK("http://exon.niaid.nih.gov/transcriptome/Anopheles_sialome/links/cluster-b/anopheline-sialome-cds-pep-larger-orf35-50SimCLU1.txt", 1)</f>
        <v>1</v>
      </c>
      <c r="BQ349">
        <f>HYPERLINK("http://exon.niaid.nih.gov/transcriptome/Anopheles_sialome/links/cluster-b/anopheline-sialome-cds-pep-larger-orf35-50SimCLTL1.txt", 120)</f>
        <v>120</v>
      </c>
      <c r="BR349">
        <f>HYPERLINK("http://exon.niaid.nih.gov/transcriptome/Anopheles_sialome/links/cluster-b/anopheline-sialome-cds-pep-larger-orf40-50SimCLU2.txt", 2)</f>
        <v>2</v>
      </c>
      <c r="BS349">
        <f>HYPERLINK("http://exon.niaid.nih.gov/transcriptome/Anopheles_sialome/links/cluster-b/anopheline-sialome-cds-pep-larger-orf40-50SimCLTL2.txt", 83)</f>
        <v>83</v>
      </c>
      <c r="BT349">
        <f>HYPERLINK("http://exon.niaid.nih.gov/transcriptome/Anopheles_sialome/links/cluster-b/anopheline-sialome-cds-pep-larger-orf45-50SimCLU1.txt", 1)</f>
        <v>1</v>
      </c>
      <c r="BU349">
        <f>HYPERLINK("http://exon.niaid.nih.gov/transcriptome/Anopheles_sialome/links/cluster-b/anopheline-sialome-cds-pep-larger-orf45-50SimCLTL1.txt", 83)</f>
        <v>83</v>
      </c>
      <c r="BV349">
        <f>HYPERLINK("http://exon.niaid.nih.gov/transcriptome/Anopheles_sialome/links/cluster-b/anopheline-sialome-cds-pep-larger-orf50-50SimCLU1.txt", 1)</f>
        <v>1</v>
      </c>
      <c r="BW349">
        <f>HYPERLINK("http://exon.niaid.nih.gov/transcriptome/Anopheles_sialome/links/cluster-b/anopheline-sialome-cds-pep-larger-orf50-50SimCLTL1.txt", 83)</f>
        <v>83</v>
      </c>
      <c r="BX349">
        <f>HYPERLINK("http://exon.niaid.nih.gov/transcriptome/Anopheles_sialome/links/cluster-b/anopheline-sialome-cds-pep-larger-orf55-50SimCLU1.txt", 1)</f>
        <v>1</v>
      </c>
      <c r="BY349">
        <f>HYPERLINK("http://exon.niaid.nih.gov/transcriptome/Anopheles_sialome/links/cluster-b/anopheline-sialome-cds-pep-larger-orf55-50SimCLTL1.txt", 79)</f>
        <v>79</v>
      </c>
      <c r="BZ349">
        <f>HYPERLINK("http://exon.niaid.nih.gov/transcriptome/Anopheles_sialome/links/cluster-b/anopheline-sialome-cds-pep-larger-orf60-50SimCLU1.txt", 1)</f>
        <v>1</v>
      </c>
      <c r="CA349">
        <f>HYPERLINK("http://exon.niaid.nih.gov/transcriptome/Anopheles_sialome/links/cluster-b/anopheline-sialome-cds-pep-larger-orf60-50SimCLTL1.txt", 60)</f>
        <v>60</v>
      </c>
      <c r="CB349">
        <f>HYPERLINK("http://exon.niaid.nih.gov/transcriptome/Anopheles_sialome/links/cluster-b/anopheline-sialome-cds-pep-larger-orf65-50SimCLU1.txt", 1)</f>
        <v>1</v>
      </c>
      <c r="CC349">
        <f>HYPERLINK("http://exon.niaid.nih.gov/transcriptome/Anopheles_sialome/links/cluster-b/anopheline-sialome-cds-pep-larger-orf65-50SimCLTL1.txt", 60)</f>
        <v>60</v>
      </c>
      <c r="CD349">
        <f>HYPERLINK("http://exon.niaid.nih.gov/transcriptome/Anopheles_sialome/links/cluster-b/anopheline-sialome-cds-pep-larger-orf70-50SimCLU1.txt", 1)</f>
        <v>1</v>
      </c>
      <c r="CE349">
        <f>HYPERLINK("http://exon.niaid.nih.gov/transcriptome/Anopheles_sialome/links/cluster-b/anopheline-sialome-cds-pep-larger-orf70-50SimCLTL1.txt", 30)</f>
        <v>30</v>
      </c>
      <c r="CF349">
        <f>HYPERLINK("http://exon.niaid.nih.gov/transcriptome/Anopheles_sialome/links/cluster-b/anopheline-sialome-cds-pep-larger-orf75-50SimCLU1.txt", 1)</f>
        <v>1</v>
      </c>
      <c r="CG349">
        <f>HYPERLINK("http://exon.niaid.nih.gov/transcriptome/Anopheles_sialome/links/cluster-b/anopheline-sialome-cds-pep-larger-orf75-50SimCLTL1.txt", 30)</f>
        <v>30</v>
      </c>
      <c r="CH349">
        <f>HYPERLINK("http://exon.niaid.nih.gov/transcriptome/Anopheles_sialome/links/cluster-b/anopheline-sialome-cds-pep-larger-orf80-50SimCLU1.txt", 1)</f>
        <v>1</v>
      </c>
      <c r="CI349">
        <f>HYPERLINK("http://exon.niaid.nih.gov/transcriptome/Anopheles_sialome/links/cluster-b/anopheline-sialome-cds-pep-larger-orf80-50SimCLTL1.txt", 30)</f>
        <v>30</v>
      </c>
      <c r="CJ349">
        <f>HYPERLINK("http://exon.niaid.nih.gov/transcriptome/Anopheles_sialome/links/cluster-b/anopheline-sialome-cds-pep-larger-orf85-50SimCLU9.txt", 9)</f>
        <v>9</v>
      </c>
      <c r="CK349">
        <f>HYPERLINK("http://exon.niaid.nih.gov/transcriptome/Anopheles_sialome/links/cluster-b/anopheline-sialome-cds-pep-larger-orf85-50SimCLTL9.txt", 14)</f>
        <v>14</v>
      </c>
      <c r="CL349">
        <f>HYPERLINK("http://exon.niaid.nih.gov/transcriptome/Anopheles_sialome/links/cluster-b/anopheline-sialome-cds-pep-larger-orf90-50SimCLU4.txt", 4)</f>
        <v>4</v>
      </c>
      <c r="CM349">
        <f>HYPERLINK("http://exon.niaid.nih.gov/transcriptome/Anopheles_sialome/links/cluster-b/anopheline-sialome-cds-pep-larger-orf90-50SimCLTL4.txt", 14)</f>
        <v>14</v>
      </c>
      <c r="CN349">
        <v>167</v>
      </c>
      <c r="CO349">
        <v>1</v>
      </c>
    </row>
    <row r="350" spans="1:93">
      <c r="A350" s="2" t="str">
        <f>HYPERLINK("http://exon.niaid.nih.gov/transcriptome/Anopheles_sialome/links/cds/anocul_D7r2-cds.txt","anocul_D7r2")</f>
        <v>anocul_D7r2</v>
      </c>
      <c r="B350">
        <v>507</v>
      </c>
      <c r="C350" t="s">
        <v>166</v>
      </c>
      <c r="D350" t="s">
        <v>7</v>
      </c>
      <c r="E350" t="s">
        <v>5</v>
      </c>
      <c r="F350" t="s">
        <v>1</v>
      </c>
      <c r="G350" t="str">
        <f>HYPERLINK("http://exon.niaid.nih.gov/transcriptome/Anopheles_sialome/links/pep/anocul_D7r2-pep.txt","anocul_D7r2")</f>
        <v>anocul_D7r2</v>
      </c>
      <c r="H350">
        <v>168</v>
      </c>
      <c r="I350">
        <v>1</v>
      </c>
      <c r="J350" s="3" t="str">
        <f>HYPERLINK("http://exon.niaid.nih.gov/transcriptome/Anopheles_sialome/links/Sigp/anocul_D7r2-SigP.txt","SIG")</f>
        <v>SIG</v>
      </c>
      <c r="K350" t="s">
        <v>689</v>
      </c>
      <c r="L350">
        <v>18.585000000000001</v>
      </c>
      <c r="M350">
        <v>4.96</v>
      </c>
      <c r="N350">
        <v>16.298999999999999</v>
      </c>
      <c r="O350">
        <v>4.8499999999999996</v>
      </c>
      <c r="P350" t="s">
        <v>1045</v>
      </c>
      <c r="Q350" s="3">
        <v>0</v>
      </c>
      <c r="R350" t="s">
        <v>128</v>
      </c>
      <c r="S350" t="s">
        <v>128</v>
      </c>
      <c r="T350" t="s">
        <v>128</v>
      </c>
      <c r="U350" t="s">
        <v>128</v>
      </c>
      <c r="V350" t="s">
        <v>128</v>
      </c>
      <c r="W350" s="3" t="str">
        <f>HYPERLINK("http://exon.niaid.nih.gov/transcriptome/Anopheles_sialome/links/netoglyc/anocul_D7r2-netoglyc.txt","0")</f>
        <v>0</v>
      </c>
      <c r="X350">
        <v>14.9</v>
      </c>
      <c r="Y350">
        <v>5.4</v>
      </c>
      <c r="Z350">
        <v>1.8</v>
      </c>
      <c r="AA350" t="s">
        <v>654</v>
      </c>
      <c r="AB350" t="s">
        <v>128</v>
      </c>
      <c r="AC350" s="2" t="str">
        <f>HYPERLINK("http://exon.niaid.nih.gov/transcriptome/Anopheles_sialome/links/DIPTERA/anocul_D7r2-DIPTERA.txt","short form D7 salivary protein 2")</f>
        <v>short form D7 salivary protein 2</v>
      </c>
      <c r="AD350" t="str">
        <f>HYPERLINK("http://www.ncbi.nlm.nih.gov/sutils/blink.cgi?pid=114864704","3E-077")</f>
        <v>3E-077</v>
      </c>
      <c r="AE350" t="str">
        <f>HYPERLINK("http://www.ncbi.nlm.nih.gov/protein/114864704","gi|114864704")</f>
        <v>gi|114864704</v>
      </c>
      <c r="AF350">
        <v>84</v>
      </c>
      <c r="AG350">
        <v>90</v>
      </c>
      <c r="AH350">
        <v>99</v>
      </c>
      <c r="AI350" t="s">
        <v>2266</v>
      </c>
      <c r="AJ350" s="2" t="str">
        <f>HYPERLINK("http://exon.niaid.nih.gov/transcriptome/Anopheles_sialome/links/CULICOMORPHA/anocul_D7r2-CULICOMORPHA.txt","short form D7 salivary protein 2")</f>
        <v>short form D7 salivary protein 2</v>
      </c>
      <c r="AK350" t="str">
        <f>HYPERLINK("http://www.ncbi.nlm.nih.gov/sutils/blink.cgi?pid=114864704","6E-078")</f>
        <v>6E-078</v>
      </c>
      <c r="AL350" t="str">
        <f>HYPERLINK("http://www.ncbi.nlm.nih.gov/protein/114864704","gi|114864704")</f>
        <v>gi|114864704</v>
      </c>
      <c r="AM350">
        <v>84</v>
      </c>
      <c r="AN350">
        <v>90</v>
      </c>
      <c r="AO350">
        <v>99</v>
      </c>
      <c r="AP350" t="s">
        <v>2266</v>
      </c>
      <c r="AQ350" s="2" t="str">
        <f>HYPERLINK("http://exon.niaid.nih.gov/transcriptome/Anopheles_sialome/links/NR-LIGHT/anocul_D7r2-NR-LIGHT.txt","short form D7 salivary protein 2")</f>
        <v>short form D7 salivary protein 2</v>
      </c>
      <c r="AR350" t="str">
        <f>HYPERLINK("http://www.ncbi.nlm.nih.gov/sutils/blink.cgi?pid=114864704","8E-077")</f>
        <v>8E-077</v>
      </c>
      <c r="AS350" t="str">
        <f>HYPERLINK("http://www.ncbi.nlm.nih.gov/protein/114864704","gi|114864704")</f>
        <v>gi|114864704</v>
      </c>
      <c r="AT350">
        <v>84</v>
      </c>
      <c r="AU350">
        <v>90</v>
      </c>
      <c r="AV350">
        <v>99</v>
      </c>
      <c r="AW350" t="s">
        <v>2266</v>
      </c>
      <c r="AX350" s="2" t="str">
        <f>HYPERLINK("http://exon.niaid.nih.gov/transcriptome/Anopheles_sialome/links/CDD/anocul_D7r2-CDD.txt","PBP_GOBP")</f>
        <v>PBP_GOBP</v>
      </c>
      <c r="AY350" t="str">
        <f>HYPERLINK("http://www.ncbi.nlm.nih.gov/Structure/cdd/cddsrv.cgi?uid=pfam01395&amp;version=v4.0","2E-009")</f>
        <v>2E-009</v>
      </c>
      <c r="AZ350" t="s">
        <v>2492</v>
      </c>
      <c r="BA350" s="2" t="str">
        <f>HYPERLINK("http://exon.niaid.nih.gov/transcriptome/Anopheles_sialome/links/KOG/anocul_D7r2-KOG.txt","Ubiquitin activating enzyme UBA1")</f>
        <v>Ubiquitin activating enzyme UBA1</v>
      </c>
      <c r="BB350" t="str">
        <f>HYPERLINK("http://www.ncbi.nlm.nih.gov/Structure/cdd/cddsrv.cgi?uid=KOG2012","5.7")</f>
        <v>5.7</v>
      </c>
      <c r="BC350" t="s">
        <v>2296</v>
      </c>
      <c r="BD350" t="str">
        <f>HYPERLINK("http://exon.niaid.nih.gov/transcriptome/Anopheles_sialome/links/KOG/anocul_D7r2-KOG.txt","KOG2012")</f>
        <v>KOG2012</v>
      </c>
      <c r="BE350" t="str">
        <f>HYPERLINK("http://exon.niaid.nih.gov/transcriptome/Anopheles_sialome/links/PFAM/anocul_D7r2-PFAM.txt","PBP_GOBP")</f>
        <v>PBP_GOBP</v>
      </c>
      <c r="BF350" t="str">
        <f>HYPERLINK("http://pfam.sanger.ac.uk/family?acc=PF01395","5E-010")</f>
        <v>5E-010</v>
      </c>
      <c r="BG350" s="2" t="str">
        <f>HYPERLINK("http://exon.niaid.nih.gov/transcriptome/Anopheles_sialome/links/SMART/anocul_D7r2-SMART.txt","PhBP")</f>
        <v>PhBP</v>
      </c>
      <c r="BH350" t="str">
        <f>HYPERLINK("http://smart.embl-heidelberg.de/smart/do_annotation.pl?DOMAIN=PhBP&amp;BLAST=DUMMY","7E-010")</f>
        <v>7E-010</v>
      </c>
      <c r="BI350" t="s">
        <v>128</v>
      </c>
      <c r="BJ350" s="2" t="s">
        <v>128</v>
      </c>
      <c r="BK350" t="s">
        <v>1044</v>
      </c>
      <c r="BL350">
        <f>HYPERLINK("http://exon.niaid.nih.gov/transcriptome/Anopheles_sialome/links/cluster-b/anopheline-sialome-cds-pep-larger-orf25-50SimCLU2.txt", 2)</f>
        <v>2</v>
      </c>
      <c r="BM350">
        <f>HYPERLINK("http://exon.niaid.nih.gov/transcriptome/Anopheles_sialome/links/cluster-b/anopheline-sialome-cds-pep-larger-orf25-50SimCLTL2.txt", 120)</f>
        <v>120</v>
      </c>
      <c r="BN350">
        <f>HYPERLINK("http://exon.niaid.nih.gov/transcriptome/Anopheles_sialome/links/cluster-b/anopheline-sialome-cds-pep-larger-orf30-50SimCLU2.txt", 2)</f>
        <v>2</v>
      </c>
      <c r="BO350">
        <f>HYPERLINK("http://exon.niaid.nih.gov/transcriptome/Anopheles_sialome/links/cluster-b/anopheline-sialome-cds-pep-larger-orf30-50SimCLTL2.txt", 120)</f>
        <v>120</v>
      </c>
      <c r="BP350">
        <f>HYPERLINK("http://exon.niaid.nih.gov/transcriptome/Anopheles_sialome/links/cluster-b/anopheline-sialome-cds-pep-larger-orf35-50SimCLU1.txt", 1)</f>
        <v>1</v>
      </c>
      <c r="BQ350">
        <f>HYPERLINK("http://exon.niaid.nih.gov/transcriptome/Anopheles_sialome/links/cluster-b/anopheline-sialome-cds-pep-larger-orf35-50SimCLTL1.txt", 120)</f>
        <v>120</v>
      </c>
      <c r="BR350">
        <f>HYPERLINK("http://exon.niaid.nih.gov/transcriptome/Anopheles_sialome/links/cluster-b/anopheline-sialome-cds-pep-larger-orf40-50SimCLU2.txt", 2)</f>
        <v>2</v>
      </c>
      <c r="BS350">
        <f>HYPERLINK("http://exon.niaid.nih.gov/transcriptome/Anopheles_sialome/links/cluster-b/anopheline-sialome-cds-pep-larger-orf40-50SimCLTL2.txt", 83)</f>
        <v>83</v>
      </c>
      <c r="BT350">
        <f>HYPERLINK("http://exon.niaid.nih.gov/transcriptome/Anopheles_sialome/links/cluster-b/anopheline-sialome-cds-pep-larger-orf45-50SimCLU1.txt", 1)</f>
        <v>1</v>
      </c>
      <c r="BU350">
        <f>HYPERLINK("http://exon.niaid.nih.gov/transcriptome/Anopheles_sialome/links/cluster-b/anopheline-sialome-cds-pep-larger-orf45-50SimCLTL1.txt", 83)</f>
        <v>83</v>
      </c>
      <c r="BV350">
        <f>HYPERLINK("http://exon.niaid.nih.gov/transcriptome/Anopheles_sialome/links/cluster-b/anopheline-sialome-cds-pep-larger-orf50-50SimCLU1.txt", 1)</f>
        <v>1</v>
      </c>
      <c r="BW350">
        <f>HYPERLINK("http://exon.niaid.nih.gov/transcriptome/Anopheles_sialome/links/cluster-b/anopheline-sialome-cds-pep-larger-orf50-50SimCLTL1.txt", 83)</f>
        <v>83</v>
      </c>
      <c r="BX350">
        <f>HYPERLINK("http://exon.niaid.nih.gov/transcriptome/Anopheles_sialome/links/cluster-b/anopheline-sialome-cds-pep-larger-orf55-50SimCLU1.txt", 1)</f>
        <v>1</v>
      </c>
      <c r="BY350">
        <f>HYPERLINK("http://exon.niaid.nih.gov/transcriptome/Anopheles_sialome/links/cluster-b/anopheline-sialome-cds-pep-larger-orf55-50SimCLTL1.txt", 79)</f>
        <v>79</v>
      </c>
      <c r="BZ350">
        <f>HYPERLINK("http://exon.niaid.nih.gov/transcriptome/Anopheles_sialome/links/cluster-b/anopheline-sialome-cds-pep-larger-orf60-50SimCLU1.txt", 1)</f>
        <v>1</v>
      </c>
      <c r="CA350">
        <f>HYPERLINK("http://exon.niaid.nih.gov/transcriptome/Anopheles_sialome/links/cluster-b/anopheline-sialome-cds-pep-larger-orf60-50SimCLTL1.txt", 60)</f>
        <v>60</v>
      </c>
      <c r="CB350">
        <f>HYPERLINK("http://exon.niaid.nih.gov/transcriptome/Anopheles_sialome/links/cluster-b/anopheline-sialome-cds-pep-larger-orf65-50SimCLU1.txt", 1)</f>
        <v>1</v>
      </c>
      <c r="CC350">
        <f>HYPERLINK("http://exon.niaid.nih.gov/transcriptome/Anopheles_sialome/links/cluster-b/anopheline-sialome-cds-pep-larger-orf65-50SimCLTL1.txt", 60)</f>
        <v>60</v>
      </c>
      <c r="CD350">
        <f>HYPERLINK("http://exon.niaid.nih.gov/transcriptome/Anopheles_sialome/links/cluster-b/anopheline-sialome-cds-pep-larger-orf70-50SimCLU1.txt", 1)</f>
        <v>1</v>
      </c>
      <c r="CE350">
        <f>HYPERLINK("http://exon.niaid.nih.gov/transcriptome/Anopheles_sialome/links/cluster-b/anopheline-sialome-cds-pep-larger-orf70-50SimCLTL1.txt", 30)</f>
        <v>30</v>
      </c>
      <c r="CF350">
        <f>HYPERLINK("http://exon.niaid.nih.gov/transcriptome/Anopheles_sialome/links/cluster-b/anopheline-sialome-cds-pep-larger-orf75-50SimCLU1.txt", 1)</f>
        <v>1</v>
      </c>
      <c r="CG350">
        <f>HYPERLINK("http://exon.niaid.nih.gov/transcriptome/Anopheles_sialome/links/cluster-b/anopheline-sialome-cds-pep-larger-orf75-50SimCLTL1.txt", 30)</f>
        <v>30</v>
      </c>
      <c r="CH350">
        <f>HYPERLINK("http://exon.niaid.nih.gov/transcriptome/Anopheles_sialome/links/cluster-b/anopheline-sialome-cds-pep-larger-orf80-50SimCLU1.txt", 1)</f>
        <v>1</v>
      </c>
      <c r="CI350">
        <f>HYPERLINK("http://exon.niaid.nih.gov/transcriptome/Anopheles_sialome/links/cluster-b/anopheline-sialome-cds-pep-larger-orf80-50SimCLTL1.txt", 30)</f>
        <v>30</v>
      </c>
      <c r="CJ350">
        <f>HYPERLINK("http://exon.niaid.nih.gov/transcriptome/Anopheles_sialome/links/cluster-b/anopheline-sialome-cds-pep-larger-orf85-50SimCLU9.txt", 9)</f>
        <v>9</v>
      </c>
      <c r="CK350">
        <f>HYPERLINK("http://exon.niaid.nih.gov/transcriptome/Anopheles_sialome/links/cluster-b/anopheline-sialome-cds-pep-larger-orf85-50SimCLTL9.txt", 14)</f>
        <v>14</v>
      </c>
      <c r="CL350">
        <f>HYPERLINK("http://exon.niaid.nih.gov/transcriptome/Anopheles_sialome/links/cluster-b/anopheline-sialome-cds-pep-larger-orf90-50SimCLU4.txt", 4)</f>
        <v>4</v>
      </c>
      <c r="CM350">
        <f>HYPERLINK("http://exon.niaid.nih.gov/transcriptome/Anopheles_sialome/links/cluster-b/anopheline-sialome-cds-pep-larger-orf90-50SimCLTL4.txt", 14)</f>
        <v>14</v>
      </c>
      <c r="CN350">
        <v>168</v>
      </c>
      <c r="CO350">
        <v>1</v>
      </c>
    </row>
    <row r="351" spans="1:93">
      <c r="A351" s="2" t="str">
        <f>HYPERLINK("http://exon.niaid.nih.gov/transcriptome/Anopheles_sialome/links/cds/anoste_D7r2-cds.txt","anoste_D7r2")</f>
        <v>anoste_D7r2</v>
      </c>
      <c r="B351">
        <v>507</v>
      </c>
      <c r="C351" t="s">
        <v>156</v>
      </c>
      <c r="D351" t="s">
        <v>7</v>
      </c>
      <c r="E351" t="s">
        <v>5</v>
      </c>
      <c r="F351" t="s">
        <v>1</v>
      </c>
      <c r="G351" t="str">
        <f>HYPERLINK("http://exon.niaid.nih.gov/transcriptome/Anopheles_sialome/links/pep/anoste_D7r2-pep.txt","anoste_D7r2")</f>
        <v>anoste_D7r2</v>
      </c>
      <c r="H351">
        <v>168</v>
      </c>
      <c r="I351">
        <v>1</v>
      </c>
      <c r="J351" s="3" t="str">
        <f>HYPERLINK("http://exon.niaid.nih.gov/transcriptome/Anopheles_sialome/links/Sigp/anoste_D7r2-SigP.txt","SIG")</f>
        <v>SIG</v>
      </c>
      <c r="K351" t="s">
        <v>692</v>
      </c>
      <c r="L351">
        <v>18.457000000000001</v>
      </c>
      <c r="M351">
        <v>5.25</v>
      </c>
      <c r="N351">
        <v>16.305</v>
      </c>
      <c r="O351">
        <v>5.08</v>
      </c>
      <c r="P351" t="s">
        <v>1047</v>
      </c>
      <c r="Q351" s="3">
        <v>0</v>
      </c>
      <c r="R351" t="s">
        <v>128</v>
      </c>
      <c r="S351" t="s">
        <v>128</v>
      </c>
      <c r="T351" t="s">
        <v>128</v>
      </c>
      <c r="U351" t="s">
        <v>128</v>
      </c>
      <c r="V351" t="s">
        <v>128</v>
      </c>
      <c r="W351" s="3" t="str">
        <f>HYPERLINK("http://exon.niaid.nih.gov/transcriptome/Anopheles_sialome/links/netoglyc/anoste_D7r2-netoglyc.txt","0")</f>
        <v>0</v>
      </c>
      <c r="X351">
        <v>13.1</v>
      </c>
      <c r="Y351">
        <v>7.1</v>
      </c>
      <c r="Z351">
        <v>2.4</v>
      </c>
      <c r="AA351" t="s">
        <v>654</v>
      </c>
      <c r="AB351" t="s">
        <v>128</v>
      </c>
      <c r="AC351" s="2" t="str">
        <f>HYPERLINK("http://exon.niaid.nih.gov/transcriptome/Anopheles_sialome/links/DIPTERA/anoste_D7r2-DIPTERA.txt","short D7-4 salivary protein precursor")</f>
        <v>short D7-4 salivary protein precursor</v>
      </c>
      <c r="AD351" t="str">
        <f>HYPERLINK("http://www.ncbi.nlm.nih.gov/sutils/blink.cgi?pid=29501376","3E-092")</f>
        <v>3E-092</v>
      </c>
      <c r="AE351" t="str">
        <f>HYPERLINK("http://www.ncbi.nlm.nih.gov/protein/29501376","gi|29501376")</f>
        <v>gi|29501376</v>
      </c>
      <c r="AF351">
        <v>100</v>
      </c>
      <c r="AG351">
        <v>100</v>
      </c>
      <c r="AH351">
        <v>100</v>
      </c>
      <c r="AI351" t="s">
        <v>2271</v>
      </c>
      <c r="AJ351" s="2" t="str">
        <f>HYPERLINK("http://exon.niaid.nih.gov/transcriptome/Anopheles_sialome/links/CULICOMORPHA/anoste_D7r2-CULICOMORPHA.txt","short D7-4 salivary protein precursor")</f>
        <v>short D7-4 salivary protein precursor</v>
      </c>
      <c r="AK351" t="str">
        <f>HYPERLINK("http://www.ncbi.nlm.nih.gov/sutils/blink.cgi?pid=29501376","5E-093")</f>
        <v>5E-093</v>
      </c>
      <c r="AL351" t="str">
        <f>HYPERLINK("http://www.ncbi.nlm.nih.gov/protein/29501376","gi|29501376")</f>
        <v>gi|29501376</v>
      </c>
      <c r="AM351">
        <v>100</v>
      </c>
      <c r="AN351">
        <v>100</v>
      </c>
      <c r="AO351">
        <v>100</v>
      </c>
      <c r="AP351" t="s">
        <v>2271</v>
      </c>
      <c r="AQ351" s="2" t="str">
        <f>HYPERLINK("http://exon.niaid.nih.gov/transcriptome/Anopheles_sialome/links/NR-LIGHT/anoste_D7r2-NR-LIGHT.txt","short D7-4 salivary protein precursor")</f>
        <v>short D7-4 salivary protein precursor</v>
      </c>
      <c r="AR351" t="str">
        <f>HYPERLINK("http://www.ncbi.nlm.nih.gov/sutils/blink.cgi?pid=29501376","6E-092")</f>
        <v>6E-092</v>
      </c>
      <c r="AS351" t="str">
        <f>HYPERLINK("http://www.ncbi.nlm.nih.gov/protein/29501376","gi|29501376")</f>
        <v>gi|29501376</v>
      </c>
      <c r="AT351">
        <v>100</v>
      </c>
      <c r="AU351">
        <v>100</v>
      </c>
      <c r="AV351">
        <v>100</v>
      </c>
      <c r="AW351" t="s">
        <v>2271</v>
      </c>
      <c r="AX351" s="2" t="str">
        <f>HYPERLINK("http://exon.niaid.nih.gov/transcriptome/Anopheles_sialome/links/CDD/anoste_D7r2-CDD.txt","PBP_GOBP")</f>
        <v>PBP_GOBP</v>
      </c>
      <c r="AY351" t="str">
        <f>HYPERLINK("http://www.ncbi.nlm.nih.gov/Structure/cdd/cddsrv.cgi?uid=pfam01395&amp;version=v4.0","3E-009")</f>
        <v>3E-009</v>
      </c>
      <c r="AZ351" t="s">
        <v>2493</v>
      </c>
      <c r="BA351" s="2" t="str">
        <f>HYPERLINK("http://exon.niaid.nih.gov/transcriptome/Anopheles_sialome/links/KOG/anoste_D7r2-KOG.txt","Targeting complex (TRAPP) subunit")</f>
        <v>Targeting complex (TRAPP) subunit</v>
      </c>
      <c r="BB351" t="str">
        <f>HYPERLINK("http://www.ncbi.nlm.nih.gov/Structure/cdd/cddsrv.cgi?uid=KOG1953","1.5")</f>
        <v>1.5</v>
      </c>
      <c r="BC351" t="s">
        <v>2487</v>
      </c>
      <c r="BD351" t="str">
        <f>HYPERLINK("http://exon.niaid.nih.gov/transcriptome/Anopheles_sialome/links/KOG/anoste_D7r2-KOG.txt","KOG1953")</f>
        <v>KOG1953</v>
      </c>
      <c r="BE351" t="str">
        <f>HYPERLINK("http://exon.niaid.nih.gov/transcriptome/Anopheles_sialome/links/PFAM/anoste_D7r2-PFAM.txt","PBP_GOBP")</f>
        <v>PBP_GOBP</v>
      </c>
      <c r="BF351" t="str">
        <f>HYPERLINK("http://pfam.sanger.ac.uk/family?acc=PF01395","7E-010")</f>
        <v>7E-010</v>
      </c>
      <c r="BG351" s="2" t="str">
        <f>HYPERLINK("http://exon.niaid.nih.gov/transcriptome/Anopheles_sialome/links/SMART/anoste_D7r2-SMART.txt","PhBP")</f>
        <v>PhBP</v>
      </c>
      <c r="BH351" t="str">
        <f>HYPERLINK("http://smart.embl-heidelberg.de/smart/do_annotation.pl?DOMAIN=PhBP&amp;BLAST=DUMMY","7E-010")</f>
        <v>7E-010</v>
      </c>
      <c r="BI351" t="s">
        <v>128</v>
      </c>
      <c r="BJ351" s="2" t="s">
        <v>128</v>
      </c>
      <c r="BK351" t="s">
        <v>1046</v>
      </c>
      <c r="BL351">
        <f>HYPERLINK("http://exon.niaid.nih.gov/transcriptome/Anopheles_sialome/links/cluster-b/anopheline-sialome-cds-pep-larger-orf25-50SimCLU2.txt", 2)</f>
        <v>2</v>
      </c>
      <c r="BM351">
        <f>HYPERLINK("http://exon.niaid.nih.gov/transcriptome/Anopheles_sialome/links/cluster-b/anopheline-sialome-cds-pep-larger-orf25-50SimCLTL2.txt", 120)</f>
        <v>120</v>
      </c>
      <c r="BN351">
        <f>HYPERLINK("http://exon.niaid.nih.gov/transcriptome/Anopheles_sialome/links/cluster-b/anopheline-sialome-cds-pep-larger-orf30-50SimCLU2.txt", 2)</f>
        <v>2</v>
      </c>
      <c r="BO351">
        <f>HYPERLINK("http://exon.niaid.nih.gov/transcriptome/Anopheles_sialome/links/cluster-b/anopheline-sialome-cds-pep-larger-orf30-50SimCLTL2.txt", 120)</f>
        <v>120</v>
      </c>
      <c r="BP351">
        <f>HYPERLINK("http://exon.niaid.nih.gov/transcriptome/Anopheles_sialome/links/cluster-b/anopheline-sialome-cds-pep-larger-orf35-50SimCLU1.txt", 1)</f>
        <v>1</v>
      </c>
      <c r="BQ351">
        <f>HYPERLINK("http://exon.niaid.nih.gov/transcriptome/Anopheles_sialome/links/cluster-b/anopheline-sialome-cds-pep-larger-orf35-50SimCLTL1.txt", 120)</f>
        <v>120</v>
      </c>
      <c r="BR351">
        <f>HYPERLINK("http://exon.niaid.nih.gov/transcriptome/Anopheles_sialome/links/cluster-b/anopheline-sialome-cds-pep-larger-orf40-50SimCLU2.txt", 2)</f>
        <v>2</v>
      </c>
      <c r="BS351">
        <f>HYPERLINK("http://exon.niaid.nih.gov/transcriptome/Anopheles_sialome/links/cluster-b/anopheline-sialome-cds-pep-larger-orf40-50SimCLTL2.txt", 83)</f>
        <v>83</v>
      </c>
      <c r="BT351">
        <f>HYPERLINK("http://exon.niaid.nih.gov/transcriptome/Anopheles_sialome/links/cluster-b/anopheline-sialome-cds-pep-larger-orf45-50SimCLU1.txt", 1)</f>
        <v>1</v>
      </c>
      <c r="BU351">
        <f>HYPERLINK("http://exon.niaid.nih.gov/transcriptome/Anopheles_sialome/links/cluster-b/anopheline-sialome-cds-pep-larger-orf45-50SimCLTL1.txt", 83)</f>
        <v>83</v>
      </c>
      <c r="BV351">
        <f>HYPERLINK("http://exon.niaid.nih.gov/transcriptome/Anopheles_sialome/links/cluster-b/anopheline-sialome-cds-pep-larger-orf50-50SimCLU1.txt", 1)</f>
        <v>1</v>
      </c>
      <c r="BW351">
        <f>HYPERLINK("http://exon.niaid.nih.gov/transcriptome/Anopheles_sialome/links/cluster-b/anopheline-sialome-cds-pep-larger-orf50-50SimCLTL1.txt", 83)</f>
        <v>83</v>
      </c>
      <c r="BX351">
        <f>HYPERLINK("http://exon.niaid.nih.gov/transcriptome/Anopheles_sialome/links/cluster-b/anopheline-sialome-cds-pep-larger-orf55-50SimCLU1.txt", 1)</f>
        <v>1</v>
      </c>
      <c r="BY351">
        <f>HYPERLINK("http://exon.niaid.nih.gov/transcriptome/Anopheles_sialome/links/cluster-b/anopheline-sialome-cds-pep-larger-orf55-50SimCLTL1.txt", 79)</f>
        <v>79</v>
      </c>
      <c r="BZ351">
        <f>HYPERLINK("http://exon.niaid.nih.gov/transcriptome/Anopheles_sialome/links/cluster-b/anopheline-sialome-cds-pep-larger-orf60-50SimCLU1.txt", 1)</f>
        <v>1</v>
      </c>
      <c r="CA351">
        <f>HYPERLINK("http://exon.niaid.nih.gov/transcriptome/Anopheles_sialome/links/cluster-b/anopheline-sialome-cds-pep-larger-orf60-50SimCLTL1.txt", 60)</f>
        <v>60</v>
      </c>
      <c r="CB351">
        <f>HYPERLINK("http://exon.niaid.nih.gov/transcriptome/Anopheles_sialome/links/cluster-b/anopheline-sialome-cds-pep-larger-orf65-50SimCLU1.txt", 1)</f>
        <v>1</v>
      </c>
      <c r="CC351">
        <f>HYPERLINK("http://exon.niaid.nih.gov/transcriptome/Anopheles_sialome/links/cluster-b/anopheline-sialome-cds-pep-larger-orf65-50SimCLTL1.txt", 60)</f>
        <v>60</v>
      </c>
      <c r="CD351">
        <f>HYPERLINK("http://exon.niaid.nih.gov/transcriptome/Anopheles_sialome/links/cluster-b/anopheline-sialome-cds-pep-larger-orf70-50SimCLU1.txt", 1)</f>
        <v>1</v>
      </c>
      <c r="CE351">
        <f>HYPERLINK("http://exon.niaid.nih.gov/transcriptome/Anopheles_sialome/links/cluster-b/anopheline-sialome-cds-pep-larger-orf70-50SimCLTL1.txt", 30)</f>
        <v>30</v>
      </c>
      <c r="CF351">
        <f>HYPERLINK("http://exon.niaid.nih.gov/transcriptome/Anopheles_sialome/links/cluster-b/anopheline-sialome-cds-pep-larger-orf75-50SimCLU1.txt", 1)</f>
        <v>1</v>
      </c>
      <c r="CG351">
        <f>HYPERLINK("http://exon.niaid.nih.gov/transcriptome/Anopheles_sialome/links/cluster-b/anopheline-sialome-cds-pep-larger-orf75-50SimCLTL1.txt", 30)</f>
        <v>30</v>
      </c>
      <c r="CH351">
        <f>HYPERLINK("http://exon.niaid.nih.gov/transcriptome/Anopheles_sialome/links/cluster-b/anopheline-sialome-cds-pep-larger-orf80-50SimCLU1.txt", 1)</f>
        <v>1</v>
      </c>
      <c r="CI351">
        <f>HYPERLINK("http://exon.niaid.nih.gov/transcriptome/Anopheles_sialome/links/cluster-b/anopheline-sialome-cds-pep-larger-orf80-50SimCLTL1.txt", 30)</f>
        <v>30</v>
      </c>
      <c r="CJ351">
        <f>HYPERLINK("http://exon.niaid.nih.gov/transcriptome/Anopheles_sialome/links/cluster-b/anopheline-sialome-cds-pep-larger-orf85-50SimCLU9.txt", 9)</f>
        <v>9</v>
      </c>
      <c r="CK351">
        <f>HYPERLINK("http://exon.niaid.nih.gov/transcriptome/Anopheles_sialome/links/cluster-b/anopheline-sialome-cds-pep-larger-orf85-50SimCLTL9.txt", 14)</f>
        <v>14</v>
      </c>
      <c r="CL351">
        <f>HYPERLINK("http://exon.niaid.nih.gov/transcriptome/Anopheles_sialome/links/cluster-b/anopheline-sialome-cds-pep-larger-orf90-50SimCLU4.txt", 4)</f>
        <v>4</v>
      </c>
      <c r="CM351">
        <f>HYPERLINK("http://exon.niaid.nih.gov/transcriptome/Anopheles_sialome/links/cluster-b/anopheline-sialome-cds-pep-larger-orf90-50SimCLTL4.txt", 14)</f>
        <v>14</v>
      </c>
      <c r="CN351">
        <v>169</v>
      </c>
      <c r="CO351">
        <v>1</v>
      </c>
    </row>
    <row r="352" spans="1:93">
      <c r="A352" s="2" t="str">
        <f>HYPERLINK("http://exon.niaid.nih.gov/transcriptome/Anopheles_sialome/links/cds/anofar_D7r4_D7r2-like-cds.txt","anofar_D7r4/D7r2-like")</f>
        <v>anofar_D7r4/D7r2-like</v>
      </c>
      <c r="B352">
        <v>507</v>
      </c>
      <c r="C352" t="s">
        <v>179</v>
      </c>
      <c r="D352" t="s">
        <v>4</v>
      </c>
      <c r="E352" t="s">
        <v>5</v>
      </c>
      <c r="F352" t="s">
        <v>1</v>
      </c>
      <c r="G352" t="str">
        <f>HYPERLINK("http://exon.niaid.nih.gov/transcriptome/Anopheles_sialome/links/pep/anofar_D7r4_D7r2-like-pep.txt","anofar_D7r4/D7r2-like")</f>
        <v>anofar_D7r4/D7r2-like</v>
      </c>
      <c r="H352">
        <v>168</v>
      </c>
      <c r="I352">
        <v>0</v>
      </c>
      <c r="J352" s="3" t="str">
        <f>HYPERLINK("http://exon.niaid.nih.gov/transcriptome/Anopheles_sialome/links/Sigp/anofar_D7r4/D7r2-like-SigP.txt","SIG")</f>
        <v>SIG</v>
      </c>
      <c r="K352" t="s">
        <v>689</v>
      </c>
      <c r="L352">
        <v>18.361999999999998</v>
      </c>
      <c r="M352">
        <v>5.25</v>
      </c>
      <c r="N352">
        <v>16.077000000000002</v>
      </c>
      <c r="O352">
        <v>4.95</v>
      </c>
      <c r="P352" t="s">
        <v>1100</v>
      </c>
      <c r="Q352" s="3">
        <v>0</v>
      </c>
      <c r="R352" t="s">
        <v>128</v>
      </c>
      <c r="S352" t="s">
        <v>128</v>
      </c>
      <c r="T352" t="s">
        <v>128</v>
      </c>
      <c r="U352" t="s">
        <v>128</v>
      </c>
      <c r="V352" t="s">
        <v>128</v>
      </c>
      <c r="W352" s="3" t="s">
        <v>128</v>
      </c>
      <c r="X352" t="s">
        <v>128</v>
      </c>
      <c r="Y352" t="s">
        <v>128</v>
      </c>
      <c r="Z352" t="s">
        <v>128</v>
      </c>
      <c r="AA352" t="s">
        <v>128</v>
      </c>
      <c r="AB352" t="s">
        <v>128</v>
      </c>
      <c r="AC352" s="2" t="str">
        <f>HYPERLINK("http://exon.niaid.nih.gov/transcriptome/Anopheles_sialome/links/DIPTERA/anofar_D7r4_D7r2-like-DIPTERA.txt","short form D7 salivary protein 2")</f>
        <v>short form D7 salivary protein 2</v>
      </c>
      <c r="AD352" t="str">
        <f>HYPERLINK("http://www.ncbi.nlm.nih.gov/sutils/blink.cgi?pid=114864704","1E-075")</f>
        <v>1E-075</v>
      </c>
      <c r="AE352" t="str">
        <f>HYPERLINK("http://www.ncbi.nlm.nih.gov/protein/114864704","gi|114864704")</f>
        <v>gi|114864704</v>
      </c>
      <c r="AF352">
        <v>80</v>
      </c>
      <c r="AG352">
        <v>92</v>
      </c>
      <c r="AH352">
        <v>99</v>
      </c>
      <c r="AI352" t="s">
        <v>2266</v>
      </c>
      <c r="AJ352" s="2" t="str">
        <f>HYPERLINK("http://exon.niaid.nih.gov/transcriptome/Anopheles_sialome/links/CULICOMORPHA/anofar_D7r4_D7r2-like-CULICOMORPHA.txt","short form D7 salivary protein 2")</f>
        <v>short form D7 salivary protein 2</v>
      </c>
      <c r="AK352" t="str">
        <f>HYPERLINK("http://www.ncbi.nlm.nih.gov/sutils/blink.cgi?pid=114864704","2E-076")</f>
        <v>2E-076</v>
      </c>
      <c r="AL352" t="str">
        <f>HYPERLINK("http://www.ncbi.nlm.nih.gov/protein/114864704","gi|114864704")</f>
        <v>gi|114864704</v>
      </c>
      <c r="AM352">
        <v>80</v>
      </c>
      <c r="AN352">
        <v>92</v>
      </c>
      <c r="AO352">
        <v>99</v>
      </c>
      <c r="AP352" t="s">
        <v>2266</v>
      </c>
      <c r="AQ352" s="2" t="str">
        <f>HYPERLINK("http://exon.niaid.nih.gov/transcriptome/Anopheles_sialome/links/NR-LIGHT/anofar_D7r4_D7r2-like-NR-LIGHT.txt","short form D7 salivary protein 2")</f>
        <v>short form D7 salivary protein 2</v>
      </c>
      <c r="AR352" t="str">
        <f>HYPERLINK("http://www.ncbi.nlm.nih.gov/sutils/blink.cgi?pid=114864704","2E-075")</f>
        <v>2E-075</v>
      </c>
      <c r="AS352" t="str">
        <f>HYPERLINK("http://www.ncbi.nlm.nih.gov/protein/114864704","gi|114864704")</f>
        <v>gi|114864704</v>
      </c>
      <c r="AT352">
        <v>80</v>
      </c>
      <c r="AU352">
        <v>92</v>
      </c>
      <c r="AV352">
        <v>99</v>
      </c>
      <c r="AW352" t="s">
        <v>2266</v>
      </c>
      <c r="AX352" s="2" t="str">
        <f>HYPERLINK("http://exon.niaid.nih.gov/transcriptome/Anopheles_sialome/links/CDD/anofar_D7r4_D7r2-like-CDD.txt","PhBP")</f>
        <v>PhBP</v>
      </c>
      <c r="AY352" t="str">
        <f>HYPERLINK("http://www.ncbi.nlm.nih.gov/Structure/cdd/cddsrv.cgi?uid=smart00708&amp;version=v4.0","5E-009")</f>
        <v>5E-009</v>
      </c>
      <c r="AZ352" t="s">
        <v>2528</v>
      </c>
      <c r="BA352" s="2" t="str">
        <f>HYPERLINK("http://exon.niaid.nih.gov/transcriptome/Anopheles_sialome/links/KOG/anofar_D7r4_D7r2-like-KOG.txt","Uncharacterized conserved protein")</f>
        <v>Uncharacterized conserved protein</v>
      </c>
      <c r="BB352" t="str">
        <f>HYPERLINK("http://www.ncbi.nlm.nih.gov/Structure/cdd/cddsrv.cgi?uid=KOG4623","0.75")</f>
        <v>0.75</v>
      </c>
      <c r="BC352" t="s">
        <v>2304</v>
      </c>
      <c r="BD352" t="str">
        <f>HYPERLINK("http://exon.niaid.nih.gov/transcriptome/Anopheles_sialome/links/KOG/anofar_D7r4_D7r2-like-KOG.txt","KOG4623")</f>
        <v>KOG4623</v>
      </c>
      <c r="BE352" t="str">
        <f>HYPERLINK("http://exon.niaid.nih.gov/transcriptome/Anopheles_sialome/links/PFAM/anofar_D7r4_D7r2-like-PFAM.txt","PBP_GOBP")</f>
        <v>PBP_GOBP</v>
      </c>
      <c r="BF352" t="str">
        <f>HYPERLINK("http://pfam.sanger.ac.uk/family?acc=PF01395","2E-009")</f>
        <v>2E-009</v>
      </c>
      <c r="BG352" s="2" t="str">
        <f>HYPERLINK("http://exon.niaid.nih.gov/transcriptome/Anopheles_sialome/links/SMART/anofar_D7r4_D7r2-like-SMART.txt","PhBP")</f>
        <v>PhBP</v>
      </c>
      <c r="BH352" t="str">
        <f>HYPERLINK("http://smart.embl-heidelberg.de/smart/do_annotation.pl?DOMAIN=PhBP&amp;BLAST=DUMMY","7E-011")</f>
        <v>7E-011</v>
      </c>
      <c r="BI352" t="s">
        <v>128</v>
      </c>
      <c r="BJ352" s="2" t="s">
        <v>128</v>
      </c>
      <c r="BK352" t="s">
        <v>1099</v>
      </c>
      <c r="BL352">
        <f>HYPERLINK("http://exon.niaid.nih.gov/transcriptome/Anopheles_sialome/links/cluster-b/anopheline-sialome-cds-pep-larger-orf25-50SimCLU2.txt", 2)</f>
        <v>2</v>
      </c>
      <c r="BM352">
        <f>HYPERLINK("http://exon.niaid.nih.gov/transcriptome/Anopheles_sialome/links/cluster-b/anopheline-sialome-cds-pep-larger-orf25-50SimCLTL2.txt", 120)</f>
        <v>120</v>
      </c>
      <c r="BN352">
        <f>HYPERLINK("http://exon.niaid.nih.gov/transcriptome/Anopheles_sialome/links/cluster-b/anopheline-sialome-cds-pep-larger-orf30-50SimCLU2.txt", 2)</f>
        <v>2</v>
      </c>
      <c r="BO352">
        <f>HYPERLINK("http://exon.niaid.nih.gov/transcriptome/Anopheles_sialome/links/cluster-b/anopheline-sialome-cds-pep-larger-orf30-50SimCLTL2.txt", 120)</f>
        <v>120</v>
      </c>
      <c r="BP352">
        <f>HYPERLINK("http://exon.niaid.nih.gov/transcriptome/Anopheles_sialome/links/cluster-b/anopheline-sialome-cds-pep-larger-orf35-50SimCLU1.txt", 1)</f>
        <v>1</v>
      </c>
      <c r="BQ352">
        <f>HYPERLINK("http://exon.niaid.nih.gov/transcriptome/Anopheles_sialome/links/cluster-b/anopheline-sialome-cds-pep-larger-orf35-50SimCLTL1.txt", 120)</f>
        <v>120</v>
      </c>
      <c r="BR352">
        <f>HYPERLINK("http://exon.niaid.nih.gov/transcriptome/Anopheles_sialome/links/cluster-b/anopheline-sialome-cds-pep-larger-orf40-50SimCLU2.txt", 2)</f>
        <v>2</v>
      </c>
      <c r="BS352">
        <f>HYPERLINK("http://exon.niaid.nih.gov/transcriptome/Anopheles_sialome/links/cluster-b/anopheline-sialome-cds-pep-larger-orf40-50SimCLTL2.txt", 83)</f>
        <v>83</v>
      </c>
      <c r="BT352">
        <f>HYPERLINK("http://exon.niaid.nih.gov/transcriptome/Anopheles_sialome/links/cluster-b/anopheline-sialome-cds-pep-larger-orf45-50SimCLU1.txt", 1)</f>
        <v>1</v>
      </c>
      <c r="BU352">
        <f>HYPERLINK("http://exon.niaid.nih.gov/transcriptome/Anopheles_sialome/links/cluster-b/anopheline-sialome-cds-pep-larger-orf45-50SimCLTL1.txt", 83)</f>
        <v>83</v>
      </c>
      <c r="BV352">
        <f>HYPERLINK("http://exon.niaid.nih.gov/transcriptome/Anopheles_sialome/links/cluster-b/anopheline-sialome-cds-pep-larger-orf50-50SimCLU1.txt", 1)</f>
        <v>1</v>
      </c>
      <c r="BW352">
        <f>HYPERLINK("http://exon.niaid.nih.gov/transcriptome/Anopheles_sialome/links/cluster-b/anopheline-sialome-cds-pep-larger-orf50-50SimCLTL1.txt", 83)</f>
        <v>83</v>
      </c>
      <c r="BX352">
        <f>HYPERLINK("http://exon.niaid.nih.gov/transcriptome/Anopheles_sialome/links/cluster-b/anopheline-sialome-cds-pep-larger-orf55-50SimCLU1.txt", 1)</f>
        <v>1</v>
      </c>
      <c r="BY352">
        <f>HYPERLINK("http://exon.niaid.nih.gov/transcriptome/Anopheles_sialome/links/cluster-b/anopheline-sialome-cds-pep-larger-orf55-50SimCLTL1.txt", 79)</f>
        <v>79</v>
      </c>
      <c r="BZ352">
        <f>HYPERLINK("http://exon.niaid.nih.gov/transcriptome/Anopheles_sialome/links/cluster-b/anopheline-sialome-cds-pep-larger-orf60-50SimCLU1.txt", 1)</f>
        <v>1</v>
      </c>
      <c r="CA352">
        <f>HYPERLINK("http://exon.niaid.nih.gov/transcriptome/Anopheles_sialome/links/cluster-b/anopheline-sialome-cds-pep-larger-orf60-50SimCLTL1.txt", 60)</f>
        <v>60</v>
      </c>
      <c r="CB352">
        <f>HYPERLINK("http://exon.niaid.nih.gov/transcriptome/Anopheles_sialome/links/cluster-b/anopheline-sialome-cds-pep-larger-orf65-50SimCLU1.txt", 1)</f>
        <v>1</v>
      </c>
      <c r="CC352">
        <f>HYPERLINK("http://exon.niaid.nih.gov/transcriptome/Anopheles_sialome/links/cluster-b/anopheline-sialome-cds-pep-larger-orf65-50SimCLTL1.txt", 60)</f>
        <v>60</v>
      </c>
      <c r="CD352">
        <f>HYPERLINK("http://exon.niaid.nih.gov/transcriptome/Anopheles_sialome/links/cluster-b/anopheline-sialome-cds-pep-larger-orf70-50SimCLU1.txt", 1)</f>
        <v>1</v>
      </c>
      <c r="CE352">
        <f>HYPERLINK("http://exon.niaid.nih.gov/transcriptome/Anopheles_sialome/links/cluster-b/anopheline-sialome-cds-pep-larger-orf70-50SimCLTL1.txt", 30)</f>
        <v>30</v>
      </c>
      <c r="CF352">
        <f>HYPERLINK("http://exon.niaid.nih.gov/transcriptome/Anopheles_sialome/links/cluster-b/anopheline-sialome-cds-pep-larger-orf75-50SimCLU1.txt", 1)</f>
        <v>1</v>
      </c>
      <c r="CG352">
        <f>HYPERLINK("http://exon.niaid.nih.gov/transcriptome/Anopheles_sialome/links/cluster-b/anopheline-sialome-cds-pep-larger-orf75-50SimCLTL1.txt", 30)</f>
        <v>30</v>
      </c>
      <c r="CH352">
        <f>HYPERLINK("http://exon.niaid.nih.gov/transcriptome/Anopheles_sialome/links/cluster-b/anopheline-sialome-cds-pep-larger-orf80-50SimCLU1.txt", 1)</f>
        <v>1</v>
      </c>
      <c r="CI352">
        <f>HYPERLINK("http://exon.niaid.nih.gov/transcriptome/Anopheles_sialome/links/cluster-b/anopheline-sialome-cds-pep-larger-orf80-50SimCLTL1.txt", 30)</f>
        <v>30</v>
      </c>
      <c r="CJ352">
        <f>HYPERLINK("http://exon.niaid.nih.gov/transcriptome/Anopheles_sialome/links/cluster-b/anopheline-sialome-cds-pep-larger-orf85-50SimCLU9.txt", 9)</f>
        <v>9</v>
      </c>
      <c r="CK352">
        <f>HYPERLINK("http://exon.niaid.nih.gov/transcriptome/Anopheles_sialome/links/cluster-b/anopheline-sialome-cds-pep-larger-orf85-50SimCLTL9.txt", 14)</f>
        <v>14</v>
      </c>
      <c r="CL352">
        <f>HYPERLINK("http://exon.niaid.nih.gov/transcriptome/Anopheles_sialome/links/cluster-b/anopheline-sialome-cds-pep-larger-orf90-50SimCLU4.txt", 4)</f>
        <v>4</v>
      </c>
      <c r="CM352">
        <f>HYPERLINK("http://exon.niaid.nih.gov/transcriptome/Anopheles_sialome/links/cluster-b/anopheline-sialome-cds-pep-larger-orf90-50SimCLTL4.txt", 14)</f>
        <v>14</v>
      </c>
      <c r="CN352">
        <v>188</v>
      </c>
      <c r="CO352">
        <v>1</v>
      </c>
    </row>
    <row r="353" spans="1:93">
      <c r="A353" s="2" t="str">
        <f>HYPERLINK("http://exon.niaid.nih.gov/transcriptome/Anopheles_sialome/links/cds/anodir_D7r2-cds.txt","anodir_D7r2")</f>
        <v>anodir_D7r2</v>
      </c>
      <c r="B353">
        <v>510</v>
      </c>
      <c r="C353" t="s">
        <v>159</v>
      </c>
      <c r="D353" t="s">
        <v>7</v>
      </c>
      <c r="E353" t="s">
        <v>5</v>
      </c>
      <c r="F353" t="s">
        <v>1</v>
      </c>
      <c r="G353" t="str">
        <f>HYPERLINK("http://exon.niaid.nih.gov/transcriptome/Anopheles_sialome/links/pep/anodir_D7r2-pep.txt","anodir_D7r2")</f>
        <v>anodir_D7r2</v>
      </c>
      <c r="H353">
        <v>169</v>
      </c>
      <c r="I353">
        <v>0</v>
      </c>
      <c r="J353" s="3" t="str">
        <f>HYPERLINK("http://exon.niaid.nih.gov/transcriptome/Anopheles_sialome/links/Sigp/anodir_D7r2-SigP.txt","SIG")</f>
        <v>SIG</v>
      </c>
      <c r="K353" t="s">
        <v>689</v>
      </c>
      <c r="L353">
        <v>18.646000000000001</v>
      </c>
      <c r="M353">
        <v>5</v>
      </c>
      <c r="N353">
        <v>16.341999999999999</v>
      </c>
      <c r="O353">
        <v>4.8</v>
      </c>
      <c r="P353" t="s">
        <v>841</v>
      </c>
      <c r="Q353" s="3">
        <v>0</v>
      </c>
      <c r="R353" t="s">
        <v>128</v>
      </c>
      <c r="S353" t="s">
        <v>128</v>
      </c>
      <c r="T353" t="s">
        <v>128</v>
      </c>
      <c r="U353" t="s">
        <v>128</v>
      </c>
      <c r="V353" t="s">
        <v>128</v>
      </c>
      <c r="W353" s="3" t="str">
        <f>HYPERLINK("http://exon.niaid.nih.gov/transcriptome/Anopheles_sialome/links/netoglyc/anodir_D7r2-netoglyc.txt","0")</f>
        <v>0</v>
      </c>
      <c r="X353">
        <v>13.6</v>
      </c>
      <c r="Y353">
        <v>4.7</v>
      </c>
      <c r="Z353">
        <v>2.4</v>
      </c>
      <c r="AA353" t="s">
        <v>654</v>
      </c>
      <c r="AB353" t="s">
        <v>128</v>
      </c>
      <c r="AC353" s="2" t="str">
        <f>HYPERLINK("http://exon.niaid.nih.gov/transcriptome/Anopheles_sialome/links/DIPTERA/anodir_D7r2-DIPTERA.txt","D7r2 salivary protein")</f>
        <v>D7r2 salivary protein</v>
      </c>
      <c r="AD353" t="str">
        <f>HYPERLINK("http://www.ncbi.nlm.nih.gov/sutils/blink.cgi?pid=31982969","6E-081")</f>
        <v>6E-081</v>
      </c>
      <c r="AE353" t="str">
        <f>HYPERLINK("http://www.ncbi.nlm.nih.gov/protein/31982969","gi|31982969")</f>
        <v>gi|31982969</v>
      </c>
      <c r="AF353">
        <v>80</v>
      </c>
      <c r="AG353">
        <v>83</v>
      </c>
      <c r="AH353">
        <v>100</v>
      </c>
      <c r="AI353" t="s">
        <v>2274</v>
      </c>
      <c r="AJ353" s="2" t="str">
        <f>HYPERLINK("http://exon.niaid.nih.gov/transcriptome/Anopheles_sialome/links/CULICOMORPHA/anodir_D7r2-CULICOMORPHA.txt","D7r2 salivary protein")</f>
        <v>D7r2 salivary protein</v>
      </c>
      <c r="AK353" t="str">
        <f>HYPERLINK("http://www.ncbi.nlm.nih.gov/sutils/blink.cgi?pid=31982969","1E-081")</f>
        <v>1E-081</v>
      </c>
      <c r="AL353" t="str">
        <f>HYPERLINK("http://www.ncbi.nlm.nih.gov/protein/31982969","gi|31982969")</f>
        <v>gi|31982969</v>
      </c>
      <c r="AM353">
        <v>80</v>
      </c>
      <c r="AN353">
        <v>83</v>
      </c>
      <c r="AO353">
        <v>100</v>
      </c>
      <c r="AP353" t="s">
        <v>2274</v>
      </c>
      <c r="AQ353" s="2" t="str">
        <f>HYPERLINK("http://exon.niaid.nih.gov/transcriptome/Anopheles_sialome/links/NR-LIGHT/anodir_D7r2-NR-LIGHT.txt","D7r2 salivary protein")</f>
        <v>D7r2 salivary protein</v>
      </c>
      <c r="AR353" t="str">
        <f>HYPERLINK("http://www.ncbi.nlm.nih.gov/sutils/blink.cgi?pid=31982969","2E-080")</f>
        <v>2E-080</v>
      </c>
      <c r="AS353" t="str">
        <f>HYPERLINK("http://www.ncbi.nlm.nih.gov/protein/31982969","gi|31982969")</f>
        <v>gi|31982969</v>
      </c>
      <c r="AT353">
        <v>80</v>
      </c>
      <c r="AU353">
        <v>83</v>
      </c>
      <c r="AV353">
        <v>100</v>
      </c>
      <c r="AW353" t="s">
        <v>2274</v>
      </c>
      <c r="AX353" s="2" t="str">
        <f>HYPERLINK("http://exon.niaid.nih.gov/transcriptome/Anopheles_sialome/links/CDD/anodir_D7r2-CDD.txt","PBP_GOBP")</f>
        <v>PBP_GOBP</v>
      </c>
      <c r="AY353" t="str">
        <f>HYPERLINK("http://www.ncbi.nlm.nih.gov/Structure/cdd/cddsrv.cgi?uid=pfam01395&amp;version=v4.0","1E-008")</f>
        <v>1E-008</v>
      </c>
      <c r="AZ353" t="s">
        <v>2494</v>
      </c>
      <c r="BA353" s="2" t="str">
        <f>HYPERLINK("http://exon.niaid.nih.gov/transcriptome/Anopheles_sialome/links/KOG/anodir_D7r2-KOG.txt","GIY-YIG type nuclease")</f>
        <v>GIY-YIG type nuclease</v>
      </c>
      <c r="BB353" t="str">
        <f>HYPERLINK("http://www.ncbi.nlm.nih.gov/Structure/cdd/cddsrv.cgi?uid=KOG3005","2.8")</f>
        <v>2.8</v>
      </c>
      <c r="BC353" t="s">
        <v>2310</v>
      </c>
      <c r="BD353" t="str">
        <f>HYPERLINK("http://exon.niaid.nih.gov/transcriptome/Anopheles_sialome/links/KOG/anodir_D7r2-KOG.txt","KOG3005")</f>
        <v>KOG3005</v>
      </c>
      <c r="BE353" t="str">
        <f>HYPERLINK("http://exon.niaid.nih.gov/transcriptome/Anopheles_sialome/links/PFAM/anodir_D7r2-PFAM.txt","PBP_GOBP")</f>
        <v>PBP_GOBP</v>
      </c>
      <c r="BF353" t="str">
        <f>HYPERLINK("http://pfam.sanger.ac.uk/family?acc=PF01395","2E-009")</f>
        <v>2E-009</v>
      </c>
      <c r="BG353" s="2" t="str">
        <f>HYPERLINK("http://exon.niaid.nih.gov/transcriptome/Anopheles_sialome/links/SMART/anodir_D7r2-SMART.txt","PhBP")</f>
        <v>PhBP</v>
      </c>
      <c r="BH353" t="str">
        <f>HYPERLINK("http://smart.embl-heidelberg.de/smart/do_annotation.pl?DOMAIN=PhBP&amp;BLAST=DUMMY","1E-009")</f>
        <v>1E-009</v>
      </c>
      <c r="BI353" t="str">
        <f>HYPERLINK("http://exon.niaid.nih.gov/transcriptome/Anopheles_sialome/links/TICK-BLOCKS/anodir_D7r2-TICK-BLOCKS.txt","RGD_cys_disintegrin |")</f>
        <v>RGD_cys_disintegrin |</v>
      </c>
      <c r="BJ353" s="2" t="s">
        <v>2495</v>
      </c>
      <c r="BK353" t="s">
        <v>1048</v>
      </c>
      <c r="BL353">
        <f>HYPERLINK("http://exon.niaid.nih.gov/transcriptome/Anopheles_sialome/links/cluster-b/anopheline-sialome-cds-pep-larger-orf25-50SimCLU2.txt", 2)</f>
        <v>2</v>
      </c>
      <c r="BM353">
        <f>HYPERLINK("http://exon.niaid.nih.gov/transcriptome/Anopheles_sialome/links/cluster-b/anopheline-sialome-cds-pep-larger-orf25-50SimCLTL2.txt", 120)</f>
        <v>120</v>
      </c>
      <c r="BN353">
        <f>HYPERLINK("http://exon.niaid.nih.gov/transcriptome/Anopheles_sialome/links/cluster-b/anopheline-sialome-cds-pep-larger-orf30-50SimCLU2.txt", 2)</f>
        <v>2</v>
      </c>
      <c r="BO353">
        <f>HYPERLINK("http://exon.niaid.nih.gov/transcriptome/Anopheles_sialome/links/cluster-b/anopheline-sialome-cds-pep-larger-orf30-50SimCLTL2.txt", 120)</f>
        <v>120</v>
      </c>
      <c r="BP353">
        <f>HYPERLINK("http://exon.niaid.nih.gov/transcriptome/Anopheles_sialome/links/cluster-b/anopheline-sialome-cds-pep-larger-orf35-50SimCLU1.txt", 1)</f>
        <v>1</v>
      </c>
      <c r="BQ353">
        <f>HYPERLINK("http://exon.niaid.nih.gov/transcriptome/Anopheles_sialome/links/cluster-b/anopheline-sialome-cds-pep-larger-orf35-50SimCLTL1.txt", 120)</f>
        <v>120</v>
      </c>
      <c r="BR353">
        <f>HYPERLINK("http://exon.niaid.nih.gov/transcriptome/Anopheles_sialome/links/cluster-b/anopheline-sialome-cds-pep-larger-orf40-50SimCLU2.txt", 2)</f>
        <v>2</v>
      </c>
      <c r="BS353">
        <f>HYPERLINK("http://exon.niaid.nih.gov/transcriptome/Anopheles_sialome/links/cluster-b/anopheline-sialome-cds-pep-larger-orf40-50SimCLTL2.txt", 83)</f>
        <v>83</v>
      </c>
      <c r="BT353">
        <f>HYPERLINK("http://exon.niaid.nih.gov/transcriptome/Anopheles_sialome/links/cluster-b/anopheline-sialome-cds-pep-larger-orf45-50SimCLU1.txt", 1)</f>
        <v>1</v>
      </c>
      <c r="BU353">
        <f>HYPERLINK("http://exon.niaid.nih.gov/transcriptome/Anopheles_sialome/links/cluster-b/anopheline-sialome-cds-pep-larger-orf45-50SimCLTL1.txt", 83)</f>
        <v>83</v>
      </c>
      <c r="BV353">
        <f>HYPERLINK("http://exon.niaid.nih.gov/transcriptome/Anopheles_sialome/links/cluster-b/anopheline-sialome-cds-pep-larger-orf50-50SimCLU1.txt", 1)</f>
        <v>1</v>
      </c>
      <c r="BW353">
        <f>HYPERLINK("http://exon.niaid.nih.gov/transcriptome/Anopheles_sialome/links/cluster-b/anopheline-sialome-cds-pep-larger-orf50-50SimCLTL1.txt", 83)</f>
        <v>83</v>
      </c>
      <c r="BX353">
        <f>HYPERLINK("http://exon.niaid.nih.gov/transcriptome/Anopheles_sialome/links/cluster-b/anopheline-sialome-cds-pep-larger-orf55-50SimCLU1.txt", 1)</f>
        <v>1</v>
      </c>
      <c r="BY353">
        <f>HYPERLINK("http://exon.niaid.nih.gov/transcriptome/Anopheles_sialome/links/cluster-b/anopheline-sialome-cds-pep-larger-orf55-50SimCLTL1.txt", 79)</f>
        <v>79</v>
      </c>
      <c r="BZ353">
        <f>HYPERLINK("http://exon.niaid.nih.gov/transcriptome/Anopheles_sialome/links/cluster-b/anopheline-sialome-cds-pep-larger-orf60-50SimCLU1.txt", 1)</f>
        <v>1</v>
      </c>
      <c r="CA353">
        <f>HYPERLINK("http://exon.niaid.nih.gov/transcriptome/Anopheles_sialome/links/cluster-b/anopheline-sialome-cds-pep-larger-orf60-50SimCLTL1.txt", 60)</f>
        <v>60</v>
      </c>
      <c r="CB353">
        <f>HYPERLINK("http://exon.niaid.nih.gov/transcriptome/Anopheles_sialome/links/cluster-b/anopheline-sialome-cds-pep-larger-orf65-50SimCLU1.txt", 1)</f>
        <v>1</v>
      </c>
      <c r="CC353">
        <f>HYPERLINK("http://exon.niaid.nih.gov/transcriptome/Anopheles_sialome/links/cluster-b/anopheline-sialome-cds-pep-larger-orf65-50SimCLTL1.txt", 60)</f>
        <v>60</v>
      </c>
      <c r="CD353">
        <f>HYPERLINK("http://exon.niaid.nih.gov/transcriptome/Anopheles_sialome/links/cluster-b/anopheline-sialome-cds-pep-larger-orf70-50SimCLU1.txt", 1)</f>
        <v>1</v>
      </c>
      <c r="CE353">
        <f>HYPERLINK("http://exon.niaid.nih.gov/transcriptome/Anopheles_sialome/links/cluster-b/anopheline-sialome-cds-pep-larger-orf70-50SimCLTL1.txt", 30)</f>
        <v>30</v>
      </c>
      <c r="CF353">
        <f>HYPERLINK("http://exon.niaid.nih.gov/transcriptome/Anopheles_sialome/links/cluster-b/anopheline-sialome-cds-pep-larger-orf75-50SimCLU1.txt", 1)</f>
        <v>1</v>
      </c>
      <c r="CG353">
        <f>HYPERLINK("http://exon.niaid.nih.gov/transcriptome/Anopheles_sialome/links/cluster-b/anopheline-sialome-cds-pep-larger-orf75-50SimCLTL1.txt", 30)</f>
        <v>30</v>
      </c>
      <c r="CH353">
        <f>HYPERLINK("http://exon.niaid.nih.gov/transcriptome/Anopheles_sialome/links/cluster-b/anopheline-sialome-cds-pep-larger-orf80-50SimCLU1.txt", 1)</f>
        <v>1</v>
      </c>
      <c r="CI353">
        <f>HYPERLINK("http://exon.niaid.nih.gov/transcriptome/Anopheles_sialome/links/cluster-b/anopheline-sialome-cds-pep-larger-orf80-50SimCLTL1.txt", 30)</f>
        <v>30</v>
      </c>
      <c r="CJ353">
        <f>HYPERLINK("http://exon.niaid.nih.gov/transcriptome/Anopheles_sialome/links/cluster-b/anopheline-sialome-cds-pep-larger-orf85-50SimCLU9.txt", 9)</f>
        <v>9</v>
      </c>
      <c r="CK353">
        <f>HYPERLINK("http://exon.niaid.nih.gov/transcriptome/Anopheles_sialome/links/cluster-b/anopheline-sialome-cds-pep-larger-orf85-50SimCLTL9.txt", 14)</f>
        <v>14</v>
      </c>
      <c r="CL353">
        <f>HYPERLINK("http://exon.niaid.nih.gov/transcriptome/Anopheles_sialome/links/cluster-b/anopheline-sialome-cds-pep-larger-orf90-50SimCLU4.txt", 4)</f>
        <v>4</v>
      </c>
      <c r="CM353">
        <f>HYPERLINK("http://exon.niaid.nih.gov/transcriptome/Anopheles_sialome/links/cluster-b/anopheline-sialome-cds-pep-larger-orf90-50SimCLTL4.txt", 14)</f>
        <v>14</v>
      </c>
      <c r="CN353">
        <v>170</v>
      </c>
      <c r="CO353">
        <v>1</v>
      </c>
    </row>
    <row r="354" spans="1:93">
      <c r="A354" s="6" t="s">
        <v>3202</v>
      </c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</row>
    <row r="355" spans="1:93">
      <c r="A355" s="2" t="str">
        <f>HYPERLINK("http://exon.niaid.nih.gov/transcriptome/Anopheles_sialome/links/cds/anoatro_D7r2_D7r3-cds.txt","anoatro_D7r2/D7r3")</f>
        <v>anoatro_D7r2/D7r3</v>
      </c>
      <c r="B355">
        <v>510</v>
      </c>
      <c r="C355" t="s">
        <v>167</v>
      </c>
      <c r="D355" t="s">
        <v>4</v>
      </c>
      <c r="E355" t="s">
        <v>5</v>
      </c>
      <c r="F355" t="s">
        <v>1</v>
      </c>
      <c r="G355" t="str">
        <f>HYPERLINK("http://exon.niaid.nih.gov/transcriptome/Anopheles_sialome/links/pep/anoatro_D7r2_D7r3-pep.txt","anoatro_D7r2/D7r3")</f>
        <v>anoatro_D7r2/D7r3</v>
      </c>
      <c r="H355">
        <v>169</v>
      </c>
      <c r="I355">
        <v>0</v>
      </c>
      <c r="J355" s="3" t="str">
        <f>HYPERLINK("http://exon.niaid.nih.gov/transcriptome/Anopheles_sialome/links/Sigp/anoatro_D7r2/D7r3-SigP.txt","SIG")</f>
        <v>SIG</v>
      </c>
      <c r="K355" t="s">
        <v>689</v>
      </c>
      <c r="L355">
        <v>18.635999999999999</v>
      </c>
      <c r="M355">
        <v>5.76</v>
      </c>
      <c r="N355">
        <v>16.276</v>
      </c>
      <c r="O355">
        <v>5.26</v>
      </c>
      <c r="P355" t="s">
        <v>1050</v>
      </c>
      <c r="Q355" s="3">
        <v>0</v>
      </c>
      <c r="R355" t="s">
        <v>128</v>
      </c>
      <c r="S355" t="s">
        <v>128</v>
      </c>
      <c r="T355" t="s">
        <v>128</v>
      </c>
      <c r="U355" t="s">
        <v>128</v>
      </c>
      <c r="V355" t="s">
        <v>128</v>
      </c>
      <c r="W355" s="3" t="s">
        <v>128</v>
      </c>
      <c r="X355" t="s">
        <v>128</v>
      </c>
      <c r="Y355" t="s">
        <v>128</v>
      </c>
      <c r="Z355" t="s">
        <v>128</v>
      </c>
      <c r="AA355" t="s">
        <v>128</v>
      </c>
      <c r="AB355" t="s">
        <v>128</v>
      </c>
      <c r="AC355" s="2" t="str">
        <f>HYPERLINK("http://exon.niaid.nih.gov/transcriptome/Anopheles_sialome/links/DIPTERA/anoatro_D7r2_D7r3-DIPTERA.txt","D7-related 3.2 protein")</f>
        <v>D7-related 3.2 protein</v>
      </c>
      <c r="AD355" t="str">
        <f>HYPERLINK("http://www.ncbi.nlm.nih.gov/sutils/blink.cgi?pid=668454398","1E-078")</f>
        <v>1E-078</v>
      </c>
      <c r="AE355" t="str">
        <f>HYPERLINK("http://www.ncbi.nlm.nih.gov/protein/668454398","gi|668454398")</f>
        <v>gi|668454398</v>
      </c>
      <c r="AF355">
        <v>84</v>
      </c>
      <c r="AG355">
        <v>91</v>
      </c>
      <c r="AH355">
        <v>100</v>
      </c>
      <c r="AI355" t="s">
        <v>2277</v>
      </c>
      <c r="AJ355" s="2" t="str">
        <f>HYPERLINK("http://exon.niaid.nih.gov/transcriptome/Anopheles_sialome/links/CULICOMORPHA/anoatro_D7r2_D7r3-CULICOMORPHA.txt","D7-related 3.2 protein")</f>
        <v>D7-related 3.2 protein</v>
      </c>
      <c r="AK355" t="str">
        <f>HYPERLINK("http://www.ncbi.nlm.nih.gov/sutils/blink.cgi?pid=668454398","2E-079")</f>
        <v>2E-079</v>
      </c>
      <c r="AL355" t="str">
        <f>HYPERLINK("http://www.ncbi.nlm.nih.gov/protein/668454398","gi|668454398")</f>
        <v>gi|668454398</v>
      </c>
      <c r="AM355">
        <v>84</v>
      </c>
      <c r="AN355">
        <v>91</v>
      </c>
      <c r="AO355">
        <v>100</v>
      </c>
      <c r="AP355" t="s">
        <v>2277</v>
      </c>
      <c r="AQ355" s="2" t="str">
        <f>HYPERLINK("http://exon.niaid.nih.gov/transcriptome/Anopheles_sialome/links/NR-LIGHT/anoatro_D7r2_D7r3-NR-LIGHT.txt","D7-related 3.2 protein")</f>
        <v>D7-related 3.2 protein</v>
      </c>
      <c r="AR355" t="str">
        <f>HYPERLINK("http://www.ncbi.nlm.nih.gov/sutils/blink.cgi?pid=668454398","2E-078")</f>
        <v>2E-078</v>
      </c>
      <c r="AS355" t="str">
        <f>HYPERLINK("http://www.ncbi.nlm.nih.gov/protein/668454398","gi|668454398")</f>
        <v>gi|668454398</v>
      </c>
      <c r="AT355">
        <v>84</v>
      </c>
      <c r="AU355">
        <v>91</v>
      </c>
      <c r="AV355">
        <v>100</v>
      </c>
      <c r="AW355" t="s">
        <v>2277</v>
      </c>
      <c r="AX355" s="2" t="str">
        <f>HYPERLINK("http://exon.niaid.nih.gov/transcriptome/Anopheles_sialome/links/CDD/anoatro_D7r2_D7r3-CDD.txt","PBP_GOBP")</f>
        <v>PBP_GOBP</v>
      </c>
      <c r="AY355" t="str">
        <f>HYPERLINK("http://www.ncbi.nlm.nih.gov/Structure/cdd/cddsrv.cgi?uid=pfam01395&amp;version=v4.0","5E-011")</f>
        <v>5E-011</v>
      </c>
      <c r="AZ355" t="s">
        <v>2496</v>
      </c>
      <c r="BA355" s="2" t="str">
        <f>HYPERLINK("http://exon.niaid.nih.gov/transcriptome/Anopheles_sialome/links/KOG/anoatro_D7r2_D7r3-KOG.txt","Vesicle coat complex COPII, subunit SEC31")</f>
        <v>Vesicle coat complex COPII, subunit SEC31</v>
      </c>
      <c r="BB355" t="str">
        <f>HYPERLINK("http://www.ncbi.nlm.nih.gov/Structure/cdd/cddsrv.cgi?uid=KOG0307","0.096")</f>
        <v>0.096</v>
      </c>
      <c r="BC355" t="s">
        <v>2487</v>
      </c>
      <c r="BD355" t="str">
        <f>HYPERLINK("http://exon.niaid.nih.gov/transcriptome/Anopheles_sialome/links/KOG/anoatro_D7r2_D7r3-KOG.txt","KOG0307")</f>
        <v>KOG0307</v>
      </c>
      <c r="BE355" t="str">
        <f>HYPERLINK("http://exon.niaid.nih.gov/transcriptome/Anopheles_sialome/links/PFAM/anoatro_D7r2_D7r3-PFAM.txt","PBP_GOBP")</f>
        <v>PBP_GOBP</v>
      </c>
      <c r="BF355" t="str">
        <f>HYPERLINK("http://pfam.sanger.ac.uk/family?acc=PF01395","1E-011")</f>
        <v>1E-011</v>
      </c>
      <c r="BG355" s="2" t="str">
        <f>HYPERLINK("http://exon.niaid.nih.gov/transcriptome/Anopheles_sialome/links/SMART/anoatro_D7r2_D7r3-SMART.txt","PhBP")</f>
        <v>PhBP</v>
      </c>
      <c r="BH355" t="str">
        <f>HYPERLINK("http://smart.embl-heidelberg.de/smart/do_annotation.pl?DOMAIN=PhBP&amp;BLAST=DUMMY","4E-010")</f>
        <v>4E-010</v>
      </c>
      <c r="BI355" t="s">
        <v>128</v>
      </c>
      <c r="BJ355" s="2" t="s">
        <v>128</v>
      </c>
      <c r="BK355" t="s">
        <v>1049</v>
      </c>
      <c r="BL355">
        <f>HYPERLINK("http://exon.niaid.nih.gov/transcriptome/Anopheles_sialome/links/cluster-b/anopheline-sialome-cds-pep-larger-orf25-50SimCLU2.txt", 2)</f>
        <v>2</v>
      </c>
      <c r="BM355">
        <f>HYPERLINK("http://exon.niaid.nih.gov/transcriptome/Anopheles_sialome/links/cluster-b/anopheline-sialome-cds-pep-larger-orf25-50SimCLTL2.txt", 120)</f>
        <v>120</v>
      </c>
      <c r="BN355">
        <f>HYPERLINK("http://exon.niaid.nih.gov/transcriptome/Anopheles_sialome/links/cluster-b/anopheline-sialome-cds-pep-larger-orf30-50SimCLU2.txt", 2)</f>
        <v>2</v>
      </c>
      <c r="BO355">
        <f>HYPERLINK("http://exon.niaid.nih.gov/transcriptome/Anopheles_sialome/links/cluster-b/anopheline-sialome-cds-pep-larger-orf30-50SimCLTL2.txt", 120)</f>
        <v>120</v>
      </c>
      <c r="BP355">
        <f>HYPERLINK("http://exon.niaid.nih.gov/transcriptome/Anopheles_sialome/links/cluster-b/anopheline-sialome-cds-pep-larger-orf35-50SimCLU1.txt", 1)</f>
        <v>1</v>
      </c>
      <c r="BQ355">
        <f>HYPERLINK("http://exon.niaid.nih.gov/transcriptome/Anopheles_sialome/links/cluster-b/anopheline-sialome-cds-pep-larger-orf35-50SimCLTL1.txt", 120)</f>
        <v>120</v>
      </c>
      <c r="BR355">
        <f>HYPERLINK("http://exon.niaid.nih.gov/transcriptome/Anopheles_sialome/links/cluster-b/anopheline-sialome-cds-pep-larger-orf40-50SimCLU2.txt", 2)</f>
        <v>2</v>
      </c>
      <c r="BS355">
        <f>HYPERLINK("http://exon.niaid.nih.gov/transcriptome/Anopheles_sialome/links/cluster-b/anopheline-sialome-cds-pep-larger-orf40-50SimCLTL2.txt", 83)</f>
        <v>83</v>
      </c>
      <c r="BT355">
        <f>HYPERLINK("http://exon.niaid.nih.gov/transcriptome/Anopheles_sialome/links/cluster-b/anopheline-sialome-cds-pep-larger-orf45-50SimCLU1.txt", 1)</f>
        <v>1</v>
      </c>
      <c r="BU355">
        <f>HYPERLINK("http://exon.niaid.nih.gov/transcriptome/Anopheles_sialome/links/cluster-b/anopheline-sialome-cds-pep-larger-orf45-50SimCLTL1.txt", 83)</f>
        <v>83</v>
      </c>
      <c r="BV355">
        <f>HYPERLINK("http://exon.niaid.nih.gov/transcriptome/Anopheles_sialome/links/cluster-b/anopheline-sialome-cds-pep-larger-orf50-50SimCLU1.txt", 1)</f>
        <v>1</v>
      </c>
      <c r="BW355">
        <f>HYPERLINK("http://exon.niaid.nih.gov/transcriptome/Anopheles_sialome/links/cluster-b/anopheline-sialome-cds-pep-larger-orf50-50SimCLTL1.txt", 83)</f>
        <v>83</v>
      </c>
      <c r="BX355">
        <f>HYPERLINK("http://exon.niaid.nih.gov/transcriptome/Anopheles_sialome/links/cluster-b/anopheline-sialome-cds-pep-larger-orf55-50SimCLU1.txt", 1)</f>
        <v>1</v>
      </c>
      <c r="BY355">
        <f>HYPERLINK("http://exon.niaid.nih.gov/transcriptome/Anopheles_sialome/links/cluster-b/anopheline-sialome-cds-pep-larger-orf55-50SimCLTL1.txt", 79)</f>
        <v>79</v>
      </c>
      <c r="BZ355">
        <f>HYPERLINK("http://exon.niaid.nih.gov/transcriptome/Anopheles_sialome/links/cluster-b/anopheline-sialome-cds-pep-larger-orf60-50SimCLU1.txt", 1)</f>
        <v>1</v>
      </c>
      <c r="CA355">
        <f>HYPERLINK("http://exon.niaid.nih.gov/transcriptome/Anopheles_sialome/links/cluster-b/anopheline-sialome-cds-pep-larger-orf60-50SimCLTL1.txt", 60)</f>
        <v>60</v>
      </c>
      <c r="CB355">
        <f>HYPERLINK("http://exon.niaid.nih.gov/transcriptome/Anopheles_sialome/links/cluster-b/anopheline-sialome-cds-pep-larger-orf65-50SimCLU1.txt", 1)</f>
        <v>1</v>
      </c>
      <c r="CC355">
        <f>HYPERLINK("http://exon.niaid.nih.gov/transcriptome/Anopheles_sialome/links/cluster-b/anopheline-sialome-cds-pep-larger-orf65-50SimCLTL1.txt", 60)</f>
        <v>60</v>
      </c>
      <c r="CD355">
        <f>HYPERLINK("http://exon.niaid.nih.gov/transcriptome/Anopheles_sialome/links/cluster-b/anopheline-sialome-cds-pep-larger-orf70-50SimCLU1.txt", 1)</f>
        <v>1</v>
      </c>
      <c r="CE355">
        <f>HYPERLINK("http://exon.niaid.nih.gov/transcriptome/Anopheles_sialome/links/cluster-b/anopheline-sialome-cds-pep-larger-orf70-50SimCLTL1.txt", 30)</f>
        <v>30</v>
      </c>
      <c r="CF355">
        <f>HYPERLINK("http://exon.niaid.nih.gov/transcriptome/Anopheles_sialome/links/cluster-b/anopheline-sialome-cds-pep-larger-orf75-50SimCLU1.txt", 1)</f>
        <v>1</v>
      </c>
      <c r="CG355">
        <f>HYPERLINK("http://exon.niaid.nih.gov/transcriptome/Anopheles_sialome/links/cluster-b/anopheline-sialome-cds-pep-larger-orf75-50SimCLTL1.txt", 30)</f>
        <v>30</v>
      </c>
      <c r="CH355">
        <f>HYPERLINK("http://exon.niaid.nih.gov/transcriptome/Anopheles_sialome/links/cluster-b/anopheline-sialome-cds-pep-larger-orf80-50SimCLU1.txt", 1)</f>
        <v>1</v>
      </c>
      <c r="CI355">
        <f>HYPERLINK("http://exon.niaid.nih.gov/transcriptome/Anopheles_sialome/links/cluster-b/anopheline-sialome-cds-pep-larger-orf80-50SimCLTL1.txt", 30)</f>
        <v>30</v>
      </c>
      <c r="CJ355">
        <f>HYPERLINK("http://exon.niaid.nih.gov/transcriptome/Anopheles_sialome/links/cluster-b/anopheline-sialome-cds-pep-larger-orf85-50SimCLU70.txt", 70)</f>
        <v>70</v>
      </c>
      <c r="CK355">
        <f>HYPERLINK("http://exon.niaid.nih.gov/transcriptome/Anopheles_sialome/links/cluster-b/anopheline-sialome-cds-pep-larger-orf85-50SimCLTL70.txt", 2)</f>
        <v>2</v>
      </c>
      <c r="CL355">
        <f>HYPERLINK("http://exon.niaid.nih.gov/transcriptome/Anopheles_sialome/links/cluster-b/anopheline-sialome-cds-pep-larger-orf90-50SimCLU67.txt", 67)</f>
        <v>67</v>
      </c>
      <c r="CM355">
        <f>HYPERLINK("http://exon.niaid.nih.gov/transcriptome/Anopheles_sialome/links/cluster-b/anopheline-sialome-cds-pep-larger-orf90-50SimCLTL67.txt", 2)</f>
        <v>2</v>
      </c>
      <c r="CN355">
        <v>171</v>
      </c>
      <c r="CO355">
        <v>1</v>
      </c>
    </row>
    <row r="356" spans="1:93">
      <c r="A356" s="2" t="str">
        <f>HYPERLINK("http://exon.niaid.nih.gov/transcriptome/Anopheles_sialome/links/cds/anoalb_D7r2_D7r3-cds.txt","anoalb_D7r2/D7r3")</f>
        <v>anoalb_D7r2/D7r3</v>
      </c>
      <c r="B356">
        <v>510</v>
      </c>
      <c r="C356" t="s">
        <v>168</v>
      </c>
      <c r="D356" t="s">
        <v>7</v>
      </c>
      <c r="E356" t="s">
        <v>5</v>
      </c>
      <c r="F356" t="s">
        <v>1</v>
      </c>
      <c r="G356" t="str">
        <f>HYPERLINK("http://exon.niaid.nih.gov/transcriptome/Anopheles_sialome/links/pep/anoalb_D7r2_D7r3-pep.txt","anoalb_D7r2/D7r3")</f>
        <v>anoalb_D7r2/D7r3</v>
      </c>
      <c r="H356">
        <v>169</v>
      </c>
      <c r="I356">
        <v>0</v>
      </c>
      <c r="J356" s="3" t="str">
        <f>HYPERLINK("http://exon.niaid.nih.gov/transcriptome/Anopheles_sialome/links/Sigp/anoalb_D7r2/D7r3-SigP.txt","SIG")</f>
        <v>SIG</v>
      </c>
      <c r="K356" t="s">
        <v>689</v>
      </c>
      <c r="L356">
        <v>18.844999999999999</v>
      </c>
      <c r="M356">
        <v>5.77</v>
      </c>
      <c r="N356">
        <v>16.475000000000001</v>
      </c>
      <c r="O356">
        <v>5.5</v>
      </c>
      <c r="P356" t="s">
        <v>1052</v>
      </c>
      <c r="Q356" s="3">
        <v>0</v>
      </c>
      <c r="R356" t="s">
        <v>128</v>
      </c>
      <c r="S356" t="s">
        <v>128</v>
      </c>
      <c r="T356" t="s">
        <v>128</v>
      </c>
      <c r="U356" t="s">
        <v>128</v>
      </c>
      <c r="V356" t="s">
        <v>128</v>
      </c>
      <c r="W356" s="3" t="s">
        <v>128</v>
      </c>
      <c r="X356" t="s">
        <v>128</v>
      </c>
      <c r="Y356" t="s">
        <v>128</v>
      </c>
      <c r="Z356" t="s">
        <v>128</v>
      </c>
      <c r="AA356" t="s">
        <v>128</v>
      </c>
      <c r="AB356" t="s">
        <v>128</v>
      </c>
      <c r="AC356" s="2" t="str">
        <f>HYPERLINK("http://exon.niaid.nih.gov/transcriptome/Anopheles_sialome/links/DIPTERA/anoalb_D7r2_D7r3-DIPTERA.txt","putative pbp/gobp family, partial")</f>
        <v>putative pbp/gobp family, partial</v>
      </c>
      <c r="AD356" t="str">
        <f>HYPERLINK("http://www.ncbi.nlm.nih.gov/sutils/blink.cgi?pid=524946851","1E-084")</f>
        <v>1E-084</v>
      </c>
      <c r="AE356" t="str">
        <f>HYPERLINK("http://www.ncbi.nlm.nih.gov/protein/524946851","gi|524946851")</f>
        <v>gi|524946851</v>
      </c>
      <c r="AF356">
        <v>91</v>
      </c>
      <c r="AG356">
        <v>94</v>
      </c>
      <c r="AH356">
        <v>99</v>
      </c>
      <c r="AI356" t="s">
        <v>2477</v>
      </c>
      <c r="AJ356" s="2" t="str">
        <f>HYPERLINK("http://exon.niaid.nih.gov/transcriptome/Anopheles_sialome/links/CULICOMORPHA/anoalb_D7r2_D7r3-CULICOMORPHA.txt","putative pbp/gobp family, partial")</f>
        <v>putative pbp/gobp family, partial</v>
      </c>
      <c r="AK356" t="str">
        <f>HYPERLINK("http://www.ncbi.nlm.nih.gov/sutils/blink.cgi?pid=524946851","2E-085")</f>
        <v>2E-085</v>
      </c>
      <c r="AL356" t="str">
        <f>HYPERLINK("http://www.ncbi.nlm.nih.gov/protein/524946851","gi|524946851")</f>
        <v>gi|524946851</v>
      </c>
      <c r="AM356">
        <v>91</v>
      </c>
      <c r="AN356">
        <v>94</v>
      </c>
      <c r="AO356">
        <v>99</v>
      </c>
      <c r="AP356" t="s">
        <v>2477</v>
      </c>
      <c r="AQ356" s="2" t="str">
        <f>HYPERLINK("http://exon.niaid.nih.gov/transcriptome/Anopheles_sialome/links/NR-LIGHT/anoalb_D7r2_D7r3-NR-LIGHT.txt","D7-related 3.2 protein")</f>
        <v>D7-related 3.2 protein</v>
      </c>
      <c r="AR356" t="str">
        <f>HYPERLINK("http://www.ncbi.nlm.nih.gov/sutils/blink.cgi?pid=16798386","8E-082")</f>
        <v>8E-082</v>
      </c>
      <c r="AS356" t="str">
        <f>HYPERLINK("http://www.ncbi.nlm.nih.gov/protein/16798386","gi|16798386")</f>
        <v>gi|16798386</v>
      </c>
      <c r="AT356">
        <v>89</v>
      </c>
      <c r="AU356">
        <v>92</v>
      </c>
      <c r="AV356">
        <v>99</v>
      </c>
      <c r="AW356" t="s">
        <v>2283</v>
      </c>
      <c r="AX356" s="2" t="str">
        <f>HYPERLINK("http://exon.niaid.nih.gov/transcriptome/Anopheles_sialome/links/CDD/anoalb_D7r2_D7r3-CDD.txt","PBP_GOBP")</f>
        <v>PBP_GOBP</v>
      </c>
      <c r="AY356" t="str">
        <f>HYPERLINK("http://www.ncbi.nlm.nih.gov/Structure/cdd/cddsrv.cgi?uid=pfam01395&amp;version=v4.0","4E-011")</f>
        <v>4E-011</v>
      </c>
      <c r="AZ356" t="s">
        <v>2497</v>
      </c>
      <c r="BA356" s="2" t="str">
        <f>HYPERLINK("http://exon.niaid.nih.gov/transcriptome/Anopheles_sialome/links/KOG/anoalb_D7r2_D7r3-KOG.txt","Predicted DNA-binding protein")</f>
        <v>Predicted DNA-binding protein</v>
      </c>
      <c r="BB356" t="str">
        <f>HYPERLINK("http://www.ncbi.nlm.nih.gov/Structure/cdd/cddsrv.cgi?uid=KOG2588","0.24")</f>
        <v>0.24</v>
      </c>
      <c r="BC356" t="s">
        <v>2262</v>
      </c>
      <c r="BD356" t="str">
        <f>HYPERLINK("http://exon.niaid.nih.gov/transcriptome/Anopheles_sialome/links/KOG/anoalb_D7r2_D7r3-KOG.txt","KOG2588")</f>
        <v>KOG2588</v>
      </c>
      <c r="BE356" t="str">
        <f>HYPERLINK("http://exon.niaid.nih.gov/transcriptome/Anopheles_sialome/links/PFAM/anoalb_D7r2_D7r3-PFAM.txt","PBP_GOBP")</f>
        <v>PBP_GOBP</v>
      </c>
      <c r="BF356" t="str">
        <f>HYPERLINK("http://pfam.sanger.ac.uk/family?acc=PF01395","8E-012")</f>
        <v>8E-012</v>
      </c>
      <c r="BG356" s="2" t="str">
        <f>HYPERLINK("http://exon.niaid.nih.gov/transcriptome/Anopheles_sialome/links/SMART/anoalb_D7r2_D7r3-SMART.txt","PhBP")</f>
        <v>PhBP</v>
      </c>
      <c r="BH356" t="str">
        <f>HYPERLINK("http://smart.embl-heidelberg.de/smart/do_annotation.pl?DOMAIN=PhBP&amp;BLAST=DUMMY","8E-011")</f>
        <v>8E-011</v>
      </c>
      <c r="BI356" t="s">
        <v>128</v>
      </c>
      <c r="BJ356" s="2" t="s">
        <v>128</v>
      </c>
      <c r="BK356" t="s">
        <v>1051</v>
      </c>
      <c r="BL356">
        <f>HYPERLINK("http://exon.niaid.nih.gov/transcriptome/Anopheles_sialome/links/cluster-b/anopheline-sialome-cds-pep-larger-orf25-50SimCLU2.txt", 2)</f>
        <v>2</v>
      </c>
      <c r="BM356">
        <f>HYPERLINK("http://exon.niaid.nih.gov/transcriptome/Anopheles_sialome/links/cluster-b/anopheline-sialome-cds-pep-larger-orf25-50SimCLTL2.txt", 120)</f>
        <v>120</v>
      </c>
      <c r="BN356">
        <f>HYPERLINK("http://exon.niaid.nih.gov/transcriptome/Anopheles_sialome/links/cluster-b/anopheline-sialome-cds-pep-larger-orf30-50SimCLU2.txt", 2)</f>
        <v>2</v>
      </c>
      <c r="BO356">
        <f>HYPERLINK("http://exon.niaid.nih.gov/transcriptome/Anopheles_sialome/links/cluster-b/anopheline-sialome-cds-pep-larger-orf30-50SimCLTL2.txt", 120)</f>
        <v>120</v>
      </c>
      <c r="BP356">
        <f>HYPERLINK("http://exon.niaid.nih.gov/transcriptome/Anopheles_sialome/links/cluster-b/anopheline-sialome-cds-pep-larger-orf35-50SimCLU1.txt", 1)</f>
        <v>1</v>
      </c>
      <c r="BQ356">
        <f>HYPERLINK("http://exon.niaid.nih.gov/transcriptome/Anopheles_sialome/links/cluster-b/anopheline-sialome-cds-pep-larger-orf35-50SimCLTL1.txt", 120)</f>
        <v>120</v>
      </c>
      <c r="BR356">
        <f>HYPERLINK("http://exon.niaid.nih.gov/transcriptome/Anopheles_sialome/links/cluster-b/anopheline-sialome-cds-pep-larger-orf40-50SimCLU2.txt", 2)</f>
        <v>2</v>
      </c>
      <c r="BS356">
        <f>HYPERLINK("http://exon.niaid.nih.gov/transcriptome/Anopheles_sialome/links/cluster-b/anopheline-sialome-cds-pep-larger-orf40-50SimCLTL2.txt", 83)</f>
        <v>83</v>
      </c>
      <c r="BT356">
        <f>HYPERLINK("http://exon.niaid.nih.gov/transcriptome/Anopheles_sialome/links/cluster-b/anopheline-sialome-cds-pep-larger-orf45-50SimCLU1.txt", 1)</f>
        <v>1</v>
      </c>
      <c r="BU356">
        <f>HYPERLINK("http://exon.niaid.nih.gov/transcriptome/Anopheles_sialome/links/cluster-b/anopheline-sialome-cds-pep-larger-orf45-50SimCLTL1.txt", 83)</f>
        <v>83</v>
      </c>
      <c r="BV356">
        <f>HYPERLINK("http://exon.niaid.nih.gov/transcriptome/Anopheles_sialome/links/cluster-b/anopheline-sialome-cds-pep-larger-orf50-50SimCLU1.txt", 1)</f>
        <v>1</v>
      </c>
      <c r="BW356">
        <f>HYPERLINK("http://exon.niaid.nih.gov/transcriptome/Anopheles_sialome/links/cluster-b/anopheline-sialome-cds-pep-larger-orf50-50SimCLTL1.txt", 83)</f>
        <v>83</v>
      </c>
      <c r="BX356">
        <f>HYPERLINK("http://exon.niaid.nih.gov/transcriptome/Anopheles_sialome/links/cluster-b/anopheline-sialome-cds-pep-larger-orf55-50SimCLU1.txt", 1)</f>
        <v>1</v>
      </c>
      <c r="BY356">
        <f>HYPERLINK("http://exon.niaid.nih.gov/transcriptome/Anopheles_sialome/links/cluster-b/anopheline-sialome-cds-pep-larger-orf55-50SimCLTL1.txt", 79)</f>
        <v>79</v>
      </c>
      <c r="BZ356">
        <f>HYPERLINK("http://exon.niaid.nih.gov/transcriptome/Anopheles_sialome/links/cluster-b/anopheline-sialome-cds-pep-larger-orf60-50SimCLU1.txt", 1)</f>
        <v>1</v>
      </c>
      <c r="CA356">
        <f>HYPERLINK("http://exon.niaid.nih.gov/transcriptome/Anopheles_sialome/links/cluster-b/anopheline-sialome-cds-pep-larger-orf60-50SimCLTL1.txt", 60)</f>
        <v>60</v>
      </c>
      <c r="CB356">
        <f>HYPERLINK("http://exon.niaid.nih.gov/transcriptome/Anopheles_sialome/links/cluster-b/anopheline-sialome-cds-pep-larger-orf65-50SimCLU1.txt", 1)</f>
        <v>1</v>
      </c>
      <c r="CC356">
        <f>HYPERLINK("http://exon.niaid.nih.gov/transcriptome/Anopheles_sialome/links/cluster-b/anopheline-sialome-cds-pep-larger-orf65-50SimCLTL1.txt", 60)</f>
        <v>60</v>
      </c>
      <c r="CD356">
        <f>HYPERLINK("http://exon.niaid.nih.gov/transcriptome/Anopheles_sialome/links/cluster-b/anopheline-sialome-cds-pep-larger-orf70-50SimCLU1.txt", 1)</f>
        <v>1</v>
      </c>
      <c r="CE356">
        <f>HYPERLINK("http://exon.niaid.nih.gov/transcriptome/Anopheles_sialome/links/cluster-b/anopheline-sialome-cds-pep-larger-orf70-50SimCLTL1.txt", 30)</f>
        <v>30</v>
      </c>
      <c r="CF356">
        <f>HYPERLINK("http://exon.niaid.nih.gov/transcriptome/Anopheles_sialome/links/cluster-b/anopheline-sialome-cds-pep-larger-orf75-50SimCLU1.txt", 1)</f>
        <v>1</v>
      </c>
      <c r="CG356">
        <f>HYPERLINK("http://exon.niaid.nih.gov/transcriptome/Anopheles_sialome/links/cluster-b/anopheline-sialome-cds-pep-larger-orf75-50SimCLTL1.txt", 30)</f>
        <v>30</v>
      </c>
      <c r="CH356">
        <f>HYPERLINK("http://exon.niaid.nih.gov/transcriptome/Anopheles_sialome/links/cluster-b/anopheline-sialome-cds-pep-larger-orf80-50SimCLU1.txt", 1)</f>
        <v>1</v>
      </c>
      <c r="CI356">
        <f>HYPERLINK("http://exon.niaid.nih.gov/transcriptome/Anopheles_sialome/links/cluster-b/anopheline-sialome-cds-pep-larger-orf80-50SimCLTL1.txt", 30)</f>
        <v>30</v>
      </c>
      <c r="CJ356">
        <f>HYPERLINK("http://exon.niaid.nih.gov/transcriptome/Anopheles_sialome/links/cluster-b/anopheline-sialome-cds-pep-larger-orf85-50SimCLU71.txt", 71)</f>
        <v>71</v>
      </c>
      <c r="CK356">
        <f>HYPERLINK("http://exon.niaid.nih.gov/transcriptome/Anopheles_sialome/links/cluster-b/anopheline-sialome-cds-pep-larger-orf85-50SimCLTL71.txt", 2)</f>
        <v>2</v>
      </c>
      <c r="CL356">
        <f>HYPERLINK("http://exon.niaid.nih.gov/transcriptome/Anopheles_sialome/links/cluster-b/anopheline-sialome-cds-pep-larger-orf90-50SimCLU68.txt", 68)</f>
        <v>68</v>
      </c>
      <c r="CM356">
        <f>HYPERLINK("http://exon.niaid.nih.gov/transcriptome/Anopheles_sialome/links/cluster-b/anopheline-sialome-cds-pep-larger-orf90-50SimCLTL68.txt", 2)</f>
        <v>2</v>
      </c>
      <c r="CN356">
        <v>172</v>
      </c>
      <c r="CO356">
        <v>1</v>
      </c>
    </row>
    <row r="357" spans="1:93">
      <c r="A357" s="2" t="str">
        <f>HYPERLINK("http://exon.niaid.nih.gov/transcriptome/Anopheles_sialome/links/cds/anodar_D7r2_D7r3-cds.txt","anodar_D7r2/D7r3")</f>
        <v>anodar_D7r2/D7r3</v>
      </c>
      <c r="B357">
        <v>510</v>
      </c>
      <c r="C357" t="s">
        <v>169</v>
      </c>
      <c r="D357" t="s">
        <v>4</v>
      </c>
      <c r="E357" t="s">
        <v>5</v>
      </c>
      <c r="F357" t="s">
        <v>1</v>
      </c>
      <c r="G357" t="str">
        <f>HYPERLINK("http://exon.niaid.nih.gov/transcriptome/Anopheles_sialome/links/pep/anodar_D7r2_D7r3-pep.txt","anodar_D7r2/D7r3")</f>
        <v>anodar_D7r2/D7r3</v>
      </c>
      <c r="H357">
        <v>169</v>
      </c>
      <c r="I357">
        <v>0</v>
      </c>
      <c r="J357" s="3" t="str">
        <f>HYPERLINK("http://exon.niaid.nih.gov/transcriptome/Anopheles_sialome/links/Sigp/anodar_D7r2/D7r3-SigP.txt","SIG")</f>
        <v>SIG</v>
      </c>
      <c r="K357" t="s">
        <v>689</v>
      </c>
      <c r="L357">
        <v>19.007999999999999</v>
      </c>
      <c r="M357">
        <v>5.96</v>
      </c>
      <c r="N357">
        <v>16.524000000000001</v>
      </c>
      <c r="O357">
        <v>5.69</v>
      </c>
      <c r="P357" t="s">
        <v>1054</v>
      </c>
      <c r="Q357" s="3">
        <v>0</v>
      </c>
      <c r="R357" t="s">
        <v>128</v>
      </c>
      <c r="S357" t="s">
        <v>128</v>
      </c>
      <c r="T357" t="s">
        <v>128</v>
      </c>
      <c r="U357" t="s">
        <v>128</v>
      </c>
      <c r="V357" t="s">
        <v>128</v>
      </c>
      <c r="W357" s="3" t="s">
        <v>128</v>
      </c>
      <c r="X357" t="s">
        <v>128</v>
      </c>
      <c r="Y357" t="s">
        <v>128</v>
      </c>
      <c r="Z357" t="s">
        <v>128</v>
      </c>
      <c r="AA357" t="s">
        <v>128</v>
      </c>
      <c r="AB357" t="s">
        <v>128</v>
      </c>
      <c r="AC357" s="2" t="str">
        <f>HYPERLINK("http://exon.niaid.nih.gov/transcriptome/Anopheles_sialome/links/DIPTERA/anodar_D7r2_D7r3-DIPTERA.txt","hypothetical protein AND_010085")</f>
        <v>hypothetical protein AND_010085</v>
      </c>
      <c r="AD357" t="str">
        <f>HYPERLINK("http://www.ncbi.nlm.nih.gov/sutils/blink.cgi?pid=568248506","1E-094")</f>
        <v>1E-094</v>
      </c>
      <c r="AE357" t="str">
        <f>HYPERLINK("http://www.ncbi.nlm.nih.gov/protein/568248506","gi|568248506")</f>
        <v>gi|568248506</v>
      </c>
      <c r="AF357">
        <v>100</v>
      </c>
      <c r="AG357">
        <v>100</v>
      </c>
      <c r="AH357">
        <v>100</v>
      </c>
      <c r="AI357" t="s">
        <v>2283</v>
      </c>
      <c r="AJ357" s="2" t="str">
        <f>HYPERLINK("http://exon.niaid.nih.gov/transcriptome/Anopheles_sialome/links/CULICOMORPHA/anodar_D7r2_D7r3-CULICOMORPHA.txt","hypothetical protein AND_010085")</f>
        <v>hypothetical protein AND_010085</v>
      </c>
      <c r="AK357" t="str">
        <f>HYPERLINK("http://www.ncbi.nlm.nih.gov/sutils/blink.cgi?pid=568248506","3E-095")</f>
        <v>3E-095</v>
      </c>
      <c r="AL357" t="str">
        <f>HYPERLINK("http://www.ncbi.nlm.nih.gov/protein/568248506","gi|568248506")</f>
        <v>gi|568248506</v>
      </c>
      <c r="AM357">
        <v>100</v>
      </c>
      <c r="AN357">
        <v>100</v>
      </c>
      <c r="AO357">
        <v>100</v>
      </c>
      <c r="AP357" t="s">
        <v>2283</v>
      </c>
      <c r="AQ357" s="2" t="str">
        <f>HYPERLINK("http://exon.niaid.nih.gov/transcriptome/Anopheles_sialome/links/NR-LIGHT/anodar_D7r2_D7r3-NR-LIGHT.txt","hypothetical protein AND_010085")</f>
        <v>hypothetical protein AND_010085</v>
      </c>
      <c r="AR357" t="str">
        <f>HYPERLINK("http://www.ncbi.nlm.nih.gov/sutils/blink.cgi?pid=568248506","3E-094")</f>
        <v>3E-094</v>
      </c>
      <c r="AS357" t="str">
        <f>HYPERLINK("http://www.ncbi.nlm.nih.gov/protein/568248506","gi|568248506")</f>
        <v>gi|568248506</v>
      </c>
      <c r="AT357">
        <v>100</v>
      </c>
      <c r="AU357">
        <v>100</v>
      </c>
      <c r="AV357">
        <v>100</v>
      </c>
      <c r="AW357" t="s">
        <v>2283</v>
      </c>
      <c r="AX357" s="2" t="str">
        <f>HYPERLINK("http://exon.niaid.nih.gov/transcriptome/Anopheles_sialome/links/CDD/anodar_D7r2_D7r3-CDD.txt","PBP_GOBP")</f>
        <v>PBP_GOBP</v>
      </c>
      <c r="AY357" t="str">
        <f>HYPERLINK("http://www.ncbi.nlm.nih.gov/Structure/cdd/cddsrv.cgi?uid=pfam01395&amp;version=v4.0","2E-011")</f>
        <v>2E-011</v>
      </c>
      <c r="AZ357" t="s">
        <v>2498</v>
      </c>
      <c r="BA357" s="2" t="str">
        <f>HYPERLINK("http://exon.niaid.nih.gov/transcriptome/Anopheles_sialome/links/KOG/anodar_D7r2_D7r3-KOG.txt","Predicted DNA-binding protein")</f>
        <v>Predicted DNA-binding protein</v>
      </c>
      <c r="BB357" t="str">
        <f>HYPERLINK("http://www.ncbi.nlm.nih.gov/Structure/cdd/cddsrv.cgi?uid=KOG2588","0.43")</f>
        <v>0.43</v>
      </c>
      <c r="BC357" t="s">
        <v>2262</v>
      </c>
      <c r="BD357" t="str">
        <f>HYPERLINK("http://exon.niaid.nih.gov/transcriptome/Anopheles_sialome/links/KOG/anodar_D7r2_D7r3-KOG.txt","KOG2588")</f>
        <v>KOG2588</v>
      </c>
      <c r="BE357" t="str">
        <f>HYPERLINK("http://exon.niaid.nih.gov/transcriptome/Anopheles_sialome/links/PFAM/anodar_D7r2_D7r3-PFAM.txt","PBP_GOBP")</f>
        <v>PBP_GOBP</v>
      </c>
      <c r="BF357" t="str">
        <f>HYPERLINK("http://pfam.sanger.ac.uk/family?acc=PF01395","5E-012")</f>
        <v>5E-012</v>
      </c>
      <c r="BG357" s="2" t="str">
        <f>HYPERLINK("http://exon.niaid.nih.gov/transcriptome/Anopheles_sialome/links/SMART/anodar_D7r2_D7r3-SMART.txt","PhBP")</f>
        <v>PhBP</v>
      </c>
      <c r="BH357" t="str">
        <f>HYPERLINK("http://smart.embl-heidelberg.de/smart/do_annotation.pl?DOMAIN=PhBP&amp;BLAST=DUMMY","7E-010")</f>
        <v>7E-010</v>
      </c>
      <c r="BI357" t="s">
        <v>128</v>
      </c>
      <c r="BJ357" s="2" t="s">
        <v>128</v>
      </c>
      <c r="BK357" t="s">
        <v>1053</v>
      </c>
      <c r="BL357">
        <f>HYPERLINK("http://exon.niaid.nih.gov/transcriptome/Anopheles_sialome/links/cluster-b/anopheline-sialome-cds-pep-larger-orf25-50SimCLU2.txt", 2)</f>
        <v>2</v>
      </c>
      <c r="BM357">
        <f>HYPERLINK("http://exon.niaid.nih.gov/transcriptome/Anopheles_sialome/links/cluster-b/anopheline-sialome-cds-pep-larger-orf25-50SimCLTL2.txt", 120)</f>
        <v>120</v>
      </c>
      <c r="BN357">
        <f>HYPERLINK("http://exon.niaid.nih.gov/transcriptome/Anopheles_sialome/links/cluster-b/anopheline-sialome-cds-pep-larger-orf30-50SimCLU2.txt", 2)</f>
        <v>2</v>
      </c>
      <c r="BO357">
        <f>HYPERLINK("http://exon.niaid.nih.gov/transcriptome/Anopheles_sialome/links/cluster-b/anopheline-sialome-cds-pep-larger-orf30-50SimCLTL2.txt", 120)</f>
        <v>120</v>
      </c>
      <c r="BP357">
        <f>HYPERLINK("http://exon.niaid.nih.gov/transcriptome/Anopheles_sialome/links/cluster-b/anopheline-sialome-cds-pep-larger-orf35-50SimCLU1.txt", 1)</f>
        <v>1</v>
      </c>
      <c r="BQ357">
        <f>HYPERLINK("http://exon.niaid.nih.gov/transcriptome/Anopheles_sialome/links/cluster-b/anopheline-sialome-cds-pep-larger-orf35-50SimCLTL1.txt", 120)</f>
        <v>120</v>
      </c>
      <c r="BR357">
        <f>HYPERLINK("http://exon.niaid.nih.gov/transcriptome/Anopheles_sialome/links/cluster-b/anopheline-sialome-cds-pep-larger-orf40-50SimCLU2.txt", 2)</f>
        <v>2</v>
      </c>
      <c r="BS357">
        <f>HYPERLINK("http://exon.niaid.nih.gov/transcriptome/Anopheles_sialome/links/cluster-b/anopheline-sialome-cds-pep-larger-orf40-50SimCLTL2.txt", 83)</f>
        <v>83</v>
      </c>
      <c r="BT357">
        <f>HYPERLINK("http://exon.niaid.nih.gov/transcriptome/Anopheles_sialome/links/cluster-b/anopheline-sialome-cds-pep-larger-orf45-50SimCLU1.txt", 1)</f>
        <v>1</v>
      </c>
      <c r="BU357">
        <f>HYPERLINK("http://exon.niaid.nih.gov/transcriptome/Anopheles_sialome/links/cluster-b/anopheline-sialome-cds-pep-larger-orf45-50SimCLTL1.txt", 83)</f>
        <v>83</v>
      </c>
      <c r="BV357">
        <f>HYPERLINK("http://exon.niaid.nih.gov/transcriptome/Anopheles_sialome/links/cluster-b/anopheline-sialome-cds-pep-larger-orf50-50SimCLU1.txt", 1)</f>
        <v>1</v>
      </c>
      <c r="BW357">
        <f>HYPERLINK("http://exon.niaid.nih.gov/transcriptome/Anopheles_sialome/links/cluster-b/anopheline-sialome-cds-pep-larger-orf50-50SimCLTL1.txt", 83)</f>
        <v>83</v>
      </c>
      <c r="BX357">
        <f>HYPERLINK("http://exon.niaid.nih.gov/transcriptome/Anopheles_sialome/links/cluster-b/anopheline-sialome-cds-pep-larger-orf55-50SimCLU1.txt", 1)</f>
        <v>1</v>
      </c>
      <c r="BY357">
        <f>HYPERLINK("http://exon.niaid.nih.gov/transcriptome/Anopheles_sialome/links/cluster-b/anopheline-sialome-cds-pep-larger-orf55-50SimCLTL1.txt", 79)</f>
        <v>79</v>
      </c>
      <c r="BZ357">
        <f>HYPERLINK("http://exon.niaid.nih.gov/transcriptome/Anopheles_sialome/links/cluster-b/anopheline-sialome-cds-pep-larger-orf60-50SimCLU1.txt", 1)</f>
        <v>1</v>
      </c>
      <c r="CA357">
        <f>HYPERLINK("http://exon.niaid.nih.gov/transcriptome/Anopheles_sialome/links/cluster-b/anopheline-sialome-cds-pep-larger-orf60-50SimCLTL1.txt", 60)</f>
        <v>60</v>
      </c>
      <c r="CB357">
        <f>HYPERLINK("http://exon.niaid.nih.gov/transcriptome/Anopheles_sialome/links/cluster-b/anopheline-sialome-cds-pep-larger-orf65-50SimCLU1.txt", 1)</f>
        <v>1</v>
      </c>
      <c r="CC357">
        <f>HYPERLINK("http://exon.niaid.nih.gov/transcriptome/Anopheles_sialome/links/cluster-b/anopheline-sialome-cds-pep-larger-orf65-50SimCLTL1.txt", 60)</f>
        <v>60</v>
      </c>
      <c r="CD357">
        <f>HYPERLINK("http://exon.niaid.nih.gov/transcriptome/Anopheles_sialome/links/cluster-b/anopheline-sialome-cds-pep-larger-orf70-50SimCLU1.txt", 1)</f>
        <v>1</v>
      </c>
      <c r="CE357">
        <f>HYPERLINK("http://exon.niaid.nih.gov/transcriptome/Anopheles_sialome/links/cluster-b/anopheline-sialome-cds-pep-larger-orf70-50SimCLTL1.txt", 30)</f>
        <v>30</v>
      </c>
      <c r="CF357">
        <f>HYPERLINK("http://exon.niaid.nih.gov/transcriptome/Anopheles_sialome/links/cluster-b/anopheline-sialome-cds-pep-larger-orf75-50SimCLU1.txt", 1)</f>
        <v>1</v>
      </c>
      <c r="CG357">
        <f>HYPERLINK("http://exon.niaid.nih.gov/transcriptome/Anopheles_sialome/links/cluster-b/anopheline-sialome-cds-pep-larger-orf75-50SimCLTL1.txt", 30)</f>
        <v>30</v>
      </c>
      <c r="CH357">
        <f>HYPERLINK("http://exon.niaid.nih.gov/transcriptome/Anopheles_sialome/links/cluster-b/anopheline-sialome-cds-pep-larger-orf80-50SimCLU1.txt", 1)</f>
        <v>1</v>
      </c>
      <c r="CI357">
        <f>HYPERLINK("http://exon.niaid.nih.gov/transcriptome/Anopheles_sialome/links/cluster-b/anopheline-sialome-cds-pep-larger-orf80-50SimCLTL1.txt", 30)</f>
        <v>30</v>
      </c>
      <c r="CJ357">
        <f>HYPERLINK("http://exon.niaid.nih.gov/transcriptome/Anopheles_sialome/links/cluster-b/anopheline-sialome-cds-pep-larger-orf85-50SimCLU71.txt", 71)</f>
        <v>71</v>
      </c>
      <c r="CK357">
        <f>HYPERLINK("http://exon.niaid.nih.gov/transcriptome/Anopheles_sialome/links/cluster-b/anopheline-sialome-cds-pep-larger-orf85-50SimCLTL71.txt", 2)</f>
        <v>2</v>
      </c>
      <c r="CL357">
        <f>HYPERLINK("http://exon.niaid.nih.gov/transcriptome/Anopheles_sialome/links/cluster-b/anopheline-sialome-cds-pep-larger-orf90-50SimCLU68.txt", 68)</f>
        <v>68</v>
      </c>
      <c r="CM357">
        <f>HYPERLINK("http://exon.niaid.nih.gov/transcriptome/Anopheles_sialome/links/cluster-b/anopheline-sialome-cds-pep-larger-orf90-50SimCLTL68.txt", 2)</f>
        <v>2</v>
      </c>
      <c r="CN357">
        <v>173</v>
      </c>
      <c r="CO357">
        <v>1</v>
      </c>
    </row>
    <row r="358" spans="1:93">
      <c r="A358" s="6" t="s">
        <v>3203</v>
      </c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</row>
    <row r="359" spans="1:93">
      <c r="A359" s="2" t="str">
        <f>HYPERLINK("http://exon.niaid.nih.gov/transcriptome/Anopheles_sialome/links/cds/anoga_D7r3-cds.txt","anoga_D7r3")</f>
        <v>anoga_D7r3</v>
      </c>
      <c r="B359">
        <v>510</v>
      </c>
      <c r="C359" t="s">
        <v>170</v>
      </c>
      <c r="D359" t="s">
        <v>4</v>
      </c>
      <c r="E359" t="s">
        <v>5</v>
      </c>
      <c r="F359" t="s">
        <v>1</v>
      </c>
      <c r="G359" t="str">
        <f>HYPERLINK("http://exon.niaid.nih.gov/transcriptome/Anopheles_sialome/links/pep/anoga_D7r3-pep.txt","anoga_D7r3")</f>
        <v>anoga_D7r3</v>
      </c>
      <c r="H359">
        <v>169</v>
      </c>
      <c r="I359">
        <v>1</v>
      </c>
      <c r="J359" s="3" t="str">
        <f>HYPERLINK("http://exon.niaid.nih.gov/transcriptome/Anopheles_sialome/links/Sigp/anoga_D7r3-SigP.txt","SIG")</f>
        <v>SIG</v>
      </c>
      <c r="K359" t="s">
        <v>689</v>
      </c>
      <c r="L359">
        <v>18.652999999999999</v>
      </c>
      <c r="M359">
        <v>4.76</v>
      </c>
      <c r="N359">
        <v>16.361999999999998</v>
      </c>
      <c r="O359">
        <v>4.67</v>
      </c>
      <c r="P359" t="s">
        <v>1047</v>
      </c>
      <c r="Q359" s="3">
        <v>0</v>
      </c>
      <c r="R359" t="s">
        <v>128</v>
      </c>
      <c r="S359" t="s">
        <v>128</v>
      </c>
      <c r="T359" t="s">
        <v>128</v>
      </c>
      <c r="U359" t="s">
        <v>128</v>
      </c>
      <c r="V359" t="s">
        <v>128</v>
      </c>
      <c r="W359" s="3" t="str">
        <f>HYPERLINK("http://exon.niaid.nih.gov/transcriptome/Anopheles_sialome/links/netoglyc/anoga_D7r3-netoglyc.txt","0")</f>
        <v>0</v>
      </c>
      <c r="X359">
        <v>10.7</v>
      </c>
      <c r="Y359">
        <v>7.7</v>
      </c>
      <c r="Z359">
        <v>2.4</v>
      </c>
      <c r="AA359" t="s">
        <v>654</v>
      </c>
      <c r="AB359" t="s">
        <v>128</v>
      </c>
      <c r="AC359" s="2" t="str">
        <f>HYPERLINK("http://exon.niaid.nih.gov/transcriptome/Anopheles_sialome/links/DIPTERA/anoga_D7r3-DIPTERA.txt","AGAP008283-PA, partial")</f>
        <v>AGAP008283-PA, partial</v>
      </c>
      <c r="AD359" t="str">
        <f>HYPERLINK("http://www.ncbi.nlm.nih.gov/sutils/blink.cgi?pid=116123045","3E-094")</f>
        <v>3E-094</v>
      </c>
      <c r="AE359" t="str">
        <f>HYPERLINK("http://www.ncbi.nlm.nih.gov/protein/116123045","gi|116123045")</f>
        <v>gi|116123045</v>
      </c>
      <c r="AF359">
        <v>100</v>
      </c>
      <c r="AG359">
        <v>100</v>
      </c>
      <c r="AH359">
        <v>94</v>
      </c>
      <c r="AI359" t="s">
        <v>2285</v>
      </c>
      <c r="AJ359" s="2" t="str">
        <f>HYPERLINK("http://exon.niaid.nih.gov/transcriptome/Anopheles_sialome/links/CULICOMORPHA/anoga_D7r3-CULICOMORPHA.txt","AGAP008283-PA, partial")</f>
        <v>AGAP008283-PA, partial</v>
      </c>
      <c r="AK359" t="str">
        <f>HYPERLINK("http://www.ncbi.nlm.nih.gov/sutils/blink.cgi?pid=116123045","6E-095")</f>
        <v>6E-095</v>
      </c>
      <c r="AL359" t="str">
        <f>HYPERLINK("http://www.ncbi.nlm.nih.gov/protein/116123045","gi|116123045")</f>
        <v>gi|116123045</v>
      </c>
      <c r="AM359">
        <v>100</v>
      </c>
      <c r="AN359">
        <v>100</v>
      </c>
      <c r="AO359">
        <v>94</v>
      </c>
      <c r="AP359" t="s">
        <v>2285</v>
      </c>
      <c r="AQ359" s="2" t="str">
        <f>HYPERLINK("http://exon.niaid.nih.gov/transcriptome/Anopheles_sialome/links/NR-LIGHT/anoga_D7r3-NR-LIGHT.txt","AGAP008283-PA")</f>
        <v>AGAP008283-PA</v>
      </c>
      <c r="AR359" t="str">
        <f>HYPERLINK("http://www.ncbi.nlm.nih.gov/sutils/blink.cgi?pid=118789068","7E-094")</f>
        <v>7E-094</v>
      </c>
      <c r="AS359" t="str">
        <f>HYPERLINK("http://www.ncbi.nlm.nih.gov/protein/118789068","gi|118789068")</f>
        <v>gi|118789068</v>
      </c>
      <c r="AT359">
        <v>100</v>
      </c>
      <c r="AU359">
        <v>100</v>
      </c>
      <c r="AV359">
        <v>94</v>
      </c>
      <c r="AW359" t="s">
        <v>2285</v>
      </c>
      <c r="AX359" s="2" t="str">
        <f>HYPERLINK("http://exon.niaid.nih.gov/transcriptome/Anopheles_sialome/links/CDD/anoga_D7r3-CDD.txt","PhBP")</f>
        <v>PhBP</v>
      </c>
      <c r="AY359" t="str">
        <f>HYPERLINK("http://www.ncbi.nlm.nih.gov/Structure/cdd/cddsrv.cgi?uid=smart00708&amp;version=v4.0","1E-009")</f>
        <v>1E-009</v>
      </c>
      <c r="AZ359" t="s">
        <v>2499</v>
      </c>
      <c r="BA359" s="2" t="str">
        <f>HYPERLINK("http://exon.niaid.nih.gov/transcriptome/Anopheles_sialome/links/KOG/anoga_D7r3-KOG.txt","Elongation factor G")</f>
        <v>Elongation factor G</v>
      </c>
      <c r="BB359" t="str">
        <f>HYPERLINK("http://www.ncbi.nlm.nih.gov/Structure/cdd/cddsrv.cgi?uid=KOG0464","0.20")</f>
        <v>0.20</v>
      </c>
      <c r="BC359" t="s">
        <v>2260</v>
      </c>
      <c r="BD359" t="str">
        <f>HYPERLINK("http://exon.niaid.nih.gov/transcriptome/Anopheles_sialome/links/KOG/anoga_D7r3-KOG.txt","KOG0464")</f>
        <v>KOG0464</v>
      </c>
      <c r="BE359" t="str">
        <f>HYPERLINK("http://exon.niaid.nih.gov/transcriptome/Anopheles_sialome/links/PFAM/anoga_D7r3-PFAM.txt","PBP_GOBP")</f>
        <v>PBP_GOBP</v>
      </c>
      <c r="BF359" t="str">
        <f>HYPERLINK("http://pfam.sanger.ac.uk/family?acc=PF01395","2E-009")</f>
        <v>2E-009</v>
      </c>
      <c r="BG359" s="2" t="str">
        <f>HYPERLINK("http://exon.niaid.nih.gov/transcriptome/Anopheles_sialome/links/SMART/anoga_D7r3-SMART.txt","PhBP")</f>
        <v>PhBP</v>
      </c>
      <c r="BH359" t="str">
        <f>HYPERLINK("http://smart.embl-heidelberg.de/smart/do_annotation.pl?DOMAIN=PhBP&amp;BLAST=DUMMY","2E-011")</f>
        <v>2E-011</v>
      </c>
      <c r="BI359" t="s">
        <v>128</v>
      </c>
      <c r="BJ359" s="2" t="s">
        <v>128</v>
      </c>
      <c r="BK359" t="s">
        <v>1055</v>
      </c>
      <c r="BL359">
        <f>HYPERLINK("http://exon.niaid.nih.gov/transcriptome/Anopheles_sialome/links/cluster-b/anopheline-sialome-cds-pep-larger-orf25-50SimCLU2.txt", 2)</f>
        <v>2</v>
      </c>
      <c r="BM359">
        <f>HYPERLINK("http://exon.niaid.nih.gov/transcriptome/Anopheles_sialome/links/cluster-b/anopheline-sialome-cds-pep-larger-orf25-50SimCLTL2.txt", 120)</f>
        <v>120</v>
      </c>
      <c r="BN359">
        <f>HYPERLINK("http://exon.niaid.nih.gov/transcriptome/Anopheles_sialome/links/cluster-b/anopheline-sialome-cds-pep-larger-orf30-50SimCLU2.txt", 2)</f>
        <v>2</v>
      </c>
      <c r="BO359">
        <f>HYPERLINK("http://exon.niaid.nih.gov/transcriptome/Anopheles_sialome/links/cluster-b/anopheline-sialome-cds-pep-larger-orf30-50SimCLTL2.txt", 120)</f>
        <v>120</v>
      </c>
      <c r="BP359">
        <f>HYPERLINK("http://exon.niaid.nih.gov/transcriptome/Anopheles_sialome/links/cluster-b/anopheline-sialome-cds-pep-larger-orf35-50SimCLU1.txt", 1)</f>
        <v>1</v>
      </c>
      <c r="BQ359">
        <f>HYPERLINK("http://exon.niaid.nih.gov/transcriptome/Anopheles_sialome/links/cluster-b/anopheline-sialome-cds-pep-larger-orf35-50SimCLTL1.txt", 120)</f>
        <v>120</v>
      </c>
      <c r="BR359">
        <f>HYPERLINK("http://exon.niaid.nih.gov/transcriptome/Anopheles_sialome/links/cluster-b/anopheline-sialome-cds-pep-larger-orf40-50SimCLU2.txt", 2)</f>
        <v>2</v>
      </c>
      <c r="BS359">
        <f>HYPERLINK("http://exon.niaid.nih.gov/transcriptome/Anopheles_sialome/links/cluster-b/anopheline-sialome-cds-pep-larger-orf40-50SimCLTL2.txt", 83)</f>
        <v>83</v>
      </c>
      <c r="BT359">
        <f>HYPERLINK("http://exon.niaid.nih.gov/transcriptome/Anopheles_sialome/links/cluster-b/anopheline-sialome-cds-pep-larger-orf45-50SimCLU1.txt", 1)</f>
        <v>1</v>
      </c>
      <c r="BU359">
        <f>HYPERLINK("http://exon.niaid.nih.gov/transcriptome/Anopheles_sialome/links/cluster-b/anopheline-sialome-cds-pep-larger-orf45-50SimCLTL1.txt", 83)</f>
        <v>83</v>
      </c>
      <c r="BV359">
        <f>HYPERLINK("http://exon.niaid.nih.gov/transcriptome/Anopheles_sialome/links/cluster-b/anopheline-sialome-cds-pep-larger-orf50-50SimCLU1.txt", 1)</f>
        <v>1</v>
      </c>
      <c r="BW359">
        <f>HYPERLINK("http://exon.niaid.nih.gov/transcriptome/Anopheles_sialome/links/cluster-b/anopheline-sialome-cds-pep-larger-orf50-50SimCLTL1.txt", 83)</f>
        <v>83</v>
      </c>
      <c r="BX359">
        <f>HYPERLINK("http://exon.niaid.nih.gov/transcriptome/Anopheles_sialome/links/cluster-b/anopheline-sialome-cds-pep-larger-orf55-50SimCLU1.txt", 1)</f>
        <v>1</v>
      </c>
      <c r="BY359">
        <f>HYPERLINK("http://exon.niaid.nih.gov/transcriptome/Anopheles_sialome/links/cluster-b/anopheline-sialome-cds-pep-larger-orf55-50SimCLTL1.txt", 79)</f>
        <v>79</v>
      </c>
      <c r="BZ359">
        <f>HYPERLINK("http://exon.niaid.nih.gov/transcriptome/Anopheles_sialome/links/cluster-b/anopheline-sialome-cds-pep-larger-orf60-50SimCLU1.txt", 1)</f>
        <v>1</v>
      </c>
      <c r="CA359">
        <f>HYPERLINK("http://exon.niaid.nih.gov/transcriptome/Anopheles_sialome/links/cluster-b/anopheline-sialome-cds-pep-larger-orf60-50SimCLTL1.txt", 60)</f>
        <v>60</v>
      </c>
      <c r="CB359">
        <f>HYPERLINK("http://exon.niaid.nih.gov/transcriptome/Anopheles_sialome/links/cluster-b/anopheline-sialome-cds-pep-larger-orf65-50SimCLU1.txt", 1)</f>
        <v>1</v>
      </c>
      <c r="CC359">
        <f>HYPERLINK("http://exon.niaid.nih.gov/transcriptome/Anopheles_sialome/links/cluster-b/anopheline-sialome-cds-pep-larger-orf65-50SimCLTL1.txt", 60)</f>
        <v>60</v>
      </c>
      <c r="CD359">
        <f>HYPERLINK("http://exon.niaid.nih.gov/transcriptome/Anopheles_sialome/links/cluster-b/anopheline-sialome-cds-pep-larger-orf70-50SimCLU1.txt", 1)</f>
        <v>1</v>
      </c>
      <c r="CE359">
        <f>HYPERLINK("http://exon.niaid.nih.gov/transcriptome/Anopheles_sialome/links/cluster-b/anopheline-sialome-cds-pep-larger-orf70-50SimCLTL1.txt", 30)</f>
        <v>30</v>
      </c>
      <c r="CF359">
        <f>HYPERLINK("http://exon.niaid.nih.gov/transcriptome/Anopheles_sialome/links/cluster-b/anopheline-sialome-cds-pep-larger-orf75-50SimCLU1.txt", 1)</f>
        <v>1</v>
      </c>
      <c r="CG359">
        <f>HYPERLINK("http://exon.niaid.nih.gov/transcriptome/Anopheles_sialome/links/cluster-b/anopheline-sialome-cds-pep-larger-orf75-50SimCLTL1.txt", 30)</f>
        <v>30</v>
      </c>
      <c r="CH359">
        <f>HYPERLINK("http://exon.niaid.nih.gov/transcriptome/Anopheles_sialome/links/cluster-b/anopheline-sialome-cds-pep-larger-orf80-50SimCLU1.txt", 1)</f>
        <v>1</v>
      </c>
      <c r="CI359">
        <f>HYPERLINK("http://exon.niaid.nih.gov/transcriptome/Anopheles_sialome/links/cluster-b/anopheline-sialome-cds-pep-larger-orf80-50SimCLTL1.txt", 30)</f>
        <v>30</v>
      </c>
      <c r="CJ359">
        <f>HYPERLINK("http://exon.niaid.nih.gov/transcriptome/Anopheles_sialome/links/cluster-b/anopheline-sialome-cds-pep-larger-orf85-50SimCLU19.txt", 19)</f>
        <v>19</v>
      </c>
      <c r="CK359">
        <f>HYPERLINK("http://exon.niaid.nih.gov/transcriptome/Anopheles_sialome/links/cluster-b/anopheline-sialome-cds-pep-larger-orf85-50SimCLTL19.txt", 8)</f>
        <v>8</v>
      </c>
      <c r="CL359">
        <f>HYPERLINK("http://exon.niaid.nih.gov/transcriptome/Anopheles_sialome/links/cluster-b/anopheline-sialome-cds-pep-larger-orf90-50SimCLU13.txt", 13)</f>
        <v>13</v>
      </c>
      <c r="CM359">
        <f>HYPERLINK("http://exon.niaid.nih.gov/transcriptome/Anopheles_sialome/links/cluster-b/anopheline-sialome-cds-pep-larger-orf90-50SimCLTL13.txt", 7)</f>
        <v>7</v>
      </c>
      <c r="CN359">
        <f>HYPERLINK("http://exon.niaid.nih.gov/transcriptome/Anopheles_sialome/links/cluster-b/anopheline-sialome-cds-pep-larger-orf95-50SimCLU10.txt", 10)</f>
        <v>10</v>
      </c>
      <c r="CO359">
        <f>HYPERLINK("http://exon.niaid.nih.gov/transcriptome/Anopheles_sialome/links/cluster-b/anopheline-sialome-cds-pep-larger-orf95-50SimCLTL10.txt", 6)</f>
        <v>6</v>
      </c>
    </row>
    <row r="360" spans="1:93">
      <c r="A360" s="2" t="str">
        <f>HYPERLINK("http://exon.niaid.nih.gov/transcriptome/Anopheles_sialome/links/cds/anocol_D7r3-cds.txt","anocol_D7r3")</f>
        <v>anocol_D7r3</v>
      </c>
      <c r="B360">
        <v>510</v>
      </c>
      <c r="C360" t="s">
        <v>171</v>
      </c>
      <c r="D360" t="s">
        <v>7</v>
      </c>
      <c r="E360" t="s">
        <v>5</v>
      </c>
      <c r="F360" t="s">
        <v>1</v>
      </c>
      <c r="G360" t="str">
        <f>HYPERLINK("http://exon.niaid.nih.gov/transcriptome/Anopheles_sialome/links/pep/anocol_D7r3-pep.txt","anocol_D7r3")</f>
        <v>anocol_D7r3</v>
      </c>
      <c r="H360">
        <v>169</v>
      </c>
      <c r="I360">
        <v>1</v>
      </c>
      <c r="J360" s="3" t="str">
        <f>HYPERLINK("http://exon.niaid.nih.gov/transcriptome/Anopheles_sialome/links/Sigp/anocol_D7r3-SigP.txt","SIG")</f>
        <v>SIG</v>
      </c>
      <c r="K360" t="s">
        <v>689</v>
      </c>
      <c r="L360">
        <v>18.623000000000001</v>
      </c>
      <c r="M360">
        <v>4.76</v>
      </c>
      <c r="N360">
        <v>16.332000000000001</v>
      </c>
      <c r="O360">
        <v>4.67</v>
      </c>
      <c r="P360" t="s">
        <v>1047</v>
      </c>
      <c r="Q360" s="3">
        <v>0</v>
      </c>
      <c r="R360" t="s">
        <v>128</v>
      </c>
      <c r="S360" t="s">
        <v>128</v>
      </c>
      <c r="T360" t="s">
        <v>128</v>
      </c>
      <c r="U360" t="s">
        <v>128</v>
      </c>
      <c r="V360" t="s">
        <v>128</v>
      </c>
      <c r="W360" s="3" t="str">
        <f>HYPERLINK("http://exon.niaid.nih.gov/transcriptome/Anopheles_sialome/links/netoglyc/anocol_D7r3-netoglyc.txt","0")</f>
        <v>0</v>
      </c>
      <c r="X360">
        <v>10.1</v>
      </c>
      <c r="Y360">
        <v>8.3000000000000007</v>
      </c>
      <c r="Z360">
        <v>2.4</v>
      </c>
      <c r="AA360" t="s">
        <v>654</v>
      </c>
      <c r="AB360" t="s">
        <v>128</v>
      </c>
      <c r="AC360" s="2" t="str">
        <f>HYPERLINK("http://exon.niaid.nih.gov/transcriptome/Anopheles_sialome/links/DIPTERA/anocol_D7r3-DIPTERA.txt","AGAP008283-PA, partial")</f>
        <v>AGAP008283-PA, partial</v>
      </c>
      <c r="AD360" t="str">
        <f>HYPERLINK("http://www.ncbi.nlm.nih.gov/sutils/blink.cgi?pid=116123045","9E-094")</f>
        <v>9E-094</v>
      </c>
      <c r="AE360" t="str">
        <f>HYPERLINK("http://www.ncbi.nlm.nih.gov/protein/116123045","gi|116123045")</f>
        <v>gi|116123045</v>
      </c>
      <c r="AF360">
        <v>99</v>
      </c>
      <c r="AG360">
        <v>99</v>
      </c>
      <c r="AH360">
        <v>94</v>
      </c>
      <c r="AI360" t="s">
        <v>2285</v>
      </c>
      <c r="AJ360" s="2" t="str">
        <f>HYPERLINK("http://exon.niaid.nih.gov/transcriptome/Anopheles_sialome/links/CULICOMORPHA/anocol_D7r3-CULICOMORPHA.txt","AGAP008283-PA, partial")</f>
        <v>AGAP008283-PA, partial</v>
      </c>
      <c r="AK360" t="str">
        <f>HYPERLINK("http://www.ncbi.nlm.nih.gov/sutils/blink.cgi?pid=116123045","2E-094")</f>
        <v>2E-094</v>
      </c>
      <c r="AL360" t="str">
        <f>HYPERLINK("http://www.ncbi.nlm.nih.gov/protein/116123045","gi|116123045")</f>
        <v>gi|116123045</v>
      </c>
      <c r="AM360">
        <v>99</v>
      </c>
      <c r="AN360">
        <v>99</v>
      </c>
      <c r="AO360">
        <v>94</v>
      </c>
      <c r="AP360" t="s">
        <v>2285</v>
      </c>
      <c r="AQ360" s="2" t="str">
        <f>HYPERLINK("http://exon.niaid.nih.gov/transcriptome/Anopheles_sialome/links/NR-LIGHT/anocol_D7r3-NR-LIGHT.txt","AGAP008283-PA")</f>
        <v>AGAP008283-PA</v>
      </c>
      <c r="AR360" t="str">
        <f>HYPERLINK("http://www.ncbi.nlm.nih.gov/sutils/blink.cgi?pid=118789068","2E-093")</f>
        <v>2E-093</v>
      </c>
      <c r="AS360" t="str">
        <f>HYPERLINK("http://www.ncbi.nlm.nih.gov/protein/118789068","gi|118789068")</f>
        <v>gi|118789068</v>
      </c>
      <c r="AT360">
        <v>99</v>
      </c>
      <c r="AU360">
        <v>99</v>
      </c>
      <c r="AV360">
        <v>94</v>
      </c>
      <c r="AW360" t="s">
        <v>2285</v>
      </c>
      <c r="AX360" s="2" t="str">
        <f>HYPERLINK("http://exon.niaid.nih.gov/transcriptome/Anopheles_sialome/links/CDD/anocol_D7r3-CDD.txt","PhBP")</f>
        <v>PhBP</v>
      </c>
      <c r="AY360" t="str">
        <f>HYPERLINK("http://www.ncbi.nlm.nih.gov/Structure/cdd/cddsrv.cgi?uid=smart00708&amp;version=v4.0","2E-009")</f>
        <v>2E-009</v>
      </c>
      <c r="AZ360" t="s">
        <v>2500</v>
      </c>
      <c r="BA360" s="2" t="str">
        <f>HYPERLINK("http://exon.niaid.nih.gov/transcriptome/Anopheles_sialome/links/KOG/anocol_D7r3-KOG.txt","Elongation factor G")</f>
        <v>Elongation factor G</v>
      </c>
      <c r="BB360" t="str">
        <f>HYPERLINK("http://www.ncbi.nlm.nih.gov/Structure/cdd/cddsrv.cgi?uid=KOG0464","0.18")</f>
        <v>0.18</v>
      </c>
      <c r="BC360" t="s">
        <v>2260</v>
      </c>
      <c r="BD360" t="str">
        <f>HYPERLINK("http://exon.niaid.nih.gov/transcriptome/Anopheles_sialome/links/KOG/anocol_D7r3-KOG.txt","KOG0464")</f>
        <v>KOG0464</v>
      </c>
      <c r="BE360" t="str">
        <f>HYPERLINK("http://exon.niaid.nih.gov/transcriptome/Anopheles_sialome/links/PFAM/anocol_D7r3-PFAM.txt","PBP_GOBP")</f>
        <v>PBP_GOBP</v>
      </c>
      <c r="BF360" t="str">
        <f>HYPERLINK("http://pfam.sanger.ac.uk/family?acc=PF01395","4E-009")</f>
        <v>4E-009</v>
      </c>
      <c r="BG360" s="2" t="str">
        <f>HYPERLINK("http://exon.niaid.nih.gov/transcriptome/Anopheles_sialome/links/SMART/anocol_D7r3-SMART.txt","PhBP")</f>
        <v>PhBP</v>
      </c>
      <c r="BH360" t="str">
        <f>HYPERLINK("http://smart.embl-heidelberg.de/smart/do_annotation.pl?DOMAIN=PhBP&amp;BLAST=DUMMY","2E-011")</f>
        <v>2E-011</v>
      </c>
      <c r="BI360" t="s">
        <v>128</v>
      </c>
      <c r="BJ360" s="2" t="s">
        <v>128</v>
      </c>
      <c r="BK360" t="s">
        <v>1056</v>
      </c>
      <c r="BL360">
        <f>HYPERLINK("http://exon.niaid.nih.gov/transcriptome/Anopheles_sialome/links/cluster-b/anopheline-sialome-cds-pep-larger-orf25-50SimCLU2.txt", 2)</f>
        <v>2</v>
      </c>
      <c r="BM360">
        <f>HYPERLINK("http://exon.niaid.nih.gov/transcriptome/Anopheles_sialome/links/cluster-b/anopheline-sialome-cds-pep-larger-orf25-50SimCLTL2.txt", 120)</f>
        <v>120</v>
      </c>
      <c r="BN360">
        <f>HYPERLINK("http://exon.niaid.nih.gov/transcriptome/Anopheles_sialome/links/cluster-b/anopheline-sialome-cds-pep-larger-orf30-50SimCLU2.txt", 2)</f>
        <v>2</v>
      </c>
      <c r="BO360">
        <f>HYPERLINK("http://exon.niaid.nih.gov/transcriptome/Anopheles_sialome/links/cluster-b/anopheline-sialome-cds-pep-larger-orf30-50SimCLTL2.txt", 120)</f>
        <v>120</v>
      </c>
      <c r="BP360">
        <f>HYPERLINK("http://exon.niaid.nih.gov/transcriptome/Anopheles_sialome/links/cluster-b/anopheline-sialome-cds-pep-larger-orf35-50SimCLU1.txt", 1)</f>
        <v>1</v>
      </c>
      <c r="BQ360">
        <f>HYPERLINK("http://exon.niaid.nih.gov/transcriptome/Anopheles_sialome/links/cluster-b/anopheline-sialome-cds-pep-larger-orf35-50SimCLTL1.txt", 120)</f>
        <v>120</v>
      </c>
      <c r="BR360">
        <f>HYPERLINK("http://exon.niaid.nih.gov/transcriptome/Anopheles_sialome/links/cluster-b/anopheline-sialome-cds-pep-larger-orf40-50SimCLU2.txt", 2)</f>
        <v>2</v>
      </c>
      <c r="BS360">
        <f>HYPERLINK("http://exon.niaid.nih.gov/transcriptome/Anopheles_sialome/links/cluster-b/anopheline-sialome-cds-pep-larger-orf40-50SimCLTL2.txt", 83)</f>
        <v>83</v>
      </c>
      <c r="BT360">
        <f>HYPERLINK("http://exon.niaid.nih.gov/transcriptome/Anopheles_sialome/links/cluster-b/anopheline-sialome-cds-pep-larger-orf45-50SimCLU1.txt", 1)</f>
        <v>1</v>
      </c>
      <c r="BU360">
        <f>HYPERLINK("http://exon.niaid.nih.gov/transcriptome/Anopheles_sialome/links/cluster-b/anopheline-sialome-cds-pep-larger-orf45-50SimCLTL1.txt", 83)</f>
        <v>83</v>
      </c>
      <c r="BV360">
        <f>HYPERLINK("http://exon.niaid.nih.gov/transcriptome/Anopheles_sialome/links/cluster-b/anopheline-sialome-cds-pep-larger-orf50-50SimCLU1.txt", 1)</f>
        <v>1</v>
      </c>
      <c r="BW360">
        <f>HYPERLINK("http://exon.niaid.nih.gov/transcriptome/Anopheles_sialome/links/cluster-b/anopheline-sialome-cds-pep-larger-orf50-50SimCLTL1.txt", 83)</f>
        <v>83</v>
      </c>
      <c r="BX360">
        <f>HYPERLINK("http://exon.niaid.nih.gov/transcriptome/Anopheles_sialome/links/cluster-b/anopheline-sialome-cds-pep-larger-orf55-50SimCLU1.txt", 1)</f>
        <v>1</v>
      </c>
      <c r="BY360">
        <f>HYPERLINK("http://exon.niaid.nih.gov/transcriptome/Anopheles_sialome/links/cluster-b/anopheline-sialome-cds-pep-larger-orf55-50SimCLTL1.txt", 79)</f>
        <v>79</v>
      </c>
      <c r="BZ360">
        <f>HYPERLINK("http://exon.niaid.nih.gov/transcriptome/Anopheles_sialome/links/cluster-b/anopheline-sialome-cds-pep-larger-orf60-50SimCLU1.txt", 1)</f>
        <v>1</v>
      </c>
      <c r="CA360">
        <f>HYPERLINK("http://exon.niaid.nih.gov/transcriptome/Anopheles_sialome/links/cluster-b/anopheline-sialome-cds-pep-larger-orf60-50SimCLTL1.txt", 60)</f>
        <v>60</v>
      </c>
      <c r="CB360">
        <f>HYPERLINK("http://exon.niaid.nih.gov/transcriptome/Anopheles_sialome/links/cluster-b/anopheline-sialome-cds-pep-larger-orf65-50SimCLU1.txt", 1)</f>
        <v>1</v>
      </c>
      <c r="CC360">
        <f>HYPERLINK("http://exon.niaid.nih.gov/transcriptome/Anopheles_sialome/links/cluster-b/anopheline-sialome-cds-pep-larger-orf65-50SimCLTL1.txt", 60)</f>
        <v>60</v>
      </c>
      <c r="CD360">
        <f>HYPERLINK("http://exon.niaid.nih.gov/transcriptome/Anopheles_sialome/links/cluster-b/anopheline-sialome-cds-pep-larger-orf70-50SimCLU1.txt", 1)</f>
        <v>1</v>
      </c>
      <c r="CE360">
        <f>HYPERLINK("http://exon.niaid.nih.gov/transcriptome/Anopheles_sialome/links/cluster-b/anopheline-sialome-cds-pep-larger-orf70-50SimCLTL1.txt", 30)</f>
        <v>30</v>
      </c>
      <c r="CF360">
        <f>HYPERLINK("http://exon.niaid.nih.gov/transcriptome/Anopheles_sialome/links/cluster-b/anopheline-sialome-cds-pep-larger-orf75-50SimCLU1.txt", 1)</f>
        <v>1</v>
      </c>
      <c r="CG360">
        <f>HYPERLINK("http://exon.niaid.nih.gov/transcriptome/Anopheles_sialome/links/cluster-b/anopheline-sialome-cds-pep-larger-orf75-50SimCLTL1.txt", 30)</f>
        <v>30</v>
      </c>
      <c r="CH360">
        <f>HYPERLINK("http://exon.niaid.nih.gov/transcriptome/Anopheles_sialome/links/cluster-b/anopheline-sialome-cds-pep-larger-orf80-50SimCLU1.txt", 1)</f>
        <v>1</v>
      </c>
      <c r="CI360">
        <f>HYPERLINK("http://exon.niaid.nih.gov/transcriptome/Anopheles_sialome/links/cluster-b/anopheline-sialome-cds-pep-larger-orf80-50SimCLTL1.txt", 30)</f>
        <v>30</v>
      </c>
      <c r="CJ360">
        <f>HYPERLINK("http://exon.niaid.nih.gov/transcriptome/Anopheles_sialome/links/cluster-b/anopheline-sialome-cds-pep-larger-orf85-50SimCLU19.txt", 19)</f>
        <v>19</v>
      </c>
      <c r="CK360">
        <f>HYPERLINK("http://exon.niaid.nih.gov/transcriptome/Anopheles_sialome/links/cluster-b/anopheline-sialome-cds-pep-larger-orf85-50SimCLTL19.txt", 8)</f>
        <v>8</v>
      </c>
      <c r="CL360">
        <f>HYPERLINK("http://exon.niaid.nih.gov/transcriptome/Anopheles_sialome/links/cluster-b/anopheline-sialome-cds-pep-larger-orf90-50SimCLU13.txt", 13)</f>
        <v>13</v>
      </c>
      <c r="CM360">
        <f>HYPERLINK("http://exon.niaid.nih.gov/transcriptome/Anopheles_sialome/links/cluster-b/anopheline-sialome-cds-pep-larger-orf90-50SimCLTL13.txt", 7)</f>
        <v>7</v>
      </c>
      <c r="CN360">
        <f>HYPERLINK("http://exon.niaid.nih.gov/transcriptome/Anopheles_sialome/links/cluster-b/anopheline-sialome-cds-pep-larger-orf95-50SimCLU10.txt", 10)</f>
        <v>10</v>
      </c>
      <c r="CO360">
        <f>HYPERLINK("http://exon.niaid.nih.gov/transcriptome/Anopheles_sialome/links/cluster-b/anopheline-sialome-cds-pep-larger-orf95-50SimCLTL10.txt", 6)</f>
        <v>6</v>
      </c>
    </row>
    <row r="361" spans="1:93">
      <c r="A361" s="2" t="str">
        <f>HYPERLINK("http://exon.niaid.nih.gov/transcriptome/Anopheles_sialome/links/cds/anoara_D7r3-cds.txt","anoara_D7r3")</f>
        <v>anoara_D7r3</v>
      </c>
      <c r="B361">
        <v>510</v>
      </c>
      <c r="C361" t="s">
        <v>149</v>
      </c>
      <c r="D361" t="s">
        <v>7</v>
      </c>
      <c r="E361" t="s">
        <v>5</v>
      </c>
      <c r="F361" t="s">
        <v>1</v>
      </c>
      <c r="G361" t="str">
        <f>HYPERLINK("http://exon.niaid.nih.gov/transcriptome/Anopheles_sialome/links/pep/anoara_D7r3-pep.txt","anoara_D7r3")</f>
        <v>anoara_D7r3</v>
      </c>
      <c r="H361">
        <v>169</v>
      </c>
      <c r="I361">
        <v>1</v>
      </c>
      <c r="J361" s="3" t="str">
        <f>HYPERLINK("http://exon.niaid.nih.gov/transcriptome/Anopheles_sialome/links/Sigp/anoara_D7r3-SigP.txt","SIG")</f>
        <v>SIG</v>
      </c>
      <c r="K361" t="s">
        <v>689</v>
      </c>
      <c r="L361">
        <v>18.684999999999999</v>
      </c>
      <c r="M361">
        <v>4.8499999999999996</v>
      </c>
      <c r="N361">
        <v>16.393999999999998</v>
      </c>
      <c r="O361">
        <v>4.75</v>
      </c>
      <c r="P361" t="s">
        <v>1047</v>
      </c>
      <c r="Q361" s="3">
        <v>0</v>
      </c>
      <c r="R361" t="s">
        <v>128</v>
      </c>
      <c r="S361" t="s">
        <v>128</v>
      </c>
      <c r="T361" t="s">
        <v>128</v>
      </c>
      <c r="U361" t="s">
        <v>128</v>
      </c>
      <c r="V361" t="s">
        <v>128</v>
      </c>
      <c r="W361" s="3" t="str">
        <f>HYPERLINK("http://exon.niaid.nih.gov/transcriptome/Anopheles_sialome/links/netoglyc/anoara_D7r3-netoglyc.txt","0")</f>
        <v>0</v>
      </c>
      <c r="X361">
        <v>10.1</v>
      </c>
      <c r="Y361">
        <v>8.3000000000000007</v>
      </c>
      <c r="Z361">
        <v>2.4</v>
      </c>
      <c r="AA361" t="s">
        <v>654</v>
      </c>
      <c r="AB361" t="s">
        <v>128</v>
      </c>
      <c r="AC361" s="2" t="str">
        <f>HYPERLINK("http://exon.niaid.nih.gov/transcriptome/Anopheles_sialome/links/DIPTERA/anoara_D7r3-DIPTERA.txt","short form D7r3 salivary protein")</f>
        <v>short form D7r3 salivary protein</v>
      </c>
      <c r="AD361" t="str">
        <f>HYPERLINK("http://www.ncbi.nlm.nih.gov/sutils/blink.cgi?pid=16225968","3E-093")</f>
        <v>3E-093</v>
      </c>
      <c r="AE361" t="str">
        <f>HYPERLINK("http://www.ncbi.nlm.nih.gov/protein/16225968","gi|16225968")</f>
        <v>gi|16225968</v>
      </c>
      <c r="AF361">
        <v>100</v>
      </c>
      <c r="AG361">
        <v>100</v>
      </c>
      <c r="AH361">
        <v>92</v>
      </c>
      <c r="AI361" t="s">
        <v>2453</v>
      </c>
      <c r="AJ361" s="2" t="str">
        <f>HYPERLINK("http://exon.niaid.nih.gov/transcriptome/Anopheles_sialome/links/CULICOMORPHA/anoara_D7r3-CULICOMORPHA.txt","short form D7r3 salivary protein")</f>
        <v>short form D7r3 salivary protein</v>
      </c>
      <c r="AK361" t="str">
        <f>HYPERLINK("http://www.ncbi.nlm.nih.gov/sutils/blink.cgi?pid=16225968","5E-094")</f>
        <v>5E-094</v>
      </c>
      <c r="AL361" t="str">
        <f>HYPERLINK("http://www.ncbi.nlm.nih.gov/protein/16225968","gi|16225968")</f>
        <v>gi|16225968</v>
      </c>
      <c r="AM361">
        <v>100</v>
      </c>
      <c r="AN361">
        <v>100</v>
      </c>
      <c r="AO361">
        <v>92</v>
      </c>
      <c r="AP361" t="s">
        <v>2453</v>
      </c>
      <c r="AQ361" s="2" t="str">
        <f>HYPERLINK("http://exon.niaid.nih.gov/transcriptome/Anopheles_sialome/links/NR-LIGHT/anoara_D7r3-NR-LIGHT.txt","short form D7r3 salivary protein")</f>
        <v>short form D7r3 salivary protein</v>
      </c>
      <c r="AR361" t="str">
        <f>HYPERLINK("http://www.ncbi.nlm.nih.gov/sutils/blink.cgi?pid=16225968","6E-093")</f>
        <v>6E-093</v>
      </c>
      <c r="AS361" t="str">
        <f>HYPERLINK("http://www.ncbi.nlm.nih.gov/protein/16225968","gi|16225968")</f>
        <v>gi|16225968</v>
      </c>
      <c r="AT361">
        <v>100</v>
      </c>
      <c r="AU361">
        <v>100</v>
      </c>
      <c r="AV361">
        <v>92</v>
      </c>
      <c r="AW361" t="s">
        <v>2453</v>
      </c>
      <c r="AX361" s="2" t="str">
        <f>HYPERLINK("http://exon.niaid.nih.gov/transcriptome/Anopheles_sialome/links/CDD/anoara_D7r3-CDD.txt","PhBP")</f>
        <v>PhBP</v>
      </c>
      <c r="AY361" t="str">
        <f>HYPERLINK("http://www.ncbi.nlm.nih.gov/Structure/cdd/cddsrv.cgi?uid=smart00708&amp;version=v4.0","3E-008")</f>
        <v>3E-008</v>
      </c>
      <c r="AZ361" t="s">
        <v>2501</v>
      </c>
      <c r="BA361" s="2" t="str">
        <f>HYPERLINK("http://exon.niaid.nih.gov/transcriptome/Anopheles_sialome/links/KOG/anoara_D7r3-KOG.txt","Elongation factor G")</f>
        <v>Elongation factor G</v>
      </c>
      <c r="BB361" t="str">
        <f>HYPERLINK("http://www.ncbi.nlm.nih.gov/Structure/cdd/cddsrv.cgi?uid=KOG0464","0.17")</f>
        <v>0.17</v>
      </c>
      <c r="BC361" t="s">
        <v>2260</v>
      </c>
      <c r="BD361" t="str">
        <f>HYPERLINK("http://exon.niaid.nih.gov/transcriptome/Anopheles_sialome/links/KOG/anoara_D7r3-KOG.txt","KOG0464")</f>
        <v>KOG0464</v>
      </c>
      <c r="BE361" t="str">
        <f>HYPERLINK("http://exon.niaid.nih.gov/transcriptome/Anopheles_sialome/links/PFAM/anoara_D7r3-PFAM.txt","PBP_GOBP")</f>
        <v>PBP_GOBP</v>
      </c>
      <c r="BF361" t="str">
        <f>HYPERLINK("http://pfam.sanger.ac.uk/family?acc=PF01395","3E-008")</f>
        <v>3E-008</v>
      </c>
      <c r="BG361" s="2" t="str">
        <f>HYPERLINK("http://exon.niaid.nih.gov/transcriptome/Anopheles_sialome/links/SMART/anoara_D7r3-SMART.txt","PhBP")</f>
        <v>PhBP</v>
      </c>
      <c r="BH361" t="str">
        <f>HYPERLINK("http://smart.embl-heidelberg.de/smart/do_annotation.pl?DOMAIN=PhBP&amp;BLAST=DUMMY","4E-010")</f>
        <v>4E-010</v>
      </c>
      <c r="BI361" t="s">
        <v>128</v>
      </c>
      <c r="BJ361" s="2" t="s">
        <v>128</v>
      </c>
      <c r="BK361" t="s">
        <v>1057</v>
      </c>
      <c r="BL361">
        <f>HYPERLINK("http://exon.niaid.nih.gov/transcriptome/Anopheles_sialome/links/cluster-b/anopheline-sialome-cds-pep-larger-orf25-50SimCLU2.txt", 2)</f>
        <v>2</v>
      </c>
      <c r="BM361">
        <f>HYPERLINK("http://exon.niaid.nih.gov/transcriptome/Anopheles_sialome/links/cluster-b/anopheline-sialome-cds-pep-larger-orf25-50SimCLTL2.txt", 120)</f>
        <v>120</v>
      </c>
      <c r="BN361">
        <f>HYPERLINK("http://exon.niaid.nih.gov/transcriptome/Anopheles_sialome/links/cluster-b/anopheline-sialome-cds-pep-larger-orf30-50SimCLU2.txt", 2)</f>
        <v>2</v>
      </c>
      <c r="BO361">
        <f>HYPERLINK("http://exon.niaid.nih.gov/transcriptome/Anopheles_sialome/links/cluster-b/anopheline-sialome-cds-pep-larger-orf30-50SimCLTL2.txt", 120)</f>
        <v>120</v>
      </c>
      <c r="BP361">
        <f>HYPERLINK("http://exon.niaid.nih.gov/transcriptome/Anopheles_sialome/links/cluster-b/anopheline-sialome-cds-pep-larger-orf35-50SimCLU1.txt", 1)</f>
        <v>1</v>
      </c>
      <c r="BQ361">
        <f>HYPERLINK("http://exon.niaid.nih.gov/transcriptome/Anopheles_sialome/links/cluster-b/anopheline-sialome-cds-pep-larger-orf35-50SimCLTL1.txt", 120)</f>
        <v>120</v>
      </c>
      <c r="BR361">
        <f>HYPERLINK("http://exon.niaid.nih.gov/transcriptome/Anopheles_sialome/links/cluster-b/anopheline-sialome-cds-pep-larger-orf40-50SimCLU2.txt", 2)</f>
        <v>2</v>
      </c>
      <c r="BS361">
        <f>HYPERLINK("http://exon.niaid.nih.gov/transcriptome/Anopheles_sialome/links/cluster-b/anopheline-sialome-cds-pep-larger-orf40-50SimCLTL2.txt", 83)</f>
        <v>83</v>
      </c>
      <c r="BT361">
        <f>HYPERLINK("http://exon.niaid.nih.gov/transcriptome/Anopheles_sialome/links/cluster-b/anopheline-sialome-cds-pep-larger-orf45-50SimCLU1.txt", 1)</f>
        <v>1</v>
      </c>
      <c r="BU361">
        <f>HYPERLINK("http://exon.niaid.nih.gov/transcriptome/Anopheles_sialome/links/cluster-b/anopheline-sialome-cds-pep-larger-orf45-50SimCLTL1.txt", 83)</f>
        <v>83</v>
      </c>
      <c r="BV361">
        <f>HYPERLINK("http://exon.niaid.nih.gov/transcriptome/Anopheles_sialome/links/cluster-b/anopheline-sialome-cds-pep-larger-orf50-50SimCLU1.txt", 1)</f>
        <v>1</v>
      </c>
      <c r="BW361">
        <f>HYPERLINK("http://exon.niaid.nih.gov/transcriptome/Anopheles_sialome/links/cluster-b/anopheline-sialome-cds-pep-larger-orf50-50SimCLTL1.txt", 83)</f>
        <v>83</v>
      </c>
      <c r="BX361">
        <f>HYPERLINK("http://exon.niaid.nih.gov/transcriptome/Anopheles_sialome/links/cluster-b/anopheline-sialome-cds-pep-larger-orf55-50SimCLU1.txt", 1)</f>
        <v>1</v>
      </c>
      <c r="BY361">
        <f>HYPERLINK("http://exon.niaid.nih.gov/transcriptome/Anopheles_sialome/links/cluster-b/anopheline-sialome-cds-pep-larger-orf55-50SimCLTL1.txt", 79)</f>
        <v>79</v>
      </c>
      <c r="BZ361">
        <f>HYPERLINK("http://exon.niaid.nih.gov/transcriptome/Anopheles_sialome/links/cluster-b/anopheline-sialome-cds-pep-larger-orf60-50SimCLU1.txt", 1)</f>
        <v>1</v>
      </c>
      <c r="CA361">
        <f>HYPERLINK("http://exon.niaid.nih.gov/transcriptome/Anopheles_sialome/links/cluster-b/anopheline-sialome-cds-pep-larger-orf60-50SimCLTL1.txt", 60)</f>
        <v>60</v>
      </c>
      <c r="CB361">
        <f>HYPERLINK("http://exon.niaid.nih.gov/transcriptome/Anopheles_sialome/links/cluster-b/anopheline-sialome-cds-pep-larger-orf65-50SimCLU1.txt", 1)</f>
        <v>1</v>
      </c>
      <c r="CC361">
        <f>HYPERLINK("http://exon.niaid.nih.gov/transcriptome/Anopheles_sialome/links/cluster-b/anopheline-sialome-cds-pep-larger-orf65-50SimCLTL1.txt", 60)</f>
        <v>60</v>
      </c>
      <c r="CD361">
        <f>HYPERLINK("http://exon.niaid.nih.gov/transcriptome/Anopheles_sialome/links/cluster-b/anopheline-sialome-cds-pep-larger-orf70-50SimCLU1.txt", 1)</f>
        <v>1</v>
      </c>
      <c r="CE361">
        <f>HYPERLINK("http://exon.niaid.nih.gov/transcriptome/Anopheles_sialome/links/cluster-b/anopheline-sialome-cds-pep-larger-orf70-50SimCLTL1.txt", 30)</f>
        <v>30</v>
      </c>
      <c r="CF361">
        <f>HYPERLINK("http://exon.niaid.nih.gov/transcriptome/Anopheles_sialome/links/cluster-b/anopheline-sialome-cds-pep-larger-orf75-50SimCLU1.txt", 1)</f>
        <v>1</v>
      </c>
      <c r="CG361">
        <f>HYPERLINK("http://exon.niaid.nih.gov/transcriptome/Anopheles_sialome/links/cluster-b/anopheline-sialome-cds-pep-larger-orf75-50SimCLTL1.txt", 30)</f>
        <v>30</v>
      </c>
      <c r="CH361">
        <f>HYPERLINK("http://exon.niaid.nih.gov/transcriptome/Anopheles_sialome/links/cluster-b/anopheline-sialome-cds-pep-larger-orf80-50SimCLU1.txt", 1)</f>
        <v>1</v>
      </c>
      <c r="CI361">
        <f>HYPERLINK("http://exon.niaid.nih.gov/transcriptome/Anopheles_sialome/links/cluster-b/anopheline-sialome-cds-pep-larger-orf80-50SimCLTL1.txt", 30)</f>
        <v>30</v>
      </c>
      <c r="CJ361">
        <f>HYPERLINK("http://exon.niaid.nih.gov/transcriptome/Anopheles_sialome/links/cluster-b/anopheline-sialome-cds-pep-larger-orf85-50SimCLU19.txt", 19)</f>
        <v>19</v>
      </c>
      <c r="CK361">
        <f>HYPERLINK("http://exon.niaid.nih.gov/transcriptome/Anopheles_sialome/links/cluster-b/anopheline-sialome-cds-pep-larger-orf85-50SimCLTL19.txt", 8)</f>
        <v>8</v>
      </c>
      <c r="CL361">
        <f>HYPERLINK("http://exon.niaid.nih.gov/transcriptome/Anopheles_sialome/links/cluster-b/anopheline-sialome-cds-pep-larger-orf90-50SimCLU13.txt", 13)</f>
        <v>13</v>
      </c>
      <c r="CM361">
        <f>HYPERLINK("http://exon.niaid.nih.gov/transcriptome/Anopheles_sialome/links/cluster-b/anopheline-sialome-cds-pep-larger-orf90-50SimCLTL13.txt", 7)</f>
        <v>7</v>
      </c>
      <c r="CN361">
        <f>HYPERLINK("http://exon.niaid.nih.gov/transcriptome/Anopheles_sialome/links/cluster-b/anopheline-sialome-cds-pep-larger-orf95-50SimCLU10.txt", 10)</f>
        <v>10</v>
      </c>
      <c r="CO361">
        <f>HYPERLINK("http://exon.niaid.nih.gov/transcriptome/Anopheles_sialome/links/cluster-b/anopheline-sialome-cds-pep-larger-orf95-50SimCLTL10.txt", 6)</f>
        <v>6</v>
      </c>
    </row>
    <row r="362" spans="1:93">
      <c r="A362" s="2" t="str">
        <f>HYPERLINK("http://exon.niaid.nih.gov/transcriptome/Anopheles_sialome/links/cds/anoqua_D7r3-cds.txt","anoqua_D7r3")</f>
        <v>anoqua_D7r3</v>
      </c>
      <c r="B362">
        <v>510</v>
      </c>
      <c r="C362" t="s">
        <v>150</v>
      </c>
      <c r="D362" t="s">
        <v>7</v>
      </c>
      <c r="E362" t="s">
        <v>5</v>
      </c>
      <c r="F362" t="s">
        <v>1</v>
      </c>
      <c r="G362" t="str">
        <f>HYPERLINK("http://exon.niaid.nih.gov/transcriptome/Anopheles_sialome/links/pep/anoqua_D7r3-pep.txt","anoqua_D7r3")</f>
        <v>anoqua_D7r3</v>
      </c>
      <c r="H362">
        <v>169</v>
      </c>
      <c r="I362">
        <v>1</v>
      </c>
      <c r="J362" s="3" t="str">
        <f>HYPERLINK("http://exon.niaid.nih.gov/transcriptome/Anopheles_sialome/links/Sigp/anoqua_D7r3-SigP.txt","SIG")</f>
        <v>SIG</v>
      </c>
      <c r="K362" t="s">
        <v>689</v>
      </c>
      <c r="L362">
        <v>18.727</v>
      </c>
      <c r="M362">
        <v>4.88</v>
      </c>
      <c r="N362">
        <v>16.436</v>
      </c>
      <c r="O362">
        <v>4.78</v>
      </c>
      <c r="P362" t="s">
        <v>1059</v>
      </c>
      <c r="Q362" s="3">
        <v>0</v>
      </c>
      <c r="R362" t="s">
        <v>128</v>
      </c>
      <c r="S362" t="s">
        <v>128</v>
      </c>
      <c r="T362" t="s">
        <v>128</v>
      </c>
      <c r="U362" t="s">
        <v>128</v>
      </c>
      <c r="V362" t="s">
        <v>128</v>
      </c>
      <c r="W362" s="3" t="str">
        <f>HYPERLINK("http://exon.niaid.nih.gov/transcriptome/Anopheles_sialome/links/netoglyc/anoqua_D7r3-netoglyc.txt","0")</f>
        <v>0</v>
      </c>
      <c r="X362">
        <v>9.5</v>
      </c>
      <c r="Y362">
        <v>8.3000000000000007</v>
      </c>
      <c r="Z362">
        <v>2.4</v>
      </c>
      <c r="AA362" t="s">
        <v>654</v>
      </c>
      <c r="AB362" t="s">
        <v>128</v>
      </c>
      <c r="AC362" s="2" t="str">
        <f>HYPERLINK("http://exon.niaid.nih.gov/transcriptome/Anopheles_sialome/links/DIPTERA/anoqua_D7r3-DIPTERA.txt","short form D7r3 salivary protein")</f>
        <v>short form D7r3 salivary protein</v>
      </c>
      <c r="AD362" t="str">
        <f>HYPERLINK("http://www.ncbi.nlm.nih.gov/sutils/blink.cgi?pid=16225968","7E-091")</f>
        <v>7E-091</v>
      </c>
      <c r="AE362" t="str">
        <f>HYPERLINK("http://www.ncbi.nlm.nih.gov/protein/16225968","gi|16225968")</f>
        <v>gi|16225968</v>
      </c>
      <c r="AF362">
        <v>97</v>
      </c>
      <c r="AG362">
        <v>98</v>
      </c>
      <c r="AH362">
        <v>92</v>
      </c>
      <c r="AI362" t="s">
        <v>2453</v>
      </c>
      <c r="AJ362" s="2" t="str">
        <f>HYPERLINK("http://exon.niaid.nih.gov/transcriptome/Anopheles_sialome/links/CULICOMORPHA/anoqua_D7r3-CULICOMORPHA.txt","short form D7r3 salivary protein")</f>
        <v>short form D7r3 salivary protein</v>
      </c>
      <c r="AK362" t="str">
        <f>HYPERLINK("http://www.ncbi.nlm.nih.gov/sutils/blink.cgi?pid=16225968","1E-091")</f>
        <v>1E-091</v>
      </c>
      <c r="AL362" t="str">
        <f>HYPERLINK("http://www.ncbi.nlm.nih.gov/protein/16225968","gi|16225968")</f>
        <v>gi|16225968</v>
      </c>
      <c r="AM362">
        <v>97</v>
      </c>
      <c r="AN362">
        <v>98</v>
      </c>
      <c r="AO362">
        <v>92</v>
      </c>
      <c r="AP362" t="s">
        <v>2453</v>
      </c>
      <c r="AQ362" s="2" t="str">
        <f>HYPERLINK("http://exon.niaid.nih.gov/transcriptome/Anopheles_sialome/links/NR-LIGHT/anoqua_D7r3-NR-LIGHT.txt","short form D7r3 salivary protein")</f>
        <v>short form D7r3 salivary protein</v>
      </c>
      <c r="AR362" t="str">
        <f>HYPERLINK("http://www.ncbi.nlm.nih.gov/sutils/blink.cgi?pid=16225968","2E-090")</f>
        <v>2E-090</v>
      </c>
      <c r="AS362" t="str">
        <f>HYPERLINK("http://www.ncbi.nlm.nih.gov/protein/16225968","gi|16225968")</f>
        <v>gi|16225968</v>
      </c>
      <c r="AT362">
        <v>97</v>
      </c>
      <c r="AU362">
        <v>98</v>
      </c>
      <c r="AV362">
        <v>92</v>
      </c>
      <c r="AW362" t="s">
        <v>2453</v>
      </c>
      <c r="AX362" s="2" t="str">
        <f>HYPERLINK("http://exon.niaid.nih.gov/transcriptome/Anopheles_sialome/links/CDD/anoqua_D7r3-CDD.txt","PBP_GOBP")</f>
        <v>PBP_GOBP</v>
      </c>
      <c r="AY362" t="str">
        <f>HYPERLINK("http://www.ncbi.nlm.nih.gov/Structure/cdd/cddsrv.cgi?uid=pfam01395&amp;version=v4.0","2E-008")</f>
        <v>2E-008</v>
      </c>
      <c r="AZ362" t="s">
        <v>2502</v>
      </c>
      <c r="BA362" s="2" t="str">
        <f>HYPERLINK("http://exon.niaid.nih.gov/transcriptome/Anopheles_sialome/links/KOG/anoqua_D7r3-KOG.txt","Elongation factor G")</f>
        <v>Elongation factor G</v>
      </c>
      <c r="BB362" t="str">
        <f>HYPERLINK("http://www.ncbi.nlm.nih.gov/Structure/cdd/cddsrv.cgi?uid=KOG0464","0.71")</f>
        <v>0.71</v>
      </c>
      <c r="BC362" t="s">
        <v>2260</v>
      </c>
      <c r="BD362" t="str">
        <f>HYPERLINK("http://exon.niaid.nih.gov/transcriptome/Anopheles_sialome/links/KOG/anoqua_D7r3-KOG.txt","KOG0464")</f>
        <v>KOG0464</v>
      </c>
      <c r="BE362" t="str">
        <f>HYPERLINK("http://exon.niaid.nih.gov/transcriptome/Anopheles_sialome/links/PFAM/anoqua_D7r3-PFAM.txt","PBP_GOBP")</f>
        <v>PBP_GOBP</v>
      </c>
      <c r="BF362" t="str">
        <f>HYPERLINK("http://pfam.sanger.ac.uk/family?acc=PF01395","4E-009")</f>
        <v>4E-009</v>
      </c>
      <c r="BG362" s="2" t="str">
        <f>HYPERLINK("http://exon.niaid.nih.gov/transcriptome/Anopheles_sialome/links/SMART/anoqua_D7r3-SMART.txt","PhBP")</f>
        <v>PhBP</v>
      </c>
      <c r="BH362" t="str">
        <f>HYPERLINK("http://smart.embl-heidelberg.de/smart/do_annotation.pl?DOMAIN=PhBP&amp;BLAST=DUMMY","6E-010")</f>
        <v>6E-010</v>
      </c>
      <c r="BI362" t="s">
        <v>128</v>
      </c>
      <c r="BJ362" s="2" t="s">
        <v>128</v>
      </c>
      <c r="BK362" t="s">
        <v>1058</v>
      </c>
      <c r="BL362">
        <f>HYPERLINK("http://exon.niaid.nih.gov/transcriptome/Anopheles_sialome/links/cluster-b/anopheline-sialome-cds-pep-larger-orf25-50SimCLU2.txt", 2)</f>
        <v>2</v>
      </c>
      <c r="BM362">
        <f>HYPERLINK("http://exon.niaid.nih.gov/transcriptome/Anopheles_sialome/links/cluster-b/anopheline-sialome-cds-pep-larger-orf25-50SimCLTL2.txt", 120)</f>
        <v>120</v>
      </c>
      <c r="BN362">
        <f>HYPERLINK("http://exon.niaid.nih.gov/transcriptome/Anopheles_sialome/links/cluster-b/anopheline-sialome-cds-pep-larger-orf30-50SimCLU2.txt", 2)</f>
        <v>2</v>
      </c>
      <c r="BO362">
        <f>HYPERLINK("http://exon.niaid.nih.gov/transcriptome/Anopheles_sialome/links/cluster-b/anopheline-sialome-cds-pep-larger-orf30-50SimCLTL2.txt", 120)</f>
        <v>120</v>
      </c>
      <c r="BP362">
        <f>HYPERLINK("http://exon.niaid.nih.gov/transcriptome/Anopheles_sialome/links/cluster-b/anopheline-sialome-cds-pep-larger-orf35-50SimCLU1.txt", 1)</f>
        <v>1</v>
      </c>
      <c r="BQ362">
        <f>HYPERLINK("http://exon.niaid.nih.gov/transcriptome/Anopheles_sialome/links/cluster-b/anopheline-sialome-cds-pep-larger-orf35-50SimCLTL1.txt", 120)</f>
        <v>120</v>
      </c>
      <c r="BR362">
        <f>HYPERLINK("http://exon.niaid.nih.gov/transcriptome/Anopheles_sialome/links/cluster-b/anopheline-sialome-cds-pep-larger-orf40-50SimCLU2.txt", 2)</f>
        <v>2</v>
      </c>
      <c r="BS362">
        <f>HYPERLINK("http://exon.niaid.nih.gov/transcriptome/Anopheles_sialome/links/cluster-b/anopheline-sialome-cds-pep-larger-orf40-50SimCLTL2.txt", 83)</f>
        <v>83</v>
      </c>
      <c r="BT362">
        <f>HYPERLINK("http://exon.niaid.nih.gov/transcriptome/Anopheles_sialome/links/cluster-b/anopheline-sialome-cds-pep-larger-orf45-50SimCLU1.txt", 1)</f>
        <v>1</v>
      </c>
      <c r="BU362">
        <f>HYPERLINK("http://exon.niaid.nih.gov/transcriptome/Anopheles_sialome/links/cluster-b/anopheline-sialome-cds-pep-larger-orf45-50SimCLTL1.txt", 83)</f>
        <v>83</v>
      </c>
      <c r="BV362">
        <f>HYPERLINK("http://exon.niaid.nih.gov/transcriptome/Anopheles_sialome/links/cluster-b/anopheline-sialome-cds-pep-larger-orf50-50SimCLU1.txt", 1)</f>
        <v>1</v>
      </c>
      <c r="BW362">
        <f>HYPERLINK("http://exon.niaid.nih.gov/transcriptome/Anopheles_sialome/links/cluster-b/anopheline-sialome-cds-pep-larger-orf50-50SimCLTL1.txt", 83)</f>
        <v>83</v>
      </c>
      <c r="BX362">
        <f>HYPERLINK("http://exon.niaid.nih.gov/transcriptome/Anopheles_sialome/links/cluster-b/anopheline-sialome-cds-pep-larger-orf55-50SimCLU1.txt", 1)</f>
        <v>1</v>
      </c>
      <c r="BY362">
        <f>HYPERLINK("http://exon.niaid.nih.gov/transcriptome/Anopheles_sialome/links/cluster-b/anopheline-sialome-cds-pep-larger-orf55-50SimCLTL1.txt", 79)</f>
        <v>79</v>
      </c>
      <c r="BZ362">
        <f>HYPERLINK("http://exon.niaid.nih.gov/transcriptome/Anopheles_sialome/links/cluster-b/anopheline-sialome-cds-pep-larger-orf60-50SimCLU1.txt", 1)</f>
        <v>1</v>
      </c>
      <c r="CA362">
        <f>HYPERLINK("http://exon.niaid.nih.gov/transcriptome/Anopheles_sialome/links/cluster-b/anopheline-sialome-cds-pep-larger-orf60-50SimCLTL1.txt", 60)</f>
        <v>60</v>
      </c>
      <c r="CB362">
        <f>HYPERLINK("http://exon.niaid.nih.gov/transcriptome/Anopheles_sialome/links/cluster-b/anopheline-sialome-cds-pep-larger-orf65-50SimCLU1.txt", 1)</f>
        <v>1</v>
      </c>
      <c r="CC362">
        <f>HYPERLINK("http://exon.niaid.nih.gov/transcriptome/Anopheles_sialome/links/cluster-b/anopheline-sialome-cds-pep-larger-orf65-50SimCLTL1.txt", 60)</f>
        <v>60</v>
      </c>
      <c r="CD362">
        <f>HYPERLINK("http://exon.niaid.nih.gov/transcriptome/Anopheles_sialome/links/cluster-b/anopheline-sialome-cds-pep-larger-orf70-50SimCLU1.txt", 1)</f>
        <v>1</v>
      </c>
      <c r="CE362">
        <f>HYPERLINK("http://exon.niaid.nih.gov/transcriptome/Anopheles_sialome/links/cluster-b/anopheline-sialome-cds-pep-larger-orf70-50SimCLTL1.txt", 30)</f>
        <v>30</v>
      </c>
      <c r="CF362">
        <f>HYPERLINK("http://exon.niaid.nih.gov/transcriptome/Anopheles_sialome/links/cluster-b/anopheline-sialome-cds-pep-larger-orf75-50SimCLU1.txt", 1)</f>
        <v>1</v>
      </c>
      <c r="CG362">
        <f>HYPERLINK("http://exon.niaid.nih.gov/transcriptome/Anopheles_sialome/links/cluster-b/anopheline-sialome-cds-pep-larger-orf75-50SimCLTL1.txt", 30)</f>
        <v>30</v>
      </c>
      <c r="CH362">
        <f>HYPERLINK("http://exon.niaid.nih.gov/transcriptome/Anopheles_sialome/links/cluster-b/anopheline-sialome-cds-pep-larger-orf80-50SimCLU1.txt", 1)</f>
        <v>1</v>
      </c>
      <c r="CI362">
        <f>HYPERLINK("http://exon.niaid.nih.gov/transcriptome/Anopheles_sialome/links/cluster-b/anopheline-sialome-cds-pep-larger-orf80-50SimCLTL1.txt", 30)</f>
        <v>30</v>
      </c>
      <c r="CJ362">
        <f>HYPERLINK("http://exon.niaid.nih.gov/transcriptome/Anopheles_sialome/links/cluster-b/anopheline-sialome-cds-pep-larger-orf85-50SimCLU19.txt", 19)</f>
        <v>19</v>
      </c>
      <c r="CK362">
        <f>HYPERLINK("http://exon.niaid.nih.gov/transcriptome/Anopheles_sialome/links/cluster-b/anopheline-sialome-cds-pep-larger-orf85-50SimCLTL19.txt", 8)</f>
        <v>8</v>
      </c>
      <c r="CL362">
        <f>HYPERLINK("http://exon.niaid.nih.gov/transcriptome/Anopheles_sialome/links/cluster-b/anopheline-sialome-cds-pep-larger-orf90-50SimCLU13.txt", 13)</f>
        <v>13</v>
      </c>
      <c r="CM362">
        <f>HYPERLINK("http://exon.niaid.nih.gov/transcriptome/Anopheles_sialome/links/cluster-b/anopheline-sialome-cds-pep-larger-orf90-50SimCLTL13.txt", 7)</f>
        <v>7</v>
      </c>
      <c r="CN362">
        <f>HYPERLINK("http://exon.niaid.nih.gov/transcriptome/Anopheles_sialome/links/cluster-b/anopheline-sialome-cds-pep-larger-orf95-50SimCLU10.txt", 10)</f>
        <v>10</v>
      </c>
      <c r="CO362">
        <f>HYPERLINK("http://exon.niaid.nih.gov/transcriptome/Anopheles_sialome/links/cluster-b/anopheline-sialome-cds-pep-larger-orf95-50SimCLTL10.txt", 6)</f>
        <v>6</v>
      </c>
    </row>
    <row r="363" spans="1:93">
      <c r="A363" s="2" t="str">
        <f>HYPERLINK("http://exon.niaid.nih.gov/transcriptome/Anopheles_sialome/links/cds/anomer_D7r3-cds.txt","anomer_D7r3")</f>
        <v>anomer_D7r3</v>
      </c>
      <c r="B363">
        <v>510</v>
      </c>
      <c r="C363" t="s">
        <v>172</v>
      </c>
      <c r="D363" t="s">
        <v>4</v>
      </c>
      <c r="E363" t="s">
        <v>5</v>
      </c>
      <c r="F363" t="s">
        <v>1</v>
      </c>
      <c r="G363" t="str">
        <f>HYPERLINK("http://exon.niaid.nih.gov/transcriptome/Anopheles_sialome/links/pep/anomer_D7r3-pep.txt","anomer_D7r3")</f>
        <v>anomer_D7r3</v>
      </c>
      <c r="H363">
        <v>169</v>
      </c>
      <c r="I363">
        <v>1</v>
      </c>
      <c r="J363" s="3" t="str">
        <f>HYPERLINK("http://exon.niaid.nih.gov/transcriptome/Anopheles_sialome/links/Sigp/anomer_D7r3-SigP.txt","SIG")</f>
        <v>SIG</v>
      </c>
      <c r="K363" t="s">
        <v>689</v>
      </c>
      <c r="L363">
        <v>18.762</v>
      </c>
      <c r="M363">
        <v>4.72</v>
      </c>
      <c r="N363">
        <v>16.471</v>
      </c>
      <c r="O363">
        <v>4.63</v>
      </c>
      <c r="P363" t="s">
        <v>1047</v>
      </c>
      <c r="Q363" s="3">
        <v>0</v>
      </c>
      <c r="R363" t="s">
        <v>128</v>
      </c>
      <c r="S363" t="s">
        <v>128</v>
      </c>
      <c r="T363" t="s">
        <v>128</v>
      </c>
      <c r="U363" t="s">
        <v>128</v>
      </c>
      <c r="V363" t="s">
        <v>128</v>
      </c>
      <c r="W363" s="3" t="str">
        <f>HYPERLINK("http://exon.niaid.nih.gov/transcriptome/Anopheles_sialome/links/netoglyc/anomer_D7r3-netoglyc.txt","0")</f>
        <v>0</v>
      </c>
      <c r="X363">
        <v>10.1</v>
      </c>
      <c r="Y363">
        <v>7.7</v>
      </c>
      <c r="Z363">
        <v>2.4</v>
      </c>
      <c r="AA363" t="s">
        <v>654</v>
      </c>
      <c r="AB363" t="s">
        <v>128</v>
      </c>
      <c r="AC363" s="2" t="str">
        <f>HYPERLINK("http://exon.niaid.nih.gov/transcriptome/Anopheles_sialome/links/DIPTERA/anomer_D7r3-DIPTERA.txt","short form D7r3 salivary protein")</f>
        <v>short form D7r3 salivary protein</v>
      </c>
      <c r="AD363" t="str">
        <f>HYPERLINK("http://www.ncbi.nlm.nih.gov/sutils/blink.cgi?pid=16225968","5E-091")</f>
        <v>5E-091</v>
      </c>
      <c r="AE363" t="str">
        <f>HYPERLINK("http://www.ncbi.nlm.nih.gov/protein/16225968","gi|16225968")</f>
        <v>gi|16225968</v>
      </c>
      <c r="AF363">
        <v>97</v>
      </c>
      <c r="AG363">
        <v>99</v>
      </c>
      <c r="AH363">
        <v>92</v>
      </c>
      <c r="AI363" t="s">
        <v>2453</v>
      </c>
      <c r="AJ363" s="2" t="str">
        <f>HYPERLINK("http://exon.niaid.nih.gov/transcriptome/Anopheles_sialome/links/CULICOMORPHA/anomer_D7r3-CULICOMORPHA.txt","short form D7r3 salivary protein")</f>
        <v>short form D7r3 salivary protein</v>
      </c>
      <c r="AK363" t="str">
        <f>HYPERLINK("http://www.ncbi.nlm.nih.gov/sutils/blink.cgi?pid=16225968","1E-091")</f>
        <v>1E-091</v>
      </c>
      <c r="AL363" t="str">
        <f>HYPERLINK("http://www.ncbi.nlm.nih.gov/protein/16225968","gi|16225968")</f>
        <v>gi|16225968</v>
      </c>
      <c r="AM363">
        <v>97</v>
      </c>
      <c r="AN363">
        <v>99</v>
      </c>
      <c r="AO363">
        <v>92</v>
      </c>
      <c r="AP363" t="s">
        <v>2453</v>
      </c>
      <c r="AQ363" s="2" t="str">
        <f>HYPERLINK("http://exon.niaid.nih.gov/transcriptome/Anopheles_sialome/links/NR-LIGHT/anomer_D7r3-NR-LIGHT.txt","short form D7r3 salivary protein")</f>
        <v>short form D7r3 salivary protein</v>
      </c>
      <c r="AR363" t="str">
        <f>HYPERLINK("http://www.ncbi.nlm.nih.gov/sutils/blink.cgi?pid=16225968","1E-090")</f>
        <v>1E-090</v>
      </c>
      <c r="AS363" t="str">
        <f>HYPERLINK("http://www.ncbi.nlm.nih.gov/protein/16225968","gi|16225968")</f>
        <v>gi|16225968</v>
      </c>
      <c r="AT363">
        <v>97</v>
      </c>
      <c r="AU363">
        <v>99</v>
      </c>
      <c r="AV363">
        <v>92</v>
      </c>
      <c r="AW363" t="s">
        <v>2453</v>
      </c>
      <c r="AX363" s="2" t="str">
        <f>HYPERLINK("http://exon.niaid.nih.gov/transcriptome/Anopheles_sialome/links/CDD/anomer_D7r3-CDD.txt","PhBP")</f>
        <v>PhBP</v>
      </c>
      <c r="AY363" t="str">
        <f>HYPERLINK("http://www.ncbi.nlm.nih.gov/Structure/cdd/cddsrv.cgi?uid=smart00708&amp;version=v4.0","5E-008")</f>
        <v>5E-008</v>
      </c>
      <c r="AZ363" t="s">
        <v>2503</v>
      </c>
      <c r="BA363" s="2" t="str">
        <f>HYPERLINK("http://exon.niaid.nih.gov/transcriptome/Anopheles_sialome/links/KOG/anomer_D7r3-KOG.txt","Elongation factor G")</f>
        <v>Elongation factor G</v>
      </c>
      <c r="BB363" t="str">
        <f>HYPERLINK("http://www.ncbi.nlm.nih.gov/Structure/cdd/cddsrv.cgi?uid=KOG0464","0.091")</f>
        <v>0.091</v>
      </c>
      <c r="BC363" t="s">
        <v>2260</v>
      </c>
      <c r="BD363" t="str">
        <f>HYPERLINK("http://exon.niaid.nih.gov/transcriptome/Anopheles_sialome/links/KOG/anomer_D7r3-KOG.txt","KOG0464")</f>
        <v>KOG0464</v>
      </c>
      <c r="BE363" t="str">
        <f>HYPERLINK("http://exon.niaid.nih.gov/transcriptome/Anopheles_sialome/links/PFAM/anomer_D7r3-PFAM.txt","PBP_GOBP")</f>
        <v>PBP_GOBP</v>
      </c>
      <c r="BF363" t="str">
        <f>HYPERLINK("http://pfam.sanger.ac.uk/family?acc=PF01395","2E-008")</f>
        <v>2E-008</v>
      </c>
      <c r="BG363" s="2" t="str">
        <f>HYPERLINK("http://exon.niaid.nih.gov/transcriptome/Anopheles_sialome/links/SMART/anomer_D7r3-SMART.txt","PhBP")</f>
        <v>PhBP</v>
      </c>
      <c r="BH363" t="str">
        <f>HYPERLINK("http://smart.embl-heidelberg.de/smart/do_annotation.pl?DOMAIN=PhBP&amp;BLAST=DUMMY","6E-010")</f>
        <v>6E-010</v>
      </c>
      <c r="BI363" t="s">
        <v>128</v>
      </c>
      <c r="BJ363" s="2" t="s">
        <v>128</v>
      </c>
      <c r="BK363" t="s">
        <v>1060</v>
      </c>
      <c r="BL363">
        <f>HYPERLINK("http://exon.niaid.nih.gov/transcriptome/Anopheles_sialome/links/cluster-b/anopheline-sialome-cds-pep-larger-orf25-50SimCLU2.txt", 2)</f>
        <v>2</v>
      </c>
      <c r="BM363">
        <f>HYPERLINK("http://exon.niaid.nih.gov/transcriptome/Anopheles_sialome/links/cluster-b/anopheline-sialome-cds-pep-larger-orf25-50SimCLTL2.txt", 120)</f>
        <v>120</v>
      </c>
      <c r="BN363">
        <f>HYPERLINK("http://exon.niaid.nih.gov/transcriptome/Anopheles_sialome/links/cluster-b/anopheline-sialome-cds-pep-larger-orf30-50SimCLU2.txt", 2)</f>
        <v>2</v>
      </c>
      <c r="BO363">
        <f>HYPERLINK("http://exon.niaid.nih.gov/transcriptome/Anopheles_sialome/links/cluster-b/anopheline-sialome-cds-pep-larger-orf30-50SimCLTL2.txt", 120)</f>
        <v>120</v>
      </c>
      <c r="BP363">
        <f>HYPERLINK("http://exon.niaid.nih.gov/transcriptome/Anopheles_sialome/links/cluster-b/anopheline-sialome-cds-pep-larger-orf35-50SimCLU1.txt", 1)</f>
        <v>1</v>
      </c>
      <c r="BQ363">
        <f>HYPERLINK("http://exon.niaid.nih.gov/transcriptome/Anopheles_sialome/links/cluster-b/anopheline-sialome-cds-pep-larger-orf35-50SimCLTL1.txt", 120)</f>
        <v>120</v>
      </c>
      <c r="BR363">
        <f>HYPERLINK("http://exon.niaid.nih.gov/transcriptome/Anopheles_sialome/links/cluster-b/anopheline-sialome-cds-pep-larger-orf40-50SimCLU2.txt", 2)</f>
        <v>2</v>
      </c>
      <c r="BS363">
        <f>HYPERLINK("http://exon.niaid.nih.gov/transcriptome/Anopheles_sialome/links/cluster-b/anopheline-sialome-cds-pep-larger-orf40-50SimCLTL2.txt", 83)</f>
        <v>83</v>
      </c>
      <c r="BT363">
        <f>HYPERLINK("http://exon.niaid.nih.gov/transcriptome/Anopheles_sialome/links/cluster-b/anopheline-sialome-cds-pep-larger-orf45-50SimCLU1.txt", 1)</f>
        <v>1</v>
      </c>
      <c r="BU363">
        <f>HYPERLINK("http://exon.niaid.nih.gov/transcriptome/Anopheles_sialome/links/cluster-b/anopheline-sialome-cds-pep-larger-orf45-50SimCLTL1.txt", 83)</f>
        <v>83</v>
      </c>
      <c r="BV363">
        <f>HYPERLINK("http://exon.niaid.nih.gov/transcriptome/Anopheles_sialome/links/cluster-b/anopheline-sialome-cds-pep-larger-orf50-50SimCLU1.txt", 1)</f>
        <v>1</v>
      </c>
      <c r="BW363">
        <f>HYPERLINK("http://exon.niaid.nih.gov/transcriptome/Anopheles_sialome/links/cluster-b/anopheline-sialome-cds-pep-larger-orf50-50SimCLTL1.txt", 83)</f>
        <v>83</v>
      </c>
      <c r="BX363">
        <f>HYPERLINK("http://exon.niaid.nih.gov/transcriptome/Anopheles_sialome/links/cluster-b/anopheline-sialome-cds-pep-larger-orf55-50SimCLU1.txt", 1)</f>
        <v>1</v>
      </c>
      <c r="BY363">
        <f>HYPERLINK("http://exon.niaid.nih.gov/transcriptome/Anopheles_sialome/links/cluster-b/anopheline-sialome-cds-pep-larger-orf55-50SimCLTL1.txt", 79)</f>
        <v>79</v>
      </c>
      <c r="BZ363">
        <f>HYPERLINK("http://exon.niaid.nih.gov/transcriptome/Anopheles_sialome/links/cluster-b/anopheline-sialome-cds-pep-larger-orf60-50SimCLU1.txt", 1)</f>
        <v>1</v>
      </c>
      <c r="CA363">
        <f>HYPERLINK("http://exon.niaid.nih.gov/transcriptome/Anopheles_sialome/links/cluster-b/anopheline-sialome-cds-pep-larger-orf60-50SimCLTL1.txt", 60)</f>
        <v>60</v>
      </c>
      <c r="CB363">
        <f>HYPERLINK("http://exon.niaid.nih.gov/transcriptome/Anopheles_sialome/links/cluster-b/anopheline-sialome-cds-pep-larger-orf65-50SimCLU1.txt", 1)</f>
        <v>1</v>
      </c>
      <c r="CC363">
        <f>HYPERLINK("http://exon.niaid.nih.gov/transcriptome/Anopheles_sialome/links/cluster-b/anopheline-sialome-cds-pep-larger-orf65-50SimCLTL1.txt", 60)</f>
        <v>60</v>
      </c>
      <c r="CD363">
        <f>HYPERLINK("http://exon.niaid.nih.gov/transcriptome/Anopheles_sialome/links/cluster-b/anopheline-sialome-cds-pep-larger-orf70-50SimCLU1.txt", 1)</f>
        <v>1</v>
      </c>
      <c r="CE363">
        <f>HYPERLINK("http://exon.niaid.nih.gov/transcriptome/Anopheles_sialome/links/cluster-b/anopheline-sialome-cds-pep-larger-orf70-50SimCLTL1.txt", 30)</f>
        <v>30</v>
      </c>
      <c r="CF363">
        <f>HYPERLINK("http://exon.niaid.nih.gov/transcriptome/Anopheles_sialome/links/cluster-b/anopheline-sialome-cds-pep-larger-orf75-50SimCLU1.txt", 1)</f>
        <v>1</v>
      </c>
      <c r="CG363">
        <f>HYPERLINK("http://exon.niaid.nih.gov/transcriptome/Anopheles_sialome/links/cluster-b/anopheline-sialome-cds-pep-larger-orf75-50SimCLTL1.txt", 30)</f>
        <v>30</v>
      </c>
      <c r="CH363">
        <f>HYPERLINK("http://exon.niaid.nih.gov/transcriptome/Anopheles_sialome/links/cluster-b/anopheline-sialome-cds-pep-larger-orf80-50SimCLU1.txt", 1)</f>
        <v>1</v>
      </c>
      <c r="CI363">
        <f>HYPERLINK("http://exon.niaid.nih.gov/transcriptome/Anopheles_sialome/links/cluster-b/anopheline-sialome-cds-pep-larger-orf80-50SimCLTL1.txt", 30)</f>
        <v>30</v>
      </c>
      <c r="CJ363">
        <f>HYPERLINK("http://exon.niaid.nih.gov/transcriptome/Anopheles_sialome/links/cluster-b/anopheline-sialome-cds-pep-larger-orf85-50SimCLU19.txt", 19)</f>
        <v>19</v>
      </c>
      <c r="CK363">
        <f>HYPERLINK("http://exon.niaid.nih.gov/transcriptome/Anopheles_sialome/links/cluster-b/anopheline-sialome-cds-pep-larger-orf85-50SimCLTL19.txt", 8)</f>
        <v>8</v>
      </c>
      <c r="CL363">
        <f>HYPERLINK("http://exon.niaid.nih.gov/transcriptome/Anopheles_sialome/links/cluster-b/anopheline-sialome-cds-pep-larger-orf90-50SimCLU13.txt", 13)</f>
        <v>13</v>
      </c>
      <c r="CM363">
        <f>HYPERLINK("http://exon.niaid.nih.gov/transcriptome/Anopheles_sialome/links/cluster-b/anopheline-sialome-cds-pep-larger-orf90-50SimCLTL13.txt", 7)</f>
        <v>7</v>
      </c>
      <c r="CN363">
        <f>HYPERLINK("http://exon.niaid.nih.gov/transcriptome/Anopheles_sialome/links/cluster-b/anopheline-sialome-cds-pep-larger-orf95-50SimCLU10.txt", 10)</f>
        <v>10</v>
      </c>
      <c r="CO363">
        <f>HYPERLINK("http://exon.niaid.nih.gov/transcriptome/Anopheles_sialome/links/cluster-b/anopheline-sialome-cds-pep-larger-orf95-50SimCLTL10.txt", 6)</f>
        <v>6</v>
      </c>
    </row>
    <row r="364" spans="1:93">
      <c r="A364" s="2" t="str">
        <f>HYPERLINK("http://exon.niaid.nih.gov/transcriptome/Anopheles_sialome/links/cds/anomel_D7r3-cds.txt","anomel_D7r3")</f>
        <v>anomel_D7r3</v>
      </c>
      <c r="B364">
        <v>510</v>
      </c>
      <c r="C364" t="s">
        <v>165</v>
      </c>
      <c r="D364" t="s">
        <v>7</v>
      </c>
      <c r="E364" t="s">
        <v>5</v>
      </c>
      <c r="F364" t="s">
        <v>1</v>
      </c>
      <c r="G364" t="str">
        <f>HYPERLINK("http://exon.niaid.nih.gov/transcriptome/Anopheles_sialome/links/pep/anomel_D7r3-pep.txt","anomel_D7r3")</f>
        <v>anomel_D7r3</v>
      </c>
      <c r="H364">
        <v>169</v>
      </c>
      <c r="I364">
        <v>1</v>
      </c>
      <c r="J364" s="3" t="str">
        <f>HYPERLINK("http://exon.niaid.nih.gov/transcriptome/Anopheles_sialome/links/Sigp/anomel_D7r3-SigP.txt","SIG")</f>
        <v>SIG</v>
      </c>
      <c r="K364" t="s">
        <v>689</v>
      </c>
      <c r="L364">
        <v>18.757000000000001</v>
      </c>
      <c r="M364">
        <v>4.7300000000000004</v>
      </c>
      <c r="N364">
        <v>16.448</v>
      </c>
      <c r="O364">
        <v>4.6500000000000004</v>
      </c>
      <c r="P364" t="s">
        <v>1021</v>
      </c>
      <c r="Q364" s="3">
        <v>0</v>
      </c>
      <c r="R364" t="s">
        <v>128</v>
      </c>
      <c r="S364" t="s">
        <v>128</v>
      </c>
      <c r="T364" t="s">
        <v>128</v>
      </c>
      <c r="U364" t="s">
        <v>128</v>
      </c>
      <c r="V364" t="s">
        <v>128</v>
      </c>
      <c r="W364" s="3" t="str">
        <f>HYPERLINK("http://exon.niaid.nih.gov/transcriptome/Anopheles_sialome/links/netoglyc/anomel_D7r3-netoglyc.txt","0")</f>
        <v>0</v>
      </c>
      <c r="X364">
        <v>10.1</v>
      </c>
      <c r="Y364">
        <v>7.7</v>
      </c>
      <c r="Z364">
        <v>2.4</v>
      </c>
      <c r="AA364" t="s">
        <v>654</v>
      </c>
      <c r="AB364" t="s">
        <v>128</v>
      </c>
      <c r="AC364" s="2" t="str">
        <f>HYPERLINK("http://exon.niaid.nih.gov/transcriptome/Anopheles_sialome/links/DIPTERA/anomel_D7r3-DIPTERA.txt","AGAP008283-PA, partial")</f>
        <v>AGAP008283-PA, partial</v>
      </c>
      <c r="AD364" t="str">
        <f>HYPERLINK("http://www.ncbi.nlm.nih.gov/sutils/blink.cgi?pid=116123045","9E-091")</f>
        <v>9E-091</v>
      </c>
      <c r="AE364" t="str">
        <f>HYPERLINK("http://www.ncbi.nlm.nih.gov/protein/116123045","gi|116123045")</f>
        <v>gi|116123045</v>
      </c>
      <c r="AF364">
        <v>95</v>
      </c>
      <c r="AG364">
        <v>98</v>
      </c>
      <c r="AH364">
        <v>94</v>
      </c>
      <c r="AI364" t="s">
        <v>2285</v>
      </c>
      <c r="AJ364" s="2" t="str">
        <f>HYPERLINK("http://exon.niaid.nih.gov/transcriptome/Anopheles_sialome/links/CULICOMORPHA/anomel_D7r3-CULICOMORPHA.txt","AGAP008283-PA, partial")</f>
        <v>AGAP008283-PA, partial</v>
      </c>
      <c r="AK364" t="str">
        <f>HYPERLINK("http://www.ncbi.nlm.nih.gov/sutils/blink.cgi?pid=116123045","2E-091")</f>
        <v>2E-091</v>
      </c>
      <c r="AL364" t="str">
        <f>HYPERLINK("http://www.ncbi.nlm.nih.gov/protein/116123045","gi|116123045")</f>
        <v>gi|116123045</v>
      </c>
      <c r="AM364">
        <v>95</v>
      </c>
      <c r="AN364">
        <v>98</v>
      </c>
      <c r="AO364">
        <v>94</v>
      </c>
      <c r="AP364" t="s">
        <v>2285</v>
      </c>
      <c r="AQ364" s="2" t="str">
        <f>HYPERLINK("http://exon.niaid.nih.gov/transcriptome/Anopheles_sialome/links/NR-LIGHT/anomel_D7r3-NR-LIGHT.txt","AGAP008283-PA")</f>
        <v>AGAP008283-PA</v>
      </c>
      <c r="AR364" t="str">
        <f>HYPERLINK("http://www.ncbi.nlm.nih.gov/sutils/blink.cgi?pid=118789068","2E-090")</f>
        <v>2E-090</v>
      </c>
      <c r="AS364" t="str">
        <f>HYPERLINK("http://www.ncbi.nlm.nih.gov/protein/118789068","gi|118789068")</f>
        <v>gi|118789068</v>
      </c>
      <c r="AT364">
        <v>95</v>
      </c>
      <c r="AU364">
        <v>98</v>
      </c>
      <c r="AV364">
        <v>94</v>
      </c>
      <c r="AW364" t="s">
        <v>2285</v>
      </c>
      <c r="AX364" s="2" t="str">
        <f>HYPERLINK("http://exon.niaid.nih.gov/transcriptome/Anopheles_sialome/links/CDD/anomel_D7r3-CDD.txt","PBP_GOBP")</f>
        <v>PBP_GOBP</v>
      </c>
      <c r="AY364" t="str">
        <f>HYPERLINK("http://www.ncbi.nlm.nih.gov/Structure/cdd/cddsrv.cgi?uid=pfam01395&amp;version=v4.0","6E-009")</f>
        <v>6E-009</v>
      </c>
      <c r="AZ364" t="s">
        <v>2504</v>
      </c>
      <c r="BA364" s="2" t="str">
        <f>HYPERLINK("http://exon.niaid.nih.gov/transcriptome/Anopheles_sialome/links/KOG/anomel_D7r3-KOG.txt","Neurexin IV")</f>
        <v>Neurexin IV</v>
      </c>
      <c r="BB364" t="str">
        <f>HYPERLINK("http://www.ncbi.nlm.nih.gov/Structure/cdd/cddsrv.cgi?uid=KOG3516","0.99")</f>
        <v>0.99</v>
      </c>
      <c r="BC364" t="s">
        <v>2292</v>
      </c>
      <c r="BD364" t="str">
        <f>HYPERLINK("http://exon.niaid.nih.gov/transcriptome/Anopheles_sialome/links/KOG/anomel_D7r3-KOG.txt","KOG3516")</f>
        <v>KOG3516</v>
      </c>
      <c r="BE364" t="str">
        <f>HYPERLINK("http://exon.niaid.nih.gov/transcriptome/Anopheles_sialome/links/PFAM/anomel_D7r3-PFAM.txt","PBP_GOBP")</f>
        <v>PBP_GOBP</v>
      </c>
      <c r="BF364" t="str">
        <f>HYPERLINK("http://pfam.sanger.ac.uk/family?acc=PF01395","1E-009")</f>
        <v>1E-009</v>
      </c>
      <c r="BG364" s="2" t="str">
        <f>HYPERLINK("http://exon.niaid.nih.gov/transcriptome/Anopheles_sialome/links/SMART/anomel_D7r3-SMART.txt","PhBP")</f>
        <v>PhBP</v>
      </c>
      <c r="BH364" t="str">
        <f>HYPERLINK("http://smart.embl-heidelberg.de/smart/do_annotation.pl?DOMAIN=PhBP&amp;BLAST=DUMMY","9E-011")</f>
        <v>9E-011</v>
      </c>
      <c r="BI364" t="s">
        <v>128</v>
      </c>
      <c r="BJ364" s="2" t="s">
        <v>128</v>
      </c>
      <c r="BK364" t="s">
        <v>1061</v>
      </c>
      <c r="BL364">
        <f>HYPERLINK("http://exon.niaid.nih.gov/transcriptome/Anopheles_sialome/links/cluster-b/anopheline-sialome-cds-pep-larger-orf25-50SimCLU2.txt", 2)</f>
        <v>2</v>
      </c>
      <c r="BM364">
        <f>HYPERLINK("http://exon.niaid.nih.gov/transcriptome/Anopheles_sialome/links/cluster-b/anopheline-sialome-cds-pep-larger-orf25-50SimCLTL2.txt", 120)</f>
        <v>120</v>
      </c>
      <c r="BN364">
        <f>HYPERLINK("http://exon.niaid.nih.gov/transcriptome/Anopheles_sialome/links/cluster-b/anopheline-sialome-cds-pep-larger-orf30-50SimCLU2.txt", 2)</f>
        <v>2</v>
      </c>
      <c r="BO364">
        <f>HYPERLINK("http://exon.niaid.nih.gov/transcriptome/Anopheles_sialome/links/cluster-b/anopheline-sialome-cds-pep-larger-orf30-50SimCLTL2.txt", 120)</f>
        <v>120</v>
      </c>
      <c r="BP364">
        <f>HYPERLINK("http://exon.niaid.nih.gov/transcriptome/Anopheles_sialome/links/cluster-b/anopheline-sialome-cds-pep-larger-orf35-50SimCLU1.txt", 1)</f>
        <v>1</v>
      </c>
      <c r="BQ364">
        <f>HYPERLINK("http://exon.niaid.nih.gov/transcriptome/Anopheles_sialome/links/cluster-b/anopheline-sialome-cds-pep-larger-orf35-50SimCLTL1.txt", 120)</f>
        <v>120</v>
      </c>
      <c r="BR364">
        <f>HYPERLINK("http://exon.niaid.nih.gov/transcriptome/Anopheles_sialome/links/cluster-b/anopheline-sialome-cds-pep-larger-orf40-50SimCLU2.txt", 2)</f>
        <v>2</v>
      </c>
      <c r="BS364">
        <f>HYPERLINK("http://exon.niaid.nih.gov/transcriptome/Anopheles_sialome/links/cluster-b/anopheline-sialome-cds-pep-larger-orf40-50SimCLTL2.txt", 83)</f>
        <v>83</v>
      </c>
      <c r="BT364">
        <f>HYPERLINK("http://exon.niaid.nih.gov/transcriptome/Anopheles_sialome/links/cluster-b/anopheline-sialome-cds-pep-larger-orf45-50SimCLU1.txt", 1)</f>
        <v>1</v>
      </c>
      <c r="BU364">
        <f>HYPERLINK("http://exon.niaid.nih.gov/transcriptome/Anopheles_sialome/links/cluster-b/anopheline-sialome-cds-pep-larger-orf45-50SimCLTL1.txt", 83)</f>
        <v>83</v>
      </c>
      <c r="BV364">
        <f>HYPERLINK("http://exon.niaid.nih.gov/transcriptome/Anopheles_sialome/links/cluster-b/anopheline-sialome-cds-pep-larger-orf50-50SimCLU1.txt", 1)</f>
        <v>1</v>
      </c>
      <c r="BW364">
        <f>HYPERLINK("http://exon.niaid.nih.gov/transcriptome/Anopheles_sialome/links/cluster-b/anopheline-sialome-cds-pep-larger-orf50-50SimCLTL1.txt", 83)</f>
        <v>83</v>
      </c>
      <c r="BX364">
        <f>HYPERLINK("http://exon.niaid.nih.gov/transcriptome/Anopheles_sialome/links/cluster-b/anopheline-sialome-cds-pep-larger-orf55-50SimCLU1.txt", 1)</f>
        <v>1</v>
      </c>
      <c r="BY364">
        <f>HYPERLINK("http://exon.niaid.nih.gov/transcriptome/Anopheles_sialome/links/cluster-b/anopheline-sialome-cds-pep-larger-orf55-50SimCLTL1.txt", 79)</f>
        <v>79</v>
      </c>
      <c r="BZ364">
        <f>HYPERLINK("http://exon.niaid.nih.gov/transcriptome/Anopheles_sialome/links/cluster-b/anopheline-sialome-cds-pep-larger-orf60-50SimCLU1.txt", 1)</f>
        <v>1</v>
      </c>
      <c r="CA364">
        <f>HYPERLINK("http://exon.niaid.nih.gov/transcriptome/Anopheles_sialome/links/cluster-b/anopheline-sialome-cds-pep-larger-orf60-50SimCLTL1.txt", 60)</f>
        <v>60</v>
      </c>
      <c r="CB364">
        <f>HYPERLINK("http://exon.niaid.nih.gov/transcriptome/Anopheles_sialome/links/cluster-b/anopheline-sialome-cds-pep-larger-orf65-50SimCLU1.txt", 1)</f>
        <v>1</v>
      </c>
      <c r="CC364">
        <f>HYPERLINK("http://exon.niaid.nih.gov/transcriptome/Anopheles_sialome/links/cluster-b/anopheline-sialome-cds-pep-larger-orf65-50SimCLTL1.txt", 60)</f>
        <v>60</v>
      </c>
      <c r="CD364">
        <f>HYPERLINK("http://exon.niaid.nih.gov/transcriptome/Anopheles_sialome/links/cluster-b/anopheline-sialome-cds-pep-larger-orf70-50SimCLU1.txt", 1)</f>
        <v>1</v>
      </c>
      <c r="CE364">
        <f>HYPERLINK("http://exon.niaid.nih.gov/transcriptome/Anopheles_sialome/links/cluster-b/anopheline-sialome-cds-pep-larger-orf70-50SimCLTL1.txt", 30)</f>
        <v>30</v>
      </c>
      <c r="CF364">
        <f>HYPERLINK("http://exon.niaid.nih.gov/transcriptome/Anopheles_sialome/links/cluster-b/anopheline-sialome-cds-pep-larger-orf75-50SimCLU1.txt", 1)</f>
        <v>1</v>
      </c>
      <c r="CG364">
        <f>HYPERLINK("http://exon.niaid.nih.gov/transcriptome/Anopheles_sialome/links/cluster-b/anopheline-sialome-cds-pep-larger-orf75-50SimCLTL1.txt", 30)</f>
        <v>30</v>
      </c>
      <c r="CH364">
        <f>HYPERLINK("http://exon.niaid.nih.gov/transcriptome/Anopheles_sialome/links/cluster-b/anopheline-sialome-cds-pep-larger-orf80-50SimCLU1.txt", 1)</f>
        <v>1</v>
      </c>
      <c r="CI364">
        <f>HYPERLINK("http://exon.niaid.nih.gov/transcriptome/Anopheles_sialome/links/cluster-b/anopheline-sialome-cds-pep-larger-orf80-50SimCLTL1.txt", 30)</f>
        <v>30</v>
      </c>
      <c r="CJ364">
        <f>HYPERLINK("http://exon.niaid.nih.gov/transcriptome/Anopheles_sialome/links/cluster-b/anopheline-sialome-cds-pep-larger-orf85-50SimCLU19.txt", 19)</f>
        <v>19</v>
      </c>
      <c r="CK364">
        <f>HYPERLINK("http://exon.niaid.nih.gov/transcriptome/Anopheles_sialome/links/cluster-b/anopheline-sialome-cds-pep-larger-orf85-50SimCLTL19.txt", 8)</f>
        <v>8</v>
      </c>
      <c r="CL364">
        <f>HYPERLINK("http://exon.niaid.nih.gov/transcriptome/Anopheles_sialome/links/cluster-b/anopheline-sialome-cds-pep-larger-orf90-50SimCLU13.txt", 13)</f>
        <v>13</v>
      </c>
      <c r="CM364">
        <f>HYPERLINK("http://exon.niaid.nih.gov/transcriptome/Anopheles_sialome/links/cluster-b/anopheline-sialome-cds-pep-larger-orf90-50SimCLTL13.txt", 7)</f>
        <v>7</v>
      </c>
      <c r="CN364">
        <f>HYPERLINK("http://exon.niaid.nih.gov/transcriptome/Anopheles_sialome/links/cluster-b/anopheline-sialome-cds-pep-larger-orf95-50SimCLU10.txt", 10)</f>
        <v>10</v>
      </c>
      <c r="CO364">
        <f>HYPERLINK("http://exon.niaid.nih.gov/transcriptome/Anopheles_sialome/links/cluster-b/anopheline-sialome-cds-pep-larger-orf95-50SimCLTL10.txt", 6)</f>
        <v>6</v>
      </c>
    </row>
    <row r="365" spans="1:93">
      <c r="A365" s="2" t="str">
        <f>HYPERLINK("http://exon.niaid.nih.gov/transcriptome/Anopheles_sialome/links/cds/anochris_D7r3-cds.txt","anochris_D7r3")</f>
        <v>anochris_D7r3</v>
      </c>
      <c r="B365">
        <v>510</v>
      </c>
      <c r="C365" t="s">
        <v>4</v>
      </c>
      <c r="D365" s="8" t="s">
        <v>3178</v>
      </c>
      <c r="E365" t="s">
        <v>5</v>
      </c>
      <c r="F365" t="s">
        <v>1</v>
      </c>
      <c r="G365" t="str">
        <f>HYPERLINK("http://exon.niaid.nih.gov/transcriptome/Anopheles_sialome/links/pep/anochris_D7r3-pep.txt","anochris_D7r3")</f>
        <v>anochris_D7r3</v>
      </c>
      <c r="H365">
        <v>169</v>
      </c>
      <c r="I365">
        <v>1</v>
      </c>
      <c r="J365" s="3" t="str">
        <f>HYPERLINK("http://exon.niaid.nih.gov/transcriptome/Anopheles_sialome/links/Sigp/anochris_D7r3-SigP.txt","SIG")</f>
        <v>SIG</v>
      </c>
      <c r="K365" t="s">
        <v>708</v>
      </c>
      <c r="L365">
        <v>18.797999999999998</v>
      </c>
      <c r="M365">
        <v>5.25</v>
      </c>
      <c r="N365">
        <v>16.23</v>
      </c>
      <c r="O365">
        <v>4.95</v>
      </c>
      <c r="P365" t="s">
        <v>1063</v>
      </c>
      <c r="Q365" s="3">
        <v>0</v>
      </c>
      <c r="R365" t="s">
        <v>128</v>
      </c>
      <c r="S365" t="s">
        <v>128</v>
      </c>
      <c r="T365" t="s">
        <v>128</v>
      </c>
      <c r="U365" t="s">
        <v>128</v>
      </c>
      <c r="V365" t="s">
        <v>128</v>
      </c>
      <c r="W365" s="3" t="str">
        <f>HYPERLINK("http://exon.niaid.nih.gov/transcriptome/Anopheles_sialome/links/netoglyc/anochris_D7r3-netoglyc.txt","0")</f>
        <v>0</v>
      </c>
      <c r="X365">
        <v>8.9</v>
      </c>
      <c r="Y365">
        <v>8.3000000000000007</v>
      </c>
      <c r="Z365">
        <v>1.8</v>
      </c>
      <c r="AA365" t="s">
        <v>654</v>
      </c>
      <c r="AB365" t="s">
        <v>128</v>
      </c>
      <c r="AC365" s="2" t="str">
        <f>HYPERLINK("http://exon.niaid.nih.gov/transcriptome/Anopheles_sialome/links/DIPTERA/anochris_D7r3-DIPTERA.txt","short form D7r3 salivary protein")</f>
        <v>short form D7r3 salivary protein</v>
      </c>
      <c r="AD365" t="str">
        <f>HYPERLINK("http://www.ncbi.nlm.nih.gov/sutils/blink.cgi?pid=16225968","4E-076")</f>
        <v>4E-076</v>
      </c>
      <c r="AE365" t="str">
        <f>HYPERLINK("http://www.ncbi.nlm.nih.gov/protein/16225968","gi|16225968")</f>
        <v>gi|16225968</v>
      </c>
      <c r="AF365">
        <v>83</v>
      </c>
      <c r="AG365">
        <v>91</v>
      </c>
      <c r="AH365">
        <v>92</v>
      </c>
      <c r="AI365" t="s">
        <v>2453</v>
      </c>
      <c r="AJ365" s="2" t="str">
        <f>HYPERLINK("http://exon.niaid.nih.gov/transcriptome/Anopheles_sialome/links/CULICOMORPHA/anochris_D7r3-CULICOMORPHA.txt","short form D7r3 salivary protein")</f>
        <v>short form D7r3 salivary protein</v>
      </c>
      <c r="AK365" t="str">
        <f>HYPERLINK("http://www.ncbi.nlm.nih.gov/sutils/blink.cgi?pid=16225968","7E-077")</f>
        <v>7E-077</v>
      </c>
      <c r="AL365" t="str">
        <f>HYPERLINK("http://www.ncbi.nlm.nih.gov/protein/16225968","gi|16225968")</f>
        <v>gi|16225968</v>
      </c>
      <c r="AM365">
        <v>83</v>
      </c>
      <c r="AN365">
        <v>91</v>
      </c>
      <c r="AO365">
        <v>92</v>
      </c>
      <c r="AP365" t="s">
        <v>2453</v>
      </c>
      <c r="AQ365" s="2" t="str">
        <f>HYPERLINK("http://exon.niaid.nih.gov/transcriptome/Anopheles_sialome/links/NR-LIGHT/anochris_D7r3-NR-LIGHT.txt","short form D7r3 salivary protein")</f>
        <v>short form D7r3 salivary protein</v>
      </c>
      <c r="AR365" t="str">
        <f>HYPERLINK("http://www.ncbi.nlm.nih.gov/sutils/blink.cgi?pid=16225968","9E-076")</f>
        <v>9E-076</v>
      </c>
      <c r="AS365" t="str">
        <f>HYPERLINK("http://www.ncbi.nlm.nih.gov/protein/16225968","gi|16225968")</f>
        <v>gi|16225968</v>
      </c>
      <c r="AT365">
        <v>83</v>
      </c>
      <c r="AU365">
        <v>91</v>
      </c>
      <c r="AV365">
        <v>92</v>
      </c>
      <c r="AW365" t="s">
        <v>2453</v>
      </c>
      <c r="AX365" s="2" t="str">
        <f>HYPERLINK("http://exon.niaid.nih.gov/transcriptome/Anopheles_sialome/links/CDD/anochris_D7r3-CDD.txt","PhBP")</f>
        <v>PhBP</v>
      </c>
      <c r="AY365" t="str">
        <f>HYPERLINK("http://www.ncbi.nlm.nih.gov/Structure/cdd/cddsrv.cgi?uid=smart00708&amp;version=v4.0","3E-006")</f>
        <v>3E-006</v>
      </c>
      <c r="AZ365" t="s">
        <v>2505</v>
      </c>
      <c r="BA365" s="2" t="str">
        <f>HYPERLINK("http://exon.niaid.nih.gov/transcriptome/Anopheles_sialome/links/KOG/anochris_D7r3-KOG.txt","Uncharacterized conserved protein, contains TBC, SH3 and RUN domains")</f>
        <v>Uncharacterized conserved protein, contains TBC, SH3 and RUN domains</v>
      </c>
      <c r="BB365" t="str">
        <f>HYPERLINK("http://www.ncbi.nlm.nih.gov/Structure/cdd/cddsrv.cgi?uid=KOG2222","0.73")</f>
        <v>0.73</v>
      </c>
      <c r="BC365" t="s">
        <v>2506</v>
      </c>
      <c r="BD365" t="str">
        <f>HYPERLINK("http://exon.niaid.nih.gov/transcriptome/Anopheles_sialome/links/KOG/anochris_D7r3-KOG.txt","KOG2222")</f>
        <v>KOG2222</v>
      </c>
      <c r="BE365" t="str">
        <f>HYPERLINK("http://exon.niaid.nih.gov/transcriptome/Anopheles_sialome/links/PFAM/anochris_D7r3-PFAM.txt","PBP_GOBP")</f>
        <v>PBP_GOBP</v>
      </c>
      <c r="BF365" t="str">
        <f>HYPERLINK("http://pfam.sanger.ac.uk/family?acc=PF01395","7E-006")</f>
        <v>7E-006</v>
      </c>
      <c r="BG365" s="2" t="str">
        <f>HYPERLINK("http://exon.niaid.nih.gov/transcriptome/Anopheles_sialome/links/SMART/anochris_D7r3-SMART.txt","PhBP")</f>
        <v>PhBP</v>
      </c>
      <c r="BH365" t="str">
        <f>HYPERLINK("http://smart.embl-heidelberg.de/smart/do_annotation.pl?DOMAIN=PhBP&amp;BLAST=DUMMY","4E-008")</f>
        <v>4E-008</v>
      </c>
      <c r="BI365" t="s">
        <v>128</v>
      </c>
      <c r="BJ365" s="2" t="s">
        <v>128</v>
      </c>
      <c r="BK365" t="s">
        <v>1062</v>
      </c>
      <c r="BL365">
        <f>HYPERLINK("http://exon.niaid.nih.gov/transcriptome/Anopheles_sialome/links/cluster-b/anopheline-sialome-cds-pep-larger-orf25-50SimCLU2.txt", 2)</f>
        <v>2</v>
      </c>
      <c r="BM365">
        <f>HYPERLINK("http://exon.niaid.nih.gov/transcriptome/Anopheles_sialome/links/cluster-b/anopheline-sialome-cds-pep-larger-orf25-50SimCLTL2.txt", 120)</f>
        <v>120</v>
      </c>
      <c r="BN365">
        <f>HYPERLINK("http://exon.niaid.nih.gov/transcriptome/Anopheles_sialome/links/cluster-b/anopheline-sialome-cds-pep-larger-orf30-50SimCLU2.txt", 2)</f>
        <v>2</v>
      </c>
      <c r="BO365">
        <f>HYPERLINK("http://exon.niaid.nih.gov/transcriptome/Anopheles_sialome/links/cluster-b/anopheline-sialome-cds-pep-larger-orf30-50SimCLTL2.txt", 120)</f>
        <v>120</v>
      </c>
      <c r="BP365">
        <f>HYPERLINK("http://exon.niaid.nih.gov/transcriptome/Anopheles_sialome/links/cluster-b/anopheline-sialome-cds-pep-larger-orf35-50SimCLU1.txt", 1)</f>
        <v>1</v>
      </c>
      <c r="BQ365">
        <f>HYPERLINK("http://exon.niaid.nih.gov/transcriptome/Anopheles_sialome/links/cluster-b/anopheline-sialome-cds-pep-larger-orf35-50SimCLTL1.txt", 120)</f>
        <v>120</v>
      </c>
      <c r="BR365">
        <f>HYPERLINK("http://exon.niaid.nih.gov/transcriptome/Anopheles_sialome/links/cluster-b/anopheline-sialome-cds-pep-larger-orf40-50SimCLU2.txt", 2)</f>
        <v>2</v>
      </c>
      <c r="BS365">
        <f>HYPERLINK("http://exon.niaid.nih.gov/transcriptome/Anopheles_sialome/links/cluster-b/anopheline-sialome-cds-pep-larger-orf40-50SimCLTL2.txt", 83)</f>
        <v>83</v>
      </c>
      <c r="BT365">
        <f>HYPERLINK("http://exon.niaid.nih.gov/transcriptome/Anopheles_sialome/links/cluster-b/anopheline-sialome-cds-pep-larger-orf45-50SimCLU1.txt", 1)</f>
        <v>1</v>
      </c>
      <c r="BU365">
        <f>HYPERLINK("http://exon.niaid.nih.gov/transcriptome/Anopheles_sialome/links/cluster-b/anopheline-sialome-cds-pep-larger-orf45-50SimCLTL1.txt", 83)</f>
        <v>83</v>
      </c>
      <c r="BV365">
        <f>HYPERLINK("http://exon.niaid.nih.gov/transcriptome/Anopheles_sialome/links/cluster-b/anopheline-sialome-cds-pep-larger-orf50-50SimCLU1.txt", 1)</f>
        <v>1</v>
      </c>
      <c r="BW365">
        <f>HYPERLINK("http://exon.niaid.nih.gov/transcriptome/Anopheles_sialome/links/cluster-b/anopheline-sialome-cds-pep-larger-orf50-50SimCLTL1.txt", 83)</f>
        <v>83</v>
      </c>
      <c r="BX365">
        <f>HYPERLINK("http://exon.niaid.nih.gov/transcriptome/Anopheles_sialome/links/cluster-b/anopheline-sialome-cds-pep-larger-orf55-50SimCLU1.txt", 1)</f>
        <v>1</v>
      </c>
      <c r="BY365">
        <f>HYPERLINK("http://exon.niaid.nih.gov/transcriptome/Anopheles_sialome/links/cluster-b/anopheline-sialome-cds-pep-larger-orf55-50SimCLTL1.txt", 79)</f>
        <v>79</v>
      </c>
      <c r="BZ365">
        <f>HYPERLINK("http://exon.niaid.nih.gov/transcriptome/Anopheles_sialome/links/cluster-b/anopheline-sialome-cds-pep-larger-orf60-50SimCLU1.txt", 1)</f>
        <v>1</v>
      </c>
      <c r="CA365">
        <f>HYPERLINK("http://exon.niaid.nih.gov/transcriptome/Anopheles_sialome/links/cluster-b/anopheline-sialome-cds-pep-larger-orf60-50SimCLTL1.txt", 60)</f>
        <v>60</v>
      </c>
      <c r="CB365">
        <f>HYPERLINK("http://exon.niaid.nih.gov/transcriptome/Anopheles_sialome/links/cluster-b/anopheline-sialome-cds-pep-larger-orf65-50SimCLU1.txt", 1)</f>
        <v>1</v>
      </c>
      <c r="CC365">
        <f>HYPERLINK("http://exon.niaid.nih.gov/transcriptome/Anopheles_sialome/links/cluster-b/anopheline-sialome-cds-pep-larger-orf65-50SimCLTL1.txt", 60)</f>
        <v>60</v>
      </c>
      <c r="CD365">
        <f>HYPERLINK("http://exon.niaid.nih.gov/transcriptome/Anopheles_sialome/links/cluster-b/anopheline-sialome-cds-pep-larger-orf70-50SimCLU1.txt", 1)</f>
        <v>1</v>
      </c>
      <c r="CE365">
        <f>HYPERLINK("http://exon.niaid.nih.gov/transcriptome/Anopheles_sialome/links/cluster-b/anopheline-sialome-cds-pep-larger-orf70-50SimCLTL1.txt", 30)</f>
        <v>30</v>
      </c>
      <c r="CF365">
        <f>HYPERLINK("http://exon.niaid.nih.gov/transcriptome/Anopheles_sialome/links/cluster-b/anopheline-sialome-cds-pep-larger-orf75-50SimCLU1.txt", 1)</f>
        <v>1</v>
      </c>
      <c r="CG365">
        <f>HYPERLINK("http://exon.niaid.nih.gov/transcriptome/Anopheles_sialome/links/cluster-b/anopheline-sialome-cds-pep-larger-orf75-50SimCLTL1.txt", 30)</f>
        <v>30</v>
      </c>
      <c r="CH365">
        <f>HYPERLINK("http://exon.niaid.nih.gov/transcriptome/Anopheles_sialome/links/cluster-b/anopheline-sialome-cds-pep-larger-orf80-50SimCLU1.txt", 1)</f>
        <v>1</v>
      </c>
      <c r="CI365">
        <f>HYPERLINK("http://exon.niaid.nih.gov/transcriptome/Anopheles_sialome/links/cluster-b/anopheline-sialome-cds-pep-larger-orf80-50SimCLTL1.txt", 30)</f>
        <v>30</v>
      </c>
      <c r="CJ365">
        <f>HYPERLINK("http://exon.niaid.nih.gov/transcriptome/Anopheles_sialome/links/cluster-b/anopheline-sialome-cds-pep-larger-orf85-50SimCLU19.txt", 19)</f>
        <v>19</v>
      </c>
      <c r="CK365">
        <f>HYPERLINK("http://exon.niaid.nih.gov/transcriptome/Anopheles_sialome/links/cluster-b/anopheline-sialome-cds-pep-larger-orf85-50SimCLTL19.txt", 8)</f>
        <v>8</v>
      </c>
      <c r="CL365">
        <f>HYPERLINK("http://exon.niaid.nih.gov/transcriptome/Anopheles_sialome/links/cluster-b/anopheline-sialome-cds-pep-larger-orf90-50SimCLU13.txt", 13)</f>
        <v>13</v>
      </c>
      <c r="CM365">
        <f>HYPERLINK("http://exon.niaid.nih.gov/transcriptome/Anopheles_sialome/links/cluster-b/anopheline-sialome-cds-pep-larger-orf90-50SimCLTL13.txt", 7)</f>
        <v>7</v>
      </c>
      <c r="CN365">
        <v>174</v>
      </c>
      <c r="CO365">
        <v>1</v>
      </c>
    </row>
    <row r="366" spans="1:93">
      <c r="A366" s="2" t="str">
        <f>HYPERLINK("http://exon.niaid.nih.gov/transcriptome/Anopheles_sialome/links/cds/anoepi_D7r3-cds.txt","anoepi_D7r3")</f>
        <v>anoepi_D7r3</v>
      </c>
      <c r="B366">
        <v>510</v>
      </c>
      <c r="C366" t="s">
        <v>153</v>
      </c>
      <c r="D366" t="s">
        <v>7</v>
      </c>
      <c r="E366" t="s">
        <v>5</v>
      </c>
      <c r="F366" t="s">
        <v>1</v>
      </c>
      <c r="G366" t="str">
        <f>HYPERLINK("http://exon.niaid.nih.gov/transcriptome/Anopheles_sialome/links/pep/anoepi_D7r3-pep.txt","anoepi_D7r3")</f>
        <v>anoepi_D7r3</v>
      </c>
      <c r="H366">
        <v>169</v>
      </c>
      <c r="I366">
        <v>1</v>
      </c>
      <c r="J366" s="3" t="str">
        <f>HYPERLINK("http://exon.niaid.nih.gov/transcriptome/Anopheles_sialome/links/Sigp/anoepi_D7r3-SigP.txt","SIG")</f>
        <v>SIG</v>
      </c>
      <c r="K366" t="s">
        <v>689</v>
      </c>
      <c r="L366">
        <v>18.611999999999998</v>
      </c>
      <c r="M366">
        <v>4.97</v>
      </c>
      <c r="N366">
        <v>16.241</v>
      </c>
      <c r="O366">
        <v>4.76</v>
      </c>
      <c r="P366" t="s">
        <v>1065</v>
      </c>
      <c r="Q366" s="3">
        <v>0</v>
      </c>
      <c r="R366" t="s">
        <v>128</v>
      </c>
      <c r="S366" t="s">
        <v>128</v>
      </c>
      <c r="T366" t="s">
        <v>128</v>
      </c>
      <c r="U366" t="s">
        <v>128</v>
      </c>
      <c r="V366" t="s">
        <v>128</v>
      </c>
      <c r="W366" s="3" t="str">
        <f>HYPERLINK("http://exon.niaid.nih.gov/transcriptome/Anopheles_sialome/links/netoglyc/anoepi_D7r3-netoglyc.txt","0")</f>
        <v>0</v>
      </c>
      <c r="X366">
        <v>8.9</v>
      </c>
      <c r="Y366">
        <v>7.1</v>
      </c>
      <c r="Z366">
        <v>2.4</v>
      </c>
      <c r="AA366" t="s">
        <v>654</v>
      </c>
      <c r="AB366" t="s">
        <v>128</v>
      </c>
      <c r="AC366" s="2" t="str">
        <f>HYPERLINK("http://exon.niaid.nih.gov/transcriptome/Anopheles_sialome/links/DIPTERA/anoepi_D7r3-DIPTERA.txt","AGAP008283-PA, partial")</f>
        <v>AGAP008283-PA, partial</v>
      </c>
      <c r="AD366" t="str">
        <f>HYPERLINK("http://www.ncbi.nlm.nih.gov/sutils/blink.cgi?pid=116123045","9E-075")</f>
        <v>9E-075</v>
      </c>
      <c r="AE366" t="str">
        <f>HYPERLINK("http://www.ncbi.nlm.nih.gov/protein/116123045","gi|116123045")</f>
        <v>gi|116123045</v>
      </c>
      <c r="AF366">
        <v>80</v>
      </c>
      <c r="AG366">
        <v>88</v>
      </c>
      <c r="AH366">
        <v>94</v>
      </c>
      <c r="AI366" t="s">
        <v>2285</v>
      </c>
      <c r="AJ366" s="2" t="str">
        <f>HYPERLINK("http://exon.niaid.nih.gov/transcriptome/Anopheles_sialome/links/CULICOMORPHA/anoepi_D7r3-CULICOMORPHA.txt","AGAP008283-PA, partial")</f>
        <v>AGAP008283-PA, partial</v>
      </c>
      <c r="AK366" t="str">
        <f>HYPERLINK("http://www.ncbi.nlm.nih.gov/sutils/blink.cgi?pid=116123045","2E-075")</f>
        <v>2E-075</v>
      </c>
      <c r="AL366" t="str">
        <f>HYPERLINK("http://www.ncbi.nlm.nih.gov/protein/116123045","gi|116123045")</f>
        <v>gi|116123045</v>
      </c>
      <c r="AM366">
        <v>80</v>
      </c>
      <c r="AN366">
        <v>88</v>
      </c>
      <c r="AO366">
        <v>94</v>
      </c>
      <c r="AP366" t="s">
        <v>2285</v>
      </c>
      <c r="AQ366" s="2" t="str">
        <f>HYPERLINK("http://exon.niaid.nih.gov/transcriptome/Anopheles_sialome/links/NR-LIGHT/anoepi_D7r3-NR-LIGHT.txt","AGAP008283-PA")</f>
        <v>AGAP008283-PA</v>
      </c>
      <c r="AR366" t="str">
        <f>HYPERLINK("http://www.ncbi.nlm.nih.gov/sutils/blink.cgi?pid=118789068","2E-074")</f>
        <v>2E-074</v>
      </c>
      <c r="AS366" t="str">
        <f>HYPERLINK("http://www.ncbi.nlm.nih.gov/protein/118789068","gi|118789068")</f>
        <v>gi|118789068</v>
      </c>
      <c r="AT366">
        <v>80</v>
      </c>
      <c r="AU366">
        <v>88</v>
      </c>
      <c r="AV366">
        <v>94</v>
      </c>
      <c r="AW366" t="s">
        <v>2285</v>
      </c>
      <c r="AX366" s="2" t="str">
        <f>HYPERLINK("http://exon.niaid.nih.gov/transcriptome/Anopheles_sialome/links/CDD/anoepi_D7r3-CDD.txt","PBP_GOBP")</f>
        <v>PBP_GOBP</v>
      </c>
      <c r="AY366" t="str">
        <f>HYPERLINK("http://www.ncbi.nlm.nih.gov/Structure/cdd/cddsrv.cgi?uid=pfam01395&amp;version=v4.0","8E-008")</f>
        <v>8E-008</v>
      </c>
      <c r="AZ366" t="s">
        <v>2507</v>
      </c>
      <c r="BA366" s="2" t="str">
        <f>HYPERLINK("http://exon.niaid.nih.gov/transcriptome/Anopheles_sialome/links/KOG/anoepi_D7r3-KOG.txt","Uncharacterized conserved protein, contains TBC domain")</f>
        <v>Uncharacterized conserved protein, contains TBC domain</v>
      </c>
      <c r="BB366" t="str">
        <f>HYPERLINK("http://www.ncbi.nlm.nih.gov/Structure/cdd/cddsrv.cgi?uid=KOG2223","1.5")</f>
        <v>1.5</v>
      </c>
      <c r="BC366" t="s">
        <v>2506</v>
      </c>
      <c r="BD366" t="str">
        <f>HYPERLINK("http://exon.niaid.nih.gov/transcriptome/Anopheles_sialome/links/KOG/anoepi_D7r3-KOG.txt","KOG2223")</f>
        <v>KOG2223</v>
      </c>
      <c r="BE366" t="str">
        <f>HYPERLINK("http://exon.niaid.nih.gov/transcriptome/Anopheles_sialome/links/PFAM/anoepi_D7r3-PFAM.txt","PBP_GOBP")</f>
        <v>PBP_GOBP</v>
      </c>
      <c r="BF366" t="str">
        <f>HYPERLINK("http://pfam.sanger.ac.uk/family?acc=PF01395","2E-008")</f>
        <v>2E-008</v>
      </c>
      <c r="BG366" s="2" t="str">
        <f>HYPERLINK("http://exon.niaid.nih.gov/transcriptome/Anopheles_sialome/links/SMART/anoepi_D7r3-SMART.txt","PhBP")</f>
        <v>PhBP</v>
      </c>
      <c r="BH366" t="str">
        <f>HYPERLINK("http://smart.embl-heidelberg.de/smart/do_annotation.pl?DOMAIN=PhBP&amp;BLAST=DUMMY","2E-009")</f>
        <v>2E-009</v>
      </c>
      <c r="BI366" t="s">
        <v>128</v>
      </c>
      <c r="BJ366" s="2" t="s">
        <v>128</v>
      </c>
      <c r="BK366" t="s">
        <v>1064</v>
      </c>
      <c r="BL366">
        <f>HYPERLINK("http://exon.niaid.nih.gov/transcriptome/Anopheles_sialome/links/cluster-b/anopheline-sialome-cds-pep-larger-orf25-50SimCLU2.txt", 2)</f>
        <v>2</v>
      </c>
      <c r="BM366">
        <f>HYPERLINK("http://exon.niaid.nih.gov/transcriptome/Anopheles_sialome/links/cluster-b/anopheline-sialome-cds-pep-larger-orf25-50SimCLTL2.txt", 120)</f>
        <v>120</v>
      </c>
      <c r="BN366">
        <f>HYPERLINK("http://exon.niaid.nih.gov/transcriptome/Anopheles_sialome/links/cluster-b/anopheline-sialome-cds-pep-larger-orf30-50SimCLU2.txt", 2)</f>
        <v>2</v>
      </c>
      <c r="BO366">
        <f>HYPERLINK("http://exon.niaid.nih.gov/transcriptome/Anopheles_sialome/links/cluster-b/anopheline-sialome-cds-pep-larger-orf30-50SimCLTL2.txt", 120)</f>
        <v>120</v>
      </c>
      <c r="BP366">
        <f>HYPERLINK("http://exon.niaid.nih.gov/transcriptome/Anopheles_sialome/links/cluster-b/anopheline-sialome-cds-pep-larger-orf35-50SimCLU1.txt", 1)</f>
        <v>1</v>
      </c>
      <c r="BQ366">
        <f>HYPERLINK("http://exon.niaid.nih.gov/transcriptome/Anopheles_sialome/links/cluster-b/anopheline-sialome-cds-pep-larger-orf35-50SimCLTL1.txt", 120)</f>
        <v>120</v>
      </c>
      <c r="BR366">
        <f>HYPERLINK("http://exon.niaid.nih.gov/transcriptome/Anopheles_sialome/links/cluster-b/anopheline-sialome-cds-pep-larger-orf40-50SimCLU2.txt", 2)</f>
        <v>2</v>
      </c>
      <c r="BS366">
        <f>HYPERLINK("http://exon.niaid.nih.gov/transcriptome/Anopheles_sialome/links/cluster-b/anopheline-sialome-cds-pep-larger-orf40-50SimCLTL2.txt", 83)</f>
        <v>83</v>
      </c>
      <c r="BT366">
        <f>HYPERLINK("http://exon.niaid.nih.gov/transcriptome/Anopheles_sialome/links/cluster-b/anopheline-sialome-cds-pep-larger-orf45-50SimCLU1.txt", 1)</f>
        <v>1</v>
      </c>
      <c r="BU366">
        <f>HYPERLINK("http://exon.niaid.nih.gov/transcriptome/Anopheles_sialome/links/cluster-b/anopheline-sialome-cds-pep-larger-orf45-50SimCLTL1.txt", 83)</f>
        <v>83</v>
      </c>
      <c r="BV366">
        <f>HYPERLINK("http://exon.niaid.nih.gov/transcriptome/Anopheles_sialome/links/cluster-b/anopheline-sialome-cds-pep-larger-orf50-50SimCLU1.txt", 1)</f>
        <v>1</v>
      </c>
      <c r="BW366">
        <f>HYPERLINK("http://exon.niaid.nih.gov/transcriptome/Anopheles_sialome/links/cluster-b/anopheline-sialome-cds-pep-larger-orf50-50SimCLTL1.txt", 83)</f>
        <v>83</v>
      </c>
      <c r="BX366">
        <f>HYPERLINK("http://exon.niaid.nih.gov/transcriptome/Anopheles_sialome/links/cluster-b/anopheline-sialome-cds-pep-larger-orf55-50SimCLU1.txt", 1)</f>
        <v>1</v>
      </c>
      <c r="BY366">
        <f>HYPERLINK("http://exon.niaid.nih.gov/transcriptome/Anopheles_sialome/links/cluster-b/anopheline-sialome-cds-pep-larger-orf55-50SimCLTL1.txt", 79)</f>
        <v>79</v>
      </c>
      <c r="BZ366">
        <f>HYPERLINK("http://exon.niaid.nih.gov/transcriptome/Anopheles_sialome/links/cluster-b/anopheline-sialome-cds-pep-larger-orf60-50SimCLU1.txt", 1)</f>
        <v>1</v>
      </c>
      <c r="CA366">
        <f>HYPERLINK("http://exon.niaid.nih.gov/transcriptome/Anopheles_sialome/links/cluster-b/anopheline-sialome-cds-pep-larger-orf60-50SimCLTL1.txt", 60)</f>
        <v>60</v>
      </c>
      <c r="CB366">
        <f>HYPERLINK("http://exon.niaid.nih.gov/transcriptome/Anopheles_sialome/links/cluster-b/anopheline-sialome-cds-pep-larger-orf65-50SimCLU1.txt", 1)</f>
        <v>1</v>
      </c>
      <c r="CC366">
        <f>HYPERLINK("http://exon.niaid.nih.gov/transcriptome/Anopheles_sialome/links/cluster-b/anopheline-sialome-cds-pep-larger-orf65-50SimCLTL1.txt", 60)</f>
        <v>60</v>
      </c>
      <c r="CD366">
        <f>HYPERLINK("http://exon.niaid.nih.gov/transcriptome/Anopheles_sialome/links/cluster-b/anopheline-sialome-cds-pep-larger-orf70-50SimCLU1.txt", 1)</f>
        <v>1</v>
      </c>
      <c r="CE366">
        <f>HYPERLINK("http://exon.niaid.nih.gov/transcriptome/Anopheles_sialome/links/cluster-b/anopheline-sialome-cds-pep-larger-orf70-50SimCLTL1.txt", 30)</f>
        <v>30</v>
      </c>
      <c r="CF366">
        <f>HYPERLINK("http://exon.niaid.nih.gov/transcriptome/Anopheles_sialome/links/cluster-b/anopheline-sialome-cds-pep-larger-orf75-50SimCLU1.txt", 1)</f>
        <v>1</v>
      </c>
      <c r="CG366">
        <f>HYPERLINK("http://exon.niaid.nih.gov/transcriptome/Anopheles_sialome/links/cluster-b/anopheline-sialome-cds-pep-larger-orf75-50SimCLTL1.txt", 30)</f>
        <v>30</v>
      </c>
      <c r="CH366">
        <f>HYPERLINK("http://exon.niaid.nih.gov/transcriptome/Anopheles_sialome/links/cluster-b/anopheline-sialome-cds-pep-larger-orf80-50SimCLU1.txt", 1)</f>
        <v>1</v>
      </c>
      <c r="CI366">
        <f>HYPERLINK("http://exon.niaid.nih.gov/transcriptome/Anopheles_sialome/links/cluster-b/anopheline-sialome-cds-pep-larger-orf80-50SimCLTL1.txt", 30)</f>
        <v>30</v>
      </c>
      <c r="CJ366">
        <f>HYPERLINK("http://exon.niaid.nih.gov/transcriptome/Anopheles_sialome/links/cluster-b/anopheline-sialome-cds-pep-larger-orf85-50SimCLU19.txt", 19)</f>
        <v>19</v>
      </c>
      <c r="CK366">
        <f>HYPERLINK("http://exon.niaid.nih.gov/transcriptome/Anopheles_sialome/links/cluster-b/anopheline-sialome-cds-pep-larger-orf85-50SimCLTL19.txt", 8)</f>
        <v>8</v>
      </c>
      <c r="CL366">
        <v>168</v>
      </c>
      <c r="CM366">
        <v>1</v>
      </c>
      <c r="CN366">
        <v>175</v>
      </c>
      <c r="CO366">
        <v>1</v>
      </c>
    </row>
    <row r="367" spans="1:93">
      <c r="A367" s="2" t="str">
        <f>HYPERLINK("http://exon.niaid.nih.gov/transcriptome/Anopheles_sialome/links/cds/anofun_D7r3-cds.txt","anofun_D7r3")</f>
        <v>anofun_D7r3</v>
      </c>
      <c r="B367">
        <v>510</v>
      </c>
      <c r="C367" t="s">
        <v>154</v>
      </c>
      <c r="D367" t="s">
        <v>7</v>
      </c>
      <c r="E367" t="s">
        <v>5</v>
      </c>
      <c r="F367" t="s">
        <v>1</v>
      </c>
      <c r="G367" t="str">
        <f>HYPERLINK("http://exon.niaid.nih.gov/transcriptome/Anopheles_sialome/links/pep/anofun_D7r3-pep.txt","anofun_D7r3")</f>
        <v>anofun_D7r3</v>
      </c>
      <c r="H367">
        <v>169</v>
      </c>
      <c r="I367">
        <v>0</v>
      </c>
      <c r="J367" s="3" t="str">
        <f>HYPERLINK("http://exon.niaid.nih.gov/transcriptome/Anopheles_sialome/links/Sigp/anofun_D7r3-SigP.txt","SIG")</f>
        <v>SIG</v>
      </c>
      <c r="K367" t="s">
        <v>689</v>
      </c>
      <c r="L367">
        <v>18.995000000000001</v>
      </c>
      <c r="M367">
        <v>6.81</v>
      </c>
      <c r="N367">
        <v>16.655999999999999</v>
      </c>
      <c r="O367">
        <v>5.63</v>
      </c>
      <c r="P367" t="s">
        <v>1021</v>
      </c>
      <c r="Q367" s="3">
        <v>0</v>
      </c>
      <c r="R367" t="s">
        <v>128</v>
      </c>
      <c r="S367" t="s">
        <v>128</v>
      </c>
      <c r="T367" t="s">
        <v>128</v>
      </c>
      <c r="U367" t="s">
        <v>128</v>
      </c>
      <c r="V367" t="s">
        <v>128</v>
      </c>
      <c r="W367" s="3" t="str">
        <f>HYPERLINK("http://exon.niaid.nih.gov/transcriptome/Anopheles_sialome/links/netoglyc/anofun_D7r3-netoglyc.txt","0")</f>
        <v>0</v>
      </c>
      <c r="X367">
        <v>10.7</v>
      </c>
      <c r="Y367">
        <v>5.9</v>
      </c>
      <c r="Z367">
        <v>1.8</v>
      </c>
      <c r="AA367" t="s">
        <v>654</v>
      </c>
      <c r="AB367" t="s">
        <v>128</v>
      </c>
      <c r="AC367" s="2" t="str">
        <f>HYPERLINK("http://exon.niaid.nih.gov/transcriptome/Anopheles_sialome/links/DIPTERA/anofun_D7r3-DIPTERA.txt","short form D7 salivary protein 3")</f>
        <v>short form D7 salivary protein 3</v>
      </c>
      <c r="AD367" t="str">
        <f>HYPERLINK("http://www.ncbi.nlm.nih.gov/sutils/blink.cgi?pid=114864694","6E-089")</f>
        <v>6E-089</v>
      </c>
      <c r="AE367" t="str">
        <f>HYPERLINK("http://www.ncbi.nlm.nih.gov/protein/114864694","gi|114864694")</f>
        <v>gi|114864694</v>
      </c>
      <c r="AF367">
        <v>96</v>
      </c>
      <c r="AG367">
        <v>98</v>
      </c>
      <c r="AH367">
        <v>100</v>
      </c>
      <c r="AI367" t="s">
        <v>2266</v>
      </c>
      <c r="AJ367" s="2" t="str">
        <f>HYPERLINK("http://exon.niaid.nih.gov/transcriptome/Anopheles_sialome/links/CULICOMORPHA/anofun_D7r3-CULICOMORPHA.txt","short form D7 salivary protein 3")</f>
        <v>short form D7 salivary protein 3</v>
      </c>
      <c r="AK367" t="str">
        <f>HYPERLINK("http://www.ncbi.nlm.nih.gov/sutils/blink.cgi?pid=114864694","1E-089")</f>
        <v>1E-089</v>
      </c>
      <c r="AL367" t="str">
        <f>HYPERLINK("http://www.ncbi.nlm.nih.gov/protein/114864694","gi|114864694")</f>
        <v>gi|114864694</v>
      </c>
      <c r="AM367">
        <v>96</v>
      </c>
      <c r="AN367">
        <v>98</v>
      </c>
      <c r="AO367">
        <v>100</v>
      </c>
      <c r="AP367" t="s">
        <v>2266</v>
      </c>
      <c r="AQ367" s="2" t="str">
        <f>HYPERLINK("http://exon.niaid.nih.gov/transcriptome/Anopheles_sialome/links/NR-LIGHT/anofun_D7r3-NR-LIGHT.txt","short form D7 salivary protein 3")</f>
        <v>short form D7 salivary protein 3</v>
      </c>
      <c r="AR367" t="str">
        <f>HYPERLINK("http://www.ncbi.nlm.nih.gov/sutils/blink.cgi?pid=114864694","2E-088")</f>
        <v>2E-088</v>
      </c>
      <c r="AS367" t="str">
        <f>HYPERLINK("http://www.ncbi.nlm.nih.gov/protein/114864694","gi|114864694")</f>
        <v>gi|114864694</v>
      </c>
      <c r="AT367">
        <v>96</v>
      </c>
      <c r="AU367">
        <v>98</v>
      </c>
      <c r="AV367">
        <v>100</v>
      </c>
      <c r="AW367" t="s">
        <v>2266</v>
      </c>
      <c r="AX367" s="2" t="str">
        <f>HYPERLINK("http://exon.niaid.nih.gov/transcriptome/Anopheles_sialome/links/CDD/anofun_D7r3-CDD.txt","PhBP")</f>
        <v>PhBP</v>
      </c>
      <c r="AY367" t="str">
        <f>HYPERLINK("http://www.ncbi.nlm.nih.gov/Structure/cdd/cddsrv.cgi?uid=smart00708&amp;version=v4.0","3E-007")</f>
        <v>3E-007</v>
      </c>
      <c r="AZ367" t="s">
        <v>2508</v>
      </c>
      <c r="BA367" s="2" t="str">
        <f>HYPERLINK("http://exon.niaid.nih.gov/transcriptome/Anopheles_sialome/links/KOG/anofun_D7r3-KOG.txt","Myosin class I heavy chain")</f>
        <v>Myosin class I heavy chain</v>
      </c>
      <c r="BB367" t="str">
        <f>HYPERLINK("http://www.ncbi.nlm.nih.gov/Structure/cdd/cddsrv.cgi?uid=KOG0162","0.47")</f>
        <v>0.47</v>
      </c>
      <c r="BC367" t="s">
        <v>2312</v>
      </c>
      <c r="BD367" t="str">
        <f>HYPERLINK("http://exon.niaid.nih.gov/transcriptome/Anopheles_sialome/links/KOG/anofun_D7r3-KOG.txt","KOG0162")</f>
        <v>KOG0162</v>
      </c>
      <c r="BE367" t="str">
        <f>HYPERLINK("http://exon.niaid.nih.gov/transcriptome/Anopheles_sialome/links/PFAM/anofun_D7r3-PFAM.txt","PBP_GOBP")</f>
        <v>PBP_GOBP</v>
      </c>
      <c r="BF367" t="str">
        <f>HYPERLINK("http://pfam.sanger.ac.uk/family?acc=PF01395","1E-006")</f>
        <v>1E-006</v>
      </c>
      <c r="BG367" s="2" t="str">
        <f>HYPERLINK("http://exon.niaid.nih.gov/transcriptome/Anopheles_sialome/links/SMART/anofun_D7r3-SMART.txt","PhBP")</f>
        <v>PhBP</v>
      </c>
      <c r="BH367" t="str">
        <f>HYPERLINK("http://smart.embl-heidelberg.de/smart/do_annotation.pl?DOMAIN=PhBP&amp;BLAST=DUMMY","4E-009")</f>
        <v>4E-009</v>
      </c>
      <c r="BI367" t="s">
        <v>128</v>
      </c>
      <c r="BJ367" s="2" t="s">
        <v>128</v>
      </c>
      <c r="BK367" t="s">
        <v>1066</v>
      </c>
      <c r="BL367">
        <f>HYPERLINK("http://exon.niaid.nih.gov/transcriptome/Anopheles_sialome/links/cluster-b/anopheline-sialome-cds-pep-larger-orf25-50SimCLU2.txt", 2)</f>
        <v>2</v>
      </c>
      <c r="BM367">
        <f>HYPERLINK("http://exon.niaid.nih.gov/transcriptome/Anopheles_sialome/links/cluster-b/anopheline-sialome-cds-pep-larger-orf25-50SimCLTL2.txt", 120)</f>
        <v>120</v>
      </c>
      <c r="BN367">
        <f>HYPERLINK("http://exon.niaid.nih.gov/transcriptome/Anopheles_sialome/links/cluster-b/anopheline-sialome-cds-pep-larger-orf30-50SimCLU2.txt", 2)</f>
        <v>2</v>
      </c>
      <c r="BO367">
        <f>HYPERLINK("http://exon.niaid.nih.gov/transcriptome/Anopheles_sialome/links/cluster-b/anopheline-sialome-cds-pep-larger-orf30-50SimCLTL2.txt", 120)</f>
        <v>120</v>
      </c>
      <c r="BP367">
        <f>HYPERLINK("http://exon.niaid.nih.gov/transcriptome/Anopheles_sialome/links/cluster-b/anopheline-sialome-cds-pep-larger-orf35-50SimCLU1.txt", 1)</f>
        <v>1</v>
      </c>
      <c r="BQ367">
        <f>HYPERLINK("http://exon.niaid.nih.gov/transcriptome/Anopheles_sialome/links/cluster-b/anopheline-sialome-cds-pep-larger-orf35-50SimCLTL1.txt", 120)</f>
        <v>120</v>
      </c>
      <c r="BR367">
        <f>HYPERLINK("http://exon.niaid.nih.gov/transcriptome/Anopheles_sialome/links/cluster-b/anopheline-sialome-cds-pep-larger-orf40-50SimCLU2.txt", 2)</f>
        <v>2</v>
      </c>
      <c r="BS367">
        <f>HYPERLINK("http://exon.niaid.nih.gov/transcriptome/Anopheles_sialome/links/cluster-b/anopheline-sialome-cds-pep-larger-orf40-50SimCLTL2.txt", 83)</f>
        <v>83</v>
      </c>
      <c r="BT367">
        <f>HYPERLINK("http://exon.niaid.nih.gov/transcriptome/Anopheles_sialome/links/cluster-b/anopheline-sialome-cds-pep-larger-orf45-50SimCLU1.txt", 1)</f>
        <v>1</v>
      </c>
      <c r="BU367">
        <f>HYPERLINK("http://exon.niaid.nih.gov/transcriptome/Anopheles_sialome/links/cluster-b/anopheline-sialome-cds-pep-larger-orf45-50SimCLTL1.txt", 83)</f>
        <v>83</v>
      </c>
      <c r="BV367">
        <f>HYPERLINK("http://exon.niaid.nih.gov/transcriptome/Anopheles_sialome/links/cluster-b/anopheline-sialome-cds-pep-larger-orf50-50SimCLU1.txt", 1)</f>
        <v>1</v>
      </c>
      <c r="BW367">
        <f>HYPERLINK("http://exon.niaid.nih.gov/transcriptome/Anopheles_sialome/links/cluster-b/anopheline-sialome-cds-pep-larger-orf50-50SimCLTL1.txt", 83)</f>
        <v>83</v>
      </c>
      <c r="BX367">
        <f>HYPERLINK("http://exon.niaid.nih.gov/transcriptome/Anopheles_sialome/links/cluster-b/anopheline-sialome-cds-pep-larger-orf55-50SimCLU1.txt", 1)</f>
        <v>1</v>
      </c>
      <c r="BY367">
        <f>HYPERLINK("http://exon.niaid.nih.gov/transcriptome/Anopheles_sialome/links/cluster-b/anopheline-sialome-cds-pep-larger-orf55-50SimCLTL1.txt", 79)</f>
        <v>79</v>
      </c>
      <c r="BZ367">
        <f>HYPERLINK("http://exon.niaid.nih.gov/transcriptome/Anopheles_sialome/links/cluster-b/anopheline-sialome-cds-pep-larger-orf60-50SimCLU1.txt", 1)</f>
        <v>1</v>
      </c>
      <c r="CA367">
        <f>HYPERLINK("http://exon.niaid.nih.gov/transcriptome/Anopheles_sialome/links/cluster-b/anopheline-sialome-cds-pep-larger-orf60-50SimCLTL1.txt", 60)</f>
        <v>60</v>
      </c>
      <c r="CB367">
        <f>HYPERLINK("http://exon.niaid.nih.gov/transcriptome/Anopheles_sialome/links/cluster-b/anopheline-sialome-cds-pep-larger-orf65-50SimCLU1.txt", 1)</f>
        <v>1</v>
      </c>
      <c r="CC367">
        <f>HYPERLINK("http://exon.niaid.nih.gov/transcriptome/Anopheles_sialome/links/cluster-b/anopheline-sialome-cds-pep-larger-orf65-50SimCLTL1.txt", 60)</f>
        <v>60</v>
      </c>
      <c r="CD367">
        <f>HYPERLINK("http://exon.niaid.nih.gov/transcriptome/Anopheles_sialome/links/cluster-b/anopheline-sialome-cds-pep-larger-orf70-50SimCLU1.txt", 1)</f>
        <v>1</v>
      </c>
      <c r="CE367">
        <f>HYPERLINK("http://exon.niaid.nih.gov/transcriptome/Anopheles_sialome/links/cluster-b/anopheline-sialome-cds-pep-larger-orf70-50SimCLTL1.txt", 30)</f>
        <v>30</v>
      </c>
      <c r="CF367">
        <f>HYPERLINK("http://exon.niaid.nih.gov/transcriptome/Anopheles_sialome/links/cluster-b/anopheline-sialome-cds-pep-larger-orf75-50SimCLU1.txt", 1)</f>
        <v>1</v>
      </c>
      <c r="CG367">
        <f>HYPERLINK("http://exon.niaid.nih.gov/transcriptome/Anopheles_sialome/links/cluster-b/anopheline-sialome-cds-pep-larger-orf75-50SimCLTL1.txt", 30)</f>
        <v>30</v>
      </c>
      <c r="CH367">
        <f>HYPERLINK("http://exon.niaid.nih.gov/transcriptome/Anopheles_sialome/links/cluster-b/anopheline-sialome-cds-pep-larger-orf80-50SimCLU1.txt", 1)</f>
        <v>1</v>
      </c>
      <c r="CI367">
        <f>HYPERLINK("http://exon.niaid.nih.gov/transcriptome/Anopheles_sialome/links/cluster-b/anopheline-sialome-cds-pep-larger-orf80-50SimCLTL1.txt", 30)</f>
        <v>30</v>
      </c>
      <c r="CJ367">
        <f>HYPERLINK("http://exon.niaid.nih.gov/transcriptome/Anopheles_sialome/links/cluster-b/anopheline-sialome-cds-pep-larger-orf85-50SimCLU72.txt", 72)</f>
        <v>72</v>
      </c>
      <c r="CK367">
        <f>HYPERLINK("http://exon.niaid.nih.gov/transcriptome/Anopheles_sialome/links/cluster-b/anopheline-sialome-cds-pep-larger-orf85-50SimCLTL72.txt", 2)</f>
        <v>2</v>
      </c>
      <c r="CL367">
        <v>169</v>
      </c>
      <c r="CM367">
        <v>1</v>
      </c>
      <c r="CN367">
        <v>176</v>
      </c>
      <c r="CO367">
        <v>1</v>
      </c>
    </row>
    <row r="368" spans="1:93">
      <c r="A368" s="2" t="str">
        <f>HYPERLINK("http://exon.niaid.nih.gov/transcriptome/Anopheles_sialome/links/cds/anomin_D7r3-cds.txt","anomin_D7r3")</f>
        <v>anomin_D7r3</v>
      </c>
      <c r="B368">
        <v>510</v>
      </c>
      <c r="C368" t="s">
        <v>155</v>
      </c>
      <c r="D368" t="s">
        <v>7</v>
      </c>
      <c r="E368" t="s">
        <v>5</v>
      </c>
      <c r="F368" t="s">
        <v>1</v>
      </c>
      <c r="G368" t="str">
        <f>HYPERLINK("http://exon.niaid.nih.gov/transcriptome/Anopheles_sialome/links/pep/anomin_D7r3-pep.txt","anomin_D7r3")</f>
        <v>anomin_D7r3</v>
      </c>
      <c r="H368">
        <v>169</v>
      </c>
      <c r="I368">
        <v>0</v>
      </c>
      <c r="J368" s="3" t="str">
        <f>HYPERLINK("http://exon.niaid.nih.gov/transcriptome/Anopheles_sialome/links/Sigp/anomin_D7r3-SigP.txt","SIG")</f>
        <v>SIG</v>
      </c>
      <c r="K368" t="s">
        <v>689</v>
      </c>
      <c r="L368">
        <v>18.715</v>
      </c>
      <c r="M368">
        <v>4.8099999999999996</v>
      </c>
      <c r="N368">
        <v>16.446000000000002</v>
      </c>
      <c r="O368">
        <v>4.72</v>
      </c>
      <c r="P368" t="s">
        <v>1021</v>
      </c>
      <c r="Q368" s="3">
        <v>0</v>
      </c>
      <c r="R368" t="s">
        <v>128</v>
      </c>
      <c r="S368" t="s">
        <v>128</v>
      </c>
      <c r="T368" t="s">
        <v>128</v>
      </c>
      <c r="U368" t="s">
        <v>128</v>
      </c>
      <c r="V368" t="s">
        <v>128</v>
      </c>
      <c r="W368" s="3" t="str">
        <f>HYPERLINK("http://exon.niaid.nih.gov/transcriptome/Anopheles_sialome/links/netoglyc/anomin_D7r3-netoglyc.txt","0")</f>
        <v>0</v>
      </c>
      <c r="X368">
        <v>10.1</v>
      </c>
      <c r="Y368">
        <v>6.5</v>
      </c>
      <c r="Z368">
        <v>2.4</v>
      </c>
      <c r="AA368" t="s">
        <v>654</v>
      </c>
      <c r="AB368" t="s">
        <v>128</v>
      </c>
      <c r="AC368" s="2" t="str">
        <f>HYPERLINK("http://exon.niaid.nih.gov/transcriptome/Anopheles_sialome/links/DIPTERA/anomin_D7r3-DIPTERA.txt","short form D7 salivary protein 3")</f>
        <v>short form D7 salivary protein 3</v>
      </c>
      <c r="AD368" t="str">
        <f>HYPERLINK("http://www.ncbi.nlm.nih.gov/sutils/blink.cgi?pid=114864694","4E-074")</f>
        <v>4E-074</v>
      </c>
      <c r="AE368" t="str">
        <f>HYPERLINK("http://www.ncbi.nlm.nih.gov/protein/114864694","gi|114864694")</f>
        <v>gi|114864694</v>
      </c>
      <c r="AF368">
        <v>80</v>
      </c>
      <c r="AG368">
        <v>90</v>
      </c>
      <c r="AH368">
        <v>99</v>
      </c>
      <c r="AI368" t="s">
        <v>2266</v>
      </c>
      <c r="AJ368" s="2" t="str">
        <f>HYPERLINK("http://exon.niaid.nih.gov/transcriptome/Anopheles_sialome/links/CULICOMORPHA/anomin_D7r3-CULICOMORPHA.txt","short form D7 salivary protein 3")</f>
        <v>short form D7 salivary protein 3</v>
      </c>
      <c r="AK368" t="str">
        <f>HYPERLINK("http://www.ncbi.nlm.nih.gov/sutils/blink.cgi?pid=114864694","9E-075")</f>
        <v>9E-075</v>
      </c>
      <c r="AL368" t="str">
        <f>HYPERLINK("http://www.ncbi.nlm.nih.gov/protein/114864694","gi|114864694")</f>
        <v>gi|114864694</v>
      </c>
      <c r="AM368">
        <v>80</v>
      </c>
      <c r="AN368">
        <v>90</v>
      </c>
      <c r="AO368">
        <v>99</v>
      </c>
      <c r="AP368" t="s">
        <v>2266</v>
      </c>
      <c r="AQ368" s="2" t="str">
        <f>HYPERLINK("http://exon.niaid.nih.gov/transcriptome/Anopheles_sialome/links/NR-LIGHT/anomin_D7r3-NR-LIGHT.txt","short form D7 salivary protein 3")</f>
        <v>short form D7 salivary protein 3</v>
      </c>
      <c r="AR368" t="str">
        <f>HYPERLINK("http://www.ncbi.nlm.nih.gov/sutils/blink.cgi?pid=114864694","1E-073")</f>
        <v>1E-073</v>
      </c>
      <c r="AS368" t="str">
        <f>HYPERLINK("http://www.ncbi.nlm.nih.gov/protein/114864694","gi|114864694")</f>
        <v>gi|114864694</v>
      </c>
      <c r="AT368">
        <v>80</v>
      </c>
      <c r="AU368">
        <v>90</v>
      </c>
      <c r="AV368">
        <v>99</v>
      </c>
      <c r="AW368" t="s">
        <v>2266</v>
      </c>
      <c r="AX368" s="2" t="str">
        <f>HYPERLINK("http://exon.niaid.nih.gov/transcriptome/Anopheles_sialome/links/CDD/anomin_D7r3-CDD.txt","PhBP")</f>
        <v>PhBP</v>
      </c>
      <c r="AY368" t="str">
        <f>HYPERLINK("http://www.ncbi.nlm.nih.gov/Structure/cdd/cddsrv.cgi?uid=smart00708&amp;version=v4.0","3E-007")</f>
        <v>3E-007</v>
      </c>
      <c r="AZ368" t="s">
        <v>2509</v>
      </c>
      <c r="BA368" s="2" t="str">
        <f>HYPERLINK("http://exon.niaid.nih.gov/transcriptome/Anopheles_sialome/links/KOG/anomin_D7r3-KOG.txt","Conserved membrane protein")</f>
        <v>Conserved membrane protein</v>
      </c>
      <c r="BB368" t="str">
        <f>HYPERLINK("http://www.ncbi.nlm.nih.gov/Structure/cdd/cddsrv.cgi?uid=KOG2545","0.19")</f>
        <v>0.19</v>
      </c>
      <c r="BC368" t="s">
        <v>2304</v>
      </c>
      <c r="BD368" t="str">
        <f>HYPERLINK("http://exon.niaid.nih.gov/transcriptome/Anopheles_sialome/links/KOG/anomin_D7r3-KOG.txt","KOG2545")</f>
        <v>KOG2545</v>
      </c>
      <c r="BE368" t="str">
        <f>HYPERLINK("http://exon.niaid.nih.gov/transcriptome/Anopheles_sialome/links/PFAM/anomin_D7r3-PFAM.txt","PBP_GOBP")</f>
        <v>PBP_GOBP</v>
      </c>
      <c r="BF368" t="str">
        <f>HYPERLINK("http://pfam.sanger.ac.uk/family?acc=PF01395","2E-006")</f>
        <v>2E-006</v>
      </c>
      <c r="BG368" s="2" t="str">
        <f>HYPERLINK("http://exon.niaid.nih.gov/transcriptome/Anopheles_sialome/links/SMART/anomin_D7r3-SMART.txt","PhBP")</f>
        <v>PhBP</v>
      </c>
      <c r="BH368" t="str">
        <f>HYPERLINK("http://smart.embl-heidelberg.de/smart/do_annotation.pl?DOMAIN=PhBP&amp;BLAST=DUMMY","4E-009")</f>
        <v>4E-009</v>
      </c>
      <c r="BI368" t="s">
        <v>128</v>
      </c>
      <c r="BJ368" s="2" t="s">
        <v>128</v>
      </c>
      <c r="BK368" t="s">
        <v>1067</v>
      </c>
      <c r="BL368">
        <f>HYPERLINK("http://exon.niaid.nih.gov/transcriptome/Anopheles_sialome/links/cluster-b/anopheline-sialome-cds-pep-larger-orf25-50SimCLU2.txt", 2)</f>
        <v>2</v>
      </c>
      <c r="BM368">
        <f>HYPERLINK("http://exon.niaid.nih.gov/transcriptome/Anopheles_sialome/links/cluster-b/anopheline-sialome-cds-pep-larger-orf25-50SimCLTL2.txt", 120)</f>
        <v>120</v>
      </c>
      <c r="BN368">
        <f>HYPERLINK("http://exon.niaid.nih.gov/transcriptome/Anopheles_sialome/links/cluster-b/anopheline-sialome-cds-pep-larger-orf30-50SimCLU2.txt", 2)</f>
        <v>2</v>
      </c>
      <c r="BO368">
        <f>HYPERLINK("http://exon.niaid.nih.gov/transcriptome/Anopheles_sialome/links/cluster-b/anopheline-sialome-cds-pep-larger-orf30-50SimCLTL2.txt", 120)</f>
        <v>120</v>
      </c>
      <c r="BP368">
        <f>HYPERLINK("http://exon.niaid.nih.gov/transcriptome/Anopheles_sialome/links/cluster-b/anopheline-sialome-cds-pep-larger-orf35-50SimCLU1.txt", 1)</f>
        <v>1</v>
      </c>
      <c r="BQ368">
        <f>HYPERLINK("http://exon.niaid.nih.gov/transcriptome/Anopheles_sialome/links/cluster-b/anopheline-sialome-cds-pep-larger-orf35-50SimCLTL1.txt", 120)</f>
        <v>120</v>
      </c>
      <c r="BR368">
        <f>HYPERLINK("http://exon.niaid.nih.gov/transcriptome/Anopheles_sialome/links/cluster-b/anopheline-sialome-cds-pep-larger-orf40-50SimCLU2.txt", 2)</f>
        <v>2</v>
      </c>
      <c r="BS368">
        <f>HYPERLINK("http://exon.niaid.nih.gov/transcriptome/Anopheles_sialome/links/cluster-b/anopheline-sialome-cds-pep-larger-orf40-50SimCLTL2.txt", 83)</f>
        <v>83</v>
      </c>
      <c r="BT368">
        <f>HYPERLINK("http://exon.niaid.nih.gov/transcriptome/Anopheles_sialome/links/cluster-b/anopheline-sialome-cds-pep-larger-orf45-50SimCLU1.txt", 1)</f>
        <v>1</v>
      </c>
      <c r="BU368">
        <f>HYPERLINK("http://exon.niaid.nih.gov/transcriptome/Anopheles_sialome/links/cluster-b/anopheline-sialome-cds-pep-larger-orf45-50SimCLTL1.txt", 83)</f>
        <v>83</v>
      </c>
      <c r="BV368">
        <f>HYPERLINK("http://exon.niaid.nih.gov/transcriptome/Anopheles_sialome/links/cluster-b/anopheline-sialome-cds-pep-larger-orf50-50SimCLU1.txt", 1)</f>
        <v>1</v>
      </c>
      <c r="BW368">
        <f>HYPERLINK("http://exon.niaid.nih.gov/transcriptome/Anopheles_sialome/links/cluster-b/anopheline-sialome-cds-pep-larger-orf50-50SimCLTL1.txt", 83)</f>
        <v>83</v>
      </c>
      <c r="BX368">
        <f>HYPERLINK("http://exon.niaid.nih.gov/transcriptome/Anopheles_sialome/links/cluster-b/anopheline-sialome-cds-pep-larger-orf55-50SimCLU1.txt", 1)</f>
        <v>1</v>
      </c>
      <c r="BY368">
        <f>HYPERLINK("http://exon.niaid.nih.gov/transcriptome/Anopheles_sialome/links/cluster-b/anopheline-sialome-cds-pep-larger-orf55-50SimCLTL1.txt", 79)</f>
        <v>79</v>
      </c>
      <c r="BZ368">
        <f>HYPERLINK("http://exon.niaid.nih.gov/transcriptome/Anopheles_sialome/links/cluster-b/anopheline-sialome-cds-pep-larger-orf60-50SimCLU1.txt", 1)</f>
        <v>1</v>
      </c>
      <c r="CA368">
        <f>HYPERLINK("http://exon.niaid.nih.gov/transcriptome/Anopheles_sialome/links/cluster-b/anopheline-sialome-cds-pep-larger-orf60-50SimCLTL1.txt", 60)</f>
        <v>60</v>
      </c>
      <c r="CB368">
        <f>HYPERLINK("http://exon.niaid.nih.gov/transcriptome/Anopheles_sialome/links/cluster-b/anopheline-sialome-cds-pep-larger-orf65-50SimCLU1.txt", 1)</f>
        <v>1</v>
      </c>
      <c r="CC368">
        <f>HYPERLINK("http://exon.niaid.nih.gov/transcriptome/Anopheles_sialome/links/cluster-b/anopheline-sialome-cds-pep-larger-orf65-50SimCLTL1.txt", 60)</f>
        <v>60</v>
      </c>
      <c r="CD368">
        <f>HYPERLINK("http://exon.niaid.nih.gov/transcriptome/Anopheles_sialome/links/cluster-b/anopheline-sialome-cds-pep-larger-orf70-50SimCLU1.txt", 1)</f>
        <v>1</v>
      </c>
      <c r="CE368">
        <f>HYPERLINK("http://exon.niaid.nih.gov/transcriptome/Anopheles_sialome/links/cluster-b/anopheline-sialome-cds-pep-larger-orf70-50SimCLTL1.txt", 30)</f>
        <v>30</v>
      </c>
      <c r="CF368">
        <f>HYPERLINK("http://exon.niaid.nih.gov/transcriptome/Anopheles_sialome/links/cluster-b/anopheline-sialome-cds-pep-larger-orf75-50SimCLU1.txt", 1)</f>
        <v>1</v>
      </c>
      <c r="CG368">
        <f>HYPERLINK("http://exon.niaid.nih.gov/transcriptome/Anopheles_sialome/links/cluster-b/anopheline-sialome-cds-pep-larger-orf75-50SimCLTL1.txt", 30)</f>
        <v>30</v>
      </c>
      <c r="CH368">
        <f>HYPERLINK("http://exon.niaid.nih.gov/transcriptome/Anopheles_sialome/links/cluster-b/anopheline-sialome-cds-pep-larger-orf80-50SimCLU1.txt", 1)</f>
        <v>1</v>
      </c>
      <c r="CI368">
        <f>HYPERLINK("http://exon.niaid.nih.gov/transcriptome/Anopheles_sialome/links/cluster-b/anopheline-sialome-cds-pep-larger-orf80-50SimCLTL1.txt", 30)</f>
        <v>30</v>
      </c>
      <c r="CJ368">
        <f>HYPERLINK("http://exon.niaid.nih.gov/transcriptome/Anopheles_sialome/links/cluster-b/anopheline-sialome-cds-pep-larger-orf85-50SimCLU72.txt", 72)</f>
        <v>72</v>
      </c>
      <c r="CK368">
        <f>HYPERLINK("http://exon.niaid.nih.gov/transcriptome/Anopheles_sialome/links/cluster-b/anopheline-sialome-cds-pep-larger-orf85-50SimCLTL72.txt", 2)</f>
        <v>2</v>
      </c>
      <c r="CL368">
        <v>170</v>
      </c>
      <c r="CM368">
        <v>1</v>
      </c>
      <c r="CN368">
        <v>177</v>
      </c>
      <c r="CO368">
        <v>1</v>
      </c>
    </row>
    <row r="369" spans="1:93">
      <c r="A369" s="2" t="str">
        <f>HYPERLINK("http://exon.niaid.nih.gov/transcriptome/Anopheles_sialome/links/cds/anocul_D7r3-cds.txt","anocul_D7r3")</f>
        <v>anocul_D7r3</v>
      </c>
      <c r="B369">
        <v>507</v>
      </c>
      <c r="C369" t="s">
        <v>166</v>
      </c>
      <c r="D369" t="s">
        <v>7</v>
      </c>
      <c r="E369" t="s">
        <v>5</v>
      </c>
      <c r="F369" t="s">
        <v>1</v>
      </c>
      <c r="G369" t="str">
        <f>HYPERLINK("http://exon.niaid.nih.gov/transcriptome/Anopheles_sialome/links/pep/anocul_D7r3-pep.txt","anocul_D7r3")</f>
        <v>anocul_D7r3</v>
      </c>
      <c r="H369">
        <v>168</v>
      </c>
      <c r="I369">
        <v>0</v>
      </c>
      <c r="J369" s="3" t="str">
        <f>HYPERLINK("http://exon.niaid.nih.gov/transcriptome/Anopheles_sialome/links/Sigp/anocul_D7r3-SigP.txt","SIG")</f>
        <v>SIG</v>
      </c>
      <c r="K369" t="s">
        <v>708</v>
      </c>
      <c r="L369">
        <v>18.716999999999999</v>
      </c>
      <c r="M369">
        <v>4.72</v>
      </c>
      <c r="N369">
        <v>16.186</v>
      </c>
      <c r="O369">
        <v>4.46</v>
      </c>
      <c r="P369" t="s">
        <v>1069</v>
      </c>
      <c r="Q369" s="3">
        <v>0</v>
      </c>
      <c r="R369" t="s">
        <v>128</v>
      </c>
      <c r="S369" t="s">
        <v>128</v>
      </c>
      <c r="T369" t="s">
        <v>128</v>
      </c>
      <c r="U369" t="s">
        <v>128</v>
      </c>
      <c r="V369" t="s">
        <v>128</v>
      </c>
      <c r="W369" s="3" t="str">
        <f>HYPERLINK("http://exon.niaid.nih.gov/transcriptome/Anopheles_sialome/links/netoglyc/anocul_D7r3-netoglyc.txt","0")</f>
        <v>0</v>
      </c>
      <c r="X369">
        <v>10.7</v>
      </c>
      <c r="Y369">
        <v>5.4</v>
      </c>
      <c r="Z369">
        <v>3</v>
      </c>
      <c r="AA369" t="s">
        <v>654</v>
      </c>
      <c r="AB369" t="s">
        <v>128</v>
      </c>
      <c r="AC369" s="2" t="str">
        <f>HYPERLINK("http://exon.niaid.nih.gov/transcriptome/Anopheles_sialome/links/DIPTERA/anocul_D7r3-DIPTERA.txt","short form D7 salivary protein 3")</f>
        <v>short form D7 salivary protein 3</v>
      </c>
      <c r="AD369" t="str">
        <f>HYPERLINK("http://www.ncbi.nlm.nih.gov/sutils/blink.cgi?pid=114864694","2E-052")</f>
        <v>2E-052</v>
      </c>
      <c r="AE369" t="str">
        <f>HYPERLINK("http://www.ncbi.nlm.nih.gov/protein/114864694","gi|114864694")</f>
        <v>gi|114864694</v>
      </c>
      <c r="AF369">
        <v>62</v>
      </c>
      <c r="AG369">
        <v>76</v>
      </c>
      <c r="AH369">
        <v>99</v>
      </c>
      <c r="AI369" t="s">
        <v>2266</v>
      </c>
      <c r="AJ369" s="2" t="str">
        <f>HYPERLINK("http://exon.niaid.nih.gov/transcriptome/Anopheles_sialome/links/CULICOMORPHA/anocul_D7r3-CULICOMORPHA.txt","short form D7 salivary protein 3")</f>
        <v>short form D7 salivary protein 3</v>
      </c>
      <c r="AK369" t="str">
        <f>HYPERLINK("http://www.ncbi.nlm.nih.gov/sutils/blink.cgi?pid=114864694","4E-053")</f>
        <v>4E-053</v>
      </c>
      <c r="AL369" t="str">
        <f>HYPERLINK("http://www.ncbi.nlm.nih.gov/protein/114864694","gi|114864694")</f>
        <v>gi|114864694</v>
      </c>
      <c r="AM369">
        <v>62</v>
      </c>
      <c r="AN369">
        <v>76</v>
      </c>
      <c r="AO369">
        <v>99</v>
      </c>
      <c r="AP369" t="s">
        <v>2266</v>
      </c>
      <c r="AQ369" s="2" t="str">
        <f>HYPERLINK("http://exon.niaid.nih.gov/transcriptome/Anopheles_sialome/links/NR-LIGHT/anocul_D7r3-NR-LIGHT.txt","short form D7 salivary protein 3")</f>
        <v>short form D7 salivary protein 3</v>
      </c>
      <c r="AR369" t="str">
        <f>HYPERLINK("http://www.ncbi.nlm.nih.gov/sutils/blink.cgi?pid=114864694","5E-052")</f>
        <v>5E-052</v>
      </c>
      <c r="AS369" t="str">
        <f>HYPERLINK("http://www.ncbi.nlm.nih.gov/protein/114864694","gi|114864694")</f>
        <v>gi|114864694</v>
      </c>
      <c r="AT369">
        <v>62</v>
      </c>
      <c r="AU369">
        <v>76</v>
      </c>
      <c r="AV369">
        <v>99</v>
      </c>
      <c r="AW369" t="s">
        <v>2266</v>
      </c>
      <c r="AX369" s="2" t="str">
        <f>HYPERLINK("http://exon.niaid.nih.gov/transcriptome/Anopheles_sialome/links/CDD/anocul_D7r3-CDD.txt","PhBP")</f>
        <v>PhBP</v>
      </c>
      <c r="AY369" t="str">
        <f>HYPERLINK("http://www.ncbi.nlm.nih.gov/Structure/cdd/cddsrv.cgi?uid=smart00708&amp;version=v4.0","5E-007")</f>
        <v>5E-007</v>
      </c>
      <c r="AZ369" t="s">
        <v>2510</v>
      </c>
      <c r="BA369" s="2" t="str">
        <f>HYPERLINK("http://exon.niaid.nih.gov/transcriptome/Anopheles_sialome/links/KOG/anocul_D7r3-KOG.txt","Serine/threonine protein kinase, contains leucine zipper domain")</f>
        <v>Serine/threonine protein kinase, contains leucine zipper domain</v>
      </c>
      <c r="BB369" t="str">
        <f>HYPERLINK("http://www.ncbi.nlm.nih.gov/Structure/cdd/cddsrv.cgi?uid=KOG4721","0.20")</f>
        <v>0.20</v>
      </c>
      <c r="BC369" t="s">
        <v>2292</v>
      </c>
      <c r="BD369" t="str">
        <f>HYPERLINK("http://exon.niaid.nih.gov/transcriptome/Anopheles_sialome/links/KOG/anocul_D7r3-KOG.txt","KOG4721")</f>
        <v>KOG4721</v>
      </c>
      <c r="BE369" t="str">
        <f>HYPERLINK("http://exon.niaid.nih.gov/transcriptome/Anopheles_sialome/links/PFAM/anocul_D7r3-PFAM.txt","PBP_GOBP")</f>
        <v>PBP_GOBP</v>
      </c>
      <c r="BF369" t="str">
        <f>HYPERLINK("http://pfam.sanger.ac.uk/family?acc=PF01395","1E-007")</f>
        <v>1E-007</v>
      </c>
      <c r="BG369" s="2" t="str">
        <f>HYPERLINK("http://exon.niaid.nih.gov/transcriptome/Anopheles_sialome/links/SMART/anocul_D7r3-SMART.txt","PhBP")</f>
        <v>PhBP</v>
      </c>
      <c r="BH369" t="str">
        <f>HYPERLINK("http://smart.embl-heidelberg.de/smart/do_annotation.pl?DOMAIN=PhBP&amp;BLAST=DUMMY","7E-009")</f>
        <v>7E-009</v>
      </c>
      <c r="BI369" t="s">
        <v>128</v>
      </c>
      <c r="BJ369" s="2" t="s">
        <v>128</v>
      </c>
      <c r="BK369" t="s">
        <v>1068</v>
      </c>
      <c r="BL369">
        <f>HYPERLINK("http://exon.niaid.nih.gov/transcriptome/Anopheles_sialome/links/cluster-b/anopheline-sialome-cds-pep-larger-orf25-50SimCLU2.txt", 2)</f>
        <v>2</v>
      </c>
      <c r="BM369">
        <f>HYPERLINK("http://exon.niaid.nih.gov/transcriptome/Anopheles_sialome/links/cluster-b/anopheline-sialome-cds-pep-larger-orf25-50SimCLTL2.txt", 120)</f>
        <v>120</v>
      </c>
      <c r="BN369">
        <f>HYPERLINK("http://exon.niaid.nih.gov/transcriptome/Anopheles_sialome/links/cluster-b/anopheline-sialome-cds-pep-larger-orf30-50SimCLU2.txt", 2)</f>
        <v>2</v>
      </c>
      <c r="BO369">
        <f>HYPERLINK("http://exon.niaid.nih.gov/transcriptome/Anopheles_sialome/links/cluster-b/anopheline-sialome-cds-pep-larger-orf30-50SimCLTL2.txt", 120)</f>
        <v>120</v>
      </c>
      <c r="BP369">
        <f>HYPERLINK("http://exon.niaid.nih.gov/transcriptome/Anopheles_sialome/links/cluster-b/anopheline-sialome-cds-pep-larger-orf35-50SimCLU1.txt", 1)</f>
        <v>1</v>
      </c>
      <c r="BQ369">
        <f>HYPERLINK("http://exon.niaid.nih.gov/transcriptome/Anopheles_sialome/links/cluster-b/anopheline-sialome-cds-pep-larger-orf35-50SimCLTL1.txt", 120)</f>
        <v>120</v>
      </c>
      <c r="BR369">
        <f>HYPERLINK("http://exon.niaid.nih.gov/transcriptome/Anopheles_sialome/links/cluster-b/anopheline-sialome-cds-pep-larger-orf40-50SimCLU2.txt", 2)</f>
        <v>2</v>
      </c>
      <c r="BS369">
        <f>HYPERLINK("http://exon.niaid.nih.gov/transcriptome/Anopheles_sialome/links/cluster-b/anopheline-sialome-cds-pep-larger-orf40-50SimCLTL2.txt", 83)</f>
        <v>83</v>
      </c>
      <c r="BT369">
        <f>HYPERLINK("http://exon.niaid.nih.gov/transcriptome/Anopheles_sialome/links/cluster-b/anopheline-sialome-cds-pep-larger-orf45-50SimCLU1.txt", 1)</f>
        <v>1</v>
      </c>
      <c r="BU369">
        <f>HYPERLINK("http://exon.niaid.nih.gov/transcriptome/Anopheles_sialome/links/cluster-b/anopheline-sialome-cds-pep-larger-orf45-50SimCLTL1.txt", 83)</f>
        <v>83</v>
      </c>
      <c r="BV369">
        <f>HYPERLINK("http://exon.niaid.nih.gov/transcriptome/Anopheles_sialome/links/cluster-b/anopheline-sialome-cds-pep-larger-orf50-50SimCLU1.txt", 1)</f>
        <v>1</v>
      </c>
      <c r="BW369">
        <f>HYPERLINK("http://exon.niaid.nih.gov/transcriptome/Anopheles_sialome/links/cluster-b/anopheline-sialome-cds-pep-larger-orf50-50SimCLTL1.txt", 83)</f>
        <v>83</v>
      </c>
      <c r="BX369">
        <f>HYPERLINK("http://exon.niaid.nih.gov/transcriptome/Anopheles_sialome/links/cluster-b/anopheline-sialome-cds-pep-larger-orf55-50SimCLU1.txt", 1)</f>
        <v>1</v>
      </c>
      <c r="BY369">
        <f>HYPERLINK("http://exon.niaid.nih.gov/transcriptome/Anopheles_sialome/links/cluster-b/anopheline-sialome-cds-pep-larger-orf55-50SimCLTL1.txt", 79)</f>
        <v>79</v>
      </c>
      <c r="BZ369">
        <f>HYPERLINK("http://exon.niaid.nih.gov/transcriptome/Anopheles_sialome/links/cluster-b/anopheline-sialome-cds-pep-larger-orf60-50SimCLU1.txt", 1)</f>
        <v>1</v>
      </c>
      <c r="CA369">
        <f>HYPERLINK("http://exon.niaid.nih.gov/transcriptome/Anopheles_sialome/links/cluster-b/anopheline-sialome-cds-pep-larger-orf60-50SimCLTL1.txt", 60)</f>
        <v>60</v>
      </c>
      <c r="CB369">
        <f>HYPERLINK("http://exon.niaid.nih.gov/transcriptome/Anopheles_sialome/links/cluster-b/anopheline-sialome-cds-pep-larger-orf65-50SimCLU1.txt", 1)</f>
        <v>1</v>
      </c>
      <c r="CC369">
        <f>HYPERLINK("http://exon.niaid.nih.gov/transcriptome/Anopheles_sialome/links/cluster-b/anopheline-sialome-cds-pep-larger-orf65-50SimCLTL1.txt", 60)</f>
        <v>60</v>
      </c>
      <c r="CD369">
        <f>HYPERLINK("http://exon.niaid.nih.gov/transcriptome/Anopheles_sialome/links/cluster-b/anopheline-sialome-cds-pep-larger-orf70-50SimCLU1.txt", 1)</f>
        <v>1</v>
      </c>
      <c r="CE369">
        <f>HYPERLINK("http://exon.niaid.nih.gov/transcriptome/Anopheles_sialome/links/cluster-b/anopheline-sialome-cds-pep-larger-orf70-50SimCLTL1.txt", 30)</f>
        <v>30</v>
      </c>
      <c r="CF369">
        <f>HYPERLINK("http://exon.niaid.nih.gov/transcriptome/Anopheles_sialome/links/cluster-b/anopheline-sialome-cds-pep-larger-orf75-50SimCLU1.txt", 1)</f>
        <v>1</v>
      </c>
      <c r="CG369">
        <f>HYPERLINK("http://exon.niaid.nih.gov/transcriptome/Anopheles_sialome/links/cluster-b/anopheline-sialome-cds-pep-larger-orf75-50SimCLTL1.txt", 30)</f>
        <v>30</v>
      </c>
      <c r="CH369">
        <f>HYPERLINK("http://exon.niaid.nih.gov/transcriptome/Anopheles_sialome/links/cluster-b/anopheline-sialome-cds-pep-larger-orf80-50SimCLU1.txt", 1)</f>
        <v>1</v>
      </c>
      <c r="CI369">
        <f>HYPERLINK("http://exon.niaid.nih.gov/transcriptome/Anopheles_sialome/links/cluster-b/anopheline-sialome-cds-pep-larger-orf80-50SimCLTL1.txt", 30)</f>
        <v>30</v>
      </c>
      <c r="CJ369">
        <v>150</v>
      </c>
      <c r="CK369">
        <v>1</v>
      </c>
      <c r="CL369">
        <v>171</v>
      </c>
      <c r="CM369">
        <v>1</v>
      </c>
      <c r="CN369">
        <v>178</v>
      </c>
      <c r="CO369">
        <v>1</v>
      </c>
    </row>
    <row r="370" spans="1:93">
      <c r="A370" s="2" t="str">
        <f>HYPERLINK("http://exon.niaid.nih.gov/transcriptome/Anopheles_sialome/links/cds/anoste_D7r3-cds.txt","anoste_D7r3")</f>
        <v>anoste_D7r3</v>
      </c>
      <c r="B370">
        <v>435</v>
      </c>
      <c r="C370" t="s">
        <v>156</v>
      </c>
      <c r="D370" t="s">
        <v>7</v>
      </c>
      <c r="E370" t="s">
        <v>5</v>
      </c>
      <c r="F370" t="s">
        <v>1</v>
      </c>
      <c r="G370" t="str">
        <f>HYPERLINK("http://exon.niaid.nih.gov/transcriptome/Anopheles_sialome/links/pep/anoste_D7r3-pep.txt","anoste_D7r3")</f>
        <v>anoste_D7r3</v>
      </c>
      <c r="H370">
        <v>144</v>
      </c>
      <c r="I370">
        <v>0</v>
      </c>
      <c r="J370" s="3" t="str">
        <f>HYPERLINK("http://exon.niaid.nih.gov/transcriptome/Anopheles_sialome/links/Sigp/anoste_D7r3-SigP.txt","SIG")</f>
        <v>SIG</v>
      </c>
      <c r="K370" t="s">
        <v>919</v>
      </c>
      <c r="L370">
        <v>15.807</v>
      </c>
      <c r="M370">
        <v>4.72</v>
      </c>
      <c r="N370">
        <v>13.965</v>
      </c>
      <c r="O370">
        <v>4.72</v>
      </c>
      <c r="P370" t="s">
        <v>1025</v>
      </c>
      <c r="Q370" s="3">
        <v>0</v>
      </c>
      <c r="R370" t="s">
        <v>128</v>
      </c>
      <c r="S370" t="s">
        <v>128</v>
      </c>
      <c r="T370" t="s">
        <v>128</v>
      </c>
      <c r="U370" t="s">
        <v>128</v>
      </c>
      <c r="V370" t="s">
        <v>128</v>
      </c>
      <c r="W370" s="3" t="str">
        <f>HYPERLINK("http://exon.niaid.nih.gov/transcriptome/Anopheles_sialome/links/netoglyc/anoste_D7r3-netoglyc.txt","0")</f>
        <v>0</v>
      </c>
      <c r="X370">
        <v>16</v>
      </c>
      <c r="Y370">
        <v>6.3</v>
      </c>
      <c r="Z370">
        <v>1.4</v>
      </c>
      <c r="AA370" t="s">
        <v>654</v>
      </c>
      <c r="AB370" t="s">
        <v>128</v>
      </c>
      <c r="AC370" s="2" t="str">
        <f>HYPERLINK("http://exon.niaid.nih.gov/transcriptome/Anopheles_sialome/links/DIPTERA/anoste_D7r3-DIPTERA.txt","AGAP008283-PA, partial")</f>
        <v>AGAP008283-PA, partial</v>
      </c>
      <c r="AD370" t="str">
        <f>HYPERLINK("http://www.ncbi.nlm.nih.gov/sutils/blink.cgi?pid=116123045","1E-047")</f>
        <v>1E-047</v>
      </c>
      <c r="AE370" t="str">
        <f>HYPERLINK("http://www.ncbi.nlm.nih.gov/protein/116123045","gi|116123045")</f>
        <v>gi|116123045</v>
      </c>
      <c r="AF370">
        <v>64</v>
      </c>
      <c r="AG370">
        <v>79</v>
      </c>
      <c r="AH370">
        <v>77</v>
      </c>
      <c r="AI370" t="s">
        <v>2285</v>
      </c>
      <c r="AJ370" s="2" t="str">
        <f>HYPERLINK("http://exon.niaid.nih.gov/transcriptome/Anopheles_sialome/links/CULICOMORPHA/anoste_D7r3-CULICOMORPHA.txt","AGAP008283-PA, partial")</f>
        <v>AGAP008283-PA, partial</v>
      </c>
      <c r="AK370" t="str">
        <f>HYPERLINK("http://www.ncbi.nlm.nih.gov/sutils/blink.cgi?pid=116123045","3E-048")</f>
        <v>3E-048</v>
      </c>
      <c r="AL370" t="str">
        <f>HYPERLINK("http://www.ncbi.nlm.nih.gov/protein/116123045","gi|116123045")</f>
        <v>gi|116123045</v>
      </c>
      <c r="AM370">
        <v>64</v>
      </c>
      <c r="AN370">
        <v>79</v>
      </c>
      <c r="AO370">
        <v>77</v>
      </c>
      <c r="AP370" t="s">
        <v>2285</v>
      </c>
      <c r="AQ370" s="2" t="str">
        <f>HYPERLINK("http://exon.niaid.nih.gov/transcriptome/Anopheles_sialome/links/NR-LIGHT/anoste_D7r3-NR-LIGHT.txt","AGAP008283-PA")</f>
        <v>AGAP008283-PA</v>
      </c>
      <c r="AR370" t="str">
        <f>HYPERLINK("http://www.ncbi.nlm.nih.gov/sutils/blink.cgi?pid=118789068","4E-047")</f>
        <v>4E-047</v>
      </c>
      <c r="AS370" t="str">
        <f>HYPERLINK("http://www.ncbi.nlm.nih.gov/protein/118789068","gi|118789068")</f>
        <v>gi|118789068</v>
      </c>
      <c r="AT370">
        <v>64</v>
      </c>
      <c r="AU370">
        <v>79</v>
      </c>
      <c r="AV370">
        <v>77</v>
      </c>
      <c r="AW370" t="s">
        <v>2285</v>
      </c>
      <c r="AX370" s="2" t="str">
        <f>HYPERLINK("http://exon.niaid.nih.gov/transcriptome/Anopheles_sialome/links/CDD/anoste_D7r3-CDD.txt","PBP_GOBP")</f>
        <v>PBP_GOBP</v>
      </c>
      <c r="AY370" t="str">
        <f>HYPERLINK("http://www.ncbi.nlm.nih.gov/Structure/cdd/cddsrv.cgi?uid=pfam01395&amp;version=v4.0","2E-006")</f>
        <v>2E-006</v>
      </c>
      <c r="AZ370" t="s">
        <v>2511</v>
      </c>
      <c r="BA370" s="2" t="str">
        <f>HYPERLINK("http://exon.niaid.nih.gov/transcriptome/Anopheles_sialome/links/KOG/anoste_D7r3-KOG.txt","WD40 and TPR repeat-containing protein")</f>
        <v>WD40 and TPR repeat-containing protein</v>
      </c>
      <c r="BB370" t="str">
        <f>HYPERLINK("http://www.ncbi.nlm.nih.gov/Structure/cdd/cddsrv.cgi?uid=KOG3617","1.5")</f>
        <v>1.5</v>
      </c>
      <c r="BC370" t="s">
        <v>2310</v>
      </c>
      <c r="BD370" t="str">
        <f>HYPERLINK("http://exon.niaid.nih.gov/transcriptome/Anopheles_sialome/links/KOG/anoste_D7r3-KOG.txt","KOG3617")</f>
        <v>KOG3617</v>
      </c>
      <c r="BE370" t="str">
        <f>HYPERLINK("http://exon.niaid.nih.gov/transcriptome/Anopheles_sialome/links/PFAM/anoste_D7r3-PFAM.txt","PBP_GOBP")</f>
        <v>PBP_GOBP</v>
      </c>
      <c r="BF370" t="str">
        <f>HYPERLINK("http://pfam.sanger.ac.uk/family?acc=PF01395","5E-007")</f>
        <v>5E-007</v>
      </c>
      <c r="BG370" s="2" t="str">
        <f>HYPERLINK("http://exon.niaid.nih.gov/transcriptome/Anopheles_sialome/links/SMART/anoste_D7r3-SMART.txt","PhBP")</f>
        <v>PhBP</v>
      </c>
      <c r="BH370" t="str">
        <f>HYPERLINK("http://smart.embl-heidelberg.de/smart/do_annotation.pl?DOMAIN=PhBP&amp;BLAST=DUMMY","1E-006")</f>
        <v>1E-006</v>
      </c>
      <c r="BI370" t="s">
        <v>128</v>
      </c>
      <c r="BJ370" s="2" t="s">
        <v>128</v>
      </c>
      <c r="BK370" t="s">
        <v>1070</v>
      </c>
      <c r="BL370">
        <f>HYPERLINK("http://exon.niaid.nih.gov/transcriptome/Anopheles_sialome/links/cluster-b/anopheline-sialome-cds-pep-larger-orf25-50SimCLU2.txt", 2)</f>
        <v>2</v>
      </c>
      <c r="BM370">
        <f>HYPERLINK("http://exon.niaid.nih.gov/transcriptome/Anopheles_sialome/links/cluster-b/anopheline-sialome-cds-pep-larger-orf25-50SimCLTL2.txt", 120)</f>
        <v>120</v>
      </c>
      <c r="BN370">
        <f>HYPERLINK("http://exon.niaid.nih.gov/transcriptome/Anopheles_sialome/links/cluster-b/anopheline-sialome-cds-pep-larger-orf30-50SimCLU2.txt", 2)</f>
        <v>2</v>
      </c>
      <c r="BO370">
        <f>HYPERLINK("http://exon.niaid.nih.gov/transcriptome/Anopheles_sialome/links/cluster-b/anopheline-sialome-cds-pep-larger-orf30-50SimCLTL2.txt", 120)</f>
        <v>120</v>
      </c>
      <c r="BP370">
        <f>HYPERLINK("http://exon.niaid.nih.gov/transcriptome/Anopheles_sialome/links/cluster-b/anopheline-sialome-cds-pep-larger-orf35-50SimCLU1.txt", 1)</f>
        <v>1</v>
      </c>
      <c r="BQ370">
        <f>HYPERLINK("http://exon.niaid.nih.gov/transcriptome/Anopheles_sialome/links/cluster-b/anopheline-sialome-cds-pep-larger-orf35-50SimCLTL1.txt", 120)</f>
        <v>120</v>
      </c>
      <c r="BR370">
        <f>HYPERLINK("http://exon.niaid.nih.gov/transcriptome/Anopheles_sialome/links/cluster-b/anopheline-sialome-cds-pep-larger-orf40-50SimCLU2.txt", 2)</f>
        <v>2</v>
      </c>
      <c r="BS370">
        <f>HYPERLINK("http://exon.niaid.nih.gov/transcriptome/Anopheles_sialome/links/cluster-b/anopheline-sialome-cds-pep-larger-orf40-50SimCLTL2.txt", 83)</f>
        <v>83</v>
      </c>
      <c r="BT370">
        <f>HYPERLINK("http://exon.niaid.nih.gov/transcriptome/Anopheles_sialome/links/cluster-b/anopheline-sialome-cds-pep-larger-orf45-50SimCLU1.txt", 1)</f>
        <v>1</v>
      </c>
      <c r="BU370">
        <f>HYPERLINK("http://exon.niaid.nih.gov/transcriptome/Anopheles_sialome/links/cluster-b/anopheline-sialome-cds-pep-larger-orf45-50SimCLTL1.txt", 83)</f>
        <v>83</v>
      </c>
      <c r="BV370">
        <f>HYPERLINK("http://exon.niaid.nih.gov/transcriptome/Anopheles_sialome/links/cluster-b/anopheline-sialome-cds-pep-larger-orf50-50SimCLU1.txt", 1)</f>
        <v>1</v>
      </c>
      <c r="BW370">
        <f>HYPERLINK("http://exon.niaid.nih.gov/transcriptome/Anopheles_sialome/links/cluster-b/anopheline-sialome-cds-pep-larger-orf50-50SimCLTL1.txt", 83)</f>
        <v>83</v>
      </c>
      <c r="BX370">
        <f>HYPERLINK("http://exon.niaid.nih.gov/transcriptome/Anopheles_sialome/links/cluster-b/anopheline-sialome-cds-pep-larger-orf55-50SimCLU1.txt", 1)</f>
        <v>1</v>
      </c>
      <c r="BY370">
        <f>HYPERLINK("http://exon.niaid.nih.gov/transcriptome/Anopheles_sialome/links/cluster-b/anopheline-sialome-cds-pep-larger-orf55-50SimCLTL1.txt", 79)</f>
        <v>79</v>
      </c>
      <c r="BZ370">
        <f>HYPERLINK("http://exon.niaid.nih.gov/transcriptome/Anopheles_sialome/links/cluster-b/anopheline-sialome-cds-pep-larger-orf60-50SimCLU1.txt", 1)</f>
        <v>1</v>
      </c>
      <c r="CA370">
        <f>HYPERLINK("http://exon.niaid.nih.gov/transcriptome/Anopheles_sialome/links/cluster-b/anopheline-sialome-cds-pep-larger-orf60-50SimCLTL1.txt", 60)</f>
        <v>60</v>
      </c>
      <c r="CB370">
        <f>HYPERLINK("http://exon.niaid.nih.gov/transcriptome/Anopheles_sialome/links/cluster-b/anopheline-sialome-cds-pep-larger-orf65-50SimCLU1.txt", 1)</f>
        <v>1</v>
      </c>
      <c r="CC370">
        <f>HYPERLINK("http://exon.niaid.nih.gov/transcriptome/Anopheles_sialome/links/cluster-b/anopheline-sialome-cds-pep-larger-orf65-50SimCLTL1.txt", 60)</f>
        <v>60</v>
      </c>
      <c r="CD370">
        <v>81</v>
      </c>
      <c r="CE370">
        <v>1</v>
      </c>
      <c r="CF370">
        <v>105</v>
      </c>
      <c r="CG370">
        <v>1</v>
      </c>
      <c r="CH370">
        <v>132</v>
      </c>
      <c r="CI370">
        <v>1</v>
      </c>
      <c r="CJ370">
        <v>151</v>
      </c>
      <c r="CK370">
        <v>1</v>
      </c>
      <c r="CL370">
        <v>172</v>
      </c>
      <c r="CM370">
        <v>1</v>
      </c>
      <c r="CN370">
        <v>179</v>
      </c>
      <c r="CO370">
        <v>1</v>
      </c>
    </row>
    <row r="371" spans="1:93">
      <c r="A371" s="2" t="str">
        <f>HYPERLINK("http://exon.niaid.nih.gov/transcriptome/Anopheles_sialome/links/cds/anodir_D7r3-cds.txt","anodir_D7r3")</f>
        <v>anodir_D7r3</v>
      </c>
      <c r="B371">
        <v>510</v>
      </c>
      <c r="C371" t="s">
        <v>159</v>
      </c>
      <c r="D371" t="s">
        <v>7</v>
      </c>
      <c r="E371" t="s">
        <v>5</v>
      </c>
      <c r="F371" t="s">
        <v>1</v>
      </c>
      <c r="G371" t="str">
        <f>HYPERLINK("http://exon.niaid.nih.gov/transcriptome/Anopheles_sialome/links/pep/anodir_D7r3-pep.txt","anodir_D7r3")</f>
        <v>anodir_D7r3</v>
      </c>
      <c r="H371">
        <v>169</v>
      </c>
      <c r="I371">
        <v>1</v>
      </c>
      <c r="J371" s="3" t="str">
        <f>HYPERLINK("http://exon.niaid.nih.gov/transcriptome/Anopheles_sialome/links/Sigp/anodir_D7r3-SigP.txt","SIG")</f>
        <v>SIG</v>
      </c>
      <c r="K371" t="s">
        <v>689</v>
      </c>
      <c r="L371">
        <v>18.585000000000001</v>
      </c>
      <c r="M371">
        <v>4.6900000000000004</v>
      </c>
      <c r="N371">
        <v>16.350000000000001</v>
      </c>
      <c r="O371">
        <v>4.62</v>
      </c>
      <c r="P371" t="s">
        <v>1072</v>
      </c>
      <c r="Q371" s="3">
        <v>0</v>
      </c>
      <c r="R371" t="s">
        <v>128</v>
      </c>
      <c r="S371" t="s">
        <v>128</v>
      </c>
      <c r="T371" t="s">
        <v>128</v>
      </c>
      <c r="U371" t="s">
        <v>128</v>
      </c>
      <c r="V371" t="s">
        <v>128</v>
      </c>
      <c r="W371" s="3" t="str">
        <f>HYPERLINK("http://exon.niaid.nih.gov/transcriptome/Anopheles_sialome/links/netoglyc/anodir_D7r3-netoglyc.txt","0")</f>
        <v>0</v>
      </c>
      <c r="X371">
        <v>11.2</v>
      </c>
      <c r="Y371">
        <v>5.3</v>
      </c>
      <c r="Z371">
        <v>1.8</v>
      </c>
      <c r="AA371" t="s">
        <v>654</v>
      </c>
      <c r="AB371" t="s">
        <v>128</v>
      </c>
      <c r="AC371" s="2" t="str">
        <f>HYPERLINK("http://exon.niaid.nih.gov/transcriptome/Anopheles_sialome/links/DIPTERA/anodir_D7r3-DIPTERA.txt","D7-related 3.2 protein")</f>
        <v>D7-related 3.2 protein</v>
      </c>
      <c r="AD371" t="str">
        <f>HYPERLINK("http://www.ncbi.nlm.nih.gov/sutils/blink.cgi?pid=668454398","4E-059")</f>
        <v>4E-059</v>
      </c>
      <c r="AE371" t="str">
        <f>HYPERLINK("http://www.ncbi.nlm.nih.gov/protein/668454398","gi|668454398")</f>
        <v>gi|668454398</v>
      </c>
      <c r="AF371">
        <v>64</v>
      </c>
      <c r="AG371">
        <v>78</v>
      </c>
      <c r="AH371">
        <v>100</v>
      </c>
      <c r="AI371" t="s">
        <v>2277</v>
      </c>
      <c r="AJ371" s="2" t="str">
        <f>HYPERLINK("http://exon.niaid.nih.gov/transcriptome/Anopheles_sialome/links/CULICOMORPHA/anodir_D7r3-CULICOMORPHA.txt","D7-related 3.2 protein")</f>
        <v>D7-related 3.2 protein</v>
      </c>
      <c r="AK371" t="str">
        <f>HYPERLINK("http://www.ncbi.nlm.nih.gov/sutils/blink.cgi?pid=668454398","8E-060")</f>
        <v>8E-060</v>
      </c>
      <c r="AL371" t="str">
        <f>HYPERLINK("http://www.ncbi.nlm.nih.gov/protein/668454398","gi|668454398")</f>
        <v>gi|668454398</v>
      </c>
      <c r="AM371">
        <v>64</v>
      </c>
      <c r="AN371">
        <v>78</v>
      </c>
      <c r="AO371">
        <v>100</v>
      </c>
      <c r="AP371" t="s">
        <v>2277</v>
      </c>
      <c r="AQ371" s="2" t="str">
        <f>HYPERLINK("http://exon.niaid.nih.gov/transcriptome/Anopheles_sialome/links/NR-LIGHT/anodir_D7r3-NR-LIGHT.txt","D7-related 3.2 protein")</f>
        <v>D7-related 3.2 protein</v>
      </c>
      <c r="AR371" t="str">
        <f>HYPERLINK("http://www.ncbi.nlm.nih.gov/sutils/blink.cgi?pid=668454398","1E-058")</f>
        <v>1E-058</v>
      </c>
      <c r="AS371" t="str">
        <f>HYPERLINK("http://www.ncbi.nlm.nih.gov/protein/668454398","gi|668454398")</f>
        <v>gi|668454398</v>
      </c>
      <c r="AT371">
        <v>64</v>
      </c>
      <c r="AU371">
        <v>78</v>
      </c>
      <c r="AV371">
        <v>100</v>
      </c>
      <c r="AW371" t="s">
        <v>2277</v>
      </c>
      <c r="AX371" s="2" t="str">
        <f>HYPERLINK("http://exon.niaid.nih.gov/transcriptome/Anopheles_sialome/links/CDD/anodir_D7r3-CDD.txt","PBP_GOBP")</f>
        <v>PBP_GOBP</v>
      </c>
      <c r="AY371" t="str">
        <f>HYPERLINK("http://www.ncbi.nlm.nih.gov/Structure/cdd/cddsrv.cgi?uid=pfam01395&amp;version=v4.0","1E-006")</f>
        <v>1E-006</v>
      </c>
      <c r="AZ371" t="s">
        <v>2512</v>
      </c>
      <c r="BA371" s="2" t="str">
        <f>HYPERLINK("http://exon.niaid.nih.gov/transcriptome/Anopheles_sialome/links/KOG/anodir_D7r3-KOG.txt","Uncharacterized conserved protein")</f>
        <v>Uncharacterized conserved protein</v>
      </c>
      <c r="BB371" t="str">
        <f>HYPERLINK("http://www.ncbi.nlm.nih.gov/Structure/cdd/cddsrv.cgi?uid=KOG4623","0.46")</f>
        <v>0.46</v>
      </c>
      <c r="BC371" t="s">
        <v>2304</v>
      </c>
      <c r="BD371" t="str">
        <f>HYPERLINK("http://exon.niaid.nih.gov/transcriptome/Anopheles_sialome/links/KOG/anodir_D7r3-KOG.txt","KOG4623")</f>
        <v>KOG4623</v>
      </c>
      <c r="BE371" t="str">
        <f>HYPERLINK("http://exon.niaid.nih.gov/transcriptome/Anopheles_sialome/links/PFAM/anodir_D7r3-PFAM.txt","PBP_GOBP")</f>
        <v>PBP_GOBP</v>
      </c>
      <c r="BF371" t="str">
        <f>HYPERLINK("http://pfam.sanger.ac.uk/family?acc=PF01395","3E-007")</f>
        <v>3E-007</v>
      </c>
      <c r="BG371" s="2" t="str">
        <f>HYPERLINK("http://exon.niaid.nih.gov/transcriptome/Anopheles_sialome/links/SMART/anodir_D7r3-SMART.txt","PhBP")</f>
        <v>PhBP</v>
      </c>
      <c r="BH371" t="str">
        <f>HYPERLINK("http://smart.embl-heidelberg.de/smart/do_annotation.pl?DOMAIN=PhBP&amp;BLAST=DUMMY","3E-008")</f>
        <v>3E-008</v>
      </c>
      <c r="BI371" t="s">
        <v>128</v>
      </c>
      <c r="BJ371" s="2" t="s">
        <v>128</v>
      </c>
      <c r="BK371" t="s">
        <v>1071</v>
      </c>
      <c r="BL371">
        <f>HYPERLINK("http://exon.niaid.nih.gov/transcriptome/Anopheles_sialome/links/cluster-b/anopheline-sialome-cds-pep-larger-orf25-50SimCLU2.txt", 2)</f>
        <v>2</v>
      </c>
      <c r="BM371">
        <f>HYPERLINK("http://exon.niaid.nih.gov/transcriptome/Anopheles_sialome/links/cluster-b/anopheline-sialome-cds-pep-larger-orf25-50SimCLTL2.txt", 120)</f>
        <v>120</v>
      </c>
      <c r="BN371">
        <f>HYPERLINK("http://exon.niaid.nih.gov/transcriptome/Anopheles_sialome/links/cluster-b/anopheline-sialome-cds-pep-larger-orf30-50SimCLU2.txt", 2)</f>
        <v>2</v>
      </c>
      <c r="BO371">
        <f>HYPERLINK("http://exon.niaid.nih.gov/transcriptome/Anopheles_sialome/links/cluster-b/anopheline-sialome-cds-pep-larger-orf30-50SimCLTL2.txt", 120)</f>
        <v>120</v>
      </c>
      <c r="BP371">
        <f>HYPERLINK("http://exon.niaid.nih.gov/transcriptome/Anopheles_sialome/links/cluster-b/anopheline-sialome-cds-pep-larger-orf35-50SimCLU1.txt", 1)</f>
        <v>1</v>
      </c>
      <c r="BQ371">
        <f>HYPERLINK("http://exon.niaid.nih.gov/transcriptome/Anopheles_sialome/links/cluster-b/anopheline-sialome-cds-pep-larger-orf35-50SimCLTL1.txt", 120)</f>
        <v>120</v>
      </c>
      <c r="BR371">
        <f>HYPERLINK("http://exon.niaid.nih.gov/transcriptome/Anopheles_sialome/links/cluster-b/anopheline-sialome-cds-pep-larger-orf40-50SimCLU2.txt", 2)</f>
        <v>2</v>
      </c>
      <c r="BS371">
        <f>HYPERLINK("http://exon.niaid.nih.gov/transcriptome/Anopheles_sialome/links/cluster-b/anopheline-sialome-cds-pep-larger-orf40-50SimCLTL2.txt", 83)</f>
        <v>83</v>
      </c>
      <c r="BT371">
        <f>HYPERLINK("http://exon.niaid.nih.gov/transcriptome/Anopheles_sialome/links/cluster-b/anopheline-sialome-cds-pep-larger-orf45-50SimCLU1.txt", 1)</f>
        <v>1</v>
      </c>
      <c r="BU371">
        <f>HYPERLINK("http://exon.niaid.nih.gov/transcriptome/Anopheles_sialome/links/cluster-b/anopheline-sialome-cds-pep-larger-orf45-50SimCLTL1.txt", 83)</f>
        <v>83</v>
      </c>
      <c r="BV371">
        <f>HYPERLINK("http://exon.niaid.nih.gov/transcriptome/Anopheles_sialome/links/cluster-b/anopheline-sialome-cds-pep-larger-orf50-50SimCLU1.txt", 1)</f>
        <v>1</v>
      </c>
      <c r="BW371">
        <f>HYPERLINK("http://exon.niaid.nih.gov/transcriptome/Anopheles_sialome/links/cluster-b/anopheline-sialome-cds-pep-larger-orf50-50SimCLTL1.txt", 83)</f>
        <v>83</v>
      </c>
      <c r="BX371">
        <f>HYPERLINK("http://exon.niaid.nih.gov/transcriptome/Anopheles_sialome/links/cluster-b/anopheline-sialome-cds-pep-larger-orf55-50SimCLU1.txt", 1)</f>
        <v>1</v>
      </c>
      <c r="BY371">
        <f>HYPERLINK("http://exon.niaid.nih.gov/transcriptome/Anopheles_sialome/links/cluster-b/anopheline-sialome-cds-pep-larger-orf55-50SimCLTL1.txt", 79)</f>
        <v>79</v>
      </c>
      <c r="BZ371">
        <f>HYPERLINK("http://exon.niaid.nih.gov/transcriptome/Anopheles_sialome/links/cluster-b/anopheline-sialome-cds-pep-larger-orf60-50SimCLU1.txt", 1)</f>
        <v>1</v>
      </c>
      <c r="CA371">
        <f>HYPERLINK("http://exon.niaid.nih.gov/transcriptome/Anopheles_sialome/links/cluster-b/anopheline-sialome-cds-pep-larger-orf60-50SimCLTL1.txt", 60)</f>
        <v>60</v>
      </c>
      <c r="CB371">
        <f>HYPERLINK("http://exon.niaid.nih.gov/transcriptome/Anopheles_sialome/links/cluster-b/anopheline-sialome-cds-pep-larger-orf65-50SimCLU1.txt", 1)</f>
        <v>1</v>
      </c>
      <c r="CC371">
        <f>HYPERLINK("http://exon.niaid.nih.gov/transcriptome/Anopheles_sialome/links/cluster-b/anopheline-sialome-cds-pep-larger-orf65-50SimCLTL1.txt", 60)</f>
        <v>60</v>
      </c>
      <c r="CD371">
        <f>HYPERLINK("http://exon.niaid.nih.gov/transcriptome/Anopheles_sialome/links/cluster-b/anopheline-sialome-cds-pep-larger-orf70-50SimCLU1.txt", 1)</f>
        <v>1</v>
      </c>
      <c r="CE371">
        <f>HYPERLINK("http://exon.niaid.nih.gov/transcriptome/Anopheles_sialome/links/cluster-b/anopheline-sialome-cds-pep-larger-orf70-50SimCLTL1.txt", 30)</f>
        <v>30</v>
      </c>
      <c r="CF371">
        <f>HYPERLINK("http://exon.niaid.nih.gov/transcriptome/Anopheles_sialome/links/cluster-b/anopheline-sialome-cds-pep-larger-orf75-50SimCLU1.txt", 1)</f>
        <v>1</v>
      </c>
      <c r="CG371">
        <f>HYPERLINK("http://exon.niaid.nih.gov/transcriptome/Anopheles_sialome/links/cluster-b/anopheline-sialome-cds-pep-larger-orf75-50SimCLTL1.txt", 30)</f>
        <v>30</v>
      </c>
      <c r="CH371">
        <f>HYPERLINK("http://exon.niaid.nih.gov/transcriptome/Anopheles_sialome/links/cluster-b/anopheline-sialome-cds-pep-larger-orf80-50SimCLU1.txt", 1)</f>
        <v>1</v>
      </c>
      <c r="CI371">
        <f>HYPERLINK("http://exon.niaid.nih.gov/transcriptome/Anopheles_sialome/links/cluster-b/anopheline-sialome-cds-pep-larger-orf80-50SimCLTL1.txt", 30)</f>
        <v>30</v>
      </c>
      <c r="CJ371">
        <v>152</v>
      </c>
      <c r="CK371">
        <v>1</v>
      </c>
      <c r="CL371">
        <v>173</v>
      </c>
      <c r="CM371">
        <v>1</v>
      </c>
      <c r="CN371">
        <v>180</v>
      </c>
      <c r="CO371">
        <v>1</v>
      </c>
    </row>
    <row r="372" spans="1:93">
      <c r="A372" s="2" t="str">
        <f>HYPERLINK("http://exon.niaid.nih.gov/transcriptome/Anopheles_sialome/links/cds/anosin_D7r3-cds.txt","anosin_D7r3")</f>
        <v>anosin_D7r3</v>
      </c>
      <c r="B372">
        <v>507</v>
      </c>
      <c r="C372" t="s">
        <v>173</v>
      </c>
      <c r="D372" t="s">
        <v>7</v>
      </c>
      <c r="E372" t="s">
        <v>5</v>
      </c>
      <c r="F372" t="s">
        <v>1</v>
      </c>
      <c r="G372" t="str">
        <f>HYPERLINK("http://exon.niaid.nih.gov/transcriptome/Anopheles_sialome/links/pep/anosin_D7r3-pep.txt","anosin_D7r3")</f>
        <v>anosin_D7r3</v>
      </c>
      <c r="H372">
        <v>168</v>
      </c>
      <c r="I372">
        <v>1</v>
      </c>
      <c r="J372" s="3" t="str">
        <f>HYPERLINK("http://exon.niaid.nih.gov/transcriptome/Anopheles_sialome/links/Sigp/anosin_D7r3-SigP.txt","SIG")</f>
        <v>SIG</v>
      </c>
      <c r="K372" t="s">
        <v>692</v>
      </c>
      <c r="L372">
        <v>18.324999999999999</v>
      </c>
      <c r="M372">
        <v>8.43</v>
      </c>
      <c r="N372">
        <v>16.126000000000001</v>
      </c>
      <c r="O372">
        <v>8.2200000000000006</v>
      </c>
      <c r="P372" t="s">
        <v>1074</v>
      </c>
      <c r="Q372" s="3">
        <v>0</v>
      </c>
      <c r="R372" t="s">
        <v>128</v>
      </c>
      <c r="S372" t="s">
        <v>128</v>
      </c>
      <c r="T372" t="s">
        <v>128</v>
      </c>
      <c r="U372" t="s">
        <v>128</v>
      </c>
      <c r="V372" t="s">
        <v>128</v>
      </c>
      <c r="W372" s="3" t="str">
        <f>HYPERLINK("http://exon.niaid.nih.gov/transcriptome/Anopheles_sialome/links/netoglyc/anosin_D7r3-netoglyc.txt","0")</f>
        <v>0</v>
      </c>
      <c r="X372">
        <v>11.3</v>
      </c>
      <c r="Y372">
        <v>7.7</v>
      </c>
      <c r="Z372">
        <v>2.4</v>
      </c>
      <c r="AA372" t="s">
        <v>654</v>
      </c>
      <c r="AB372" t="s">
        <v>128</v>
      </c>
      <c r="AC372" s="2" t="str">
        <f>HYPERLINK("http://exon.niaid.nih.gov/transcriptome/Anopheles_sialome/links/DIPTERA/anosin_D7r3-DIPTERA.txt","D7-related 3.2 protein")</f>
        <v>D7-related 3.2 protein</v>
      </c>
      <c r="AD372" t="str">
        <f>HYPERLINK("http://www.ncbi.nlm.nih.gov/sutils/blink.cgi?pid=668454398","1E-091")</f>
        <v>1E-091</v>
      </c>
      <c r="AE372" t="str">
        <f>HYPERLINK("http://www.ncbi.nlm.nih.gov/protein/668454398","gi|668454398")</f>
        <v>gi|668454398</v>
      </c>
      <c r="AF372">
        <v>99</v>
      </c>
      <c r="AG372">
        <v>99</v>
      </c>
      <c r="AH372">
        <v>100</v>
      </c>
      <c r="AI372" t="s">
        <v>2277</v>
      </c>
      <c r="AJ372" s="2" t="str">
        <f>HYPERLINK("http://exon.niaid.nih.gov/transcriptome/Anopheles_sialome/links/CULICOMORPHA/anosin_D7r3-CULICOMORPHA.txt","D7-related 3.2 protein")</f>
        <v>D7-related 3.2 protein</v>
      </c>
      <c r="AK372" t="str">
        <f>HYPERLINK("http://www.ncbi.nlm.nih.gov/sutils/blink.cgi?pid=668454398","3E-092")</f>
        <v>3E-092</v>
      </c>
      <c r="AL372" t="str">
        <f>HYPERLINK("http://www.ncbi.nlm.nih.gov/protein/668454398","gi|668454398")</f>
        <v>gi|668454398</v>
      </c>
      <c r="AM372">
        <v>99</v>
      </c>
      <c r="AN372">
        <v>99</v>
      </c>
      <c r="AO372">
        <v>100</v>
      </c>
      <c r="AP372" t="s">
        <v>2277</v>
      </c>
      <c r="AQ372" s="2" t="str">
        <f>HYPERLINK("http://exon.niaid.nih.gov/transcriptome/Anopheles_sialome/links/NR-LIGHT/anosin_D7r3-NR-LIGHT.txt","D7-related 3.2 protein")</f>
        <v>D7-related 3.2 protein</v>
      </c>
      <c r="AR372" t="str">
        <f>HYPERLINK("http://www.ncbi.nlm.nih.gov/sutils/blink.cgi?pid=668454398","3E-091")</f>
        <v>3E-091</v>
      </c>
      <c r="AS372" t="str">
        <f>HYPERLINK("http://www.ncbi.nlm.nih.gov/protein/668454398","gi|668454398")</f>
        <v>gi|668454398</v>
      </c>
      <c r="AT372">
        <v>99</v>
      </c>
      <c r="AU372">
        <v>99</v>
      </c>
      <c r="AV372">
        <v>100</v>
      </c>
      <c r="AW372" t="s">
        <v>2277</v>
      </c>
      <c r="AX372" s="2" t="str">
        <f>HYPERLINK("http://exon.niaid.nih.gov/transcriptome/Anopheles_sialome/links/CDD/anosin_D7r3-CDD.txt","PBP_GOBP")</f>
        <v>PBP_GOBP</v>
      </c>
      <c r="AY372" t="str">
        <f>HYPERLINK("http://www.ncbi.nlm.nih.gov/Structure/cdd/cddsrv.cgi?uid=pfam01395&amp;version=v4.0","3E-010")</f>
        <v>3E-010</v>
      </c>
      <c r="AZ372" t="s">
        <v>2513</v>
      </c>
      <c r="BA372" s="2" t="str">
        <f>HYPERLINK("http://exon.niaid.nih.gov/transcriptome/Anopheles_sialome/links/KOG/anosin_D7r3-KOG.txt","Ras GTPase activating protein RasGAP/neurofibromin")</f>
        <v>Ras GTPase activating protein RasGAP/neurofibromin</v>
      </c>
      <c r="BB372" t="str">
        <f>HYPERLINK("http://www.ncbi.nlm.nih.gov/Structure/cdd/cddsrv.cgi?uid=KOG1826","3.7")</f>
        <v>3.7</v>
      </c>
      <c r="BC372" t="s">
        <v>2514</v>
      </c>
      <c r="BD372" t="str">
        <f>HYPERLINK("http://exon.niaid.nih.gov/transcriptome/Anopheles_sialome/links/KOG/anosin_D7r3-KOG.txt","KOG1826")</f>
        <v>KOG1826</v>
      </c>
      <c r="BE372" t="str">
        <f>HYPERLINK("http://exon.niaid.nih.gov/transcriptome/Anopheles_sialome/links/PFAM/anosin_D7r3-PFAM.txt","PBP_GOBP")</f>
        <v>PBP_GOBP</v>
      </c>
      <c r="BF372" t="str">
        <f>HYPERLINK("http://pfam.sanger.ac.uk/family?acc=PF01395","7E-011")</f>
        <v>7E-011</v>
      </c>
      <c r="BG372" s="2" t="str">
        <f>HYPERLINK("http://exon.niaid.nih.gov/transcriptome/Anopheles_sialome/links/SMART/anosin_D7r3-SMART.txt","PhBP")</f>
        <v>PhBP</v>
      </c>
      <c r="BH372" t="str">
        <f>HYPERLINK("http://smart.embl-heidelberg.de/smart/do_annotation.pl?DOMAIN=PhBP&amp;BLAST=DUMMY","1E-009")</f>
        <v>1E-009</v>
      </c>
      <c r="BI372" t="s">
        <v>128</v>
      </c>
      <c r="BJ372" s="2" t="s">
        <v>128</v>
      </c>
      <c r="BK372" t="s">
        <v>1073</v>
      </c>
      <c r="BL372">
        <f>HYPERLINK("http://exon.niaid.nih.gov/transcriptome/Anopheles_sialome/links/cluster-b/anopheline-sialome-cds-pep-larger-orf25-50SimCLU2.txt", 2)</f>
        <v>2</v>
      </c>
      <c r="BM372">
        <f>HYPERLINK("http://exon.niaid.nih.gov/transcriptome/Anopheles_sialome/links/cluster-b/anopheline-sialome-cds-pep-larger-orf25-50SimCLTL2.txt", 120)</f>
        <v>120</v>
      </c>
      <c r="BN372">
        <f>HYPERLINK("http://exon.niaid.nih.gov/transcriptome/Anopheles_sialome/links/cluster-b/anopheline-sialome-cds-pep-larger-orf30-50SimCLU2.txt", 2)</f>
        <v>2</v>
      </c>
      <c r="BO372">
        <f>HYPERLINK("http://exon.niaid.nih.gov/transcriptome/Anopheles_sialome/links/cluster-b/anopheline-sialome-cds-pep-larger-orf30-50SimCLTL2.txt", 120)</f>
        <v>120</v>
      </c>
      <c r="BP372">
        <f>HYPERLINK("http://exon.niaid.nih.gov/transcriptome/Anopheles_sialome/links/cluster-b/anopheline-sialome-cds-pep-larger-orf35-50SimCLU1.txt", 1)</f>
        <v>1</v>
      </c>
      <c r="BQ372">
        <f>HYPERLINK("http://exon.niaid.nih.gov/transcriptome/Anopheles_sialome/links/cluster-b/anopheline-sialome-cds-pep-larger-orf35-50SimCLTL1.txt", 120)</f>
        <v>120</v>
      </c>
      <c r="BR372">
        <f>HYPERLINK("http://exon.niaid.nih.gov/transcriptome/Anopheles_sialome/links/cluster-b/anopheline-sialome-cds-pep-larger-orf40-50SimCLU2.txt", 2)</f>
        <v>2</v>
      </c>
      <c r="BS372">
        <f>HYPERLINK("http://exon.niaid.nih.gov/transcriptome/Anopheles_sialome/links/cluster-b/anopheline-sialome-cds-pep-larger-orf40-50SimCLTL2.txt", 83)</f>
        <v>83</v>
      </c>
      <c r="BT372">
        <f>HYPERLINK("http://exon.niaid.nih.gov/transcriptome/Anopheles_sialome/links/cluster-b/anopheline-sialome-cds-pep-larger-orf45-50SimCLU1.txt", 1)</f>
        <v>1</v>
      </c>
      <c r="BU372">
        <f>HYPERLINK("http://exon.niaid.nih.gov/transcriptome/Anopheles_sialome/links/cluster-b/anopheline-sialome-cds-pep-larger-orf45-50SimCLTL1.txt", 83)</f>
        <v>83</v>
      </c>
      <c r="BV372">
        <f>HYPERLINK("http://exon.niaid.nih.gov/transcriptome/Anopheles_sialome/links/cluster-b/anopheline-sialome-cds-pep-larger-orf50-50SimCLU1.txt", 1)</f>
        <v>1</v>
      </c>
      <c r="BW372">
        <f>HYPERLINK("http://exon.niaid.nih.gov/transcriptome/Anopheles_sialome/links/cluster-b/anopheline-sialome-cds-pep-larger-orf50-50SimCLTL1.txt", 83)</f>
        <v>83</v>
      </c>
      <c r="BX372">
        <f>HYPERLINK("http://exon.niaid.nih.gov/transcriptome/Anopheles_sialome/links/cluster-b/anopheline-sialome-cds-pep-larger-orf55-50SimCLU1.txt", 1)</f>
        <v>1</v>
      </c>
      <c r="BY372">
        <f>HYPERLINK("http://exon.niaid.nih.gov/transcriptome/Anopheles_sialome/links/cluster-b/anopheline-sialome-cds-pep-larger-orf55-50SimCLTL1.txt", 79)</f>
        <v>79</v>
      </c>
      <c r="BZ372">
        <f>HYPERLINK("http://exon.niaid.nih.gov/transcriptome/Anopheles_sialome/links/cluster-b/anopheline-sialome-cds-pep-larger-orf60-50SimCLU1.txt", 1)</f>
        <v>1</v>
      </c>
      <c r="CA372">
        <f>HYPERLINK("http://exon.niaid.nih.gov/transcriptome/Anopheles_sialome/links/cluster-b/anopheline-sialome-cds-pep-larger-orf60-50SimCLTL1.txt", 60)</f>
        <v>60</v>
      </c>
      <c r="CB372">
        <f>HYPERLINK("http://exon.niaid.nih.gov/transcriptome/Anopheles_sialome/links/cluster-b/anopheline-sialome-cds-pep-larger-orf65-50SimCLU1.txt", 1)</f>
        <v>1</v>
      </c>
      <c r="CC372">
        <f>HYPERLINK("http://exon.niaid.nih.gov/transcriptome/Anopheles_sialome/links/cluster-b/anopheline-sialome-cds-pep-larger-orf65-50SimCLTL1.txt", 60)</f>
        <v>60</v>
      </c>
      <c r="CD372">
        <f>HYPERLINK("http://exon.niaid.nih.gov/transcriptome/Anopheles_sialome/links/cluster-b/anopheline-sialome-cds-pep-larger-orf70-50SimCLU1.txt", 1)</f>
        <v>1</v>
      </c>
      <c r="CE372">
        <f>HYPERLINK("http://exon.niaid.nih.gov/transcriptome/Anopheles_sialome/links/cluster-b/anopheline-sialome-cds-pep-larger-orf70-50SimCLTL1.txt", 30)</f>
        <v>30</v>
      </c>
      <c r="CF372">
        <f>HYPERLINK("http://exon.niaid.nih.gov/transcriptome/Anopheles_sialome/links/cluster-b/anopheline-sialome-cds-pep-larger-orf75-50SimCLU1.txt", 1)</f>
        <v>1</v>
      </c>
      <c r="CG372">
        <f>HYPERLINK("http://exon.niaid.nih.gov/transcriptome/Anopheles_sialome/links/cluster-b/anopheline-sialome-cds-pep-larger-orf75-50SimCLTL1.txt", 30)</f>
        <v>30</v>
      </c>
      <c r="CH372">
        <f>HYPERLINK("http://exon.niaid.nih.gov/transcriptome/Anopheles_sialome/links/cluster-b/anopheline-sialome-cds-pep-larger-orf80-50SimCLU1.txt", 1)</f>
        <v>1</v>
      </c>
      <c r="CI372">
        <f>HYPERLINK("http://exon.niaid.nih.gov/transcriptome/Anopheles_sialome/links/cluster-b/anopheline-sialome-cds-pep-larger-orf80-50SimCLTL1.txt", 30)</f>
        <v>30</v>
      </c>
      <c r="CJ372">
        <f>HYPERLINK("http://exon.niaid.nih.gov/transcriptome/Anopheles_sialome/links/cluster-b/anopheline-sialome-cds-pep-larger-orf85-50SimCLU70.txt", 70)</f>
        <v>70</v>
      </c>
      <c r="CK372">
        <f>HYPERLINK("http://exon.niaid.nih.gov/transcriptome/Anopheles_sialome/links/cluster-b/anopheline-sialome-cds-pep-larger-orf85-50SimCLTL70.txt", 2)</f>
        <v>2</v>
      </c>
      <c r="CL372">
        <f>HYPERLINK("http://exon.niaid.nih.gov/transcriptome/Anopheles_sialome/links/cluster-b/anopheline-sialome-cds-pep-larger-orf90-50SimCLU67.txt", 67)</f>
        <v>67</v>
      </c>
      <c r="CM372">
        <f>HYPERLINK("http://exon.niaid.nih.gov/transcriptome/Anopheles_sialome/links/cluster-b/anopheline-sialome-cds-pep-larger-orf90-50SimCLTL67.txt", 2)</f>
        <v>2</v>
      </c>
      <c r="CN372">
        <v>181</v>
      </c>
      <c r="CO372">
        <v>1</v>
      </c>
    </row>
    <row r="373" spans="1:93">
      <c r="A373" s="6" t="s">
        <v>3204</v>
      </c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</row>
    <row r="374" spans="1:93">
      <c r="A374" s="2" t="str">
        <f>HYPERLINK("http://exon.niaid.nih.gov/transcriptome/Anopheles_sialome/links/cds/anoga_D7r4-cds.txt","anoga_D7r4")</f>
        <v>anoga_D7r4</v>
      </c>
      <c r="B374">
        <v>498</v>
      </c>
      <c r="C374" t="s">
        <v>174</v>
      </c>
      <c r="D374" t="s">
        <v>4</v>
      </c>
      <c r="E374" t="s">
        <v>5</v>
      </c>
      <c r="F374" t="s">
        <v>1</v>
      </c>
      <c r="G374" t="str">
        <f>HYPERLINK("http://exon.niaid.nih.gov/transcriptome/Anopheles_sialome/links/pep/anoga_D7r4-pep.txt","anoga_D7r4")</f>
        <v>anoga_D7r4</v>
      </c>
      <c r="H374">
        <v>165</v>
      </c>
      <c r="I374">
        <v>1</v>
      </c>
      <c r="J374" s="3" t="str">
        <f>HYPERLINK("http://exon.niaid.nih.gov/transcriptome/Anopheles_sialome/links/Sigp/anoga_D7r4-SigP.txt","SIG")</f>
        <v>SIG</v>
      </c>
      <c r="K374" t="s">
        <v>689</v>
      </c>
      <c r="L374">
        <v>19.309000000000001</v>
      </c>
      <c r="M374">
        <v>6.99</v>
      </c>
      <c r="N374">
        <v>16.962</v>
      </c>
      <c r="O374">
        <v>6.67</v>
      </c>
      <c r="P374" t="s">
        <v>1076</v>
      </c>
      <c r="Q374" s="3">
        <v>0</v>
      </c>
      <c r="R374" t="s">
        <v>128</v>
      </c>
      <c r="S374" t="s">
        <v>128</v>
      </c>
      <c r="T374" t="s">
        <v>128</v>
      </c>
      <c r="U374" t="s">
        <v>128</v>
      </c>
      <c r="V374" t="s">
        <v>128</v>
      </c>
      <c r="W374" s="3" t="str">
        <f>HYPERLINK("http://exon.niaid.nih.gov/transcriptome/Anopheles_sialome/links/netoglyc/anoga_D7r4-netoglyc.txt","0")</f>
        <v>0</v>
      </c>
      <c r="X374">
        <v>8.5</v>
      </c>
      <c r="Y374">
        <v>4.2</v>
      </c>
      <c r="Z374">
        <v>3</v>
      </c>
      <c r="AA374" t="s">
        <v>654</v>
      </c>
      <c r="AB374" t="s">
        <v>128</v>
      </c>
      <c r="AC374" s="2" t="str">
        <f>HYPERLINK("http://exon.niaid.nih.gov/transcriptome/Anopheles_sialome/links/DIPTERA/anoga_D7r4-DIPTERA.txt","AGAP008281-PA")</f>
        <v>AGAP008281-PA</v>
      </c>
      <c r="AD374" t="str">
        <f>HYPERLINK("http://www.ncbi.nlm.nih.gov/sutils/blink.cgi?pid=30175326","1E-093")</f>
        <v>1E-093</v>
      </c>
      <c r="AE374" t="str">
        <f>HYPERLINK("http://www.ncbi.nlm.nih.gov/protein/30175326","gi|30175326")</f>
        <v>gi|30175326</v>
      </c>
      <c r="AF374">
        <v>100</v>
      </c>
      <c r="AG374">
        <v>100</v>
      </c>
      <c r="AH374">
        <v>100</v>
      </c>
      <c r="AI374" t="s">
        <v>2285</v>
      </c>
      <c r="AJ374" s="2" t="str">
        <f>HYPERLINK("http://exon.niaid.nih.gov/transcriptome/Anopheles_sialome/links/CULICOMORPHA/anoga_D7r4-CULICOMORPHA.txt","AGAP008281-PA")</f>
        <v>AGAP008281-PA</v>
      </c>
      <c r="AK374" t="str">
        <f>HYPERLINK("http://www.ncbi.nlm.nih.gov/sutils/blink.cgi?pid=30175326","3E-094")</f>
        <v>3E-094</v>
      </c>
      <c r="AL374" t="str">
        <f>HYPERLINK("http://www.ncbi.nlm.nih.gov/protein/30175326","gi|30175326")</f>
        <v>gi|30175326</v>
      </c>
      <c r="AM374">
        <v>100</v>
      </c>
      <c r="AN374">
        <v>100</v>
      </c>
      <c r="AO374">
        <v>100</v>
      </c>
      <c r="AP374" t="s">
        <v>2285</v>
      </c>
      <c r="AQ374" s="2" t="str">
        <f>HYPERLINK("http://exon.niaid.nih.gov/transcriptome/Anopheles_sialome/links/NR-LIGHT/anoga_D7r4-NR-LIGHT.txt","AGAP008281-PA")</f>
        <v>AGAP008281-PA</v>
      </c>
      <c r="AR374" t="str">
        <f>HYPERLINK("http://www.ncbi.nlm.nih.gov/sutils/blink.cgi?pid=31222496","3E-093")</f>
        <v>3E-093</v>
      </c>
      <c r="AS374" t="str">
        <f>HYPERLINK("http://www.ncbi.nlm.nih.gov/protein/31222496","gi|31222496")</f>
        <v>gi|31222496</v>
      </c>
      <c r="AT374">
        <v>100</v>
      </c>
      <c r="AU374">
        <v>100</v>
      </c>
      <c r="AV374">
        <v>100</v>
      </c>
      <c r="AW374" t="s">
        <v>2285</v>
      </c>
      <c r="AX374" s="2" t="str">
        <f>HYPERLINK("http://exon.niaid.nih.gov/transcriptome/Anopheles_sialome/links/CDD/anoga_D7r4-CDD.txt","PBP_GOBP")</f>
        <v>PBP_GOBP</v>
      </c>
      <c r="AY374" t="str">
        <f>HYPERLINK("http://www.ncbi.nlm.nih.gov/Structure/cdd/cddsrv.cgi?uid=pfam01395&amp;version=v4.0","3E-008")</f>
        <v>3E-008</v>
      </c>
      <c r="AZ374" t="s">
        <v>2515</v>
      </c>
      <c r="BA374" s="2" t="str">
        <f>HYPERLINK("http://exon.niaid.nih.gov/transcriptome/Anopheles_sialome/links/KOG/anoga_D7r4-KOG.txt","NADH:ubiquinone oxidoreductase, NDUFV2/24 kD subunit")</f>
        <v>NADH:ubiquinone oxidoreductase, NDUFV2/24 kD subunit</v>
      </c>
      <c r="BB374" t="str">
        <f>HYPERLINK("http://www.ncbi.nlm.nih.gov/Structure/cdd/cddsrv.cgi?uid=KOG3196","0.38")</f>
        <v>0.38</v>
      </c>
      <c r="BC374" t="s">
        <v>2516</v>
      </c>
      <c r="BD374" t="str">
        <f>HYPERLINK("http://exon.niaid.nih.gov/transcriptome/Anopheles_sialome/links/KOG/anoga_D7r4-KOG.txt","KOG3196")</f>
        <v>KOG3196</v>
      </c>
      <c r="BE374" t="str">
        <f>HYPERLINK("http://exon.niaid.nih.gov/transcriptome/Anopheles_sialome/links/PFAM/anoga_D7r4-PFAM.txt","PBP_GOBP")</f>
        <v>PBP_GOBP</v>
      </c>
      <c r="BF374" t="str">
        <f>HYPERLINK("http://pfam.sanger.ac.uk/family?acc=PF01395","7E-009")</f>
        <v>7E-009</v>
      </c>
      <c r="BG374" s="2" t="str">
        <f>HYPERLINK("http://exon.niaid.nih.gov/transcriptome/Anopheles_sialome/links/SMART/anoga_D7r4-SMART.txt","PhBP")</f>
        <v>PhBP</v>
      </c>
      <c r="BH374" t="str">
        <f>HYPERLINK("http://smart.embl-heidelberg.de/smart/do_annotation.pl?DOMAIN=PhBP&amp;BLAST=DUMMY","5E-008")</f>
        <v>5E-008</v>
      </c>
      <c r="BI374" t="s">
        <v>128</v>
      </c>
      <c r="BJ374" s="2" t="s">
        <v>128</v>
      </c>
      <c r="BK374" t="s">
        <v>1075</v>
      </c>
      <c r="BL374">
        <f>HYPERLINK("http://exon.niaid.nih.gov/transcriptome/Anopheles_sialome/links/cluster-b/anopheline-sialome-cds-pep-larger-orf25-50SimCLU2.txt", 2)</f>
        <v>2</v>
      </c>
      <c r="BM374">
        <f>HYPERLINK("http://exon.niaid.nih.gov/transcriptome/Anopheles_sialome/links/cluster-b/anopheline-sialome-cds-pep-larger-orf25-50SimCLTL2.txt", 120)</f>
        <v>120</v>
      </c>
      <c r="BN374">
        <f>HYPERLINK("http://exon.niaid.nih.gov/transcriptome/Anopheles_sialome/links/cluster-b/anopheline-sialome-cds-pep-larger-orf30-50SimCLU2.txt", 2)</f>
        <v>2</v>
      </c>
      <c r="BO374">
        <f>HYPERLINK("http://exon.niaid.nih.gov/transcriptome/Anopheles_sialome/links/cluster-b/anopheline-sialome-cds-pep-larger-orf30-50SimCLTL2.txt", 120)</f>
        <v>120</v>
      </c>
      <c r="BP374">
        <f>HYPERLINK("http://exon.niaid.nih.gov/transcriptome/Anopheles_sialome/links/cluster-b/anopheline-sialome-cds-pep-larger-orf35-50SimCLU1.txt", 1)</f>
        <v>1</v>
      </c>
      <c r="BQ374">
        <f>HYPERLINK("http://exon.niaid.nih.gov/transcriptome/Anopheles_sialome/links/cluster-b/anopheline-sialome-cds-pep-larger-orf35-50SimCLTL1.txt", 120)</f>
        <v>120</v>
      </c>
      <c r="BR374">
        <f>HYPERLINK("http://exon.niaid.nih.gov/transcriptome/Anopheles_sialome/links/cluster-b/anopheline-sialome-cds-pep-larger-orf40-50SimCLU2.txt", 2)</f>
        <v>2</v>
      </c>
      <c r="BS374">
        <f>HYPERLINK("http://exon.niaid.nih.gov/transcriptome/Anopheles_sialome/links/cluster-b/anopheline-sialome-cds-pep-larger-orf40-50SimCLTL2.txt", 83)</f>
        <v>83</v>
      </c>
      <c r="BT374">
        <f>HYPERLINK("http://exon.niaid.nih.gov/transcriptome/Anopheles_sialome/links/cluster-b/anopheline-sialome-cds-pep-larger-orf45-50SimCLU1.txt", 1)</f>
        <v>1</v>
      </c>
      <c r="BU374">
        <f>HYPERLINK("http://exon.niaid.nih.gov/transcriptome/Anopheles_sialome/links/cluster-b/anopheline-sialome-cds-pep-larger-orf45-50SimCLTL1.txt", 83)</f>
        <v>83</v>
      </c>
      <c r="BV374">
        <f>HYPERLINK("http://exon.niaid.nih.gov/transcriptome/Anopheles_sialome/links/cluster-b/anopheline-sialome-cds-pep-larger-orf50-50SimCLU1.txt", 1)</f>
        <v>1</v>
      </c>
      <c r="BW374">
        <f>HYPERLINK("http://exon.niaid.nih.gov/transcriptome/Anopheles_sialome/links/cluster-b/anopheline-sialome-cds-pep-larger-orf50-50SimCLTL1.txt", 83)</f>
        <v>83</v>
      </c>
      <c r="BX374">
        <f>HYPERLINK("http://exon.niaid.nih.gov/transcriptome/Anopheles_sialome/links/cluster-b/anopheline-sialome-cds-pep-larger-orf55-50SimCLU1.txt", 1)</f>
        <v>1</v>
      </c>
      <c r="BY374">
        <f>HYPERLINK("http://exon.niaid.nih.gov/transcriptome/Anopheles_sialome/links/cluster-b/anopheline-sialome-cds-pep-larger-orf55-50SimCLTL1.txt", 79)</f>
        <v>79</v>
      </c>
      <c r="BZ374">
        <f>HYPERLINK("http://exon.niaid.nih.gov/transcriptome/Anopheles_sialome/links/cluster-b/anopheline-sialome-cds-pep-larger-orf60-50SimCLU1.txt", 1)</f>
        <v>1</v>
      </c>
      <c r="CA374">
        <f>HYPERLINK("http://exon.niaid.nih.gov/transcriptome/Anopheles_sialome/links/cluster-b/anopheline-sialome-cds-pep-larger-orf60-50SimCLTL1.txt", 60)</f>
        <v>60</v>
      </c>
      <c r="CB374">
        <f>HYPERLINK("http://exon.niaid.nih.gov/transcriptome/Anopheles_sialome/links/cluster-b/anopheline-sialome-cds-pep-larger-orf65-50SimCLU1.txt", 1)</f>
        <v>1</v>
      </c>
      <c r="CC374">
        <f>HYPERLINK("http://exon.niaid.nih.gov/transcriptome/Anopheles_sialome/links/cluster-b/anopheline-sialome-cds-pep-larger-orf65-50SimCLTL1.txt", 60)</f>
        <v>60</v>
      </c>
      <c r="CD374">
        <f>HYPERLINK("http://exon.niaid.nih.gov/transcriptome/Anopheles_sialome/links/cluster-b/anopheline-sialome-cds-pep-larger-orf70-50SimCLU2.txt", 2)</f>
        <v>2</v>
      </c>
      <c r="CE374">
        <f>HYPERLINK("http://exon.niaid.nih.gov/transcriptome/Anopheles_sialome/links/cluster-b/anopheline-sialome-cds-pep-larger-orf70-50SimCLTL2.txt", 29)</f>
        <v>29</v>
      </c>
      <c r="CF374">
        <f>HYPERLINK("http://exon.niaid.nih.gov/transcriptome/Anopheles_sialome/links/cluster-b/anopheline-sialome-cds-pep-larger-orf75-50SimCLU2.txt", 2)</f>
        <v>2</v>
      </c>
      <c r="CG374">
        <f>HYPERLINK("http://exon.niaid.nih.gov/transcriptome/Anopheles_sialome/links/cluster-b/anopheline-sialome-cds-pep-larger-orf75-50SimCLTL2.txt", 28)</f>
        <v>28</v>
      </c>
      <c r="CH374">
        <f>HYPERLINK("http://exon.niaid.nih.gov/transcriptome/Anopheles_sialome/links/cluster-b/anopheline-sialome-cds-pep-larger-orf80-50SimCLU23.txt", 23)</f>
        <v>23</v>
      </c>
      <c r="CI374">
        <f>HYPERLINK("http://exon.niaid.nih.gov/transcriptome/Anopheles_sialome/links/cluster-b/anopheline-sialome-cds-pep-larger-orf80-50SimCLTL23.txt", 11)</f>
        <v>11</v>
      </c>
      <c r="CJ374">
        <f>HYPERLINK("http://exon.niaid.nih.gov/transcriptome/Anopheles_sialome/links/cluster-b/anopheline-sialome-cds-pep-larger-orf85-50SimCLU18.txt", 18)</f>
        <v>18</v>
      </c>
      <c r="CK374">
        <f>HYPERLINK("http://exon.niaid.nih.gov/transcriptome/Anopheles_sialome/links/cluster-b/anopheline-sialome-cds-pep-larger-orf85-50SimCLTL18.txt", 10)</f>
        <v>10</v>
      </c>
      <c r="CL374">
        <f>HYPERLINK("http://exon.niaid.nih.gov/transcriptome/Anopheles_sialome/links/cluster-b/anopheline-sialome-cds-pep-larger-orf90-50SimCLU14.txt", 14)</f>
        <v>14</v>
      </c>
      <c r="CM374">
        <f>HYPERLINK("http://exon.niaid.nih.gov/transcriptome/Anopheles_sialome/links/cluster-b/anopheline-sialome-cds-pep-larger-orf90-50SimCLTL14.txt", 7)</f>
        <v>7</v>
      </c>
      <c r="CN374">
        <f>HYPERLINK("http://exon.niaid.nih.gov/transcriptome/Anopheles_sialome/links/cluster-b/anopheline-sialome-cds-pep-larger-orf95-50SimCLU11.txt", 11)</f>
        <v>11</v>
      </c>
      <c r="CO374">
        <f>HYPERLINK("http://exon.niaid.nih.gov/transcriptome/Anopheles_sialome/links/cluster-b/anopheline-sialome-cds-pep-larger-orf95-50SimCLTL11.txt", 6)</f>
        <v>6</v>
      </c>
    </row>
    <row r="375" spans="1:93">
      <c r="A375" s="2" t="str">
        <f>HYPERLINK("http://exon.niaid.nih.gov/transcriptome/Anopheles_sialome/links/cds/anocol_D7r4-cds.txt","anocol_D7r4")</f>
        <v>anocol_D7r4</v>
      </c>
      <c r="B375">
        <v>498</v>
      </c>
      <c r="C375" t="s">
        <v>175</v>
      </c>
      <c r="D375" t="s">
        <v>7</v>
      </c>
      <c r="E375" t="s">
        <v>5</v>
      </c>
      <c r="F375" t="s">
        <v>1</v>
      </c>
      <c r="G375" t="str">
        <f>HYPERLINK("http://exon.niaid.nih.gov/transcriptome/Anopheles_sialome/links/pep/anocol_D7r4-pep.txt","anocol_D7r4")</f>
        <v>anocol_D7r4</v>
      </c>
      <c r="H375">
        <v>165</v>
      </c>
      <c r="I375">
        <v>1</v>
      </c>
      <c r="J375" s="3" t="str">
        <f>HYPERLINK("http://exon.niaid.nih.gov/transcriptome/Anopheles_sialome/links/Sigp/anocol_D7r4-SigP.txt","SIG")</f>
        <v>SIG</v>
      </c>
      <c r="K375" t="s">
        <v>689</v>
      </c>
      <c r="L375">
        <v>19.292999999999999</v>
      </c>
      <c r="M375">
        <v>8.0399999999999991</v>
      </c>
      <c r="N375">
        <v>16.957999999999998</v>
      </c>
      <c r="O375">
        <v>7.19</v>
      </c>
      <c r="P375" t="s">
        <v>1078</v>
      </c>
      <c r="Q375" s="3">
        <v>0</v>
      </c>
      <c r="R375" t="s">
        <v>128</v>
      </c>
      <c r="S375" t="s">
        <v>128</v>
      </c>
      <c r="T375" t="s">
        <v>128</v>
      </c>
      <c r="U375" t="s">
        <v>128</v>
      </c>
      <c r="V375" t="s">
        <v>128</v>
      </c>
      <c r="W375" s="3" t="str">
        <f>HYPERLINK("http://exon.niaid.nih.gov/transcriptome/Anopheles_sialome/links/netoglyc/anocol_D7r4-netoglyc.txt","0")</f>
        <v>0</v>
      </c>
      <c r="X375">
        <v>6.7</v>
      </c>
      <c r="Y375">
        <v>4.2</v>
      </c>
      <c r="Z375">
        <v>3.6</v>
      </c>
      <c r="AA375" t="s">
        <v>654</v>
      </c>
      <c r="AB375" t="s">
        <v>128</v>
      </c>
      <c r="AC375" s="2" t="str">
        <f>HYPERLINK("http://exon.niaid.nih.gov/transcriptome/Anopheles_sialome/links/DIPTERA/anocol_D7r4-DIPTERA.txt","D7r4 protein")</f>
        <v>D7r4 protein</v>
      </c>
      <c r="AD375" t="str">
        <f>HYPERLINK("http://www.ncbi.nlm.nih.gov/sutils/blink.cgi?pid=13537670","5E-091")</f>
        <v>5E-091</v>
      </c>
      <c r="AE375" t="str">
        <f t="shared" ref="AE375:AE380" si="144">HYPERLINK("http://www.ncbi.nlm.nih.gov/protein/13537670","gi|13537670")</f>
        <v>gi|13537670</v>
      </c>
      <c r="AF375">
        <v>97</v>
      </c>
      <c r="AG375">
        <v>97</v>
      </c>
      <c r="AH375">
        <v>100</v>
      </c>
      <c r="AI375" t="s">
        <v>2254</v>
      </c>
      <c r="AJ375" s="2" t="str">
        <f>HYPERLINK("http://exon.niaid.nih.gov/transcriptome/Anopheles_sialome/links/CULICOMORPHA/anocol_D7r4-CULICOMORPHA.txt","D7r4 protein")</f>
        <v>D7r4 protein</v>
      </c>
      <c r="AK375" t="str">
        <f>HYPERLINK("http://www.ncbi.nlm.nih.gov/sutils/blink.cgi?pid=13537670","1E-091")</f>
        <v>1E-091</v>
      </c>
      <c r="AL375" t="str">
        <f t="shared" ref="AL375:AL380" si="145">HYPERLINK("http://www.ncbi.nlm.nih.gov/protein/13537670","gi|13537670")</f>
        <v>gi|13537670</v>
      </c>
      <c r="AM375">
        <v>97</v>
      </c>
      <c r="AN375">
        <v>97</v>
      </c>
      <c r="AO375">
        <v>100</v>
      </c>
      <c r="AP375" t="s">
        <v>2254</v>
      </c>
      <c r="AQ375" s="2" t="str">
        <f>HYPERLINK("http://exon.niaid.nih.gov/transcriptome/Anopheles_sialome/links/NR-LIGHT/anocol_D7r4-NR-LIGHT.txt","D7r4 protein")</f>
        <v>D7r4 protein</v>
      </c>
      <c r="AR375" t="str">
        <f>HYPERLINK("http://www.ncbi.nlm.nih.gov/sutils/blink.cgi?pid=13537670","1E-090")</f>
        <v>1E-090</v>
      </c>
      <c r="AS375" t="str">
        <f t="shared" ref="AS375:AS380" si="146">HYPERLINK("http://www.ncbi.nlm.nih.gov/protein/13537670","gi|13537670")</f>
        <v>gi|13537670</v>
      </c>
      <c r="AT375">
        <v>97</v>
      </c>
      <c r="AU375">
        <v>97</v>
      </c>
      <c r="AV375">
        <v>100</v>
      </c>
      <c r="AW375" t="s">
        <v>2254</v>
      </c>
      <c r="AX375" s="2" t="str">
        <f>HYPERLINK("http://exon.niaid.nih.gov/transcriptome/Anopheles_sialome/links/CDD/anocol_D7r4-CDD.txt","PBP_GOBP")</f>
        <v>PBP_GOBP</v>
      </c>
      <c r="AY375" t="str">
        <f>HYPERLINK("http://www.ncbi.nlm.nih.gov/Structure/cdd/cddsrv.cgi?uid=pfam01395&amp;version=v4.0","1E-007")</f>
        <v>1E-007</v>
      </c>
      <c r="AZ375" t="s">
        <v>2517</v>
      </c>
      <c r="BA375" s="2" t="str">
        <f>HYPERLINK("http://exon.niaid.nih.gov/transcriptome/Anopheles_sialome/links/KOG/anocol_D7r4-KOG.txt","NADH:ubiquinone oxidoreductase, NDUFV2/24 kD subunit")</f>
        <v>NADH:ubiquinone oxidoreductase, NDUFV2/24 kD subunit</v>
      </c>
      <c r="BB375" t="str">
        <f>HYPERLINK("http://www.ncbi.nlm.nih.gov/Structure/cdd/cddsrv.cgi?uid=KOG3196","0.15")</f>
        <v>0.15</v>
      </c>
      <c r="BC375" t="s">
        <v>2516</v>
      </c>
      <c r="BD375" t="str">
        <f>HYPERLINK("http://exon.niaid.nih.gov/transcriptome/Anopheles_sialome/links/KOG/anocol_D7r4-KOG.txt","KOG3196")</f>
        <v>KOG3196</v>
      </c>
      <c r="BE375" t="str">
        <f>HYPERLINK("http://exon.niaid.nih.gov/transcriptome/Anopheles_sialome/links/PFAM/anocol_D7r4-PFAM.txt","PBP_GOBP")</f>
        <v>PBP_GOBP</v>
      </c>
      <c r="BF375" t="str">
        <f>HYPERLINK("http://pfam.sanger.ac.uk/family?acc=PF01395","3E-008")</f>
        <v>3E-008</v>
      </c>
      <c r="BG375" s="2" t="str">
        <f>HYPERLINK("http://exon.niaid.nih.gov/transcriptome/Anopheles_sialome/links/SMART/anocol_D7r4-SMART.txt","PhBP")</f>
        <v>PhBP</v>
      </c>
      <c r="BH375" t="str">
        <f>HYPERLINK("http://smart.embl-heidelberg.de/smart/do_annotation.pl?DOMAIN=PhBP&amp;BLAST=DUMMY","1E-007")</f>
        <v>1E-007</v>
      </c>
      <c r="BI375" t="s">
        <v>128</v>
      </c>
      <c r="BJ375" s="2" t="s">
        <v>128</v>
      </c>
      <c r="BK375" t="s">
        <v>1077</v>
      </c>
      <c r="BL375">
        <f>HYPERLINK("http://exon.niaid.nih.gov/transcriptome/Anopheles_sialome/links/cluster-b/anopheline-sialome-cds-pep-larger-orf25-50SimCLU2.txt", 2)</f>
        <v>2</v>
      </c>
      <c r="BM375">
        <f>HYPERLINK("http://exon.niaid.nih.gov/transcriptome/Anopheles_sialome/links/cluster-b/anopheline-sialome-cds-pep-larger-orf25-50SimCLTL2.txt", 120)</f>
        <v>120</v>
      </c>
      <c r="BN375">
        <f>HYPERLINK("http://exon.niaid.nih.gov/transcriptome/Anopheles_sialome/links/cluster-b/anopheline-sialome-cds-pep-larger-orf30-50SimCLU2.txt", 2)</f>
        <v>2</v>
      </c>
      <c r="BO375">
        <f>HYPERLINK("http://exon.niaid.nih.gov/transcriptome/Anopheles_sialome/links/cluster-b/anopheline-sialome-cds-pep-larger-orf30-50SimCLTL2.txt", 120)</f>
        <v>120</v>
      </c>
      <c r="BP375">
        <f>HYPERLINK("http://exon.niaid.nih.gov/transcriptome/Anopheles_sialome/links/cluster-b/anopheline-sialome-cds-pep-larger-orf35-50SimCLU1.txt", 1)</f>
        <v>1</v>
      </c>
      <c r="BQ375">
        <f>HYPERLINK("http://exon.niaid.nih.gov/transcriptome/Anopheles_sialome/links/cluster-b/anopheline-sialome-cds-pep-larger-orf35-50SimCLTL1.txt", 120)</f>
        <v>120</v>
      </c>
      <c r="BR375">
        <f>HYPERLINK("http://exon.niaid.nih.gov/transcriptome/Anopheles_sialome/links/cluster-b/anopheline-sialome-cds-pep-larger-orf40-50SimCLU2.txt", 2)</f>
        <v>2</v>
      </c>
      <c r="BS375">
        <f>HYPERLINK("http://exon.niaid.nih.gov/transcriptome/Anopheles_sialome/links/cluster-b/anopheline-sialome-cds-pep-larger-orf40-50SimCLTL2.txt", 83)</f>
        <v>83</v>
      </c>
      <c r="BT375">
        <f>HYPERLINK("http://exon.niaid.nih.gov/transcriptome/Anopheles_sialome/links/cluster-b/anopheline-sialome-cds-pep-larger-orf45-50SimCLU1.txt", 1)</f>
        <v>1</v>
      </c>
      <c r="BU375">
        <f>HYPERLINK("http://exon.niaid.nih.gov/transcriptome/Anopheles_sialome/links/cluster-b/anopheline-sialome-cds-pep-larger-orf45-50SimCLTL1.txt", 83)</f>
        <v>83</v>
      </c>
      <c r="BV375">
        <f>HYPERLINK("http://exon.niaid.nih.gov/transcriptome/Anopheles_sialome/links/cluster-b/anopheline-sialome-cds-pep-larger-orf50-50SimCLU1.txt", 1)</f>
        <v>1</v>
      </c>
      <c r="BW375">
        <f>HYPERLINK("http://exon.niaid.nih.gov/transcriptome/Anopheles_sialome/links/cluster-b/anopheline-sialome-cds-pep-larger-orf50-50SimCLTL1.txt", 83)</f>
        <v>83</v>
      </c>
      <c r="BX375">
        <f>HYPERLINK("http://exon.niaid.nih.gov/transcriptome/Anopheles_sialome/links/cluster-b/anopheline-sialome-cds-pep-larger-orf55-50SimCLU1.txt", 1)</f>
        <v>1</v>
      </c>
      <c r="BY375">
        <f>HYPERLINK("http://exon.niaid.nih.gov/transcriptome/Anopheles_sialome/links/cluster-b/anopheline-sialome-cds-pep-larger-orf55-50SimCLTL1.txt", 79)</f>
        <v>79</v>
      </c>
      <c r="BZ375">
        <f>HYPERLINK("http://exon.niaid.nih.gov/transcriptome/Anopheles_sialome/links/cluster-b/anopheline-sialome-cds-pep-larger-orf60-50SimCLU1.txt", 1)</f>
        <v>1</v>
      </c>
      <c r="CA375">
        <f>HYPERLINK("http://exon.niaid.nih.gov/transcriptome/Anopheles_sialome/links/cluster-b/anopheline-sialome-cds-pep-larger-orf60-50SimCLTL1.txt", 60)</f>
        <v>60</v>
      </c>
      <c r="CB375">
        <f>HYPERLINK("http://exon.niaid.nih.gov/transcriptome/Anopheles_sialome/links/cluster-b/anopheline-sialome-cds-pep-larger-orf65-50SimCLU1.txt", 1)</f>
        <v>1</v>
      </c>
      <c r="CC375">
        <f>HYPERLINK("http://exon.niaid.nih.gov/transcriptome/Anopheles_sialome/links/cluster-b/anopheline-sialome-cds-pep-larger-orf65-50SimCLTL1.txt", 60)</f>
        <v>60</v>
      </c>
      <c r="CD375">
        <f>HYPERLINK("http://exon.niaid.nih.gov/transcriptome/Anopheles_sialome/links/cluster-b/anopheline-sialome-cds-pep-larger-orf70-50SimCLU2.txt", 2)</f>
        <v>2</v>
      </c>
      <c r="CE375">
        <f>HYPERLINK("http://exon.niaid.nih.gov/transcriptome/Anopheles_sialome/links/cluster-b/anopheline-sialome-cds-pep-larger-orf70-50SimCLTL2.txt", 29)</f>
        <v>29</v>
      </c>
      <c r="CF375">
        <f>HYPERLINK("http://exon.niaid.nih.gov/transcriptome/Anopheles_sialome/links/cluster-b/anopheline-sialome-cds-pep-larger-orf75-50SimCLU2.txt", 2)</f>
        <v>2</v>
      </c>
      <c r="CG375">
        <f>HYPERLINK("http://exon.niaid.nih.gov/transcriptome/Anopheles_sialome/links/cluster-b/anopheline-sialome-cds-pep-larger-orf75-50SimCLTL2.txt", 28)</f>
        <v>28</v>
      </c>
      <c r="CH375">
        <f>HYPERLINK("http://exon.niaid.nih.gov/transcriptome/Anopheles_sialome/links/cluster-b/anopheline-sialome-cds-pep-larger-orf80-50SimCLU23.txt", 23)</f>
        <v>23</v>
      </c>
      <c r="CI375">
        <f>HYPERLINK("http://exon.niaid.nih.gov/transcriptome/Anopheles_sialome/links/cluster-b/anopheline-sialome-cds-pep-larger-orf80-50SimCLTL23.txt", 11)</f>
        <v>11</v>
      </c>
      <c r="CJ375">
        <f>HYPERLINK("http://exon.niaid.nih.gov/transcriptome/Anopheles_sialome/links/cluster-b/anopheline-sialome-cds-pep-larger-orf85-50SimCLU18.txt", 18)</f>
        <v>18</v>
      </c>
      <c r="CK375">
        <f>HYPERLINK("http://exon.niaid.nih.gov/transcriptome/Anopheles_sialome/links/cluster-b/anopheline-sialome-cds-pep-larger-orf85-50SimCLTL18.txt", 10)</f>
        <v>10</v>
      </c>
      <c r="CL375">
        <f>HYPERLINK("http://exon.niaid.nih.gov/transcriptome/Anopheles_sialome/links/cluster-b/anopheline-sialome-cds-pep-larger-orf90-50SimCLU14.txt", 14)</f>
        <v>14</v>
      </c>
      <c r="CM375">
        <f>HYPERLINK("http://exon.niaid.nih.gov/transcriptome/Anopheles_sialome/links/cluster-b/anopheline-sialome-cds-pep-larger-orf90-50SimCLTL14.txt", 7)</f>
        <v>7</v>
      </c>
      <c r="CN375">
        <f>HYPERLINK("http://exon.niaid.nih.gov/transcriptome/Anopheles_sialome/links/cluster-b/anopheline-sialome-cds-pep-larger-orf95-50SimCLU11.txt", 11)</f>
        <v>11</v>
      </c>
      <c r="CO375">
        <f>HYPERLINK("http://exon.niaid.nih.gov/transcriptome/Anopheles_sialome/links/cluster-b/anopheline-sialome-cds-pep-larger-orf95-50SimCLTL11.txt", 6)</f>
        <v>6</v>
      </c>
    </row>
    <row r="376" spans="1:93">
      <c r="A376" s="2" t="str">
        <f>HYPERLINK("http://exon.niaid.nih.gov/transcriptome/Anopheles_sialome/links/cds/anoara_D7r4-cds.txt","anoara_D7r4")</f>
        <v>anoara_D7r4</v>
      </c>
      <c r="B376">
        <v>498</v>
      </c>
      <c r="C376" t="s">
        <v>149</v>
      </c>
      <c r="D376" t="s">
        <v>7</v>
      </c>
      <c r="E376" t="s">
        <v>5</v>
      </c>
      <c r="F376" t="s">
        <v>1</v>
      </c>
      <c r="G376" t="str">
        <f>HYPERLINK("http://exon.niaid.nih.gov/transcriptome/Anopheles_sialome/links/pep/anoara_D7r4-pep.txt","anoara_D7r4")</f>
        <v>anoara_D7r4</v>
      </c>
      <c r="H376">
        <v>165</v>
      </c>
      <c r="I376">
        <v>1</v>
      </c>
      <c r="J376" s="3" t="str">
        <f>HYPERLINK("http://exon.niaid.nih.gov/transcriptome/Anopheles_sialome/links/Sigp/anoara_D7r4-SigP.txt","SIG")</f>
        <v>SIG</v>
      </c>
      <c r="K376" t="s">
        <v>689</v>
      </c>
      <c r="L376">
        <v>19.303000000000001</v>
      </c>
      <c r="M376">
        <v>8.07</v>
      </c>
      <c r="N376">
        <v>16.957999999999998</v>
      </c>
      <c r="O376">
        <v>7.19</v>
      </c>
      <c r="P376" t="s">
        <v>1080</v>
      </c>
      <c r="Q376" s="3">
        <v>0</v>
      </c>
      <c r="R376" t="s">
        <v>128</v>
      </c>
      <c r="S376" t="s">
        <v>128</v>
      </c>
      <c r="T376" t="s">
        <v>128</v>
      </c>
      <c r="U376" t="s">
        <v>128</v>
      </c>
      <c r="V376" t="s">
        <v>128</v>
      </c>
      <c r="W376" s="3" t="str">
        <f>HYPERLINK("http://exon.niaid.nih.gov/transcriptome/Anopheles_sialome/links/netoglyc/anoara_D7r4-netoglyc.txt","0")</f>
        <v>0</v>
      </c>
      <c r="X376">
        <v>6.7</v>
      </c>
      <c r="Y376">
        <v>4.2</v>
      </c>
      <c r="Z376">
        <v>3.6</v>
      </c>
      <c r="AA376" t="s">
        <v>654</v>
      </c>
      <c r="AB376" t="s">
        <v>128</v>
      </c>
      <c r="AC376" s="2" t="str">
        <f>HYPERLINK("http://exon.niaid.nih.gov/transcriptome/Anopheles_sialome/links/DIPTERA/anoara_D7r4-DIPTERA.txt","D7r4 protein")</f>
        <v>D7r4 protein</v>
      </c>
      <c r="AD376" t="str">
        <f>HYPERLINK("http://www.ncbi.nlm.nih.gov/sutils/blink.cgi?pid=13537670","1E-091")</f>
        <v>1E-091</v>
      </c>
      <c r="AE376" t="str">
        <f t="shared" si="144"/>
        <v>gi|13537670</v>
      </c>
      <c r="AF376">
        <v>98</v>
      </c>
      <c r="AG376">
        <v>98</v>
      </c>
      <c r="AH376">
        <v>100</v>
      </c>
      <c r="AI376" t="s">
        <v>2254</v>
      </c>
      <c r="AJ376" s="2" t="str">
        <f>HYPERLINK("http://exon.niaid.nih.gov/transcriptome/Anopheles_sialome/links/CULICOMORPHA/anoara_D7r4-CULICOMORPHA.txt","D7r4 protein")</f>
        <v>D7r4 protein</v>
      </c>
      <c r="AK376" t="str">
        <f>HYPERLINK("http://www.ncbi.nlm.nih.gov/sutils/blink.cgi?pid=13537670","3E-092")</f>
        <v>3E-092</v>
      </c>
      <c r="AL376" t="str">
        <f t="shared" si="145"/>
        <v>gi|13537670</v>
      </c>
      <c r="AM376">
        <v>98</v>
      </c>
      <c r="AN376">
        <v>98</v>
      </c>
      <c r="AO376">
        <v>100</v>
      </c>
      <c r="AP376" t="s">
        <v>2254</v>
      </c>
      <c r="AQ376" s="2" t="str">
        <f>HYPERLINK("http://exon.niaid.nih.gov/transcriptome/Anopheles_sialome/links/NR-LIGHT/anoara_D7r4-NR-LIGHT.txt","D7r4 protein")</f>
        <v>D7r4 protein</v>
      </c>
      <c r="AR376" t="str">
        <f>HYPERLINK("http://www.ncbi.nlm.nih.gov/sutils/blink.cgi?pid=13537670","3E-091")</f>
        <v>3E-091</v>
      </c>
      <c r="AS376" t="str">
        <f t="shared" si="146"/>
        <v>gi|13537670</v>
      </c>
      <c r="AT376">
        <v>98</v>
      </c>
      <c r="AU376">
        <v>98</v>
      </c>
      <c r="AV376">
        <v>100</v>
      </c>
      <c r="AW376" t="s">
        <v>2254</v>
      </c>
      <c r="AX376" s="2" t="str">
        <f>HYPERLINK("http://exon.niaid.nih.gov/transcriptome/Anopheles_sialome/links/CDD/anoara_D7r4-CDD.txt","PBP_GOBP")</f>
        <v>PBP_GOBP</v>
      </c>
      <c r="AY376" t="str">
        <f>HYPERLINK("http://www.ncbi.nlm.nih.gov/Structure/cdd/cddsrv.cgi?uid=pfam01395&amp;version=v4.0","9E-008")</f>
        <v>9E-008</v>
      </c>
      <c r="AZ376" t="s">
        <v>2518</v>
      </c>
      <c r="BA376" s="2" t="str">
        <f>HYPERLINK("http://exon.niaid.nih.gov/transcriptome/Anopheles_sialome/links/KOG/anoara_D7r4-KOG.txt","NADH:ubiquinone oxidoreductase, NDUFV2/24 kD subunit")</f>
        <v>NADH:ubiquinone oxidoreductase, NDUFV2/24 kD subunit</v>
      </c>
      <c r="BB376" t="str">
        <f>HYPERLINK("http://www.ncbi.nlm.nih.gov/Structure/cdd/cddsrv.cgi?uid=KOG3196","0.15")</f>
        <v>0.15</v>
      </c>
      <c r="BC376" t="s">
        <v>2516</v>
      </c>
      <c r="BD376" t="str">
        <f>HYPERLINK("http://exon.niaid.nih.gov/transcriptome/Anopheles_sialome/links/KOG/anoara_D7r4-KOG.txt","KOG3196")</f>
        <v>KOG3196</v>
      </c>
      <c r="BE376" t="str">
        <f>HYPERLINK("http://exon.niaid.nih.gov/transcriptome/Anopheles_sialome/links/PFAM/anoara_D7r4-PFAM.txt","PBP_GOBP")</f>
        <v>PBP_GOBP</v>
      </c>
      <c r="BF376" t="str">
        <f>HYPERLINK("http://pfam.sanger.ac.uk/family?acc=PF01395","2E-008")</f>
        <v>2E-008</v>
      </c>
      <c r="BG376" s="2" t="str">
        <f>HYPERLINK("http://exon.niaid.nih.gov/transcriptome/Anopheles_sialome/links/SMART/anoara_D7r4-SMART.txt","PhBP")</f>
        <v>PhBP</v>
      </c>
      <c r="BH376" t="str">
        <f>HYPERLINK("http://smart.embl-heidelberg.de/smart/do_annotation.pl?DOMAIN=PhBP&amp;BLAST=DUMMY","7E-008")</f>
        <v>7E-008</v>
      </c>
      <c r="BI376" t="s">
        <v>128</v>
      </c>
      <c r="BJ376" s="2" t="s">
        <v>128</v>
      </c>
      <c r="BK376" t="s">
        <v>1079</v>
      </c>
      <c r="BL376">
        <f>HYPERLINK("http://exon.niaid.nih.gov/transcriptome/Anopheles_sialome/links/cluster-b/anopheline-sialome-cds-pep-larger-orf25-50SimCLU2.txt", 2)</f>
        <v>2</v>
      </c>
      <c r="BM376">
        <f>HYPERLINK("http://exon.niaid.nih.gov/transcriptome/Anopheles_sialome/links/cluster-b/anopheline-sialome-cds-pep-larger-orf25-50SimCLTL2.txt", 120)</f>
        <v>120</v>
      </c>
      <c r="BN376">
        <f>HYPERLINK("http://exon.niaid.nih.gov/transcriptome/Anopheles_sialome/links/cluster-b/anopheline-sialome-cds-pep-larger-orf30-50SimCLU2.txt", 2)</f>
        <v>2</v>
      </c>
      <c r="BO376">
        <f>HYPERLINK("http://exon.niaid.nih.gov/transcriptome/Anopheles_sialome/links/cluster-b/anopheline-sialome-cds-pep-larger-orf30-50SimCLTL2.txt", 120)</f>
        <v>120</v>
      </c>
      <c r="BP376">
        <f>HYPERLINK("http://exon.niaid.nih.gov/transcriptome/Anopheles_sialome/links/cluster-b/anopheline-sialome-cds-pep-larger-orf35-50SimCLU1.txt", 1)</f>
        <v>1</v>
      </c>
      <c r="BQ376">
        <f>HYPERLINK("http://exon.niaid.nih.gov/transcriptome/Anopheles_sialome/links/cluster-b/anopheline-sialome-cds-pep-larger-orf35-50SimCLTL1.txt", 120)</f>
        <v>120</v>
      </c>
      <c r="BR376">
        <f>HYPERLINK("http://exon.niaid.nih.gov/transcriptome/Anopheles_sialome/links/cluster-b/anopheline-sialome-cds-pep-larger-orf40-50SimCLU2.txt", 2)</f>
        <v>2</v>
      </c>
      <c r="BS376">
        <f>HYPERLINK("http://exon.niaid.nih.gov/transcriptome/Anopheles_sialome/links/cluster-b/anopheline-sialome-cds-pep-larger-orf40-50SimCLTL2.txt", 83)</f>
        <v>83</v>
      </c>
      <c r="BT376">
        <f>HYPERLINK("http://exon.niaid.nih.gov/transcriptome/Anopheles_sialome/links/cluster-b/anopheline-sialome-cds-pep-larger-orf45-50SimCLU1.txt", 1)</f>
        <v>1</v>
      </c>
      <c r="BU376">
        <f>HYPERLINK("http://exon.niaid.nih.gov/transcriptome/Anopheles_sialome/links/cluster-b/anopheline-sialome-cds-pep-larger-orf45-50SimCLTL1.txt", 83)</f>
        <v>83</v>
      </c>
      <c r="BV376">
        <f>HYPERLINK("http://exon.niaid.nih.gov/transcriptome/Anopheles_sialome/links/cluster-b/anopheline-sialome-cds-pep-larger-orf50-50SimCLU1.txt", 1)</f>
        <v>1</v>
      </c>
      <c r="BW376">
        <f>HYPERLINK("http://exon.niaid.nih.gov/transcriptome/Anopheles_sialome/links/cluster-b/anopheline-sialome-cds-pep-larger-orf50-50SimCLTL1.txt", 83)</f>
        <v>83</v>
      </c>
      <c r="BX376">
        <f>HYPERLINK("http://exon.niaid.nih.gov/transcriptome/Anopheles_sialome/links/cluster-b/anopheline-sialome-cds-pep-larger-orf55-50SimCLU1.txt", 1)</f>
        <v>1</v>
      </c>
      <c r="BY376">
        <f>HYPERLINK("http://exon.niaid.nih.gov/transcriptome/Anopheles_sialome/links/cluster-b/anopheline-sialome-cds-pep-larger-orf55-50SimCLTL1.txt", 79)</f>
        <v>79</v>
      </c>
      <c r="BZ376">
        <f>HYPERLINK("http://exon.niaid.nih.gov/transcriptome/Anopheles_sialome/links/cluster-b/anopheline-sialome-cds-pep-larger-orf60-50SimCLU1.txt", 1)</f>
        <v>1</v>
      </c>
      <c r="CA376">
        <f>HYPERLINK("http://exon.niaid.nih.gov/transcriptome/Anopheles_sialome/links/cluster-b/anopheline-sialome-cds-pep-larger-orf60-50SimCLTL1.txt", 60)</f>
        <v>60</v>
      </c>
      <c r="CB376">
        <f>HYPERLINK("http://exon.niaid.nih.gov/transcriptome/Anopheles_sialome/links/cluster-b/anopheline-sialome-cds-pep-larger-orf65-50SimCLU1.txt", 1)</f>
        <v>1</v>
      </c>
      <c r="CC376">
        <f>HYPERLINK("http://exon.niaid.nih.gov/transcriptome/Anopheles_sialome/links/cluster-b/anopheline-sialome-cds-pep-larger-orf65-50SimCLTL1.txt", 60)</f>
        <v>60</v>
      </c>
      <c r="CD376">
        <f>HYPERLINK("http://exon.niaid.nih.gov/transcriptome/Anopheles_sialome/links/cluster-b/anopheline-sialome-cds-pep-larger-orf70-50SimCLU2.txt", 2)</f>
        <v>2</v>
      </c>
      <c r="CE376">
        <f>HYPERLINK("http://exon.niaid.nih.gov/transcriptome/Anopheles_sialome/links/cluster-b/anopheline-sialome-cds-pep-larger-orf70-50SimCLTL2.txt", 29)</f>
        <v>29</v>
      </c>
      <c r="CF376">
        <f>HYPERLINK("http://exon.niaid.nih.gov/transcriptome/Anopheles_sialome/links/cluster-b/anopheline-sialome-cds-pep-larger-orf75-50SimCLU2.txt", 2)</f>
        <v>2</v>
      </c>
      <c r="CG376">
        <f>HYPERLINK("http://exon.niaid.nih.gov/transcriptome/Anopheles_sialome/links/cluster-b/anopheline-sialome-cds-pep-larger-orf75-50SimCLTL2.txt", 28)</f>
        <v>28</v>
      </c>
      <c r="CH376">
        <f>HYPERLINK("http://exon.niaid.nih.gov/transcriptome/Anopheles_sialome/links/cluster-b/anopheline-sialome-cds-pep-larger-orf80-50SimCLU23.txt", 23)</f>
        <v>23</v>
      </c>
      <c r="CI376">
        <f>HYPERLINK("http://exon.niaid.nih.gov/transcriptome/Anopheles_sialome/links/cluster-b/anopheline-sialome-cds-pep-larger-orf80-50SimCLTL23.txt", 11)</f>
        <v>11</v>
      </c>
      <c r="CJ376">
        <f>HYPERLINK("http://exon.niaid.nih.gov/transcriptome/Anopheles_sialome/links/cluster-b/anopheline-sialome-cds-pep-larger-orf85-50SimCLU18.txt", 18)</f>
        <v>18</v>
      </c>
      <c r="CK376">
        <f>HYPERLINK("http://exon.niaid.nih.gov/transcriptome/Anopheles_sialome/links/cluster-b/anopheline-sialome-cds-pep-larger-orf85-50SimCLTL18.txt", 10)</f>
        <v>10</v>
      </c>
      <c r="CL376">
        <f>HYPERLINK("http://exon.niaid.nih.gov/transcriptome/Anopheles_sialome/links/cluster-b/anopheline-sialome-cds-pep-larger-orf90-50SimCLU14.txt", 14)</f>
        <v>14</v>
      </c>
      <c r="CM376">
        <f>HYPERLINK("http://exon.niaid.nih.gov/transcriptome/Anopheles_sialome/links/cluster-b/anopheline-sialome-cds-pep-larger-orf90-50SimCLTL14.txt", 7)</f>
        <v>7</v>
      </c>
      <c r="CN376">
        <f>HYPERLINK("http://exon.niaid.nih.gov/transcriptome/Anopheles_sialome/links/cluster-b/anopheline-sialome-cds-pep-larger-orf95-50SimCLU11.txt", 11)</f>
        <v>11</v>
      </c>
      <c r="CO376">
        <f>HYPERLINK("http://exon.niaid.nih.gov/transcriptome/Anopheles_sialome/links/cluster-b/anopheline-sialome-cds-pep-larger-orf95-50SimCLTL11.txt", 6)</f>
        <v>6</v>
      </c>
    </row>
    <row r="377" spans="1:93">
      <c r="A377" s="2" t="str">
        <f>HYPERLINK("http://exon.niaid.nih.gov/transcriptome/Anopheles_sialome/links/cds/anoqua_D7r4-cds.txt","anoqua_D7r4")</f>
        <v>anoqua_D7r4</v>
      </c>
      <c r="B377">
        <v>498</v>
      </c>
      <c r="C377" t="s">
        <v>150</v>
      </c>
      <c r="D377" t="s">
        <v>7</v>
      </c>
      <c r="E377" t="s">
        <v>5</v>
      </c>
      <c r="F377" t="s">
        <v>1</v>
      </c>
      <c r="G377" t="str">
        <f>HYPERLINK("http://exon.niaid.nih.gov/transcriptome/Anopheles_sialome/links/pep/anoqua_D7r4-pep.txt","anoqua_D7r4")</f>
        <v>anoqua_D7r4</v>
      </c>
      <c r="H377">
        <v>165</v>
      </c>
      <c r="I377">
        <v>1</v>
      </c>
      <c r="J377" s="3" t="str">
        <f>HYPERLINK("http://exon.niaid.nih.gov/transcriptome/Anopheles_sialome/links/Sigp/anoqua_D7r4-SigP.txt","SIG")</f>
        <v>SIG</v>
      </c>
      <c r="K377" t="s">
        <v>689</v>
      </c>
      <c r="L377">
        <v>19.318000000000001</v>
      </c>
      <c r="M377">
        <v>6.99</v>
      </c>
      <c r="N377">
        <v>16.957999999999998</v>
      </c>
      <c r="O377">
        <v>6.67</v>
      </c>
      <c r="P377" t="s">
        <v>1082</v>
      </c>
      <c r="Q377" s="3">
        <v>0</v>
      </c>
      <c r="R377" t="s">
        <v>128</v>
      </c>
      <c r="S377" t="s">
        <v>128</v>
      </c>
      <c r="T377" t="s">
        <v>128</v>
      </c>
      <c r="U377" t="s">
        <v>128</v>
      </c>
      <c r="V377" t="s">
        <v>128</v>
      </c>
      <c r="W377" s="3" t="str">
        <f>HYPERLINK("http://exon.niaid.nih.gov/transcriptome/Anopheles_sialome/links/netoglyc/anoqua_D7r4-netoglyc.txt","0")</f>
        <v>0</v>
      </c>
      <c r="X377">
        <v>7.3</v>
      </c>
      <c r="Y377">
        <v>3.6</v>
      </c>
      <c r="Z377">
        <v>3.6</v>
      </c>
      <c r="AA377" t="s">
        <v>654</v>
      </c>
      <c r="AB377" t="s">
        <v>128</v>
      </c>
      <c r="AC377" s="2" t="str">
        <f>HYPERLINK("http://exon.niaid.nih.gov/transcriptome/Anopheles_sialome/links/DIPTERA/anoqua_D7r4-DIPTERA.txt","D7r4 protein")</f>
        <v>D7r4 protein</v>
      </c>
      <c r="AD377" t="str">
        <f>HYPERLINK("http://www.ncbi.nlm.nih.gov/sutils/blink.cgi?pid=13537670","2E-092")</f>
        <v>2E-092</v>
      </c>
      <c r="AE377" t="str">
        <f t="shared" si="144"/>
        <v>gi|13537670</v>
      </c>
      <c r="AF377">
        <v>98</v>
      </c>
      <c r="AG377">
        <v>99</v>
      </c>
      <c r="AH377">
        <v>100</v>
      </c>
      <c r="AI377" t="s">
        <v>2254</v>
      </c>
      <c r="AJ377" s="2" t="str">
        <f>HYPERLINK("http://exon.niaid.nih.gov/transcriptome/Anopheles_sialome/links/CULICOMORPHA/anoqua_D7r4-CULICOMORPHA.txt","D7r4 protein")</f>
        <v>D7r4 protein</v>
      </c>
      <c r="AK377" t="str">
        <f>HYPERLINK("http://www.ncbi.nlm.nih.gov/sutils/blink.cgi?pid=13537670","4E-093")</f>
        <v>4E-093</v>
      </c>
      <c r="AL377" t="str">
        <f t="shared" si="145"/>
        <v>gi|13537670</v>
      </c>
      <c r="AM377">
        <v>98</v>
      </c>
      <c r="AN377">
        <v>99</v>
      </c>
      <c r="AO377">
        <v>100</v>
      </c>
      <c r="AP377" t="s">
        <v>2254</v>
      </c>
      <c r="AQ377" s="2" t="str">
        <f>HYPERLINK("http://exon.niaid.nih.gov/transcriptome/Anopheles_sialome/links/NR-LIGHT/anoqua_D7r4-NR-LIGHT.txt","D7r4 protein")</f>
        <v>D7r4 protein</v>
      </c>
      <c r="AR377" t="str">
        <f>HYPERLINK("http://www.ncbi.nlm.nih.gov/sutils/blink.cgi?pid=13537670","5E-092")</f>
        <v>5E-092</v>
      </c>
      <c r="AS377" t="str">
        <f t="shared" si="146"/>
        <v>gi|13537670</v>
      </c>
      <c r="AT377">
        <v>98</v>
      </c>
      <c r="AU377">
        <v>99</v>
      </c>
      <c r="AV377">
        <v>100</v>
      </c>
      <c r="AW377" t="s">
        <v>2254</v>
      </c>
      <c r="AX377" s="2" t="str">
        <f>HYPERLINK("http://exon.niaid.nih.gov/transcriptome/Anopheles_sialome/links/CDD/anoqua_D7r4-CDD.txt","PBP_GOBP")</f>
        <v>PBP_GOBP</v>
      </c>
      <c r="AY377" t="str">
        <f>HYPERLINK("http://www.ncbi.nlm.nih.gov/Structure/cdd/cddsrv.cgi?uid=pfam01395&amp;version=v4.0","6E-008")</f>
        <v>6E-008</v>
      </c>
      <c r="AZ377" t="s">
        <v>2519</v>
      </c>
      <c r="BA377" s="2" t="str">
        <f>HYPERLINK("http://exon.niaid.nih.gov/transcriptome/Anopheles_sialome/links/KOG/anoqua_D7r4-KOG.txt","NADH:ubiquinone oxidoreductase, NDUFV2/24 kD subunit")</f>
        <v>NADH:ubiquinone oxidoreductase, NDUFV2/24 kD subunit</v>
      </c>
      <c r="BB377" t="str">
        <f>HYPERLINK("http://www.ncbi.nlm.nih.gov/Structure/cdd/cddsrv.cgi?uid=KOG3196","0.44")</f>
        <v>0.44</v>
      </c>
      <c r="BC377" t="s">
        <v>2516</v>
      </c>
      <c r="BD377" t="str">
        <f>HYPERLINK("http://exon.niaid.nih.gov/transcriptome/Anopheles_sialome/links/KOG/anoqua_D7r4-KOG.txt","KOG3196")</f>
        <v>KOG3196</v>
      </c>
      <c r="BE377" t="str">
        <f>HYPERLINK("http://exon.niaid.nih.gov/transcriptome/Anopheles_sialome/links/PFAM/anoqua_D7r4-PFAM.txt","PBP_GOBP")</f>
        <v>PBP_GOBP</v>
      </c>
      <c r="BF377" t="str">
        <f>HYPERLINK("http://pfam.sanger.ac.uk/family?acc=PF01395","1E-008")</f>
        <v>1E-008</v>
      </c>
      <c r="BG377" s="2" t="str">
        <f>HYPERLINK("http://exon.niaid.nih.gov/transcriptome/Anopheles_sialome/links/SMART/anoqua_D7r4-SMART.txt","PhBP")</f>
        <v>PhBP</v>
      </c>
      <c r="BH377" t="str">
        <f>HYPERLINK("http://smart.embl-heidelberg.de/smart/do_annotation.pl?DOMAIN=PhBP&amp;BLAST=DUMMY","4E-008")</f>
        <v>4E-008</v>
      </c>
      <c r="BI377" t="s">
        <v>128</v>
      </c>
      <c r="BJ377" s="2" t="s">
        <v>128</v>
      </c>
      <c r="BK377" t="s">
        <v>1081</v>
      </c>
      <c r="BL377">
        <f>HYPERLINK("http://exon.niaid.nih.gov/transcriptome/Anopheles_sialome/links/cluster-b/anopheline-sialome-cds-pep-larger-orf25-50SimCLU2.txt", 2)</f>
        <v>2</v>
      </c>
      <c r="BM377">
        <f>HYPERLINK("http://exon.niaid.nih.gov/transcriptome/Anopheles_sialome/links/cluster-b/anopheline-sialome-cds-pep-larger-orf25-50SimCLTL2.txt", 120)</f>
        <v>120</v>
      </c>
      <c r="BN377">
        <f>HYPERLINK("http://exon.niaid.nih.gov/transcriptome/Anopheles_sialome/links/cluster-b/anopheline-sialome-cds-pep-larger-orf30-50SimCLU2.txt", 2)</f>
        <v>2</v>
      </c>
      <c r="BO377">
        <f>HYPERLINK("http://exon.niaid.nih.gov/transcriptome/Anopheles_sialome/links/cluster-b/anopheline-sialome-cds-pep-larger-orf30-50SimCLTL2.txt", 120)</f>
        <v>120</v>
      </c>
      <c r="BP377">
        <f>HYPERLINK("http://exon.niaid.nih.gov/transcriptome/Anopheles_sialome/links/cluster-b/anopheline-sialome-cds-pep-larger-orf35-50SimCLU1.txt", 1)</f>
        <v>1</v>
      </c>
      <c r="BQ377">
        <f>HYPERLINK("http://exon.niaid.nih.gov/transcriptome/Anopheles_sialome/links/cluster-b/anopheline-sialome-cds-pep-larger-orf35-50SimCLTL1.txt", 120)</f>
        <v>120</v>
      </c>
      <c r="BR377">
        <f>HYPERLINK("http://exon.niaid.nih.gov/transcriptome/Anopheles_sialome/links/cluster-b/anopheline-sialome-cds-pep-larger-orf40-50SimCLU2.txt", 2)</f>
        <v>2</v>
      </c>
      <c r="BS377">
        <f>HYPERLINK("http://exon.niaid.nih.gov/transcriptome/Anopheles_sialome/links/cluster-b/anopheline-sialome-cds-pep-larger-orf40-50SimCLTL2.txt", 83)</f>
        <v>83</v>
      </c>
      <c r="BT377">
        <f>HYPERLINK("http://exon.niaid.nih.gov/transcriptome/Anopheles_sialome/links/cluster-b/anopheline-sialome-cds-pep-larger-orf45-50SimCLU1.txt", 1)</f>
        <v>1</v>
      </c>
      <c r="BU377">
        <f>HYPERLINK("http://exon.niaid.nih.gov/transcriptome/Anopheles_sialome/links/cluster-b/anopheline-sialome-cds-pep-larger-orf45-50SimCLTL1.txt", 83)</f>
        <v>83</v>
      </c>
      <c r="BV377">
        <f>HYPERLINK("http://exon.niaid.nih.gov/transcriptome/Anopheles_sialome/links/cluster-b/anopheline-sialome-cds-pep-larger-orf50-50SimCLU1.txt", 1)</f>
        <v>1</v>
      </c>
      <c r="BW377">
        <f>HYPERLINK("http://exon.niaid.nih.gov/transcriptome/Anopheles_sialome/links/cluster-b/anopheline-sialome-cds-pep-larger-orf50-50SimCLTL1.txt", 83)</f>
        <v>83</v>
      </c>
      <c r="BX377">
        <f>HYPERLINK("http://exon.niaid.nih.gov/transcriptome/Anopheles_sialome/links/cluster-b/anopheline-sialome-cds-pep-larger-orf55-50SimCLU1.txt", 1)</f>
        <v>1</v>
      </c>
      <c r="BY377">
        <f>HYPERLINK("http://exon.niaid.nih.gov/transcriptome/Anopheles_sialome/links/cluster-b/anopheline-sialome-cds-pep-larger-orf55-50SimCLTL1.txt", 79)</f>
        <v>79</v>
      </c>
      <c r="BZ377">
        <f>HYPERLINK("http://exon.niaid.nih.gov/transcriptome/Anopheles_sialome/links/cluster-b/anopheline-sialome-cds-pep-larger-orf60-50SimCLU1.txt", 1)</f>
        <v>1</v>
      </c>
      <c r="CA377">
        <f>HYPERLINK("http://exon.niaid.nih.gov/transcriptome/Anopheles_sialome/links/cluster-b/anopheline-sialome-cds-pep-larger-orf60-50SimCLTL1.txt", 60)</f>
        <v>60</v>
      </c>
      <c r="CB377">
        <f>HYPERLINK("http://exon.niaid.nih.gov/transcriptome/Anopheles_sialome/links/cluster-b/anopheline-sialome-cds-pep-larger-orf65-50SimCLU1.txt", 1)</f>
        <v>1</v>
      </c>
      <c r="CC377">
        <f>HYPERLINK("http://exon.niaid.nih.gov/transcriptome/Anopheles_sialome/links/cluster-b/anopheline-sialome-cds-pep-larger-orf65-50SimCLTL1.txt", 60)</f>
        <v>60</v>
      </c>
      <c r="CD377">
        <f>HYPERLINK("http://exon.niaid.nih.gov/transcriptome/Anopheles_sialome/links/cluster-b/anopheline-sialome-cds-pep-larger-orf70-50SimCLU2.txt", 2)</f>
        <v>2</v>
      </c>
      <c r="CE377">
        <f>HYPERLINK("http://exon.niaid.nih.gov/transcriptome/Anopheles_sialome/links/cluster-b/anopheline-sialome-cds-pep-larger-orf70-50SimCLTL2.txt", 29)</f>
        <v>29</v>
      </c>
      <c r="CF377">
        <f>HYPERLINK("http://exon.niaid.nih.gov/transcriptome/Anopheles_sialome/links/cluster-b/anopheline-sialome-cds-pep-larger-orf75-50SimCLU2.txt", 2)</f>
        <v>2</v>
      </c>
      <c r="CG377">
        <f>HYPERLINK("http://exon.niaid.nih.gov/transcriptome/Anopheles_sialome/links/cluster-b/anopheline-sialome-cds-pep-larger-orf75-50SimCLTL2.txt", 28)</f>
        <v>28</v>
      </c>
      <c r="CH377">
        <f>HYPERLINK("http://exon.niaid.nih.gov/transcriptome/Anopheles_sialome/links/cluster-b/anopheline-sialome-cds-pep-larger-orf80-50SimCLU23.txt", 23)</f>
        <v>23</v>
      </c>
      <c r="CI377">
        <f>HYPERLINK("http://exon.niaid.nih.gov/transcriptome/Anopheles_sialome/links/cluster-b/anopheline-sialome-cds-pep-larger-orf80-50SimCLTL23.txt", 11)</f>
        <v>11</v>
      </c>
      <c r="CJ377">
        <f>HYPERLINK("http://exon.niaid.nih.gov/transcriptome/Anopheles_sialome/links/cluster-b/anopheline-sialome-cds-pep-larger-orf85-50SimCLU18.txt", 18)</f>
        <v>18</v>
      </c>
      <c r="CK377">
        <f>HYPERLINK("http://exon.niaid.nih.gov/transcriptome/Anopheles_sialome/links/cluster-b/anopheline-sialome-cds-pep-larger-orf85-50SimCLTL18.txt", 10)</f>
        <v>10</v>
      </c>
      <c r="CL377">
        <f>HYPERLINK("http://exon.niaid.nih.gov/transcriptome/Anopheles_sialome/links/cluster-b/anopheline-sialome-cds-pep-larger-orf90-50SimCLU14.txt", 14)</f>
        <v>14</v>
      </c>
      <c r="CM377">
        <f>HYPERLINK("http://exon.niaid.nih.gov/transcriptome/Anopheles_sialome/links/cluster-b/anopheline-sialome-cds-pep-larger-orf90-50SimCLTL14.txt", 7)</f>
        <v>7</v>
      </c>
      <c r="CN377">
        <f>HYPERLINK("http://exon.niaid.nih.gov/transcriptome/Anopheles_sialome/links/cluster-b/anopheline-sialome-cds-pep-larger-orf95-50SimCLU11.txt", 11)</f>
        <v>11</v>
      </c>
      <c r="CO377">
        <f>HYPERLINK("http://exon.niaid.nih.gov/transcriptome/Anopheles_sialome/links/cluster-b/anopheline-sialome-cds-pep-larger-orf95-50SimCLTL11.txt", 6)</f>
        <v>6</v>
      </c>
    </row>
    <row r="378" spans="1:93">
      <c r="A378" s="2" t="str">
        <f>HYPERLINK("http://exon.niaid.nih.gov/transcriptome/Anopheles_sialome/links/cds/anomer_D7r4-cds.txt","anomer_D7r4")</f>
        <v>anomer_D7r4</v>
      </c>
      <c r="B378">
        <v>498</v>
      </c>
      <c r="C378" t="s">
        <v>176</v>
      </c>
      <c r="D378" t="s">
        <v>4</v>
      </c>
      <c r="E378" t="s">
        <v>5</v>
      </c>
      <c r="F378" t="s">
        <v>1</v>
      </c>
      <c r="G378" t="str">
        <f>HYPERLINK("http://exon.niaid.nih.gov/transcriptome/Anopheles_sialome/links/pep/anomer_D7r4-pep.txt","anomer_D7r4")</f>
        <v>anomer_D7r4</v>
      </c>
      <c r="H378">
        <v>165</v>
      </c>
      <c r="I378">
        <v>1</v>
      </c>
      <c r="J378" s="3" t="str">
        <f>HYPERLINK("http://exon.niaid.nih.gov/transcriptome/Anopheles_sialome/links/Sigp/anomer_D7r4-SigP.txt","SIG")</f>
        <v>SIG</v>
      </c>
      <c r="K378" t="s">
        <v>689</v>
      </c>
      <c r="L378">
        <v>19.262</v>
      </c>
      <c r="M378">
        <v>6.98</v>
      </c>
      <c r="N378">
        <v>16.957999999999998</v>
      </c>
      <c r="O378">
        <v>6.67</v>
      </c>
      <c r="P378" t="s">
        <v>1084</v>
      </c>
      <c r="Q378" s="3">
        <v>0</v>
      </c>
      <c r="R378" t="s">
        <v>128</v>
      </c>
      <c r="S378" t="s">
        <v>128</v>
      </c>
      <c r="T378" t="s">
        <v>128</v>
      </c>
      <c r="U378" t="s">
        <v>128</v>
      </c>
      <c r="V378" t="s">
        <v>128</v>
      </c>
      <c r="W378" s="3" t="str">
        <f>HYPERLINK("http://exon.niaid.nih.gov/transcriptome/Anopheles_sialome/links/netoglyc/anomer_D7r4-netoglyc.txt","0")</f>
        <v>0</v>
      </c>
      <c r="X378">
        <v>6.7</v>
      </c>
      <c r="Y378">
        <v>4.2</v>
      </c>
      <c r="Z378">
        <v>3.6</v>
      </c>
      <c r="AA378" t="s">
        <v>654</v>
      </c>
      <c r="AB378" t="s">
        <v>128</v>
      </c>
      <c r="AC378" s="2" t="str">
        <f>HYPERLINK("http://exon.niaid.nih.gov/transcriptome/Anopheles_sialome/links/DIPTERA/anomer_D7r4-DIPTERA.txt","D7r4 protein")</f>
        <v>D7r4 protein</v>
      </c>
      <c r="AD378" t="str">
        <f>HYPERLINK("http://www.ncbi.nlm.nih.gov/sutils/blink.cgi?pid=13537670","6E-091")</f>
        <v>6E-091</v>
      </c>
      <c r="AE378" t="str">
        <f t="shared" si="144"/>
        <v>gi|13537670</v>
      </c>
      <c r="AF378">
        <v>96</v>
      </c>
      <c r="AG378">
        <v>98</v>
      </c>
      <c r="AH378">
        <v>100</v>
      </c>
      <c r="AI378" t="s">
        <v>2254</v>
      </c>
      <c r="AJ378" s="2" t="str">
        <f>HYPERLINK("http://exon.niaid.nih.gov/transcriptome/Anopheles_sialome/links/CULICOMORPHA/anomer_D7r4-CULICOMORPHA.txt","D7r4 protein")</f>
        <v>D7r4 protein</v>
      </c>
      <c r="AK378" t="str">
        <f>HYPERLINK("http://www.ncbi.nlm.nih.gov/sutils/blink.cgi?pid=13537670","1E-091")</f>
        <v>1E-091</v>
      </c>
      <c r="AL378" t="str">
        <f t="shared" si="145"/>
        <v>gi|13537670</v>
      </c>
      <c r="AM378">
        <v>96</v>
      </c>
      <c r="AN378">
        <v>98</v>
      </c>
      <c r="AO378">
        <v>100</v>
      </c>
      <c r="AP378" t="s">
        <v>2254</v>
      </c>
      <c r="AQ378" s="2" t="str">
        <f>HYPERLINK("http://exon.niaid.nih.gov/transcriptome/Anopheles_sialome/links/NR-LIGHT/anomer_D7r4-NR-LIGHT.txt","D7r4 protein")</f>
        <v>D7r4 protein</v>
      </c>
      <c r="AR378" t="str">
        <f>HYPERLINK("http://www.ncbi.nlm.nih.gov/sutils/blink.cgi?pid=13537670","2E-090")</f>
        <v>2E-090</v>
      </c>
      <c r="AS378" t="str">
        <f t="shared" si="146"/>
        <v>gi|13537670</v>
      </c>
      <c r="AT378">
        <v>96</v>
      </c>
      <c r="AU378">
        <v>98</v>
      </c>
      <c r="AV378">
        <v>100</v>
      </c>
      <c r="AW378" t="s">
        <v>2254</v>
      </c>
      <c r="AX378" s="2" t="str">
        <f>HYPERLINK("http://exon.niaid.nih.gov/transcriptome/Anopheles_sialome/links/CDD/anomer_D7r4-CDD.txt","PBP_GOBP")</f>
        <v>PBP_GOBP</v>
      </c>
      <c r="AY378" t="str">
        <f>HYPERLINK("http://www.ncbi.nlm.nih.gov/Structure/cdd/cddsrv.cgi?uid=pfam01395&amp;version=v4.0","9E-008")</f>
        <v>9E-008</v>
      </c>
      <c r="AZ378" t="s">
        <v>2520</v>
      </c>
      <c r="BA378" s="2" t="str">
        <f>HYPERLINK("http://exon.niaid.nih.gov/transcriptome/Anopheles_sialome/links/KOG/anomer_D7r4-KOG.txt","NADH:ubiquinone oxidoreductase, NDUFV2/24 kD subunit")</f>
        <v>NADH:ubiquinone oxidoreductase, NDUFV2/24 kD subunit</v>
      </c>
      <c r="BB378" t="str">
        <f>HYPERLINK("http://www.ncbi.nlm.nih.gov/Structure/cdd/cddsrv.cgi?uid=KOG3196","0.44")</f>
        <v>0.44</v>
      </c>
      <c r="BC378" t="s">
        <v>2516</v>
      </c>
      <c r="BD378" t="str">
        <f>HYPERLINK("http://exon.niaid.nih.gov/transcriptome/Anopheles_sialome/links/KOG/anomer_D7r4-KOG.txt","KOG3196")</f>
        <v>KOG3196</v>
      </c>
      <c r="BE378" t="str">
        <f>HYPERLINK("http://exon.niaid.nih.gov/transcriptome/Anopheles_sialome/links/PFAM/anomer_D7r4-PFAM.txt","PBP_GOBP")</f>
        <v>PBP_GOBP</v>
      </c>
      <c r="BF378" t="str">
        <f>HYPERLINK("http://pfam.sanger.ac.uk/family?acc=PF01395","2E-008")</f>
        <v>2E-008</v>
      </c>
      <c r="BG378" s="2" t="str">
        <f>HYPERLINK("http://exon.niaid.nih.gov/transcriptome/Anopheles_sialome/links/SMART/anomer_D7r4-SMART.txt","PhBP")</f>
        <v>PhBP</v>
      </c>
      <c r="BH378" t="str">
        <f>HYPERLINK("http://smart.embl-heidelberg.de/smart/do_annotation.pl?DOMAIN=PhBP&amp;BLAST=DUMMY","6E-008")</f>
        <v>6E-008</v>
      </c>
      <c r="BI378" t="s">
        <v>128</v>
      </c>
      <c r="BJ378" s="2" t="s">
        <v>128</v>
      </c>
      <c r="BK378" t="s">
        <v>1083</v>
      </c>
      <c r="BL378">
        <f>HYPERLINK("http://exon.niaid.nih.gov/transcriptome/Anopheles_sialome/links/cluster-b/anopheline-sialome-cds-pep-larger-orf25-50SimCLU2.txt", 2)</f>
        <v>2</v>
      </c>
      <c r="BM378">
        <f>HYPERLINK("http://exon.niaid.nih.gov/transcriptome/Anopheles_sialome/links/cluster-b/anopheline-sialome-cds-pep-larger-orf25-50SimCLTL2.txt", 120)</f>
        <v>120</v>
      </c>
      <c r="BN378">
        <f>HYPERLINK("http://exon.niaid.nih.gov/transcriptome/Anopheles_sialome/links/cluster-b/anopheline-sialome-cds-pep-larger-orf30-50SimCLU2.txt", 2)</f>
        <v>2</v>
      </c>
      <c r="BO378">
        <f>HYPERLINK("http://exon.niaid.nih.gov/transcriptome/Anopheles_sialome/links/cluster-b/anopheline-sialome-cds-pep-larger-orf30-50SimCLTL2.txt", 120)</f>
        <v>120</v>
      </c>
      <c r="BP378">
        <f>HYPERLINK("http://exon.niaid.nih.gov/transcriptome/Anopheles_sialome/links/cluster-b/anopheline-sialome-cds-pep-larger-orf35-50SimCLU1.txt", 1)</f>
        <v>1</v>
      </c>
      <c r="BQ378">
        <f>HYPERLINK("http://exon.niaid.nih.gov/transcriptome/Anopheles_sialome/links/cluster-b/anopheline-sialome-cds-pep-larger-orf35-50SimCLTL1.txt", 120)</f>
        <v>120</v>
      </c>
      <c r="BR378">
        <f>HYPERLINK("http://exon.niaid.nih.gov/transcriptome/Anopheles_sialome/links/cluster-b/anopheline-sialome-cds-pep-larger-orf40-50SimCLU2.txt", 2)</f>
        <v>2</v>
      </c>
      <c r="BS378">
        <f>HYPERLINK("http://exon.niaid.nih.gov/transcriptome/Anopheles_sialome/links/cluster-b/anopheline-sialome-cds-pep-larger-orf40-50SimCLTL2.txt", 83)</f>
        <v>83</v>
      </c>
      <c r="BT378">
        <f>HYPERLINK("http://exon.niaid.nih.gov/transcriptome/Anopheles_sialome/links/cluster-b/anopheline-sialome-cds-pep-larger-orf45-50SimCLU1.txt", 1)</f>
        <v>1</v>
      </c>
      <c r="BU378">
        <f>HYPERLINK("http://exon.niaid.nih.gov/transcriptome/Anopheles_sialome/links/cluster-b/anopheline-sialome-cds-pep-larger-orf45-50SimCLTL1.txt", 83)</f>
        <v>83</v>
      </c>
      <c r="BV378">
        <f>HYPERLINK("http://exon.niaid.nih.gov/transcriptome/Anopheles_sialome/links/cluster-b/anopheline-sialome-cds-pep-larger-orf50-50SimCLU1.txt", 1)</f>
        <v>1</v>
      </c>
      <c r="BW378">
        <f>HYPERLINK("http://exon.niaid.nih.gov/transcriptome/Anopheles_sialome/links/cluster-b/anopheline-sialome-cds-pep-larger-orf50-50SimCLTL1.txt", 83)</f>
        <v>83</v>
      </c>
      <c r="BX378">
        <f>HYPERLINK("http://exon.niaid.nih.gov/transcriptome/Anopheles_sialome/links/cluster-b/anopheline-sialome-cds-pep-larger-orf55-50SimCLU1.txt", 1)</f>
        <v>1</v>
      </c>
      <c r="BY378">
        <f>HYPERLINK("http://exon.niaid.nih.gov/transcriptome/Anopheles_sialome/links/cluster-b/anopheline-sialome-cds-pep-larger-orf55-50SimCLTL1.txt", 79)</f>
        <v>79</v>
      </c>
      <c r="BZ378">
        <f>HYPERLINK("http://exon.niaid.nih.gov/transcriptome/Anopheles_sialome/links/cluster-b/anopheline-sialome-cds-pep-larger-orf60-50SimCLU1.txt", 1)</f>
        <v>1</v>
      </c>
      <c r="CA378">
        <f>HYPERLINK("http://exon.niaid.nih.gov/transcriptome/Anopheles_sialome/links/cluster-b/anopheline-sialome-cds-pep-larger-orf60-50SimCLTL1.txt", 60)</f>
        <v>60</v>
      </c>
      <c r="CB378">
        <f>HYPERLINK("http://exon.niaid.nih.gov/transcriptome/Anopheles_sialome/links/cluster-b/anopheline-sialome-cds-pep-larger-orf65-50SimCLU1.txt", 1)</f>
        <v>1</v>
      </c>
      <c r="CC378">
        <f>HYPERLINK("http://exon.niaid.nih.gov/transcriptome/Anopheles_sialome/links/cluster-b/anopheline-sialome-cds-pep-larger-orf65-50SimCLTL1.txt", 60)</f>
        <v>60</v>
      </c>
      <c r="CD378">
        <f>HYPERLINK("http://exon.niaid.nih.gov/transcriptome/Anopheles_sialome/links/cluster-b/anopheline-sialome-cds-pep-larger-orf70-50SimCLU2.txt", 2)</f>
        <v>2</v>
      </c>
      <c r="CE378">
        <f>HYPERLINK("http://exon.niaid.nih.gov/transcriptome/Anopheles_sialome/links/cluster-b/anopheline-sialome-cds-pep-larger-orf70-50SimCLTL2.txt", 29)</f>
        <v>29</v>
      </c>
      <c r="CF378">
        <f>HYPERLINK("http://exon.niaid.nih.gov/transcriptome/Anopheles_sialome/links/cluster-b/anopheline-sialome-cds-pep-larger-orf75-50SimCLU2.txt", 2)</f>
        <v>2</v>
      </c>
      <c r="CG378">
        <f>HYPERLINK("http://exon.niaid.nih.gov/transcriptome/Anopheles_sialome/links/cluster-b/anopheline-sialome-cds-pep-larger-orf75-50SimCLTL2.txt", 28)</f>
        <v>28</v>
      </c>
      <c r="CH378">
        <f>HYPERLINK("http://exon.niaid.nih.gov/transcriptome/Anopheles_sialome/links/cluster-b/anopheline-sialome-cds-pep-larger-orf80-50SimCLU23.txt", 23)</f>
        <v>23</v>
      </c>
      <c r="CI378">
        <f>HYPERLINK("http://exon.niaid.nih.gov/transcriptome/Anopheles_sialome/links/cluster-b/anopheline-sialome-cds-pep-larger-orf80-50SimCLTL23.txt", 11)</f>
        <v>11</v>
      </c>
      <c r="CJ378">
        <f>HYPERLINK("http://exon.niaid.nih.gov/transcriptome/Anopheles_sialome/links/cluster-b/anopheline-sialome-cds-pep-larger-orf85-50SimCLU18.txt", 18)</f>
        <v>18</v>
      </c>
      <c r="CK378">
        <f>HYPERLINK("http://exon.niaid.nih.gov/transcriptome/Anopheles_sialome/links/cluster-b/anopheline-sialome-cds-pep-larger-orf85-50SimCLTL18.txt", 10)</f>
        <v>10</v>
      </c>
      <c r="CL378">
        <f>HYPERLINK("http://exon.niaid.nih.gov/transcriptome/Anopheles_sialome/links/cluster-b/anopheline-sialome-cds-pep-larger-orf90-50SimCLU14.txt", 14)</f>
        <v>14</v>
      </c>
      <c r="CM378">
        <f>HYPERLINK("http://exon.niaid.nih.gov/transcriptome/Anopheles_sialome/links/cluster-b/anopheline-sialome-cds-pep-larger-orf90-50SimCLTL14.txt", 7)</f>
        <v>7</v>
      </c>
      <c r="CN378">
        <f>HYPERLINK("http://exon.niaid.nih.gov/transcriptome/Anopheles_sialome/links/cluster-b/anopheline-sialome-cds-pep-larger-orf95-50SimCLU11.txt", 11)</f>
        <v>11</v>
      </c>
      <c r="CO378">
        <f>HYPERLINK("http://exon.niaid.nih.gov/transcriptome/Anopheles_sialome/links/cluster-b/anopheline-sialome-cds-pep-larger-orf95-50SimCLTL11.txt", 6)</f>
        <v>6</v>
      </c>
    </row>
    <row r="379" spans="1:93">
      <c r="A379" s="2" t="str">
        <f>HYPERLINK("http://exon.niaid.nih.gov/transcriptome/Anopheles_sialome/links/cds/anomel_D7r4-cds.txt","anomel_D7r4")</f>
        <v>anomel_D7r4</v>
      </c>
      <c r="B379">
        <v>498</v>
      </c>
      <c r="C379" t="s">
        <v>165</v>
      </c>
      <c r="D379" t="s">
        <v>7</v>
      </c>
      <c r="E379" t="s">
        <v>5</v>
      </c>
      <c r="F379" t="s">
        <v>1</v>
      </c>
      <c r="G379" t="str">
        <f>HYPERLINK("http://exon.niaid.nih.gov/transcriptome/Anopheles_sialome/links/pep/anomel_D7r4-pep.txt","anomel_D7r4")</f>
        <v>anomel_D7r4</v>
      </c>
      <c r="H379">
        <v>165</v>
      </c>
      <c r="I379">
        <v>1</v>
      </c>
      <c r="J379" s="3" t="str">
        <f>HYPERLINK("http://exon.niaid.nih.gov/transcriptome/Anopheles_sialome/links/Sigp/anomel_D7r4-SigP.txt","SIG")</f>
        <v>SIG</v>
      </c>
      <c r="K379" t="s">
        <v>689</v>
      </c>
      <c r="L379">
        <v>19.271999999999998</v>
      </c>
      <c r="M379">
        <v>6.99</v>
      </c>
      <c r="N379">
        <v>16.940000000000001</v>
      </c>
      <c r="O379">
        <v>6.67</v>
      </c>
      <c r="P379" t="s">
        <v>1086</v>
      </c>
      <c r="Q379" s="3">
        <v>0</v>
      </c>
      <c r="R379" t="s">
        <v>128</v>
      </c>
      <c r="S379" t="s">
        <v>128</v>
      </c>
      <c r="T379" t="s">
        <v>128</v>
      </c>
      <c r="U379" t="s">
        <v>128</v>
      </c>
      <c r="V379" t="s">
        <v>128</v>
      </c>
      <c r="W379" s="3" t="str">
        <f>HYPERLINK("http://exon.niaid.nih.gov/transcriptome/Anopheles_sialome/links/netoglyc/anomel_D7r4-netoglyc.txt","0")</f>
        <v>0</v>
      </c>
      <c r="X379">
        <v>7.3</v>
      </c>
      <c r="Y379">
        <v>3.6</v>
      </c>
      <c r="Z379">
        <v>3.6</v>
      </c>
      <c r="AA379" t="s">
        <v>654</v>
      </c>
      <c r="AB379" t="s">
        <v>128</v>
      </c>
      <c r="AC379" s="2" t="str">
        <f>HYPERLINK("http://exon.niaid.nih.gov/transcriptome/Anopheles_sialome/links/DIPTERA/anomel_D7r4-DIPTERA.txt","D7r4 protein")</f>
        <v>D7r4 protein</v>
      </c>
      <c r="AD379" t="str">
        <f>HYPERLINK("http://www.ncbi.nlm.nih.gov/sutils/blink.cgi?pid=13537670","1E-091")</f>
        <v>1E-091</v>
      </c>
      <c r="AE379" t="str">
        <f t="shared" si="144"/>
        <v>gi|13537670</v>
      </c>
      <c r="AF379">
        <v>97</v>
      </c>
      <c r="AG379">
        <v>98</v>
      </c>
      <c r="AH379">
        <v>100</v>
      </c>
      <c r="AI379" t="s">
        <v>2254</v>
      </c>
      <c r="AJ379" s="2" t="str">
        <f>HYPERLINK("http://exon.niaid.nih.gov/transcriptome/Anopheles_sialome/links/CULICOMORPHA/anomel_D7r4-CULICOMORPHA.txt","D7r4 protein")</f>
        <v>D7r4 protein</v>
      </c>
      <c r="AK379" t="str">
        <f>HYPERLINK("http://www.ncbi.nlm.nih.gov/sutils/blink.cgi?pid=13537670","3E-092")</f>
        <v>3E-092</v>
      </c>
      <c r="AL379" t="str">
        <f t="shared" si="145"/>
        <v>gi|13537670</v>
      </c>
      <c r="AM379">
        <v>97</v>
      </c>
      <c r="AN379">
        <v>98</v>
      </c>
      <c r="AO379">
        <v>100</v>
      </c>
      <c r="AP379" t="s">
        <v>2254</v>
      </c>
      <c r="AQ379" s="2" t="str">
        <f>HYPERLINK("http://exon.niaid.nih.gov/transcriptome/Anopheles_sialome/links/NR-LIGHT/anomel_D7r4-NR-LIGHT.txt","D7r4 protein")</f>
        <v>D7r4 protein</v>
      </c>
      <c r="AR379" t="str">
        <f>HYPERLINK("http://www.ncbi.nlm.nih.gov/sutils/blink.cgi?pid=13537670","3E-091")</f>
        <v>3E-091</v>
      </c>
      <c r="AS379" t="str">
        <f t="shared" si="146"/>
        <v>gi|13537670</v>
      </c>
      <c r="AT379">
        <v>97</v>
      </c>
      <c r="AU379">
        <v>98</v>
      </c>
      <c r="AV379">
        <v>100</v>
      </c>
      <c r="AW379" t="s">
        <v>2254</v>
      </c>
      <c r="AX379" s="2" t="str">
        <f>HYPERLINK("http://exon.niaid.nih.gov/transcriptome/Anopheles_sialome/links/CDD/anomel_D7r4-CDD.txt","PBP_GOBP")</f>
        <v>PBP_GOBP</v>
      </c>
      <c r="AY379" t="str">
        <f>HYPERLINK("http://www.ncbi.nlm.nih.gov/Structure/cdd/cddsrv.cgi?uid=pfam01395&amp;version=v4.0","6E-008")</f>
        <v>6E-008</v>
      </c>
      <c r="AZ379" t="s">
        <v>2521</v>
      </c>
      <c r="BA379" s="2" t="str">
        <f>HYPERLINK("http://exon.niaid.nih.gov/transcriptome/Anopheles_sialome/links/KOG/anomel_D7r4-KOG.txt","NADH:ubiquinone oxidoreductase, NDUFV2/24 kD subunit")</f>
        <v>NADH:ubiquinone oxidoreductase, NDUFV2/24 kD subunit</v>
      </c>
      <c r="BB379" t="str">
        <f>HYPERLINK("http://www.ncbi.nlm.nih.gov/Structure/cdd/cddsrv.cgi?uid=KOG3196","0.64")</f>
        <v>0.64</v>
      </c>
      <c r="BC379" t="s">
        <v>2516</v>
      </c>
      <c r="BD379" t="str">
        <f>HYPERLINK("http://exon.niaid.nih.gov/transcriptome/Anopheles_sialome/links/KOG/anomel_D7r4-KOG.txt","KOG3196")</f>
        <v>KOG3196</v>
      </c>
      <c r="BE379" t="str">
        <f>HYPERLINK("http://exon.niaid.nih.gov/transcriptome/Anopheles_sialome/links/PFAM/anomel_D7r4-PFAM.txt","PBP_GOBP")</f>
        <v>PBP_GOBP</v>
      </c>
      <c r="BF379" t="str">
        <f>HYPERLINK("http://pfam.sanger.ac.uk/family?acc=PF01395","1E-008")</f>
        <v>1E-008</v>
      </c>
      <c r="BG379" s="2" t="str">
        <f>HYPERLINK("http://exon.niaid.nih.gov/transcriptome/Anopheles_sialome/links/SMART/anomel_D7r4-SMART.txt","PhBP")</f>
        <v>PhBP</v>
      </c>
      <c r="BH379" t="str">
        <f>HYPERLINK("http://smart.embl-heidelberg.de/smart/do_annotation.pl?DOMAIN=PhBP&amp;BLAST=DUMMY","4E-008")</f>
        <v>4E-008</v>
      </c>
      <c r="BI379" t="s">
        <v>128</v>
      </c>
      <c r="BJ379" s="2" t="s">
        <v>128</v>
      </c>
      <c r="BK379" t="s">
        <v>1085</v>
      </c>
      <c r="BL379">
        <f>HYPERLINK("http://exon.niaid.nih.gov/transcriptome/Anopheles_sialome/links/cluster-b/anopheline-sialome-cds-pep-larger-orf25-50SimCLU2.txt", 2)</f>
        <v>2</v>
      </c>
      <c r="BM379">
        <f>HYPERLINK("http://exon.niaid.nih.gov/transcriptome/Anopheles_sialome/links/cluster-b/anopheline-sialome-cds-pep-larger-orf25-50SimCLTL2.txt", 120)</f>
        <v>120</v>
      </c>
      <c r="BN379">
        <f>HYPERLINK("http://exon.niaid.nih.gov/transcriptome/Anopheles_sialome/links/cluster-b/anopheline-sialome-cds-pep-larger-orf30-50SimCLU2.txt", 2)</f>
        <v>2</v>
      </c>
      <c r="BO379">
        <f>HYPERLINK("http://exon.niaid.nih.gov/transcriptome/Anopheles_sialome/links/cluster-b/anopheline-sialome-cds-pep-larger-orf30-50SimCLTL2.txt", 120)</f>
        <v>120</v>
      </c>
      <c r="BP379">
        <f>HYPERLINK("http://exon.niaid.nih.gov/transcriptome/Anopheles_sialome/links/cluster-b/anopheline-sialome-cds-pep-larger-orf35-50SimCLU1.txt", 1)</f>
        <v>1</v>
      </c>
      <c r="BQ379">
        <f>HYPERLINK("http://exon.niaid.nih.gov/transcriptome/Anopheles_sialome/links/cluster-b/anopheline-sialome-cds-pep-larger-orf35-50SimCLTL1.txt", 120)</f>
        <v>120</v>
      </c>
      <c r="BR379">
        <f>HYPERLINK("http://exon.niaid.nih.gov/transcriptome/Anopheles_sialome/links/cluster-b/anopheline-sialome-cds-pep-larger-orf40-50SimCLU2.txt", 2)</f>
        <v>2</v>
      </c>
      <c r="BS379">
        <f>HYPERLINK("http://exon.niaid.nih.gov/transcriptome/Anopheles_sialome/links/cluster-b/anopheline-sialome-cds-pep-larger-orf40-50SimCLTL2.txt", 83)</f>
        <v>83</v>
      </c>
      <c r="BT379">
        <f>HYPERLINK("http://exon.niaid.nih.gov/transcriptome/Anopheles_sialome/links/cluster-b/anopheline-sialome-cds-pep-larger-orf45-50SimCLU1.txt", 1)</f>
        <v>1</v>
      </c>
      <c r="BU379">
        <f>HYPERLINK("http://exon.niaid.nih.gov/transcriptome/Anopheles_sialome/links/cluster-b/anopheline-sialome-cds-pep-larger-orf45-50SimCLTL1.txt", 83)</f>
        <v>83</v>
      </c>
      <c r="BV379">
        <f>HYPERLINK("http://exon.niaid.nih.gov/transcriptome/Anopheles_sialome/links/cluster-b/anopheline-sialome-cds-pep-larger-orf50-50SimCLU1.txt", 1)</f>
        <v>1</v>
      </c>
      <c r="BW379">
        <f>HYPERLINK("http://exon.niaid.nih.gov/transcriptome/Anopheles_sialome/links/cluster-b/anopheline-sialome-cds-pep-larger-orf50-50SimCLTL1.txt", 83)</f>
        <v>83</v>
      </c>
      <c r="BX379">
        <f>HYPERLINK("http://exon.niaid.nih.gov/transcriptome/Anopheles_sialome/links/cluster-b/anopheline-sialome-cds-pep-larger-orf55-50SimCLU1.txt", 1)</f>
        <v>1</v>
      </c>
      <c r="BY379">
        <f>HYPERLINK("http://exon.niaid.nih.gov/transcriptome/Anopheles_sialome/links/cluster-b/anopheline-sialome-cds-pep-larger-orf55-50SimCLTL1.txt", 79)</f>
        <v>79</v>
      </c>
      <c r="BZ379">
        <f>HYPERLINK("http://exon.niaid.nih.gov/transcriptome/Anopheles_sialome/links/cluster-b/anopheline-sialome-cds-pep-larger-orf60-50SimCLU1.txt", 1)</f>
        <v>1</v>
      </c>
      <c r="CA379">
        <f>HYPERLINK("http://exon.niaid.nih.gov/transcriptome/Anopheles_sialome/links/cluster-b/anopheline-sialome-cds-pep-larger-orf60-50SimCLTL1.txt", 60)</f>
        <v>60</v>
      </c>
      <c r="CB379">
        <f>HYPERLINK("http://exon.niaid.nih.gov/transcriptome/Anopheles_sialome/links/cluster-b/anopheline-sialome-cds-pep-larger-orf65-50SimCLU1.txt", 1)</f>
        <v>1</v>
      </c>
      <c r="CC379">
        <f>HYPERLINK("http://exon.niaid.nih.gov/transcriptome/Anopheles_sialome/links/cluster-b/anopheline-sialome-cds-pep-larger-orf65-50SimCLTL1.txt", 60)</f>
        <v>60</v>
      </c>
      <c r="CD379">
        <f>HYPERLINK("http://exon.niaid.nih.gov/transcriptome/Anopheles_sialome/links/cluster-b/anopheline-sialome-cds-pep-larger-orf70-50SimCLU2.txt", 2)</f>
        <v>2</v>
      </c>
      <c r="CE379">
        <f>HYPERLINK("http://exon.niaid.nih.gov/transcriptome/Anopheles_sialome/links/cluster-b/anopheline-sialome-cds-pep-larger-orf70-50SimCLTL2.txt", 29)</f>
        <v>29</v>
      </c>
      <c r="CF379">
        <f>HYPERLINK("http://exon.niaid.nih.gov/transcriptome/Anopheles_sialome/links/cluster-b/anopheline-sialome-cds-pep-larger-orf75-50SimCLU2.txt", 2)</f>
        <v>2</v>
      </c>
      <c r="CG379">
        <f>HYPERLINK("http://exon.niaid.nih.gov/transcriptome/Anopheles_sialome/links/cluster-b/anopheline-sialome-cds-pep-larger-orf75-50SimCLTL2.txt", 28)</f>
        <v>28</v>
      </c>
      <c r="CH379">
        <f>HYPERLINK("http://exon.niaid.nih.gov/transcriptome/Anopheles_sialome/links/cluster-b/anopheline-sialome-cds-pep-larger-orf80-50SimCLU23.txt", 23)</f>
        <v>23</v>
      </c>
      <c r="CI379">
        <f>HYPERLINK("http://exon.niaid.nih.gov/transcriptome/Anopheles_sialome/links/cluster-b/anopheline-sialome-cds-pep-larger-orf80-50SimCLTL23.txt", 11)</f>
        <v>11</v>
      </c>
      <c r="CJ379">
        <f>HYPERLINK("http://exon.niaid.nih.gov/transcriptome/Anopheles_sialome/links/cluster-b/anopheline-sialome-cds-pep-larger-orf85-50SimCLU18.txt", 18)</f>
        <v>18</v>
      </c>
      <c r="CK379">
        <f>HYPERLINK("http://exon.niaid.nih.gov/transcriptome/Anopheles_sialome/links/cluster-b/anopheline-sialome-cds-pep-larger-orf85-50SimCLTL18.txt", 10)</f>
        <v>10</v>
      </c>
      <c r="CL379">
        <f>HYPERLINK("http://exon.niaid.nih.gov/transcriptome/Anopheles_sialome/links/cluster-b/anopheline-sialome-cds-pep-larger-orf90-50SimCLU14.txt", 14)</f>
        <v>14</v>
      </c>
      <c r="CM379">
        <f>HYPERLINK("http://exon.niaid.nih.gov/transcriptome/Anopheles_sialome/links/cluster-b/anopheline-sialome-cds-pep-larger-orf90-50SimCLTL14.txt", 7)</f>
        <v>7</v>
      </c>
      <c r="CN379">
        <f>HYPERLINK("http://exon.niaid.nih.gov/transcriptome/Anopheles_sialome/links/cluster-b/anopheline-sialome-cds-pep-larger-orf95-50SimCLU11.txt", 11)</f>
        <v>11</v>
      </c>
      <c r="CO379">
        <f>HYPERLINK("http://exon.niaid.nih.gov/transcriptome/Anopheles_sialome/links/cluster-b/anopheline-sialome-cds-pep-larger-orf95-50SimCLTL11.txt", 6)</f>
        <v>6</v>
      </c>
    </row>
    <row r="380" spans="1:93">
      <c r="A380" s="2" t="str">
        <f>HYPERLINK("http://exon.niaid.nih.gov/transcriptome/Anopheles_sialome/links/cds/anochris_D7r4-cds.txt","anochris_D7r4")</f>
        <v>anochris_D7r4</v>
      </c>
      <c r="B380">
        <v>495</v>
      </c>
      <c r="C380" t="s">
        <v>177</v>
      </c>
      <c r="D380" t="s">
        <v>7</v>
      </c>
      <c r="E380" t="s">
        <v>5</v>
      </c>
      <c r="F380" t="s">
        <v>1</v>
      </c>
      <c r="G380" t="str">
        <f>HYPERLINK("http://exon.niaid.nih.gov/transcriptome/Anopheles_sialome/links/pep/anochris_D7r4-pep.txt","anochris_D7r4")</f>
        <v>anochris_D7r4</v>
      </c>
      <c r="H380">
        <v>164</v>
      </c>
      <c r="I380">
        <v>1</v>
      </c>
      <c r="J380" s="3" t="str">
        <f>HYPERLINK("http://exon.niaid.nih.gov/transcriptome/Anopheles_sialome/links/Sigp/anochris_D7r4-SigP.txt","SIG")</f>
        <v>SIG</v>
      </c>
      <c r="K380" t="s">
        <v>689</v>
      </c>
      <c r="L380">
        <v>18.959</v>
      </c>
      <c r="M380">
        <v>8.52</v>
      </c>
      <c r="N380">
        <v>16.571000000000002</v>
      </c>
      <c r="O380">
        <v>7.79</v>
      </c>
      <c r="P380" t="s">
        <v>1088</v>
      </c>
      <c r="Q380" s="3">
        <v>0</v>
      </c>
      <c r="R380" t="s">
        <v>128</v>
      </c>
      <c r="S380" t="s">
        <v>128</v>
      </c>
      <c r="T380" t="s">
        <v>128</v>
      </c>
      <c r="U380" t="s">
        <v>128</v>
      </c>
      <c r="V380" t="s">
        <v>128</v>
      </c>
      <c r="W380" s="3" t="str">
        <f>HYPERLINK("http://exon.niaid.nih.gov/transcriptome/Anopheles_sialome/links/netoglyc/anochris_D7r4-netoglyc.txt","0")</f>
        <v>0</v>
      </c>
      <c r="X380">
        <v>9.1</v>
      </c>
      <c r="Y380">
        <v>3.7</v>
      </c>
      <c r="Z380">
        <v>3.7</v>
      </c>
      <c r="AA380" t="s">
        <v>654</v>
      </c>
      <c r="AB380" t="s">
        <v>128</v>
      </c>
      <c r="AC380" s="2" t="str">
        <f>HYPERLINK("http://exon.niaid.nih.gov/transcriptome/Anopheles_sialome/links/DIPTERA/anochris_D7r4-DIPTERA.txt","D7r4 protein")</f>
        <v>D7r4 protein</v>
      </c>
      <c r="AD380" t="str">
        <f>HYPERLINK("http://www.ncbi.nlm.nih.gov/sutils/blink.cgi?pid=13537670","1E-075")</f>
        <v>1E-075</v>
      </c>
      <c r="AE380" t="str">
        <f t="shared" si="144"/>
        <v>gi|13537670</v>
      </c>
      <c r="AF380">
        <v>81</v>
      </c>
      <c r="AG380">
        <v>90</v>
      </c>
      <c r="AH380">
        <v>99</v>
      </c>
      <c r="AI380" t="s">
        <v>2254</v>
      </c>
      <c r="AJ380" s="2" t="str">
        <f>HYPERLINK("http://exon.niaid.nih.gov/transcriptome/Anopheles_sialome/links/CULICOMORPHA/anochris_D7r4-CULICOMORPHA.txt","D7r4 protein")</f>
        <v>D7r4 protein</v>
      </c>
      <c r="AK380" t="str">
        <f>HYPERLINK("http://www.ncbi.nlm.nih.gov/sutils/blink.cgi?pid=13537670","3E-076")</f>
        <v>3E-076</v>
      </c>
      <c r="AL380" t="str">
        <f t="shared" si="145"/>
        <v>gi|13537670</v>
      </c>
      <c r="AM380">
        <v>81</v>
      </c>
      <c r="AN380">
        <v>90</v>
      </c>
      <c r="AO380">
        <v>99</v>
      </c>
      <c r="AP380" t="s">
        <v>2254</v>
      </c>
      <c r="AQ380" s="2" t="str">
        <f>HYPERLINK("http://exon.niaid.nih.gov/transcriptome/Anopheles_sialome/links/NR-LIGHT/anochris_D7r4-NR-LIGHT.txt","D7r4 protein")</f>
        <v>D7r4 protein</v>
      </c>
      <c r="AR380" t="str">
        <f>HYPERLINK("http://www.ncbi.nlm.nih.gov/sutils/blink.cgi?pid=13537670","3E-075")</f>
        <v>3E-075</v>
      </c>
      <c r="AS380" t="str">
        <f t="shared" si="146"/>
        <v>gi|13537670</v>
      </c>
      <c r="AT380">
        <v>81</v>
      </c>
      <c r="AU380">
        <v>90</v>
      </c>
      <c r="AV380">
        <v>99</v>
      </c>
      <c r="AW380" t="s">
        <v>2254</v>
      </c>
      <c r="AX380" s="2" t="str">
        <f>HYPERLINK("http://exon.niaid.nih.gov/transcriptome/Anopheles_sialome/links/CDD/anochris_D7r4-CDD.txt","PBP_GOBP")</f>
        <v>PBP_GOBP</v>
      </c>
      <c r="AY380" t="str">
        <f>HYPERLINK("http://www.ncbi.nlm.nih.gov/Structure/cdd/cddsrv.cgi?uid=pfam01395&amp;version=v4.0","5E-007")</f>
        <v>5E-007</v>
      </c>
      <c r="AZ380" t="s">
        <v>2522</v>
      </c>
      <c r="BA380" s="2" t="str">
        <f>HYPERLINK("http://exon.niaid.nih.gov/transcriptome/Anopheles_sialome/links/KOG/anochris_D7r4-KOG.txt","NADH:ubiquinone oxidoreductase, NDUFV2/24 kD subunit")</f>
        <v>NADH:ubiquinone oxidoreductase, NDUFV2/24 kD subunit</v>
      </c>
      <c r="BB380" t="str">
        <f>HYPERLINK("http://www.ncbi.nlm.nih.gov/Structure/cdd/cddsrv.cgi?uid=KOG3196","0.23")</f>
        <v>0.23</v>
      </c>
      <c r="BC380" t="s">
        <v>2516</v>
      </c>
      <c r="BD380" t="str">
        <f>HYPERLINK("http://exon.niaid.nih.gov/transcriptome/Anopheles_sialome/links/KOG/anochris_D7r4-KOG.txt","KOG3196")</f>
        <v>KOG3196</v>
      </c>
      <c r="BE380" t="str">
        <f>HYPERLINK("http://exon.niaid.nih.gov/transcriptome/Anopheles_sialome/links/PFAM/anochris_D7r4-PFAM.txt","PBP_GOBP")</f>
        <v>PBP_GOBP</v>
      </c>
      <c r="BF380" t="str">
        <f>HYPERLINK("http://pfam.sanger.ac.uk/family?acc=PF01395","1E-007")</f>
        <v>1E-007</v>
      </c>
      <c r="BG380" s="2" t="str">
        <f>HYPERLINK("http://exon.niaid.nih.gov/transcriptome/Anopheles_sialome/links/SMART/anochris_D7r4-SMART.txt","PhBP")</f>
        <v>PhBP</v>
      </c>
      <c r="BH380" t="str">
        <f>HYPERLINK("http://smart.embl-heidelberg.de/smart/do_annotation.pl?DOMAIN=PhBP&amp;BLAST=DUMMY","1E-006")</f>
        <v>1E-006</v>
      </c>
      <c r="BI380" t="s">
        <v>128</v>
      </c>
      <c r="BJ380" s="2" t="s">
        <v>128</v>
      </c>
      <c r="BK380" t="s">
        <v>1087</v>
      </c>
      <c r="BL380">
        <f>HYPERLINK("http://exon.niaid.nih.gov/transcriptome/Anopheles_sialome/links/cluster-b/anopheline-sialome-cds-pep-larger-orf25-50SimCLU2.txt", 2)</f>
        <v>2</v>
      </c>
      <c r="BM380">
        <f>HYPERLINK("http://exon.niaid.nih.gov/transcriptome/Anopheles_sialome/links/cluster-b/anopheline-sialome-cds-pep-larger-orf25-50SimCLTL2.txt", 120)</f>
        <v>120</v>
      </c>
      <c r="BN380">
        <f>HYPERLINK("http://exon.niaid.nih.gov/transcriptome/Anopheles_sialome/links/cluster-b/anopheline-sialome-cds-pep-larger-orf30-50SimCLU2.txt", 2)</f>
        <v>2</v>
      </c>
      <c r="BO380">
        <f>HYPERLINK("http://exon.niaid.nih.gov/transcriptome/Anopheles_sialome/links/cluster-b/anopheline-sialome-cds-pep-larger-orf30-50SimCLTL2.txt", 120)</f>
        <v>120</v>
      </c>
      <c r="BP380">
        <f>HYPERLINK("http://exon.niaid.nih.gov/transcriptome/Anopheles_sialome/links/cluster-b/anopheline-sialome-cds-pep-larger-orf35-50SimCLU1.txt", 1)</f>
        <v>1</v>
      </c>
      <c r="BQ380">
        <f>HYPERLINK("http://exon.niaid.nih.gov/transcriptome/Anopheles_sialome/links/cluster-b/anopheline-sialome-cds-pep-larger-orf35-50SimCLTL1.txt", 120)</f>
        <v>120</v>
      </c>
      <c r="BR380">
        <f>HYPERLINK("http://exon.niaid.nih.gov/transcriptome/Anopheles_sialome/links/cluster-b/anopheline-sialome-cds-pep-larger-orf40-50SimCLU2.txt", 2)</f>
        <v>2</v>
      </c>
      <c r="BS380">
        <f>HYPERLINK("http://exon.niaid.nih.gov/transcriptome/Anopheles_sialome/links/cluster-b/anopheline-sialome-cds-pep-larger-orf40-50SimCLTL2.txt", 83)</f>
        <v>83</v>
      </c>
      <c r="BT380">
        <f>HYPERLINK("http://exon.niaid.nih.gov/transcriptome/Anopheles_sialome/links/cluster-b/anopheline-sialome-cds-pep-larger-orf45-50SimCLU1.txt", 1)</f>
        <v>1</v>
      </c>
      <c r="BU380">
        <f>HYPERLINK("http://exon.niaid.nih.gov/transcriptome/Anopheles_sialome/links/cluster-b/anopheline-sialome-cds-pep-larger-orf45-50SimCLTL1.txt", 83)</f>
        <v>83</v>
      </c>
      <c r="BV380">
        <f>HYPERLINK("http://exon.niaid.nih.gov/transcriptome/Anopheles_sialome/links/cluster-b/anopheline-sialome-cds-pep-larger-orf50-50SimCLU1.txt", 1)</f>
        <v>1</v>
      </c>
      <c r="BW380">
        <f>HYPERLINK("http://exon.niaid.nih.gov/transcriptome/Anopheles_sialome/links/cluster-b/anopheline-sialome-cds-pep-larger-orf50-50SimCLTL1.txt", 83)</f>
        <v>83</v>
      </c>
      <c r="BX380">
        <f>HYPERLINK("http://exon.niaid.nih.gov/transcriptome/Anopheles_sialome/links/cluster-b/anopheline-sialome-cds-pep-larger-orf55-50SimCLU1.txt", 1)</f>
        <v>1</v>
      </c>
      <c r="BY380">
        <f>HYPERLINK("http://exon.niaid.nih.gov/transcriptome/Anopheles_sialome/links/cluster-b/anopheline-sialome-cds-pep-larger-orf55-50SimCLTL1.txt", 79)</f>
        <v>79</v>
      </c>
      <c r="BZ380">
        <f>HYPERLINK("http://exon.niaid.nih.gov/transcriptome/Anopheles_sialome/links/cluster-b/anopheline-sialome-cds-pep-larger-orf60-50SimCLU1.txt", 1)</f>
        <v>1</v>
      </c>
      <c r="CA380">
        <f>HYPERLINK("http://exon.niaid.nih.gov/transcriptome/Anopheles_sialome/links/cluster-b/anopheline-sialome-cds-pep-larger-orf60-50SimCLTL1.txt", 60)</f>
        <v>60</v>
      </c>
      <c r="CB380">
        <f>HYPERLINK("http://exon.niaid.nih.gov/transcriptome/Anopheles_sialome/links/cluster-b/anopheline-sialome-cds-pep-larger-orf65-50SimCLU1.txt", 1)</f>
        <v>1</v>
      </c>
      <c r="CC380">
        <f>HYPERLINK("http://exon.niaid.nih.gov/transcriptome/Anopheles_sialome/links/cluster-b/anopheline-sialome-cds-pep-larger-orf65-50SimCLTL1.txt", 60)</f>
        <v>60</v>
      </c>
      <c r="CD380">
        <f>HYPERLINK("http://exon.niaid.nih.gov/transcriptome/Anopheles_sialome/links/cluster-b/anopheline-sialome-cds-pep-larger-orf70-50SimCLU2.txt", 2)</f>
        <v>2</v>
      </c>
      <c r="CE380">
        <f>HYPERLINK("http://exon.niaid.nih.gov/transcriptome/Anopheles_sialome/links/cluster-b/anopheline-sialome-cds-pep-larger-orf70-50SimCLTL2.txt", 29)</f>
        <v>29</v>
      </c>
      <c r="CF380">
        <f>HYPERLINK("http://exon.niaid.nih.gov/transcriptome/Anopheles_sialome/links/cluster-b/anopheline-sialome-cds-pep-larger-orf75-50SimCLU2.txt", 2)</f>
        <v>2</v>
      </c>
      <c r="CG380">
        <f>HYPERLINK("http://exon.niaid.nih.gov/transcriptome/Anopheles_sialome/links/cluster-b/anopheline-sialome-cds-pep-larger-orf75-50SimCLTL2.txt", 28)</f>
        <v>28</v>
      </c>
      <c r="CH380">
        <f>HYPERLINK("http://exon.niaid.nih.gov/transcriptome/Anopheles_sialome/links/cluster-b/anopheline-sialome-cds-pep-larger-orf80-50SimCLU23.txt", 23)</f>
        <v>23</v>
      </c>
      <c r="CI380">
        <f>HYPERLINK("http://exon.niaid.nih.gov/transcriptome/Anopheles_sialome/links/cluster-b/anopheline-sialome-cds-pep-larger-orf80-50SimCLTL23.txt", 11)</f>
        <v>11</v>
      </c>
      <c r="CJ380">
        <f>HYPERLINK("http://exon.niaid.nih.gov/transcriptome/Anopheles_sialome/links/cluster-b/anopheline-sialome-cds-pep-larger-orf85-50SimCLU18.txt", 18)</f>
        <v>18</v>
      </c>
      <c r="CK380">
        <f>HYPERLINK("http://exon.niaid.nih.gov/transcriptome/Anopheles_sialome/links/cluster-b/anopheline-sialome-cds-pep-larger-orf85-50SimCLTL18.txt", 10)</f>
        <v>10</v>
      </c>
      <c r="CL380">
        <f>HYPERLINK("http://exon.niaid.nih.gov/transcriptome/Anopheles_sialome/links/cluster-b/anopheline-sialome-cds-pep-larger-orf90-50SimCLU14.txt", 14)</f>
        <v>14</v>
      </c>
      <c r="CM380">
        <f>HYPERLINK("http://exon.niaid.nih.gov/transcriptome/Anopheles_sialome/links/cluster-b/anopheline-sialome-cds-pep-larger-orf90-50SimCLTL14.txt", 7)</f>
        <v>7</v>
      </c>
      <c r="CN380">
        <v>182</v>
      </c>
      <c r="CO380">
        <v>1</v>
      </c>
    </row>
    <row r="381" spans="1:93">
      <c r="A381" s="2" t="str">
        <f>HYPERLINK("http://exon.niaid.nih.gov/transcriptome/Anopheles_sialome/links/cds/anoepi_D7r4-cds.txt","anoepi_D7r4")</f>
        <v>anoepi_D7r4</v>
      </c>
      <c r="B381">
        <v>507</v>
      </c>
      <c r="C381" t="s">
        <v>153</v>
      </c>
      <c r="D381" t="s">
        <v>7</v>
      </c>
      <c r="E381" t="s">
        <v>5</v>
      </c>
      <c r="F381" t="s">
        <v>1</v>
      </c>
      <c r="G381" t="str">
        <f>HYPERLINK("http://exon.niaid.nih.gov/transcriptome/Anopheles_sialome/links/pep/anoepi_D7r4-pep.txt","anoepi_D7r4")</f>
        <v>anoepi_D7r4</v>
      </c>
      <c r="H381">
        <v>168</v>
      </c>
      <c r="I381">
        <v>0</v>
      </c>
      <c r="J381" s="3" t="str">
        <f>HYPERLINK("http://exon.niaid.nih.gov/transcriptome/Anopheles_sialome/links/Sigp/anoepi_D7r4-SigP.txt","SIG")</f>
        <v>SIG</v>
      </c>
      <c r="K381" t="s">
        <v>695</v>
      </c>
      <c r="L381">
        <v>19.170000000000002</v>
      </c>
      <c r="M381">
        <v>8.1199999999999992</v>
      </c>
      <c r="N381">
        <v>16.97</v>
      </c>
      <c r="O381">
        <v>7.82</v>
      </c>
      <c r="P381" t="s">
        <v>1090</v>
      </c>
      <c r="Q381" s="3">
        <v>0</v>
      </c>
      <c r="R381" t="s">
        <v>128</v>
      </c>
      <c r="S381" t="s">
        <v>128</v>
      </c>
      <c r="T381" t="s">
        <v>128</v>
      </c>
      <c r="U381" t="s">
        <v>128</v>
      </c>
      <c r="V381" t="s">
        <v>128</v>
      </c>
      <c r="W381" s="3" t="str">
        <f>HYPERLINK("http://exon.niaid.nih.gov/transcriptome/Anopheles_sialome/links/netoglyc/anoepi_D7r4-netoglyc.txt","0")</f>
        <v>0</v>
      </c>
      <c r="X381">
        <v>9.5</v>
      </c>
      <c r="Y381">
        <v>4.8</v>
      </c>
      <c r="Z381">
        <v>4.2</v>
      </c>
      <c r="AA381" t="s">
        <v>654</v>
      </c>
      <c r="AB381" t="s">
        <v>128</v>
      </c>
      <c r="AC381" s="2" t="str">
        <f>HYPERLINK("http://exon.niaid.nih.gov/transcriptome/Anopheles_sialome/links/DIPTERA/anoepi_D7r4-DIPTERA.txt","short form D7 salivary protein D7r4")</f>
        <v>short form D7 salivary protein D7r4</v>
      </c>
      <c r="AD381" t="str">
        <f>HYPERLINK("http://www.ncbi.nlm.nih.gov/sutils/blink.cgi?pid=114864647","7E-069")</f>
        <v>7E-069</v>
      </c>
      <c r="AE381" t="str">
        <f>HYPERLINK("http://www.ncbi.nlm.nih.gov/protein/114864647","gi|114864647")</f>
        <v>gi|114864647</v>
      </c>
      <c r="AF381">
        <v>79</v>
      </c>
      <c r="AG381">
        <v>89</v>
      </c>
      <c r="AH381">
        <v>96</v>
      </c>
      <c r="AI381" t="s">
        <v>2266</v>
      </c>
      <c r="AJ381" s="2" t="str">
        <f>HYPERLINK("http://exon.niaid.nih.gov/transcriptome/Anopheles_sialome/links/CULICOMORPHA/anoepi_D7r4-CULICOMORPHA.txt","short form D7 salivary protein D7r4")</f>
        <v>short form D7 salivary protein D7r4</v>
      </c>
      <c r="AK381" t="str">
        <f>HYPERLINK("http://www.ncbi.nlm.nih.gov/sutils/blink.cgi?pid=114864647","1E-069")</f>
        <v>1E-069</v>
      </c>
      <c r="AL381" t="str">
        <f>HYPERLINK("http://www.ncbi.nlm.nih.gov/protein/114864647","gi|114864647")</f>
        <v>gi|114864647</v>
      </c>
      <c r="AM381">
        <v>79</v>
      </c>
      <c r="AN381">
        <v>89</v>
      </c>
      <c r="AO381">
        <v>96</v>
      </c>
      <c r="AP381" t="s">
        <v>2266</v>
      </c>
      <c r="AQ381" s="2" t="str">
        <f>HYPERLINK("http://exon.niaid.nih.gov/transcriptome/Anopheles_sialome/links/NR-LIGHT/anoepi_D7r4-NR-LIGHT.txt","short form D7 salivary protein D7r4")</f>
        <v>short form D7 salivary protein D7r4</v>
      </c>
      <c r="AR381" t="str">
        <f>HYPERLINK("http://www.ncbi.nlm.nih.gov/sutils/blink.cgi?pid=114864647","2E-068")</f>
        <v>2E-068</v>
      </c>
      <c r="AS381" t="str">
        <f>HYPERLINK("http://www.ncbi.nlm.nih.gov/protein/114864647","gi|114864647")</f>
        <v>gi|114864647</v>
      </c>
      <c r="AT381">
        <v>79</v>
      </c>
      <c r="AU381">
        <v>89</v>
      </c>
      <c r="AV381">
        <v>96</v>
      </c>
      <c r="AW381" t="s">
        <v>2266</v>
      </c>
      <c r="AX381" s="2" t="str">
        <f>HYPERLINK("http://exon.niaid.nih.gov/transcriptome/Anopheles_sialome/links/CDD/anoepi_D7r4-CDD.txt","PBP_GOBP")</f>
        <v>PBP_GOBP</v>
      </c>
      <c r="AY381" t="str">
        <f>HYPERLINK("http://www.ncbi.nlm.nih.gov/Structure/cdd/cddsrv.cgi?uid=pfam01395&amp;version=v4.0","3E-008")</f>
        <v>3E-008</v>
      </c>
      <c r="AZ381" t="s">
        <v>2523</v>
      </c>
      <c r="BA381" s="2" t="str">
        <f>HYPERLINK("http://exon.niaid.nih.gov/transcriptome/Anopheles_sialome/links/KOG/anoepi_D7r4-KOG.txt","Phosphatidylserine decarboxylase")</f>
        <v>Phosphatidylserine decarboxylase</v>
      </c>
      <c r="BB381" t="str">
        <f>HYPERLINK("http://www.ncbi.nlm.nih.gov/Structure/cdd/cddsrv.cgi?uid=KOG2420","1.2")</f>
        <v>1.2</v>
      </c>
      <c r="BC381" t="s">
        <v>2298</v>
      </c>
      <c r="BD381" t="str">
        <f>HYPERLINK("http://exon.niaid.nih.gov/transcriptome/Anopheles_sialome/links/KOG/anoepi_D7r4-KOG.txt","KOG2420")</f>
        <v>KOG2420</v>
      </c>
      <c r="BE381" t="str">
        <f>HYPERLINK("http://exon.niaid.nih.gov/transcriptome/Anopheles_sialome/links/PFAM/anoepi_D7r4-PFAM.txt","PBP_GOBP")</f>
        <v>PBP_GOBP</v>
      </c>
      <c r="BF381" t="str">
        <f>HYPERLINK("http://pfam.sanger.ac.uk/family?acc=PF01395","7E-009")</f>
        <v>7E-009</v>
      </c>
      <c r="BG381" s="2" t="str">
        <f>HYPERLINK("http://exon.niaid.nih.gov/transcriptome/Anopheles_sialome/links/SMART/anoepi_D7r4-SMART.txt","PhBP")</f>
        <v>PhBP</v>
      </c>
      <c r="BH381" t="str">
        <f>HYPERLINK("http://smart.embl-heidelberg.de/smart/do_annotation.pl?DOMAIN=PhBP&amp;BLAST=DUMMY","5E-009")</f>
        <v>5E-009</v>
      </c>
      <c r="BI381" t="s">
        <v>128</v>
      </c>
      <c r="BJ381" s="2" t="s">
        <v>128</v>
      </c>
      <c r="BK381" t="s">
        <v>1089</v>
      </c>
      <c r="BL381">
        <f>HYPERLINK("http://exon.niaid.nih.gov/transcriptome/Anopheles_sialome/links/cluster-b/anopheline-sialome-cds-pep-larger-orf25-50SimCLU2.txt", 2)</f>
        <v>2</v>
      </c>
      <c r="BM381">
        <f>HYPERLINK("http://exon.niaid.nih.gov/transcriptome/Anopheles_sialome/links/cluster-b/anopheline-sialome-cds-pep-larger-orf25-50SimCLTL2.txt", 120)</f>
        <v>120</v>
      </c>
      <c r="BN381">
        <f>HYPERLINK("http://exon.niaid.nih.gov/transcriptome/Anopheles_sialome/links/cluster-b/anopheline-sialome-cds-pep-larger-orf30-50SimCLU2.txt", 2)</f>
        <v>2</v>
      </c>
      <c r="BO381">
        <f>HYPERLINK("http://exon.niaid.nih.gov/transcriptome/Anopheles_sialome/links/cluster-b/anopheline-sialome-cds-pep-larger-orf30-50SimCLTL2.txt", 120)</f>
        <v>120</v>
      </c>
      <c r="BP381">
        <f>HYPERLINK("http://exon.niaid.nih.gov/transcriptome/Anopheles_sialome/links/cluster-b/anopheline-sialome-cds-pep-larger-orf35-50SimCLU1.txt", 1)</f>
        <v>1</v>
      </c>
      <c r="BQ381">
        <f>HYPERLINK("http://exon.niaid.nih.gov/transcriptome/Anopheles_sialome/links/cluster-b/anopheline-sialome-cds-pep-larger-orf35-50SimCLTL1.txt", 120)</f>
        <v>120</v>
      </c>
      <c r="BR381">
        <f>HYPERLINK("http://exon.niaid.nih.gov/transcriptome/Anopheles_sialome/links/cluster-b/anopheline-sialome-cds-pep-larger-orf40-50SimCLU2.txt", 2)</f>
        <v>2</v>
      </c>
      <c r="BS381">
        <f>HYPERLINK("http://exon.niaid.nih.gov/transcriptome/Anopheles_sialome/links/cluster-b/anopheline-sialome-cds-pep-larger-orf40-50SimCLTL2.txt", 83)</f>
        <v>83</v>
      </c>
      <c r="BT381">
        <f>HYPERLINK("http://exon.niaid.nih.gov/transcriptome/Anopheles_sialome/links/cluster-b/anopheline-sialome-cds-pep-larger-orf45-50SimCLU1.txt", 1)</f>
        <v>1</v>
      </c>
      <c r="BU381">
        <f>HYPERLINK("http://exon.niaid.nih.gov/transcriptome/Anopheles_sialome/links/cluster-b/anopheline-sialome-cds-pep-larger-orf45-50SimCLTL1.txt", 83)</f>
        <v>83</v>
      </c>
      <c r="BV381">
        <f>HYPERLINK("http://exon.niaid.nih.gov/transcriptome/Anopheles_sialome/links/cluster-b/anopheline-sialome-cds-pep-larger-orf50-50SimCLU1.txt", 1)</f>
        <v>1</v>
      </c>
      <c r="BW381">
        <f>HYPERLINK("http://exon.niaid.nih.gov/transcriptome/Anopheles_sialome/links/cluster-b/anopheline-sialome-cds-pep-larger-orf50-50SimCLTL1.txt", 83)</f>
        <v>83</v>
      </c>
      <c r="BX381">
        <f>HYPERLINK("http://exon.niaid.nih.gov/transcriptome/Anopheles_sialome/links/cluster-b/anopheline-sialome-cds-pep-larger-orf55-50SimCLU1.txt", 1)</f>
        <v>1</v>
      </c>
      <c r="BY381">
        <f>HYPERLINK("http://exon.niaid.nih.gov/transcriptome/Anopheles_sialome/links/cluster-b/anopheline-sialome-cds-pep-larger-orf55-50SimCLTL1.txt", 79)</f>
        <v>79</v>
      </c>
      <c r="BZ381">
        <f>HYPERLINK("http://exon.niaid.nih.gov/transcriptome/Anopheles_sialome/links/cluster-b/anopheline-sialome-cds-pep-larger-orf60-50SimCLU1.txt", 1)</f>
        <v>1</v>
      </c>
      <c r="CA381">
        <f>HYPERLINK("http://exon.niaid.nih.gov/transcriptome/Anopheles_sialome/links/cluster-b/anopheline-sialome-cds-pep-larger-orf60-50SimCLTL1.txt", 60)</f>
        <v>60</v>
      </c>
      <c r="CB381">
        <f>HYPERLINK("http://exon.niaid.nih.gov/transcriptome/Anopheles_sialome/links/cluster-b/anopheline-sialome-cds-pep-larger-orf65-50SimCLU1.txt", 1)</f>
        <v>1</v>
      </c>
      <c r="CC381">
        <f>HYPERLINK("http://exon.niaid.nih.gov/transcriptome/Anopheles_sialome/links/cluster-b/anopheline-sialome-cds-pep-larger-orf65-50SimCLTL1.txt", 60)</f>
        <v>60</v>
      </c>
      <c r="CD381">
        <f>HYPERLINK("http://exon.niaid.nih.gov/transcriptome/Anopheles_sialome/links/cluster-b/anopheline-sialome-cds-pep-larger-orf70-50SimCLU2.txt", 2)</f>
        <v>2</v>
      </c>
      <c r="CE381">
        <f>HYPERLINK("http://exon.niaid.nih.gov/transcriptome/Anopheles_sialome/links/cluster-b/anopheline-sialome-cds-pep-larger-orf70-50SimCLTL2.txt", 29)</f>
        <v>29</v>
      </c>
      <c r="CF381">
        <f>HYPERLINK("http://exon.niaid.nih.gov/transcriptome/Anopheles_sialome/links/cluster-b/anopheline-sialome-cds-pep-larger-orf75-50SimCLU2.txt", 2)</f>
        <v>2</v>
      </c>
      <c r="CG381">
        <f>HYPERLINK("http://exon.niaid.nih.gov/transcriptome/Anopheles_sialome/links/cluster-b/anopheline-sialome-cds-pep-larger-orf75-50SimCLTL2.txt", 28)</f>
        <v>28</v>
      </c>
      <c r="CH381">
        <f>HYPERLINK("http://exon.niaid.nih.gov/transcriptome/Anopheles_sialome/links/cluster-b/anopheline-sialome-cds-pep-larger-orf80-50SimCLU23.txt", 23)</f>
        <v>23</v>
      </c>
      <c r="CI381">
        <f>HYPERLINK("http://exon.niaid.nih.gov/transcriptome/Anopheles_sialome/links/cluster-b/anopheline-sialome-cds-pep-larger-orf80-50SimCLTL23.txt", 11)</f>
        <v>11</v>
      </c>
      <c r="CJ381">
        <v>153</v>
      </c>
      <c r="CK381">
        <v>1</v>
      </c>
      <c r="CL381">
        <v>174</v>
      </c>
      <c r="CM381">
        <v>1</v>
      </c>
      <c r="CN381">
        <v>183</v>
      </c>
      <c r="CO381">
        <v>1</v>
      </c>
    </row>
    <row r="382" spans="1:93">
      <c r="A382" s="2" t="str">
        <f>HYPERLINK("http://exon.niaid.nih.gov/transcriptome/Anopheles_sialome/links/cds/anofun_D7r4-cds.txt","anofun_D7r4")</f>
        <v>anofun_D7r4</v>
      </c>
      <c r="B382">
        <v>498</v>
      </c>
      <c r="C382" t="s">
        <v>154</v>
      </c>
      <c r="D382" t="s">
        <v>7</v>
      </c>
      <c r="E382" t="s">
        <v>5</v>
      </c>
      <c r="F382" t="s">
        <v>1</v>
      </c>
      <c r="G382" t="str">
        <f>HYPERLINK("http://exon.niaid.nih.gov/transcriptome/Anopheles_sialome/links/pep/anofun_D7r4-pep.txt","anofun_D7r4")</f>
        <v>anofun_D7r4</v>
      </c>
      <c r="H382">
        <v>165</v>
      </c>
      <c r="I382">
        <v>1</v>
      </c>
      <c r="J382" s="3" t="str">
        <f>HYPERLINK("http://exon.niaid.nih.gov/transcriptome/Anopheles_sialome/links/Sigp/anofun_D7r4-SigP.txt","SIG")</f>
        <v>SIG</v>
      </c>
      <c r="K382" t="s">
        <v>695</v>
      </c>
      <c r="L382">
        <v>18.847000000000001</v>
      </c>
      <c r="M382">
        <v>8.07</v>
      </c>
      <c r="N382">
        <v>16.356000000000002</v>
      </c>
      <c r="O382">
        <v>7.76</v>
      </c>
      <c r="P382" t="s">
        <v>1092</v>
      </c>
      <c r="Q382" s="3">
        <v>0</v>
      </c>
      <c r="R382" t="s">
        <v>128</v>
      </c>
      <c r="S382" t="s">
        <v>128</v>
      </c>
      <c r="T382" t="s">
        <v>128</v>
      </c>
      <c r="U382" t="s">
        <v>128</v>
      </c>
      <c r="V382" t="s">
        <v>128</v>
      </c>
      <c r="W382" s="3" t="str">
        <f>HYPERLINK("http://exon.niaid.nih.gov/transcriptome/Anopheles_sialome/links/netoglyc/anofun_D7r4-netoglyc.txt","0")</f>
        <v>0</v>
      </c>
      <c r="X382">
        <v>7.3</v>
      </c>
      <c r="Y382">
        <v>4.2</v>
      </c>
      <c r="Z382">
        <v>3</v>
      </c>
      <c r="AA382" t="s">
        <v>654</v>
      </c>
      <c r="AB382" t="s">
        <v>128</v>
      </c>
      <c r="AC382" s="2" t="str">
        <f>HYPERLINK("http://exon.niaid.nih.gov/transcriptome/Anopheles_sialome/links/DIPTERA/anofun_D7r4-DIPTERA.txt","short form D7 salivary protein D7r4")</f>
        <v>short form D7 salivary protein D7r4</v>
      </c>
      <c r="AD382" t="str">
        <f>HYPERLINK("http://www.ncbi.nlm.nih.gov/sutils/blink.cgi?pid=114864647","3E-091")</f>
        <v>3E-091</v>
      </c>
      <c r="AE382" t="str">
        <f>HYPERLINK("http://www.ncbi.nlm.nih.gov/protein/114864647","gi|114864647")</f>
        <v>gi|114864647</v>
      </c>
      <c r="AF382">
        <v>98</v>
      </c>
      <c r="AG382">
        <v>98</v>
      </c>
      <c r="AH382">
        <v>100</v>
      </c>
      <c r="AI382" t="s">
        <v>2266</v>
      </c>
      <c r="AJ382" s="2" t="str">
        <f>HYPERLINK("http://exon.niaid.nih.gov/transcriptome/Anopheles_sialome/links/CULICOMORPHA/anofun_D7r4-CULICOMORPHA.txt","short form D7 salivary protein D7r4")</f>
        <v>short form D7 salivary protein D7r4</v>
      </c>
      <c r="AK382" t="str">
        <f>HYPERLINK("http://www.ncbi.nlm.nih.gov/sutils/blink.cgi?pid=114864647","6E-092")</f>
        <v>6E-092</v>
      </c>
      <c r="AL382" t="str">
        <f>HYPERLINK("http://www.ncbi.nlm.nih.gov/protein/114864647","gi|114864647")</f>
        <v>gi|114864647</v>
      </c>
      <c r="AM382">
        <v>98</v>
      </c>
      <c r="AN382">
        <v>98</v>
      </c>
      <c r="AO382">
        <v>100</v>
      </c>
      <c r="AP382" t="s">
        <v>2266</v>
      </c>
      <c r="AQ382" s="2" t="str">
        <f>HYPERLINK("http://exon.niaid.nih.gov/transcriptome/Anopheles_sialome/links/NR-LIGHT/anofun_D7r4-NR-LIGHT.txt","short form D7 salivary protein D7r4")</f>
        <v>short form D7 salivary protein D7r4</v>
      </c>
      <c r="AR382" t="str">
        <f>HYPERLINK("http://www.ncbi.nlm.nih.gov/sutils/blink.cgi?pid=114864647","7E-091")</f>
        <v>7E-091</v>
      </c>
      <c r="AS382" t="str">
        <f>HYPERLINK("http://www.ncbi.nlm.nih.gov/protein/114864647","gi|114864647")</f>
        <v>gi|114864647</v>
      </c>
      <c r="AT382">
        <v>98</v>
      </c>
      <c r="AU382">
        <v>98</v>
      </c>
      <c r="AV382">
        <v>100</v>
      </c>
      <c r="AW382" t="s">
        <v>2266</v>
      </c>
      <c r="AX382" s="2" t="str">
        <f>HYPERLINK("http://exon.niaid.nih.gov/transcriptome/Anopheles_sialome/links/CDD/anofun_D7r4-CDD.txt","PBP_GOBP")</f>
        <v>PBP_GOBP</v>
      </c>
      <c r="AY382" t="str">
        <f>HYPERLINK("http://www.ncbi.nlm.nih.gov/Structure/cdd/cddsrv.cgi?uid=pfam01395&amp;version=v4.0","1E-007")</f>
        <v>1E-007</v>
      </c>
      <c r="AZ382" t="s">
        <v>2524</v>
      </c>
      <c r="BA382" s="2" t="str">
        <f>HYPERLINK("http://exon.niaid.nih.gov/transcriptome/Anopheles_sialome/links/KOG/anofun_D7r4-KOG.txt","Enoyl-CoA isomerase")</f>
        <v>Enoyl-CoA isomerase</v>
      </c>
      <c r="BB382" t="str">
        <f>HYPERLINK("http://www.ncbi.nlm.nih.gov/Structure/cdd/cddsrv.cgi?uid=KOG1682","2.0")</f>
        <v>2.0</v>
      </c>
      <c r="BC382" t="s">
        <v>2298</v>
      </c>
      <c r="BD382" t="str">
        <f>HYPERLINK("http://exon.niaid.nih.gov/transcriptome/Anopheles_sialome/links/KOG/anofun_D7r4-KOG.txt","KOG1682")</f>
        <v>KOG1682</v>
      </c>
      <c r="BE382" t="str">
        <f>HYPERLINK("http://exon.niaid.nih.gov/transcriptome/Anopheles_sialome/links/PFAM/anofun_D7r4-PFAM.txt","PBP_GOBP")</f>
        <v>PBP_GOBP</v>
      </c>
      <c r="BF382" t="str">
        <f>HYPERLINK("http://pfam.sanger.ac.uk/family?acc=PF01395","3E-008")</f>
        <v>3E-008</v>
      </c>
      <c r="BG382" s="2" t="str">
        <f>HYPERLINK("http://exon.niaid.nih.gov/transcriptome/Anopheles_sialome/links/SMART/anofun_D7r4-SMART.txt","PhBP")</f>
        <v>PhBP</v>
      </c>
      <c r="BH382" t="str">
        <f>HYPERLINK("http://smart.embl-heidelberg.de/smart/do_annotation.pl?DOMAIN=PhBP&amp;BLAST=DUMMY","2E-007")</f>
        <v>2E-007</v>
      </c>
      <c r="BI382" t="s">
        <v>128</v>
      </c>
      <c r="BJ382" s="2" t="s">
        <v>128</v>
      </c>
      <c r="BK382" t="s">
        <v>1091</v>
      </c>
      <c r="BL382">
        <f>HYPERLINK("http://exon.niaid.nih.gov/transcriptome/Anopheles_sialome/links/cluster-b/anopheline-sialome-cds-pep-larger-orf25-50SimCLU2.txt", 2)</f>
        <v>2</v>
      </c>
      <c r="BM382">
        <f>HYPERLINK("http://exon.niaid.nih.gov/transcriptome/Anopheles_sialome/links/cluster-b/anopheline-sialome-cds-pep-larger-orf25-50SimCLTL2.txt", 120)</f>
        <v>120</v>
      </c>
      <c r="BN382">
        <f>HYPERLINK("http://exon.niaid.nih.gov/transcriptome/Anopheles_sialome/links/cluster-b/anopheline-sialome-cds-pep-larger-orf30-50SimCLU2.txt", 2)</f>
        <v>2</v>
      </c>
      <c r="BO382">
        <f>HYPERLINK("http://exon.niaid.nih.gov/transcriptome/Anopheles_sialome/links/cluster-b/anopheline-sialome-cds-pep-larger-orf30-50SimCLTL2.txt", 120)</f>
        <v>120</v>
      </c>
      <c r="BP382">
        <f>HYPERLINK("http://exon.niaid.nih.gov/transcriptome/Anopheles_sialome/links/cluster-b/anopheline-sialome-cds-pep-larger-orf35-50SimCLU1.txt", 1)</f>
        <v>1</v>
      </c>
      <c r="BQ382">
        <f>HYPERLINK("http://exon.niaid.nih.gov/transcriptome/Anopheles_sialome/links/cluster-b/anopheline-sialome-cds-pep-larger-orf35-50SimCLTL1.txt", 120)</f>
        <v>120</v>
      </c>
      <c r="BR382">
        <f>HYPERLINK("http://exon.niaid.nih.gov/transcriptome/Anopheles_sialome/links/cluster-b/anopheline-sialome-cds-pep-larger-orf40-50SimCLU2.txt", 2)</f>
        <v>2</v>
      </c>
      <c r="BS382">
        <f>HYPERLINK("http://exon.niaid.nih.gov/transcriptome/Anopheles_sialome/links/cluster-b/anopheline-sialome-cds-pep-larger-orf40-50SimCLTL2.txt", 83)</f>
        <v>83</v>
      </c>
      <c r="BT382">
        <f>HYPERLINK("http://exon.niaid.nih.gov/transcriptome/Anopheles_sialome/links/cluster-b/anopheline-sialome-cds-pep-larger-orf45-50SimCLU1.txt", 1)</f>
        <v>1</v>
      </c>
      <c r="BU382">
        <f>HYPERLINK("http://exon.niaid.nih.gov/transcriptome/Anopheles_sialome/links/cluster-b/anopheline-sialome-cds-pep-larger-orf45-50SimCLTL1.txt", 83)</f>
        <v>83</v>
      </c>
      <c r="BV382">
        <f>HYPERLINK("http://exon.niaid.nih.gov/transcriptome/Anopheles_sialome/links/cluster-b/anopheline-sialome-cds-pep-larger-orf50-50SimCLU1.txt", 1)</f>
        <v>1</v>
      </c>
      <c r="BW382">
        <f>HYPERLINK("http://exon.niaid.nih.gov/transcriptome/Anopheles_sialome/links/cluster-b/anopheline-sialome-cds-pep-larger-orf50-50SimCLTL1.txt", 83)</f>
        <v>83</v>
      </c>
      <c r="BX382">
        <f>HYPERLINK("http://exon.niaid.nih.gov/transcriptome/Anopheles_sialome/links/cluster-b/anopheline-sialome-cds-pep-larger-orf55-50SimCLU1.txt", 1)</f>
        <v>1</v>
      </c>
      <c r="BY382">
        <f>HYPERLINK("http://exon.niaid.nih.gov/transcriptome/Anopheles_sialome/links/cluster-b/anopheline-sialome-cds-pep-larger-orf55-50SimCLTL1.txt", 79)</f>
        <v>79</v>
      </c>
      <c r="BZ382">
        <f>HYPERLINK("http://exon.niaid.nih.gov/transcriptome/Anopheles_sialome/links/cluster-b/anopheline-sialome-cds-pep-larger-orf60-50SimCLU1.txt", 1)</f>
        <v>1</v>
      </c>
      <c r="CA382">
        <f>HYPERLINK("http://exon.niaid.nih.gov/transcriptome/Anopheles_sialome/links/cluster-b/anopheline-sialome-cds-pep-larger-orf60-50SimCLTL1.txt", 60)</f>
        <v>60</v>
      </c>
      <c r="CB382">
        <f>HYPERLINK("http://exon.niaid.nih.gov/transcriptome/Anopheles_sialome/links/cluster-b/anopheline-sialome-cds-pep-larger-orf65-50SimCLU1.txt", 1)</f>
        <v>1</v>
      </c>
      <c r="CC382">
        <f>HYPERLINK("http://exon.niaid.nih.gov/transcriptome/Anopheles_sialome/links/cluster-b/anopheline-sialome-cds-pep-larger-orf65-50SimCLTL1.txt", 60)</f>
        <v>60</v>
      </c>
      <c r="CD382">
        <f>HYPERLINK("http://exon.niaid.nih.gov/transcriptome/Anopheles_sialome/links/cluster-b/anopheline-sialome-cds-pep-larger-orf70-50SimCLU2.txt", 2)</f>
        <v>2</v>
      </c>
      <c r="CE382">
        <f>HYPERLINK("http://exon.niaid.nih.gov/transcriptome/Anopheles_sialome/links/cluster-b/anopheline-sialome-cds-pep-larger-orf70-50SimCLTL2.txt", 29)</f>
        <v>29</v>
      </c>
      <c r="CF382">
        <f>HYPERLINK("http://exon.niaid.nih.gov/transcriptome/Anopheles_sialome/links/cluster-b/anopheline-sialome-cds-pep-larger-orf75-50SimCLU2.txt", 2)</f>
        <v>2</v>
      </c>
      <c r="CG382">
        <f>HYPERLINK("http://exon.niaid.nih.gov/transcriptome/Anopheles_sialome/links/cluster-b/anopheline-sialome-cds-pep-larger-orf75-50SimCLTL2.txt", 28)</f>
        <v>28</v>
      </c>
      <c r="CH382">
        <f>HYPERLINK("http://exon.niaid.nih.gov/transcriptome/Anopheles_sialome/links/cluster-b/anopheline-sialome-cds-pep-larger-orf80-50SimCLU23.txt", 23)</f>
        <v>23</v>
      </c>
      <c r="CI382">
        <f>HYPERLINK("http://exon.niaid.nih.gov/transcriptome/Anopheles_sialome/links/cluster-b/anopheline-sialome-cds-pep-larger-orf80-50SimCLTL23.txt", 11)</f>
        <v>11</v>
      </c>
      <c r="CJ382">
        <f>HYPERLINK("http://exon.niaid.nih.gov/transcriptome/Anopheles_sialome/links/cluster-b/anopheline-sialome-cds-pep-larger-orf85-50SimCLU18.txt", 18)</f>
        <v>18</v>
      </c>
      <c r="CK382">
        <f>HYPERLINK("http://exon.niaid.nih.gov/transcriptome/Anopheles_sialome/links/cluster-b/anopheline-sialome-cds-pep-larger-orf85-50SimCLTL18.txt", 10)</f>
        <v>10</v>
      </c>
      <c r="CL382">
        <v>175</v>
      </c>
      <c r="CM382">
        <v>1</v>
      </c>
      <c r="CN382">
        <v>184</v>
      </c>
      <c r="CO382">
        <v>1</v>
      </c>
    </row>
    <row r="383" spans="1:93">
      <c r="A383" s="2" t="str">
        <f>HYPERLINK("http://exon.niaid.nih.gov/transcriptome/Anopheles_sialome/links/cds/anomin_D7r4-cds.txt","anomin_D7r4")</f>
        <v>anomin_D7r4</v>
      </c>
      <c r="B383">
        <v>492</v>
      </c>
      <c r="C383" t="s">
        <v>155</v>
      </c>
      <c r="D383" t="s">
        <v>7</v>
      </c>
      <c r="E383" t="s">
        <v>5</v>
      </c>
      <c r="F383" t="s">
        <v>1</v>
      </c>
      <c r="G383" t="str">
        <f>HYPERLINK("http://exon.niaid.nih.gov/transcriptome/Anopheles_sialome/links/pep/anomin_D7r4-pep.txt","anomin_D7r4")</f>
        <v>anomin_D7r4</v>
      </c>
      <c r="H383">
        <v>163</v>
      </c>
      <c r="I383">
        <v>1</v>
      </c>
      <c r="J383" s="3" t="str">
        <f>HYPERLINK("http://exon.niaid.nih.gov/transcriptome/Anopheles_sialome/links/Sigp/anomin_D7r4-SigP.txt","SIG")</f>
        <v>SIG</v>
      </c>
      <c r="K383" t="s">
        <v>692</v>
      </c>
      <c r="L383">
        <v>18.71</v>
      </c>
      <c r="M383">
        <v>8.64</v>
      </c>
      <c r="N383">
        <v>16.524999999999999</v>
      </c>
      <c r="O383">
        <v>8.23</v>
      </c>
      <c r="P383" t="s">
        <v>1094</v>
      </c>
      <c r="Q383" s="3">
        <v>0</v>
      </c>
      <c r="R383" t="s">
        <v>128</v>
      </c>
      <c r="S383" t="s">
        <v>128</v>
      </c>
      <c r="T383" t="s">
        <v>128</v>
      </c>
      <c r="U383" t="s">
        <v>128</v>
      </c>
      <c r="V383" t="s">
        <v>128</v>
      </c>
      <c r="W383" s="3" t="str">
        <f>HYPERLINK("http://exon.niaid.nih.gov/transcriptome/Anopheles_sialome/links/netoglyc/anomin_D7r4-netoglyc.txt","0")</f>
        <v>0</v>
      </c>
      <c r="X383">
        <v>9.1999999999999993</v>
      </c>
      <c r="Y383">
        <v>4.9000000000000004</v>
      </c>
      <c r="Z383">
        <v>3.7</v>
      </c>
      <c r="AA383" t="s">
        <v>654</v>
      </c>
      <c r="AB383" t="s">
        <v>128</v>
      </c>
      <c r="AC383" s="2" t="str">
        <f>HYPERLINK("http://exon.niaid.nih.gov/transcriptome/Anopheles_sialome/links/DIPTERA/anomin_D7r4-DIPTERA.txt","short form D7 salivary protein D7r4")</f>
        <v>short form D7 salivary protein D7r4</v>
      </c>
      <c r="AD383" t="str">
        <f>HYPERLINK("http://www.ncbi.nlm.nih.gov/sutils/blink.cgi?pid=114864647","1E-076")</f>
        <v>1E-076</v>
      </c>
      <c r="AE383" t="str">
        <f>HYPERLINK("http://www.ncbi.nlm.nih.gov/protein/114864647","gi|114864647")</f>
        <v>gi|114864647</v>
      </c>
      <c r="AF383">
        <v>84</v>
      </c>
      <c r="AG383">
        <v>90</v>
      </c>
      <c r="AH383">
        <v>99</v>
      </c>
      <c r="AI383" t="s">
        <v>2266</v>
      </c>
      <c r="AJ383" s="2" t="str">
        <f>HYPERLINK("http://exon.niaid.nih.gov/transcriptome/Anopheles_sialome/links/CULICOMORPHA/anomin_D7r4-CULICOMORPHA.txt","short form D7 salivary protein D7r4")</f>
        <v>short form D7 salivary protein D7r4</v>
      </c>
      <c r="AK383" t="str">
        <f>HYPERLINK("http://www.ncbi.nlm.nih.gov/sutils/blink.cgi?pid=114864647","3E-077")</f>
        <v>3E-077</v>
      </c>
      <c r="AL383" t="str">
        <f>HYPERLINK("http://www.ncbi.nlm.nih.gov/protein/114864647","gi|114864647")</f>
        <v>gi|114864647</v>
      </c>
      <c r="AM383">
        <v>84</v>
      </c>
      <c r="AN383">
        <v>90</v>
      </c>
      <c r="AO383">
        <v>99</v>
      </c>
      <c r="AP383" t="s">
        <v>2266</v>
      </c>
      <c r="AQ383" s="2" t="str">
        <f>HYPERLINK("http://exon.niaid.nih.gov/transcriptome/Anopheles_sialome/links/NR-LIGHT/anomin_D7r4-NR-LIGHT.txt","short form D7 salivary protein D7r4")</f>
        <v>short form D7 salivary protein D7r4</v>
      </c>
      <c r="AR383" t="str">
        <f>HYPERLINK("http://www.ncbi.nlm.nih.gov/sutils/blink.cgi?pid=114864647","3E-076")</f>
        <v>3E-076</v>
      </c>
      <c r="AS383" t="str">
        <f>HYPERLINK("http://www.ncbi.nlm.nih.gov/protein/114864647","gi|114864647")</f>
        <v>gi|114864647</v>
      </c>
      <c r="AT383">
        <v>84</v>
      </c>
      <c r="AU383">
        <v>90</v>
      </c>
      <c r="AV383">
        <v>99</v>
      </c>
      <c r="AW383" t="s">
        <v>2266</v>
      </c>
      <c r="AX383" s="2" t="str">
        <f>HYPERLINK("http://exon.niaid.nih.gov/transcriptome/Anopheles_sialome/links/CDD/anomin_D7r4-CDD.txt","PBP_GOBP")</f>
        <v>PBP_GOBP</v>
      </c>
      <c r="AY383" t="str">
        <f>HYPERLINK("http://www.ncbi.nlm.nih.gov/Structure/cdd/cddsrv.cgi?uid=pfam01395&amp;version=v4.0","1E-005")</f>
        <v>1E-005</v>
      </c>
      <c r="AZ383" t="s">
        <v>2525</v>
      </c>
      <c r="BA383" s="2" t="str">
        <f>HYPERLINK("http://exon.niaid.nih.gov/transcriptome/Anopheles_sialome/links/KOG/anomin_D7r4-KOG.txt","NADH:ubiquinone oxidoreductase, NDUFV2/24 kD subunit")</f>
        <v>NADH:ubiquinone oxidoreductase, NDUFV2/24 kD subunit</v>
      </c>
      <c r="BB383" t="str">
        <f>HYPERLINK("http://www.ncbi.nlm.nih.gov/Structure/cdd/cddsrv.cgi?uid=KOG3196","2.2")</f>
        <v>2.2</v>
      </c>
      <c r="BC383" t="s">
        <v>2516</v>
      </c>
      <c r="BD383" t="str">
        <f>HYPERLINK("http://exon.niaid.nih.gov/transcriptome/Anopheles_sialome/links/KOG/anomin_D7r4-KOG.txt","KOG3196")</f>
        <v>KOG3196</v>
      </c>
      <c r="BE383" t="str">
        <f>HYPERLINK("http://exon.niaid.nih.gov/transcriptome/Anopheles_sialome/links/PFAM/anomin_D7r4-PFAM.txt","PBP_GOBP")</f>
        <v>PBP_GOBP</v>
      </c>
      <c r="BF383" t="str">
        <f>HYPERLINK("http://pfam.sanger.ac.uk/family?acc=PF01395","2E-006")</f>
        <v>2E-006</v>
      </c>
      <c r="BG383" s="2" t="str">
        <f>HYPERLINK("http://exon.niaid.nih.gov/transcriptome/Anopheles_sialome/links/SMART/anomin_D7r4-SMART.txt","PhBP")</f>
        <v>PhBP</v>
      </c>
      <c r="BH383" t="str">
        <f>HYPERLINK("http://smart.embl-heidelberg.de/smart/do_annotation.pl?DOMAIN=PhBP&amp;BLAST=DUMMY","2E-007")</f>
        <v>2E-007</v>
      </c>
      <c r="BI383" t="s">
        <v>128</v>
      </c>
      <c r="BJ383" s="2" t="s">
        <v>128</v>
      </c>
      <c r="BK383" t="s">
        <v>1093</v>
      </c>
      <c r="BL383">
        <f>HYPERLINK("http://exon.niaid.nih.gov/transcriptome/Anopheles_sialome/links/cluster-b/anopheline-sialome-cds-pep-larger-orf25-50SimCLU2.txt", 2)</f>
        <v>2</v>
      </c>
      <c r="BM383">
        <f>HYPERLINK("http://exon.niaid.nih.gov/transcriptome/Anopheles_sialome/links/cluster-b/anopheline-sialome-cds-pep-larger-orf25-50SimCLTL2.txt", 120)</f>
        <v>120</v>
      </c>
      <c r="BN383">
        <f>HYPERLINK("http://exon.niaid.nih.gov/transcriptome/Anopheles_sialome/links/cluster-b/anopheline-sialome-cds-pep-larger-orf30-50SimCLU2.txt", 2)</f>
        <v>2</v>
      </c>
      <c r="BO383">
        <f>HYPERLINK("http://exon.niaid.nih.gov/transcriptome/Anopheles_sialome/links/cluster-b/anopheline-sialome-cds-pep-larger-orf30-50SimCLTL2.txt", 120)</f>
        <v>120</v>
      </c>
      <c r="BP383">
        <f>HYPERLINK("http://exon.niaid.nih.gov/transcriptome/Anopheles_sialome/links/cluster-b/anopheline-sialome-cds-pep-larger-orf35-50SimCLU1.txt", 1)</f>
        <v>1</v>
      </c>
      <c r="BQ383">
        <f>HYPERLINK("http://exon.niaid.nih.gov/transcriptome/Anopheles_sialome/links/cluster-b/anopheline-sialome-cds-pep-larger-orf35-50SimCLTL1.txt", 120)</f>
        <v>120</v>
      </c>
      <c r="BR383">
        <f>HYPERLINK("http://exon.niaid.nih.gov/transcriptome/Anopheles_sialome/links/cluster-b/anopheline-sialome-cds-pep-larger-orf40-50SimCLU2.txt", 2)</f>
        <v>2</v>
      </c>
      <c r="BS383">
        <f>HYPERLINK("http://exon.niaid.nih.gov/transcriptome/Anopheles_sialome/links/cluster-b/anopheline-sialome-cds-pep-larger-orf40-50SimCLTL2.txt", 83)</f>
        <v>83</v>
      </c>
      <c r="BT383">
        <f>HYPERLINK("http://exon.niaid.nih.gov/transcriptome/Anopheles_sialome/links/cluster-b/anopheline-sialome-cds-pep-larger-orf45-50SimCLU1.txt", 1)</f>
        <v>1</v>
      </c>
      <c r="BU383">
        <f>HYPERLINK("http://exon.niaid.nih.gov/transcriptome/Anopheles_sialome/links/cluster-b/anopheline-sialome-cds-pep-larger-orf45-50SimCLTL1.txt", 83)</f>
        <v>83</v>
      </c>
      <c r="BV383">
        <f>HYPERLINK("http://exon.niaid.nih.gov/transcriptome/Anopheles_sialome/links/cluster-b/anopheline-sialome-cds-pep-larger-orf50-50SimCLU1.txt", 1)</f>
        <v>1</v>
      </c>
      <c r="BW383">
        <f>HYPERLINK("http://exon.niaid.nih.gov/transcriptome/Anopheles_sialome/links/cluster-b/anopheline-sialome-cds-pep-larger-orf50-50SimCLTL1.txt", 83)</f>
        <v>83</v>
      </c>
      <c r="BX383">
        <f>HYPERLINK("http://exon.niaid.nih.gov/transcriptome/Anopheles_sialome/links/cluster-b/anopheline-sialome-cds-pep-larger-orf55-50SimCLU1.txt", 1)</f>
        <v>1</v>
      </c>
      <c r="BY383">
        <f>HYPERLINK("http://exon.niaid.nih.gov/transcriptome/Anopheles_sialome/links/cluster-b/anopheline-sialome-cds-pep-larger-orf55-50SimCLTL1.txt", 79)</f>
        <v>79</v>
      </c>
      <c r="BZ383">
        <f>HYPERLINK("http://exon.niaid.nih.gov/transcriptome/Anopheles_sialome/links/cluster-b/anopheline-sialome-cds-pep-larger-orf60-50SimCLU1.txt", 1)</f>
        <v>1</v>
      </c>
      <c r="CA383">
        <f>HYPERLINK("http://exon.niaid.nih.gov/transcriptome/Anopheles_sialome/links/cluster-b/anopheline-sialome-cds-pep-larger-orf60-50SimCLTL1.txt", 60)</f>
        <v>60</v>
      </c>
      <c r="CB383">
        <f>HYPERLINK("http://exon.niaid.nih.gov/transcriptome/Anopheles_sialome/links/cluster-b/anopheline-sialome-cds-pep-larger-orf65-50SimCLU1.txt", 1)</f>
        <v>1</v>
      </c>
      <c r="CC383">
        <f>HYPERLINK("http://exon.niaid.nih.gov/transcriptome/Anopheles_sialome/links/cluster-b/anopheline-sialome-cds-pep-larger-orf65-50SimCLTL1.txt", 60)</f>
        <v>60</v>
      </c>
      <c r="CD383">
        <f>HYPERLINK("http://exon.niaid.nih.gov/transcriptome/Anopheles_sialome/links/cluster-b/anopheline-sialome-cds-pep-larger-orf70-50SimCLU2.txt", 2)</f>
        <v>2</v>
      </c>
      <c r="CE383">
        <f>HYPERLINK("http://exon.niaid.nih.gov/transcriptome/Anopheles_sialome/links/cluster-b/anopheline-sialome-cds-pep-larger-orf70-50SimCLTL2.txt", 29)</f>
        <v>29</v>
      </c>
      <c r="CF383">
        <f>HYPERLINK("http://exon.niaid.nih.gov/transcriptome/Anopheles_sialome/links/cluster-b/anopheline-sialome-cds-pep-larger-orf75-50SimCLU2.txt", 2)</f>
        <v>2</v>
      </c>
      <c r="CG383">
        <f>HYPERLINK("http://exon.niaid.nih.gov/transcriptome/Anopheles_sialome/links/cluster-b/anopheline-sialome-cds-pep-larger-orf75-50SimCLTL2.txt", 28)</f>
        <v>28</v>
      </c>
      <c r="CH383">
        <f>HYPERLINK("http://exon.niaid.nih.gov/transcriptome/Anopheles_sialome/links/cluster-b/anopheline-sialome-cds-pep-larger-orf80-50SimCLU23.txt", 23)</f>
        <v>23</v>
      </c>
      <c r="CI383">
        <f>HYPERLINK("http://exon.niaid.nih.gov/transcriptome/Anopheles_sialome/links/cluster-b/anopheline-sialome-cds-pep-larger-orf80-50SimCLTL23.txt", 11)</f>
        <v>11</v>
      </c>
      <c r="CJ383">
        <f>HYPERLINK("http://exon.niaid.nih.gov/transcriptome/Anopheles_sialome/links/cluster-b/anopheline-sialome-cds-pep-larger-orf85-50SimCLU18.txt", 18)</f>
        <v>18</v>
      </c>
      <c r="CK383">
        <f>HYPERLINK("http://exon.niaid.nih.gov/transcriptome/Anopheles_sialome/links/cluster-b/anopheline-sialome-cds-pep-larger-orf85-50SimCLTL18.txt", 10)</f>
        <v>10</v>
      </c>
      <c r="CL383">
        <v>176</v>
      </c>
      <c r="CM383">
        <v>1</v>
      </c>
      <c r="CN383">
        <v>185</v>
      </c>
      <c r="CO383">
        <v>1</v>
      </c>
    </row>
    <row r="384" spans="1:93">
      <c r="A384" s="2" t="str">
        <f>HYPERLINK("http://exon.niaid.nih.gov/transcriptome/Anopheles_sialome/links/cds/anocul_D7r4-cds.txt","anocul_D7r4")</f>
        <v>anocul_D7r4</v>
      </c>
      <c r="B384">
        <v>513</v>
      </c>
      <c r="C384" t="s">
        <v>178</v>
      </c>
      <c r="D384" t="s">
        <v>7</v>
      </c>
      <c r="E384" t="s">
        <v>5</v>
      </c>
      <c r="F384" t="s">
        <v>1</v>
      </c>
      <c r="G384" t="str">
        <f>HYPERLINK("http://exon.niaid.nih.gov/transcriptome/Anopheles_sialome/links/pep/anocul_D7r4-pep.txt","anocul_D7r4")</f>
        <v>anocul_D7r4</v>
      </c>
      <c r="H384">
        <v>170</v>
      </c>
      <c r="I384">
        <v>1</v>
      </c>
      <c r="J384" s="3" t="str">
        <f>HYPERLINK("http://exon.niaid.nih.gov/transcriptome/Anopheles_sialome/links/Sigp/anocul_D7r4-SigP.txt","SIG")</f>
        <v>SIG</v>
      </c>
      <c r="K384" t="s">
        <v>689</v>
      </c>
      <c r="L384">
        <v>19.516999999999999</v>
      </c>
      <c r="M384">
        <v>8.7799999999999994</v>
      </c>
      <c r="N384">
        <v>17.224</v>
      </c>
      <c r="O384">
        <v>8.49</v>
      </c>
      <c r="P384" t="s">
        <v>1096</v>
      </c>
      <c r="Q384" s="3" t="str">
        <f>HYPERLINK("http://exon.niaid.nih.gov/transcriptome/Anopheles_sialome/links/tmhmm/anocul_D7r4-tmhmm.txt","1")</f>
        <v>1</v>
      </c>
      <c r="R384">
        <v>11.2</v>
      </c>
      <c r="S384">
        <v>85.9</v>
      </c>
      <c r="T384">
        <v>2.9</v>
      </c>
      <c r="U384" t="s">
        <v>128</v>
      </c>
      <c r="V384">
        <v>146</v>
      </c>
      <c r="W384" s="3" t="str">
        <f>HYPERLINK("http://exon.niaid.nih.gov/transcriptome/Anopheles_sialome/links/netoglyc/anocul_D7r4-netoglyc.txt","0")</f>
        <v>0</v>
      </c>
      <c r="X384">
        <v>7.6</v>
      </c>
      <c r="Y384">
        <v>5.9</v>
      </c>
      <c r="Z384">
        <v>3.5</v>
      </c>
      <c r="AA384" t="s">
        <v>654</v>
      </c>
      <c r="AB384" t="s">
        <v>128</v>
      </c>
      <c r="AC384" s="2" t="str">
        <f>HYPERLINK("http://exon.niaid.nih.gov/transcriptome/Anopheles_sialome/links/DIPTERA/anocul_D7r4-DIPTERA.txt","short form D7 salivary protein D7r4")</f>
        <v>short form D7 salivary protein D7r4</v>
      </c>
      <c r="AD384" t="str">
        <f>HYPERLINK("http://www.ncbi.nlm.nih.gov/sutils/blink.cgi?pid=114864647","6E-073")</f>
        <v>6E-073</v>
      </c>
      <c r="AE384" t="str">
        <f>HYPERLINK("http://www.ncbi.nlm.nih.gov/protein/114864647","gi|114864647")</f>
        <v>gi|114864647</v>
      </c>
      <c r="AF384">
        <v>81</v>
      </c>
      <c r="AG384">
        <v>88</v>
      </c>
      <c r="AH384">
        <v>100</v>
      </c>
      <c r="AI384" t="s">
        <v>2266</v>
      </c>
      <c r="AJ384" s="2" t="str">
        <f>HYPERLINK("http://exon.niaid.nih.gov/transcriptome/Anopheles_sialome/links/CULICOMORPHA/anocul_D7r4-CULICOMORPHA.txt","short form D7 salivary protein D7r4")</f>
        <v>short form D7 salivary protein D7r4</v>
      </c>
      <c r="AK384" t="str">
        <f>HYPERLINK("http://www.ncbi.nlm.nih.gov/sutils/blink.cgi?pid=114864647","1E-073")</f>
        <v>1E-073</v>
      </c>
      <c r="AL384" t="str">
        <f>HYPERLINK("http://www.ncbi.nlm.nih.gov/protein/114864647","gi|114864647")</f>
        <v>gi|114864647</v>
      </c>
      <c r="AM384">
        <v>81</v>
      </c>
      <c r="AN384">
        <v>88</v>
      </c>
      <c r="AO384">
        <v>100</v>
      </c>
      <c r="AP384" t="s">
        <v>2266</v>
      </c>
      <c r="AQ384" s="2" t="str">
        <f>HYPERLINK("http://exon.niaid.nih.gov/transcriptome/Anopheles_sialome/links/NR-LIGHT/anocul_D7r4-NR-LIGHT.txt","short form D7 salivary protein D7r4")</f>
        <v>short form D7 salivary protein D7r4</v>
      </c>
      <c r="AR384" t="str">
        <f>HYPERLINK("http://www.ncbi.nlm.nih.gov/sutils/blink.cgi?pid=114864647","2E-072")</f>
        <v>2E-072</v>
      </c>
      <c r="AS384" t="str">
        <f>HYPERLINK("http://www.ncbi.nlm.nih.gov/protein/114864647","gi|114864647")</f>
        <v>gi|114864647</v>
      </c>
      <c r="AT384">
        <v>81</v>
      </c>
      <c r="AU384">
        <v>88</v>
      </c>
      <c r="AV384">
        <v>100</v>
      </c>
      <c r="AW384" t="s">
        <v>2266</v>
      </c>
      <c r="AX384" s="2" t="str">
        <f>HYPERLINK("http://exon.niaid.nih.gov/transcriptome/Anopheles_sialome/links/CDD/anocul_D7r4-CDD.txt","PBP_GOBP")</f>
        <v>PBP_GOBP</v>
      </c>
      <c r="AY384" t="str">
        <f>HYPERLINK("http://www.ncbi.nlm.nih.gov/Structure/cdd/cddsrv.cgi?uid=pfam01395&amp;version=v4.0","2E-006")</f>
        <v>2E-006</v>
      </c>
      <c r="AZ384" t="s">
        <v>2526</v>
      </c>
      <c r="BA384" s="2" t="str">
        <f>HYPERLINK("http://exon.niaid.nih.gov/transcriptome/Anopheles_sialome/links/KOG/anocul_D7r4-KOG.txt","Phosphatidylserine decarboxylase")</f>
        <v>Phosphatidylserine decarboxylase</v>
      </c>
      <c r="BB384" t="str">
        <f>HYPERLINK("http://www.ncbi.nlm.nih.gov/Structure/cdd/cddsrv.cgi?uid=KOG2420","0.17")</f>
        <v>0.17</v>
      </c>
      <c r="BC384" t="s">
        <v>2298</v>
      </c>
      <c r="BD384" t="str">
        <f>HYPERLINK("http://exon.niaid.nih.gov/transcriptome/Anopheles_sialome/links/KOG/anocul_D7r4-KOG.txt","KOG2420")</f>
        <v>KOG2420</v>
      </c>
      <c r="BE384" t="str">
        <f>HYPERLINK("http://exon.niaid.nih.gov/transcriptome/Anopheles_sialome/links/PFAM/anocul_D7r4-PFAM.txt","PBP_GOBP")</f>
        <v>PBP_GOBP</v>
      </c>
      <c r="BF384" t="str">
        <f>HYPERLINK("http://pfam.sanger.ac.uk/family?acc=PF01395","5E-007")</f>
        <v>5E-007</v>
      </c>
      <c r="BG384" s="2" t="str">
        <f>HYPERLINK("http://exon.niaid.nih.gov/transcriptome/Anopheles_sialome/links/SMART/anocul_D7r4-SMART.txt","PhBP")</f>
        <v>PhBP</v>
      </c>
      <c r="BH384" t="str">
        <f>HYPERLINK("http://smart.embl-heidelberg.de/smart/do_annotation.pl?DOMAIN=PhBP&amp;BLAST=DUMMY","2E-007")</f>
        <v>2E-007</v>
      </c>
      <c r="BI384" t="s">
        <v>128</v>
      </c>
      <c r="BJ384" s="2" t="s">
        <v>128</v>
      </c>
      <c r="BK384" t="s">
        <v>1095</v>
      </c>
      <c r="BL384">
        <f>HYPERLINK("http://exon.niaid.nih.gov/transcriptome/Anopheles_sialome/links/cluster-b/anopheline-sialome-cds-pep-larger-orf25-50SimCLU2.txt", 2)</f>
        <v>2</v>
      </c>
      <c r="BM384">
        <f>HYPERLINK("http://exon.niaid.nih.gov/transcriptome/Anopheles_sialome/links/cluster-b/anopheline-sialome-cds-pep-larger-orf25-50SimCLTL2.txt", 120)</f>
        <v>120</v>
      </c>
      <c r="BN384">
        <f>HYPERLINK("http://exon.niaid.nih.gov/transcriptome/Anopheles_sialome/links/cluster-b/anopheline-sialome-cds-pep-larger-orf30-50SimCLU2.txt", 2)</f>
        <v>2</v>
      </c>
      <c r="BO384">
        <f>HYPERLINK("http://exon.niaid.nih.gov/transcriptome/Anopheles_sialome/links/cluster-b/anopheline-sialome-cds-pep-larger-orf30-50SimCLTL2.txt", 120)</f>
        <v>120</v>
      </c>
      <c r="BP384">
        <f>HYPERLINK("http://exon.niaid.nih.gov/transcriptome/Anopheles_sialome/links/cluster-b/anopheline-sialome-cds-pep-larger-orf35-50SimCLU1.txt", 1)</f>
        <v>1</v>
      </c>
      <c r="BQ384">
        <f>HYPERLINK("http://exon.niaid.nih.gov/transcriptome/Anopheles_sialome/links/cluster-b/anopheline-sialome-cds-pep-larger-orf35-50SimCLTL1.txt", 120)</f>
        <v>120</v>
      </c>
      <c r="BR384">
        <f>HYPERLINK("http://exon.niaid.nih.gov/transcriptome/Anopheles_sialome/links/cluster-b/anopheline-sialome-cds-pep-larger-orf40-50SimCLU2.txt", 2)</f>
        <v>2</v>
      </c>
      <c r="BS384">
        <f>HYPERLINK("http://exon.niaid.nih.gov/transcriptome/Anopheles_sialome/links/cluster-b/anopheline-sialome-cds-pep-larger-orf40-50SimCLTL2.txt", 83)</f>
        <v>83</v>
      </c>
      <c r="BT384">
        <f>HYPERLINK("http://exon.niaid.nih.gov/transcriptome/Anopheles_sialome/links/cluster-b/anopheline-sialome-cds-pep-larger-orf45-50SimCLU1.txt", 1)</f>
        <v>1</v>
      </c>
      <c r="BU384">
        <f>HYPERLINK("http://exon.niaid.nih.gov/transcriptome/Anopheles_sialome/links/cluster-b/anopheline-sialome-cds-pep-larger-orf45-50SimCLTL1.txt", 83)</f>
        <v>83</v>
      </c>
      <c r="BV384">
        <f>HYPERLINK("http://exon.niaid.nih.gov/transcriptome/Anopheles_sialome/links/cluster-b/anopheline-sialome-cds-pep-larger-orf50-50SimCLU1.txt", 1)</f>
        <v>1</v>
      </c>
      <c r="BW384">
        <f>HYPERLINK("http://exon.niaid.nih.gov/transcriptome/Anopheles_sialome/links/cluster-b/anopheline-sialome-cds-pep-larger-orf50-50SimCLTL1.txt", 83)</f>
        <v>83</v>
      </c>
      <c r="BX384">
        <f>HYPERLINK("http://exon.niaid.nih.gov/transcriptome/Anopheles_sialome/links/cluster-b/anopheline-sialome-cds-pep-larger-orf55-50SimCLU1.txt", 1)</f>
        <v>1</v>
      </c>
      <c r="BY384">
        <f>HYPERLINK("http://exon.niaid.nih.gov/transcriptome/Anopheles_sialome/links/cluster-b/anopheline-sialome-cds-pep-larger-orf55-50SimCLTL1.txt", 79)</f>
        <v>79</v>
      </c>
      <c r="BZ384">
        <f>HYPERLINK("http://exon.niaid.nih.gov/transcriptome/Anopheles_sialome/links/cluster-b/anopheline-sialome-cds-pep-larger-orf60-50SimCLU1.txt", 1)</f>
        <v>1</v>
      </c>
      <c r="CA384">
        <f>HYPERLINK("http://exon.niaid.nih.gov/transcriptome/Anopheles_sialome/links/cluster-b/anopheline-sialome-cds-pep-larger-orf60-50SimCLTL1.txt", 60)</f>
        <v>60</v>
      </c>
      <c r="CB384">
        <f>HYPERLINK("http://exon.niaid.nih.gov/transcriptome/Anopheles_sialome/links/cluster-b/anopheline-sialome-cds-pep-larger-orf65-50SimCLU1.txt", 1)</f>
        <v>1</v>
      </c>
      <c r="CC384">
        <f>HYPERLINK("http://exon.niaid.nih.gov/transcriptome/Anopheles_sialome/links/cluster-b/anopheline-sialome-cds-pep-larger-orf65-50SimCLTL1.txt", 60)</f>
        <v>60</v>
      </c>
      <c r="CD384">
        <f>HYPERLINK("http://exon.niaid.nih.gov/transcriptome/Anopheles_sialome/links/cluster-b/anopheline-sialome-cds-pep-larger-orf70-50SimCLU2.txt", 2)</f>
        <v>2</v>
      </c>
      <c r="CE384">
        <f>HYPERLINK("http://exon.niaid.nih.gov/transcriptome/Anopheles_sialome/links/cluster-b/anopheline-sialome-cds-pep-larger-orf70-50SimCLTL2.txt", 29)</f>
        <v>29</v>
      </c>
      <c r="CF384">
        <f>HYPERLINK("http://exon.niaid.nih.gov/transcriptome/Anopheles_sialome/links/cluster-b/anopheline-sialome-cds-pep-larger-orf75-50SimCLU2.txt", 2)</f>
        <v>2</v>
      </c>
      <c r="CG384">
        <f>HYPERLINK("http://exon.niaid.nih.gov/transcriptome/Anopheles_sialome/links/cluster-b/anopheline-sialome-cds-pep-larger-orf75-50SimCLTL2.txt", 28)</f>
        <v>28</v>
      </c>
      <c r="CH384">
        <f>HYPERLINK("http://exon.niaid.nih.gov/transcriptome/Anopheles_sialome/links/cluster-b/anopheline-sialome-cds-pep-larger-orf80-50SimCLU23.txt", 23)</f>
        <v>23</v>
      </c>
      <c r="CI384">
        <f>HYPERLINK("http://exon.niaid.nih.gov/transcriptome/Anopheles_sialome/links/cluster-b/anopheline-sialome-cds-pep-larger-orf80-50SimCLTL23.txt", 11)</f>
        <v>11</v>
      </c>
      <c r="CJ384">
        <f>HYPERLINK("http://exon.niaid.nih.gov/transcriptome/Anopheles_sialome/links/cluster-b/anopheline-sialome-cds-pep-larger-orf85-50SimCLU18.txt", 18)</f>
        <v>18</v>
      </c>
      <c r="CK384">
        <f>HYPERLINK("http://exon.niaid.nih.gov/transcriptome/Anopheles_sialome/links/cluster-b/anopheline-sialome-cds-pep-larger-orf85-50SimCLTL18.txt", 10)</f>
        <v>10</v>
      </c>
      <c r="CL384">
        <v>177</v>
      </c>
      <c r="CM384">
        <v>1</v>
      </c>
      <c r="CN384">
        <v>186</v>
      </c>
      <c r="CO384">
        <v>1</v>
      </c>
    </row>
    <row r="385" spans="1:93">
      <c r="A385" s="2" t="str">
        <f>HYPERLINK("http://exon.niaid.nih.gov/transcriptome/Anopheles_sialome/links/cds/anoste_D7r4-cds.txt","anoste_D7r4")</f>
        <v>anoste_D7r4</v>
      </c>
      <c r="B385">
        <v>501</v>
      </c>
      <c r="C385" t="s">
        <v>156</v>
      </c>
      <c r="D385" t="s">
        <v>7</v>
      </c>
      <c r="E385" t="s">
        <v>5</v>
      </c>
      <c r="F385" t="s">
        <v>1</v>
      </c>
      <c r="G385" t="str">
        <f>HYPERLINK("http://exon.niaid.nih.gov/transcriptome/Anopheles_sialome/links/pep/anoste_D7r4-pep.txt","anoste_D7r4")</f>
        <v>anoste_D7r4</v>
      </c>
      <c r="H385">
        <v>166</v>
      </c>
      <c r="I385">
        <v>0</v>
      </c>
      <c r="J385" s="3" t="str">
        <f>HYPERLINK("http://exon.niaid.nih.gov/transcriptome/Anopheles_sialome/links/Sigp/anoste_D7r4-SigP.txt","SIG")</f>
        <v>SIG</v>
      </c>
      <c r="K385" t="s">
        <v>689</v>
      </c>
      <c r="L385">
        <v>18.888999999999999</v>
      </c>
      <c r="M385">
        <v>8.34</v>
      </c>
      <c r="N385">
        <v>16.702999999999999</v>
      </c>
      <c r="O385">
        <v>8.41</v>
      </c>
      <c r="P385" t="s">
        <v>1098</v>
      </c>
      <c r="Q385" s="3">
        <v>0</v>
      </c>
      <c r="R385" t="s">
        <v>128</v>
      </c>
      <c r="S385" t="s">
        <v>128</v>
      </c>
      <c r="T385" t="s">
        <v>128</v>
      </c>
      <c r="U385" t="s">
        <v>128</v>
      </c>
      <c r="V385" t="s">
        <v>128</v>
      </c>
      <c r="W385" s="3" t="str">
        <f>HYPERLINK("http://exon.niaid.nih.gov/transcriptome/Anopheles_sialome/links/netoglyc/anoste_D7r4-netoglyc.txt","0")</f>
        <v>0</v>
      </c>
      <c r="X385">
        <v>9</v>
      </c>
      <c r="Y385">
        <v>4.2</v>
      </c>
      <c r="Z385">
        <v>1.8</v>
      </c>
      <c r="AA385" t="s">
        <v>654</v>
      </c>
      <c r="AB385" t="s">
        <v>128</v>
      </c>
      <c r="AC385" s="2" t="str">
        <f>HYPERLINK("http://exon.niaid.nih.gov/transcriptome/Anopheles_sialome/links/DIPTERA/anoste_D7r4-DIPTERA.txt","D7-related 1 protein")</f>
        <v>D7-related 1 protein</v>
      </c>
      <c r="AD385" t="str">
        <f>HYPERLINK("http://www.ncbi.nlm.nih.gov/sutils/blink.cgi?pid=15718083","2E-092")</f>
        <v>2E-092</v>
      </c>
      <c r="AE385" t="str">
        <f>HYPERLINK("http://www.ncbi.nlm.nih.gov/protein/15718083","gi|15718083")</f>
        <v>gi|15718083</v>
      </c>
      <c r="AF385">
        <v>100</v>
      </c>
      <c r="AG385">
        <v>100</v>
      </c>
      <c r="AH385">
        <v>100</v>
      </c>
      <c r="AI385" t="s">
        <v>2271</v>
      </c>
      <c r="AJ385" s="2" t="str">
        <f>HYPERLINK("http://exon.niaid.nih.gov/transcriptome/Anopheles_sialome/links/CULICOMORPHA/anoste_D7r4-CULICOMORPHA.txt","D7-related 1 protein")</f>
        <v>D7-related 1 protein</v>
      </c>
      <c r="AK385" t="str">
        <f>HYPERLINK("http://www.ncbi.nlm.nih.gov/sutils/blink.cgi?pid=15718083","4E-093")</f>
        <v>4E-093</v>
      </c>
      <c r="AL385" t="str">
        <f>HYPERLINK("http://www.ncbi.nlm.nih.gov/protein/15718083","gi|15718083")</f>
        <v>gi|15718083</v>
      </c>
      <c r="AM385">
        <v>100</v>
      </c>
      <c r="AN385">
        <v>100</v>
      </c>
      <c r="AO385">
        <v>100</v>
      </c>
      <c r="AP385" t="s">
        <v>2271</v>
      </c>
      <c r="AQ385" s="2" t="str">
        <f>HYPERLINK("http://exon.niaid.nih.gov/transcriptome/Anopheles_sialome/links/NR-LIGHT/anoste_D7r4-NR-LIGHT.txt","D7-related 1 protein")</f>
        <v>D7-related 1 protein</v>
      </c>
      <c r="AR385" t="str">
        <f>HYPERLINK("http://www.ncbi.nlm.nih.gov/sutils/blink.cgi?pid=15718083","5E-092")</f>
        <v>5E-092</v>
      </c>
      <c r="AS385" t="str">
        <f>HYPERLINK("http://www.ncbi.nlm.nih.gov/protein/15718083","gi|15718083")</f>
        <v>gi|15718083</v>
      </c>
      <c r="AT385">
        <v>100</v>
      </c>
      <c r="AU385">
        <v>100</v>
      </c>
      <c r="AV385">
        <v>100</v>
      </c>
      <c r="AW385" t="s">
        <v>2271</v>
      </c>
      <c r="AX385" s="2" t="str">
        <f>HYPERLINK("http://exon.niaid.nih.gov/transcriptome/Anopheles_sialome/links/CDD/anoste_D7r4-CDD.txt","PBP_GOBP")</f>
        <v>PBP_GOBP</v>
      </c>
      <c r="AY385" t="str">
        <f>HYPERLINK("http://www.ncbi.nlm.nih.gov/Structure/cdd/cddsrv.cgi?uid=pfam01395&amp;version=v4.0","2E-007")</f>
        <v>2E-007</v>
      </c>
      <c r="AZ385" t="s">
        <v>2527</v>
      </c>
      <c r="BA385" s="2" t="str">
        <f>HYPERLINK("http://exon.niaid.nih.gov/transcriptome/Anopheles_sialome/links/KOG/anoste_D7r4-KOG.txt","Mismatch repair ATPase MSH6 (MutS family)")</f>
        <v>Mismatch repair ATPase MSH6 (MutS family)</v>
      </c>
      <c r="BB385" t="str">
        <f>HYPERLINK("http://www.ncbi.nlm.nih.gov/Structure/cdd/cddsrv.cgi?uid=KOG0217","0.42")</f>
        <v>0.42</v>
      </c>
      <c r="BC385" t="s">
        <v>2290</v>
      </c>
      <c r="BD385" t="str">
        <f>HYPERLINK("http://exon.niaid.nih.gov/transcriptome/Anopheles_sialome/links/KOG/anoste_D7r4-KOG.txt","KOG0217")</f>
        <v>KOG0217</v>
      </c>
      <c r="BE385" t="str">
        <f>HYPERLINK("http://exon.niaid.nih.gov/transcriptome/Anopheles_sialome/links/PFAM/anoste_D7r4-PFAM.txt","PBP_GOBP")</f>
        <v>PBP_GOBP</v>
      </c>
      <c r="BF385" t="str">
        <f>HYPERLINK("http://pfam.sanger.ac.uk/family?acc=PF01395","4E-008")</f>
        <v>4E-008</v>
      </c>
      <c r="BG385" s="2" t="str">
        <f>HYPERLINK("http://exon.niaid.nih.gov/transcriptome/Anopheles_sialome/links/SMART/anoste_D7r4-SMART.txt","PhBP")</f>
        <v>PhBP</v>
      </c>
      <c r="BH385" t="str">
        <f>HYPERLINK("http://smart.embl-heidelberg.de/smart/do_annotation.pl?DOMAIN=PhBP&amp;BLAST=DUMMY","2E-005")</f>
        <v>2E-005</v>
      </c>
      <c r="BI385" t="s">
        <v>128</v>
      </c>
      <c r="BJ385" s="2" t="s">
        <v>128</v>
      </c>
      <c r="BK385" t="s">
        <v>1097</v>
      </c>
      <c r="BL385">
        <f>HYPERLINK("http://exon.niaid.nih.gov/transcriptome/Anopheles_sialome/links/cluster-b/anopheline-sialome-cds-pep-larger-orf25-50SimCLU2.txt", 2)</f>
        <v>2</v>
      </c>
      <c r="BM385">
        <f>HYPERLINK("http://exon.niaid.nih.gov/transcriptome/Anopheles_sialome/links/cluster-b/anopheline-sialome-cds-pep-larger-orf25-50SimCLTL2.txt", 120)</f>
        <v>120</v>
      </c>
      <c r="BN385">
        <f>HYPERLINK("http://exon.niaid.nih.gov/transcriptome/Anopheles_sialome/links/cluster-b/anopheline-sialome-cds-pep-larger-orf30-50SimCLU2.txt", 2)</f>
        <v>2</v>
      </c>
      <c r="BO385">
        <f>HYPERLINK("http://exon.niaid.nih.gov/transcriptome/Anopheles_sialome/links/cluster-b/anopheline-sialome-cds-pep-larger-orf30-50SimCLTL2.txt", 120)</f>
        <v>120</v>
      </c>
      <c r="BP385">
        <f>HYPERLINK("http://exon.niaid.nih.gov/transcriptome/Anopheles_sialome/links/cluster-b/anopheline-sialome-cds-pep-larger-orf35-50SimCLU1.txt", 1)</f>
        <v>1</v>
      </c>
      <c r="BQ385">
        <f>HYPERLINK("http://exon.niaid.nih.gov/transcriptome/Anopheles_sialome/links/cluster-b/anopheline-sialome-cds-pep-larger-orf35-50SimCLTL1.txt", 120)</f>
        <v>120</v>
      </c>
      <c r="BR385">
        <f>HYPERLINK("http://exon.niaid.nih.gov/transcriptome/Anopheles_sialome/links/cluster-b/anopheline-sialome-cds-pep-larger-orf40-50SimCLU2.txt", 2)</f>
        <v>2</v>
      </c>
      <c r="BS385">
        <f>HYPERLINK("http://exon.niaid.nih.gov/transcriptome/Anopheles_sialome/links/cluster-b/anopheline-sialome-cds-pep-larger-orf40-50SimCLTL2.txt", 83)</f>
        <v>83</v>
      </c>
      <c r="BT385">
        <f>HYPERLINK("http://exon.niaid.nih.gov/transcriptome/Anopheles_sialome/links/cluster-b/anopheline-sialome-cds-pep-larger-orf45-50SimCLU1.txt", 1)</f>
        <v>1</v>
      </c>
      <c r="BU385">
        <f>HYPERLINK("http://exon.niaid.nih.gov/transcriptome/Anopheles_sialome/links/cluster-b/anopheline-sialome-cds-pep-larger-orf45-50SimCLTL1.txt", 83)</f>
        <v>83</v>
      </c>
      <c r="BV385">
        <f>HYPERLINK("http://exon.niaid.nih.gov/transcriptome/Anopheles_sialome/links/cluster-b/anopheline-sialome-cds-pep-larger-orf50-50SimCLU1.txt", 1)</f>
        <v>1</v>
      </c>
      <c r="BW385">
        <f>HYPERLINK("http://exon.niaid.nih.gov/transcriptome/Anopheles_sialome/links/cluster-b/anopheline-sialome-cds-pep-larger-orf50-50SimCLTL1.txt", 83)</f>
        <v>83</v>
      </c>
      <c r="BX385">
        <f>HYPERLINK("http://exon.niaid.nih.gov/transcriptome/Anopheles_sialome/links/cluster-b/anopheline-sialome-cds-pep-larger-orf55-50SimCLU1.txt", 1)</f>
        <v>1</v>
      </c>
      <c r="BY385">
        <f>HYPERLINK("http://exon.niaid.nih.gov/transcriptome/Anopheles_sialome/links/cluster-b/anopheline-sialome-cds-pep-larger-orf55-50SimCLTL1.txt", 79)</f>
        <v>79</v>
      </c>
      <c r="BZ385">
        <f>HYPERLINK("http://exon.niaid.nih.gov/transcriptome/Anopheles_sialome/links/cluster-b/anopheline-sialome-cds-pep-larger-orf60-50SimCLU1.txt", 1)</f>
        <v>1</v>
      </c>
      <c r="CA385">
        <f>HYPERLINK("http://exon.niaid.nih.gov/transcriptome/Anopheles_sialome/links/cluster-b/anopheline-sialome-cds-pep-larger-orf60-50SimCLTL1.txt", 60)</f>
        <v>60</v>
      </c>
      <c r="CB385">
        <f>HYPERLINK("http://exon.niaid.nih.gov/transcriptome/Anopheles_sialome/links/cluster-b/anopheline-sialome-cds-pep-larger-orf65-50SimCLU1.txt", 1)</f>
        <v>1</v>
      </c>
      <c r="CC385">
        <f>HYPERLINK("http://exon.niaid.nih.gov/transcriptome/Anopheles_sialome/links/cluster-b/anopheline-sialome-cds-pep-larger-orf65-50SimCLTL1.txt", 60)</f>
        <v>60</v>
      </c>
      <c r="CD385">
        <f>HYPERLINK("http://exon.niaid.nih.gov/transcriptome/Anopheles_sialome/links/cluster-b/anopheline-sialome-cds-pep-larger-orf70-50SimCLU2.txt", 2)</f>
        <v>2</v>
      </c>
      <c r="CE385">
        <f>HYPERLINK("http://exon.niaid.nih.gov/transcriptome/Anopheles_sialome/links/cluster-b/anopheline-sialome-cds-pep-larger-orf70-50SimCLTL2.txt", 29)</f>
        <v>29</v>
      </c>
      <c r="CF385">
        <v>106</v>
      </c>
      <c r="CG385">
        <v>1</v>
      </c>
      <c r="CH385">
        <v>133</v>
      </c>
      <c r="CI385">
        <v>1</v>
      </c>
      <c r="CJ385">
        <v>154</v>
      </c>
      <c r="CK385">
        <v>1</v>
      </c>
      <c r="CL385">
        <v>178</v>
      </c>
      <c r="CM385">
        <v>1</v>
      </c>
      <c r="CN385">
        <v>187</v>
      </c>
      <c r="CO385">
        <v>1</v>
      </c>
    </row>
    <row r="386" spans="1:93">
      <c r="A386" s="6" t="s">
        <v>3205</v>
      </c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</row>
    <row r="387" spans="1:93">
      <c r="A387" s="2" t="str">
        <f>HYPERLINK("http://exon.niaid.nih.gov/transcriptome/Anopheles_sialome/links/cds/anoga_D7r5-cds.txt","anoga_D7r5")</f>
        <v>anoga_D7r5</v>
      </c>
      <c r="B387">
        <v>501</v>
      </c>
      <c r="C387" t="s">
        <v>180</v>
      </c>
      <c r="D387" t="s">
        <v>4</v>
      </c>
      <c r="E387" t="s">
        <v>5</v>
      </c>
      <c r="F387" t="s">
        <v>1</v>
      </c>
      <c r="G387" t="str">
        <f>HYPERLINK("http://exon.niaid.nih.gov/transcriptome/Anopheles_sialome/links/pep/anoga_D7r5-pep.txt","anoga_D7r5")</f>
        <v>anoga_D7r5</v>
      </c>
      <c r="H387">
        <v>166</v>
      </c>
      <c r="I387">
        <v>0</v>
      </c>
      <c r="J387" s="3" t="str">
        <f>HYPERLINK("http://exon.niaid.nih.gov/transcriptome/Anopheles_sialome/links/Sigp/anoga_D7r5-SigP.txt","SIG")</f>
        <v>SIG</v>
      </c>
      <c r="K387" t="s">
        <v>695</v>
      </c>
      <c r="L387">
        <v>18.812999999999999</v>
      </c>
      <c r="M387">
        <v>5.76</v>
      </c>
      <c r="N387">
        <v>16.241</v>
      </c>
      <c r="O387">
        <v>6.17</v>
      </c>
      <c r="P387" t="s">
        <v>1102</v>
      </c>
      <c r="Q387" s="3" t="str">
        <f>HYPERLINK("http://exon.niaid.nih.gov/transcriptome/Anopheles_sialome/links/tmhmm/anoga_D7r5-tmhmm.txt","1")</f>
        <v>1</v>
      </c>
      <c r="R387">
        <v>13.3</v>
      </c>
      <c r="S387">
        <v>3</v>
      </c>
      <c r="T387">
        <v>83.7</v>
      </c>
      <c r="U387" t="s">
        <v>128</v>
      </c>
      <c r="V387">
        <v>139</v>
      </c>
      <c r="W387" s="3" t="str">
        <f>HYPERLINK("http://exon.niaid.nih.gov/transcriptome/Anopheles_sialome/links/netoglyc/anoga_D7r5-netoglyc.txt","0")</f>
        <v>0</v>
      </c>
      <c r="X387">
        <v>13.9</v>
      </c>
      <c r="Y387">
        <v>4.2</v>
      </c>
      <c r="Z387">
        <v>1.8</v>
      </c>
      <c r="AA387" t="s">
        <v>654</v>
      </c>
      <c r="AB387" t="s">
        <v>128</v>
      </c>
      <c r="AC387" s="2" t="str">
        <f>HYPERLINK("http://exon.niaid.nih.gov/transcriptome/Anopheles_sialome/links/DIPTERA/anoga_D7r5-DIPTERA.txt","AGAP008280-PA")</f>
        <v>AGAP008280-PA</v>
      </c>
      <c r="AD387" t="str">
        <f>HYPERLINK("http://www.ncbi.nlm.nih.gov/sutils/blink.cgi?pid=30175327","1E-090")</f>
        <v>1E-090</v>
      </c>
      <c r="AE387" t="str">
        <f t="shared" ref="AE387:AE397" si="147">HYPERLINK("http://www.ncbi.nlm.nih.gov/protein/30175327","gi|30175327")</f>
        <v>gi|30175327</v>
      </c>
      <c r="AF387">
        <v>100</v>
      </c>
      <c r="AG387">
        <v>100</v>
      </c>
      <c r="AH387">
        <v>100</v>
      </c>
      <c r="AI387" t="s">
        <v>2285</v>
      </c>
      <c r="AJ387" s="2" t="str">
        <f>HYPERLINK("http://exon.niaid.nih.gov/transcriptome/Anopheles_sialome/links/CULICOMORPHA/anoga_D7r5-CULICOMORPHA.txt","AGAP008280-PA")</f>
        <v>AGAP008280-PA</v>
      </c>
      <c r="AK387" t="str">
        <f>HYPERLINK("http://www.ncbi.nlm.nih.gov/sutils/blink.cgi?pid=30175327","2E-091")</f>
        <v>2E-091</v>
      </c>
      <c r="AL387" t="str">
        <f t="shared" ref="AL387:AL397" si="148">HYPERLINK("http://www.ncbi.nlm.nih.gov/protein/30175327","gi|30175327")</f>
        <v>gi|30175327</v>
      </c>
      <c r="AM387">
        <v>100</v>
      </c>
      <c r="AN387">
        <v>100</v>
      </c>
      <c r="AO387">
        <v>100</v>
      </c>
      <c r="AP387" t="s">
        <v>2285</v>
      </c>
      <c r="AQ387" s="2" t="str">
        <f>HYPERLINK("http://exon.niaid.nih.gov/transcriptome/Anopheles_sialome/links/NR-LIGHT/anoga_D7r5-NR-LIGHT.txt","AGAP008280-PA")</f>
        <v>AGAP008280-PA</v>
      </c>
      <c r="AR387" t="str">
        <f>HYPERLINK("http://www.ncbi.nlm.nih.gov/sutils/blink.cgi?pid=31222512","3E-090")</f>
        <v>3E-090</v>
      </c>
      <c r="AS387" t="str">
        <f t="shared" ref="AS387:AS397" si="149">HYPERLINK("http://www.ncbi.nlm.nih.gov/protein/31222512","gi|31222512")</f>
        <v>gi|31222512</v>
      </c>
      <c r="AT387">
        <v>100</v>
      </c>
      <c r="AU387">
        <v>100</v>
      </c>
      <c r="AV387">
        <v>100</v>
      </c>
      <c r="AW387" t="s">
        <v>2285</v>
      </c>
      <c r="AX387" s="2" t="str">
        <f>HYPERLINK("http://exon.niaid.nih.gov/transcriptome/Anopheles_sialome/links/CDD/anoga_D7r5-CDD.txt","PBP_GOBP")</f>
        <v>PBP_GOBP</v>
      </c>
      <c r="AY387" t="str">
        <f>HYPERLINK("http://www.ncbi.nlm.nih.gov/Structure/cdd/cddsrv.cgi?uid=pfam01395&amp;version=v4.0","0.004")</f>
        <v>0.004</v>
      </c>
      <c r="AZ387" t="s">
        <v>2529</v>
      </c>
      <c r="BA387" s="2" t="str">
        <f>HYPERLINK("http://exon.niaid.nih.gov/transcriptome/Anopheles_sialome/links/KOG/anoga_D7r5-KOG.txt","Beta-N-acetylhexosaminidase")</f>
        <v>Beta-N-acetylhexosaminidase</v>
      </c>
      <c r="BB387" t="str">
        <f>HYPERLINK("http://www.ncbi.nlm.nih.gov/Structure/cdd/cddsrv.cgi?uid=KOG2499","3.3")</f>
        <v>3.3</v>
      </c>
      <c r="BC387" t="s">
        <v>2308</v>
      </c>
      <c r="BD387" t="str">
        <f>HYPERLINK("http://exon.niaid.nih.gov/transcriptome/Anopheles_sialome/links/KOG/anoga_D7r5-KOG.txt","KOG2499")</f>
        <v>KOG2499</v>
      </c>
      <c r="BE387" t="str">
        <f>HYPERLINK("http://exon.niaid.nih.gov/transcriptome/Anopheles_sialome/links/PFAM/anoga_D7r5-PFAM.txt","PBP_GOBP")</f>
        <v>PBP_GOBP</v>
      </c>
      <c r="BF387" t="str">
        <f>HYPERLINK("http://pfam.sanger.ac.uk/family?acc=PF01395","9E-004")</f>
        <v>9E-004</v>
      </c>
      <c r="BG387" s="2" t="str">
        <f>HYPERLINK("http://exon.niaid.nih.gov/transcriptome/Anopheles_sialome/links/SMART/anoga_D7r5-SMART.txt","PhBP")</f>
        <v>PhBP</v>
      </c>
      <c r="BH387" t="str">
        <f>HYPERLINK("http://smart.embl-heidelberg.de/smart/do_annotation.pl?DOMAIN=PhBP&amp;BLAST=DUMMY","0.12")</f>
        <v>0.12</v>
      </c>
      <c r="BI387" t="s">
        <v>128</v>
      </c>
      <c r="BJ387" s="2" t="s">
        <v>128</v>
      </c>
      <c r="BK387" t="s">
        <v>1101</v>
      </c>
      <c r="BL387">
        <f>HYPERLINK("http://exon.niaid.nih.gov/transcriptome/Anopheles_sialome/links/cluster-b/anopheline-sialome-cds-pep-larger-orf25-50SimCLU2.txt", 2)</f>
        <v>2</v>
      </c>
      <c r="BM387">
        <f>HYPERLINK("http://exon.niaid.nih.gov/transcriptome/Anopheles_sialome/links/cluster-b/anopheline-sialome-cds-pep-larger-orf25-50SimCLTL2.txt", 120)</f>
        <v>120</v>
      </c>
      <c r="BN387">
        <f>HYPERLINK("http://exon.niaid.nih.gov/transcriptome/Anopheles_sialome/links/cluster-b/anopheline-sialome-cds-pep-larger-orf30-50SimCLU2.txt", 2)</f>
        <v>2</v>
      </c>
      <c r="BO387">
        <f>HYPERLINK("http://exon.niaid.nih.gov/transcriptome/Anopheles_sialome/links/cluster-b/anopheline-sialome-cds-pep-larger-orf30-50SimCLTL2.txt", 120)</f>
        <v>120</v>
      </c>
      <c r="BP387">
        <f>HYPERLINK("http://exon.niaid.nih.gov/transcriptome/Anopheles_sialome/links/cluster-b/anopheline-sialome-cds-pep-larger-orf35-50SimCLU1.txt", 1)</f>
        <v>1</v>
      </c>
      <c r="BQ387">
        <f>HYPERLINK("http://exon.niaid.nih.gov/transcriptome/Anopheles_sialome/links/cluster-b/anopheline-sialome-cds-pep-larger-orf35-50SimCLTL1.txt", 120)</f>
        <v>120</v>
      </c>
      <c r="BR387">
        <f>HYPERLINK("http://exon.niaid.nih.gov/transcriptome/Anopheles_sialome/links/cluster-b/anopheline-sialome-cds-pep-larger-orf40-50SimCLU2.txt", 2)</f>
        <v>2</v>
      </c>
      <c r="BS387">
        <f>HYPERLINK("http://exon.niaid.nih.gov/transcriptome/Anopheles_sialome/links/cluster-b/anopheline-sialome-cds-pep-larger-orf40-50SimCLTL2.txt", 83)</f>
        <v>83</v>
      </c>
      <c r="BT387">
        <f>HYPERLINK("http://exon.niaid.nih.gov/transcriptome/Anopheles_sialome/links/cluster-b/anopheline-sialome-cds-pep-larger-orf45-50SimCLU1.txt", 1)</f>
        <v>1</v>
      </c>
      <c r="BU387">
        <f>HYPERLINK("http://exon.niaid.nih.gov/transcriptome/Anopheles_sialome/links/cluster-b/anopheline-sialome-cds-pep-larger-orf45-50SimCLTL1.txt", 83)</f>
        <v>83</v>
      </c>
      <c r="BV387">
        <f>HYPERLINK("http://exon.niaid.nih.gov/transcriptome/Anopheles_sialome/links/cluster-b/anopheline-sialome-cds-pep-larger-orf50-50SimCLU1.txt", 1)</f>
        <v>1</v>
      </c>
      <c r="BW387">
        <f>HYPERLINK("http://exon.niaid.nih.gov/transcriptome/Anopheles_sialome/links/cluster-b/anopheline-sialome-cds-pep-larger-orf50-50SimCLTL1.txt", 83)</f>
        <v>83</v>
      </c>
      <c r="BX387">
        <f>HYPERLINK("http://exon.niaid.nih.gov/transcriptome/Anopheles_sialome/links/cluster-b/anopheline-sialome-cds-pep-larger-orf55-50SimCLU1.txt", 1)</f>
        <v>1</v>
      </c>
      <c r="BY387">
        <f>HYPERLINK("http://exon.niaid.nih.gov/transcriptome/Anopheles_sialome/links/cluster-b/anopheline-sialome-cds-pep-larger-orf55-50SimCLTL1.txt", 79)</f>
        <v>79</v>
      </c>
      <c r="BZ387">
        <f>HYPERLINK("http://exon.niaid.nih.gov/transcriptome/Anopheles_sialome/links/cluster-b/anopheline-sialome-cds-pep-larger-orf60-50SimCLU12.txt", 12)</f>
        <v>12</v>
      </c>
      <c r="CA387">
        <f>HYPERLINK("http://exon.niaid.nih.gov/transcriptome/Anopheles_sialome/links/cluster-b/anopheline-sialome-cds-pep-larger-orf60-50SimCLTL12.txt", 19)</f>
        <v>19</v>
      </c>
      <c r="CB387">
        <f>HYPERLINK("http://exon.niaid.nih.gov/transcriptome/Anopheles_sialome/links/cluster-b/anopheline-sialome-cds-pep-larger-orf65-50SimCLU9.txt", 9)</f>
        <v>9</v>
      </c>
      <c r="CC387">
        <f>HYPERLINK("http://exon.niaid.nih.gov/transcriptome/Anopheles_sialome/links/cluster-b/anopheline-sialome-cds-pep-larger-orf65-50SimCLTL9.txt", 19)</f>
        <v>19</v>
      </c>
      <c r="CD387">
        <f>HYPERLINK("http://exon.niaid.nih.gov/transcriptome/Anopheles_sialome/links/cluster-b/anopheline-sialome-cds-pep-larger-orf70-50SimCLU9.txt", 9)</f>
        <v>9</v>
      </c>
      <c r="CE387">
        <f>HYPERLINK("http://exon.niaid.nih.gov/transcriptome/Anopheles_sialome/links/cluster-b/anopheline-sialome-cds-pep-larger-orf70-50SimCLTL9.txt", 19)</f>
        <v>19</v>
      </c>
      <c r="CF387">
        <f>HYPERLINK("http://exon.niaid.nih.gov/transcriptome/Anopheles_sialome/links/cluster-b/anopheline-sialome-cds-pep-larger-orf75-50SimCLU6.txt", 6)</f>
        <v>6</v>
      </c>
      <c r="CG387">
        <f>HYPERLINK("http://exon.niaid.nih.gov/transcriptome/Anopheles_sialome/links/cluster-b/anopheline-sialome-cds-pep-larger-orf75-50SimCLTL6.txt", 19)</f>
        <v>19</v>
      </c>
      <c r="CH387">
        <f>HYPERLINK("http://exon.niaid.nih.gov/transcriptome/Anopheles_sialome/links/cluster-b/anopheline-sialome-cds-pep-larger-orf80-50SimCLU12.txt", 12)</f>
        <v>12</v>
      </c>
      <c r="CI387">
        <f>HYPERLINK("http://exon.niaid.nih.gov/transcriptome/Anopheles_sialome/links/cluster-b/anopheline-sialome-cds-pep-larger-orf80-50SimCLTL12.txt", 15)</f>
        <v>15</v>
      </c>
      <c r="CJ387">
        <f>HYPERLINK("http://exon.niaid.nih.gov/transcriptome/Anopheles_sialome/links/cluster-b/anopheline-sialome-cds-pep-larger-orf85-50SimCLU16.txt", 16)</f>
        <v>16</v>
      </c>
      <c r="CK387">
        <f>HYPERLINK("http://exon.niaid.nih.gov/transcriptome/Anopheles_sialome/links/cluster-b/anopheline-sialome-cds-pep-larger-orf85-50SimCLTL16.txt", 11)</f>
        <v>11</v>
      </c>
      <c r="CL387">
        <f>HYPERLINK("http://exon.niaid.nih.gov/transcriptome/Anopheles_sialome/links/cluster-b/anopheline-sialome-cds-pep-larger-orf90-50SimCLU20.txt", 20)</f>
        <v>20</v>
      </c>
      <c r="CM387">
        <f>HYPERLINK("http://exon.niaid.nih.gov/transcriptome/Anopheles_sialome/links/cluster-b/anopheline-sialome-cds-pep-larger-orf90-50SimCLTL20.txt", 6)</f>
        <v>6</v>
      </c>
      <c r="CN387">
        <f>HYPERLINK("http://exon.niaid.nih.gov/transcriptome/Anopheles_sialome/links/cluster-b/anopheline-sialome-cds-pep-larger-orf95-50SimCLU12.txt", 12)</f>
        <v>12</v>
      </c>
      <c r="CO387">
        <f>HYPERLINK("http://exon.niaid.nih.gov/transcriptome/Anopheles_sialome/links/cluster-b/anopheline-sialome-cds-pep-larger-orf95-50SimCLTL12.txt", 6)</f>
        <v>6</v>
      </c>
    </row>
    <row r="388" spans="1:93">
      <c r="A388" s="2" t="str">
        <f>HYPERLINK("http://exon.niaid.nih.gov/transcriptome/Anopheles_sialome/links/cds/anocol_D7r5-cds.txt","anocol_D7r5")</f>
        <v>anocol_D7r5</v>
      </c>
      <c r="B388">
        <v>501</v>
      </c>
      <c r="C388" t="s">
        <v>175</v>
      </c>
      <c r="D388" t="s">
        <v>7</v>
      </c>
      <c r="E388" t="s">
        <v>5</v>
      </c>
      <c r="F388" t="s">
        <v>1</v>
      </c>
      <c r="G388" t="str">
        <f>HYPERLINK("http://exon.niaid.nih.gov/transcriptome/Anopheles_sialome/links/pep/anocol_D7r5-pep.txt","anocol_D7r5")</f>
        <v>anocol_D7r5</v>
      </c>
      <c r="H388">
        <v>166</v>
      </c>
      <c r="I388">
        <v>0</v>
      </c>
      <c r="J388" s="3" t="str">
        <f>HYPERLINK("http://exon.niaid.nih.gov/transcriptome/Anopheles_sialome/links/Sigp/anocol_D7r5-SigP.txt","SIG")</f>
        <v>SIG</v>
      </c>
      <c r="K388" t="s">
        <v>695</v>
      </c>
      <c r="L388">
        <v>18.798999999999999</v>
      </c>
      <c r="M388">
        <v>5.76</v>
      </c>
      <c r="N388">
        <v>16.225999999999999</v>
      </c>
      <c r="O388">
        <v>6.17</v>
      </c>
      <c r="P388" t="s">
        <v>1102</v>
      </c>
      <c r="Q388" s="3" t="str">
        <f>HYPERLINK("http://exon.niaid.nih.gov/transcriptome/Anopheles_sialome/links/tmhmm/anocol_D7r5-tmhmm.txt","1")</f>
        <v>1</v>
      </c>
      <c r="R388">
        <v>13.3</v>
      </c>
      <c r="S388">
        <v>3</v>
      </c>
      <c r="T388">
        <v>83.7</v>
      </c>
      <c r="U388" t="s">
        <v>128</v>
      </c>
      <c r="V388">
        <v>139</v>
      </c>
      <c r="W388" s="3" t="str">
        <f>HYPERLINK("http://exon.niaid.nih.gov/transcriptome/Anopheles_sialome/links/netoglyc/anocol_D7r5-netoglyc.txt","0")</f>
        <v>0</v>
      </c>
      <c r="X388">
        <v>13.3</v>
      </c>
      <c r="Y388">
        <v>4.2</v>
      </c>
      <c r="Z388">
        <v>1.8</v>
      </c>
      <c r="AA388" t="s">
        <v>654</v>
      </c>
      <c r="AB388" t="s">
        <v>128</v>
      </c>
      <c r="AC388" s="2" t="str">
        <f>HYPERLINK("http://exon.niaid.nih.gov/transcriptome/Anopheles_sialome/links/DIPTERA/anocol_D7r5-DIPTERA.txt","AGAP008280-PA")</f>
        <v>AGAP008280-PA</v>
      </c>
      <c r="AD388" t="str">
        <f>HYPERLINK("http://www.ncbi.nlm.nih.gov/sutils/blink.cgi?pid=30175327","2E-089")</f>
        <v>2E-089</v>
      </c>
      <c r="AE388" t="str">
        <f t="shared" si="147"/>
        <v>gi|30175327</v>
      </c>
      <c r="AF388">
        <v>98</v>
      </c>
      <c r="AG388">
        <v>98</v>
      </c>
      <c r="AH388">
        <v>100</v>
      </c>
      <c r="AI388" t="s">
        <v>2285</v>
      </c>
      <c r="AJ388" s="2" t="str">
        <f>HYPERLINK("http://exon.niaid.nih.gov/transcriptome/Anopheles_sialome/links/CULICOMORPHA/anocol_D7r5-CULICOMORPHA.txt","AGAP008280-PA")</f>
        <v>AGAP008280-PA</v>
      </c>
      <c r="AK388" t="str">
        <f>HYPERLINK("http://www.ncbi.nlm.nih.gov/sutils/blink.cgi?pid=30175327","4E-090")</f>
        <v>4E-090</v>
      </c>
      <c r="AL388" t="str">
        <f t="shared" si="148"/>
        <v>gi|30175327</v>
      </c>
      <c r="AM388">
        <v>98</v>
      </c>
      <c r="AN388">
        <v>98</v>
      </c>
      <c r="AO388">
        <v>100</v>
      </c>
      <c r="AP388" t="s">
        <v>2285</v>
      </c>
      <c r="AQ388" s="2" t="str">
        <f>HYPERLINK("http://exon.niaid.nih.gov/transcriptome/Anopheles_sialome/links/NR-LIGHT/anocol_D7r5-NR-LIGHT.txt","AGAP008280-PA")</f>
        <v>AGAP008280-PA</v>
      </c>
      <c r="AR388" t="str">
        <f>HYPERLINK("http://www.ncbi.nlm.nih.gov/sutils/blink.cgi?pid=31222512","5E-089")</f>
        <v>5E-089</v>
      </c>
      <c r="AS388" t="str">
        <f t="shared" si="149"/>
        <v>gi|31222512</v>
      </c>
      <c r="AT388">
        <v>98</v>
      </c>
      <c r="AU388">
        <v>98</v>
      </c>
      <c r="AV388">
        <v>100</v>
      </c>
      <c r="AW388" t="s">
        <v>2285</v>
      </c>
      <c r="AX388" s="2" t="str">
        <f>HYPERLINK("http://exon.niaid.nih.gov/transcriptome/Anopheles_sialome/links/CDD/anocol_D7r5-CDD.txt","PBP_GOBP")</f>
        <v>PBP_GOBP</v>
      </c>
      <c r="AY388" t="str">
        <f>HYPERLINK("http://www.ncbi.nlm.nih.gov/Structure/cdd/cddsrv.cgi?uid=pfam01395&amp;version=v4.0","0.002")</f>
        <v>0.002</v>
      </c>
      <c r="AZ388" t="s">
        <v>2530</v>
      </c>
      <c r="BA388" s="2" t="str">
        <f>HYPERLINK("http://exon.niaid.nih.gov/transcriptome/Anopheles_sialome/links/KOG/anocol_D7r5-KOG.txt","Ankyrin repeat protein")</f>
        <v>Ankyrin repeat protein</v>
      </c>
      <c r="BB388" t="str">
        <f>HYPERLINK("http://www.ncbi.nlm.nih.gov/Structure/cdd/cddsrv.cgi?uid=KOG0508","5.5")</f>
        <v>5.5</v>
      </c>
      <c r="BC388" t="s">
        <v>2310</v>
      </c>
      <c r="BD388" t="str">
        <f>HYPERLINK("http://exon.niaid.nih.gov/transcriptome/Anopheles_sialome/links/KOG/anocol_D7r5-KOG.txt","KOG0508")</f>
        <v>KOG0508</v>
      </c>
      <c r="BE388" t="str">
        <f>HYPERLINK("http://exon.niaid.nih.gov/transcriptome/Anopheles_sialome/links/PFAM/anocol_D7r5-PFAM.txt","PBP_GOBP")</f>
        <v>PBP_GOBP</v>
      </c>
      <c r="BF388" t="str">
        <f>HYPERLINK("http://pfam.sanger.ac.uk/family?acc=PF01395","5E-004")</f>
        <v>5E-004</v>
      </c>
      <c r="BG388" s="2" t="str">
        <f>HYPERLINK("http://exon.niaid.nih.gov/transcriptome/Anopheles_sialome/links/SMART/anocol_D7r5-SMART.txt","PhBP")</f>
        <v>PhBP</v>
      </c>
      <c r="BH388" t="str">
        <f>HYPERLINK("http://smart.embl-heidelberg.de/smart/do_annotation.pl?DOMAIN=PhBP&amp;BLAST=DUMMY","0.064")</f>
        <v>0.064</v>
      </c>
      <c r="BI388" t="s">
        <v>128</v>
      </c>
      <c r="BJ388" s="2" t="s">
        <v>128</v>
      </c>
      <c r="BK388" t="s">
        <v>1103</v>
      </c>
      <c r="BL388">
        <f>HYPERLINK("http://exon.niaid.nih.gov/transcriptome/Anopheles_sialome/links/cluster-b/anopheline-sialome-cds-pep-larger-orf25-50SimCLU2.txt", 2)</f>
        <v>2</v>
      </c>
      <c r="BM388">
        <f>HYPERLINK("http://exon.niaid.nih.gov/transcriptome/Anopheles_sialome/links/cluster-b/anopheline-sialome-cds-pep-larger-orf25-50SimCLTL2.txt", 120)</f>
        <v>120</v>
      </c>
      <c r="BN388">
        <f>HYPERLINK("http://exon.niaid.nih.gov/transcriptome/Anopheles_sialome/links/cluster-b/anopheline-sialome-cds-pep-larger-orf30-50SimCLU2.txt", 2)</f>
        <v>2</v>
      </c>
      <c r="BO388">
        <f>HYPERLINK("http://exon.niaid.nih.gov/transcriptome/Anopheles_sialome/links/cluster-b/anopheline-sialome-cds-pep-larger-orf30-50SimCLTL2.txt", 120)</f>
        <v>120</v>
      </c>
      <c r="BP388">
        <f>HYPERLINK("http://exon.niaid.nih.gov/transcriptome/Anopheles_sialome/links/cluster-b/anopheline-sialome-cds-pep-larger-orf35-50SimCLU1.txt", 1)</f>
        <v>1</v>
      </c>
      <c r="BQ388">
        <f>HYPERLINK("http://exon.niaid.nih.gov/transcriptome/Anopheles_sialome/links/cluster-b/anopheline-sialome-cds-pep-larger-orf35-50SimCLTL1.txt", 120)</f>
        <v>120</v>
      </c>
      <c r="BR388">
        <f>HYPERLINK("http://exon.niaid.nih.gov/transcriptome/Anopheles_sialome/links/cluster-b/anopheline-sialome-cds-pep-larger-orf40-50SimCLU2.txt", 2)</f>
        <v>2</v>
      </c>
      <c r="BS388">
        <f>HYPERLINK("http://exon.niaid.nih.gov/transcriptome/Anopheles_sialome/links/cluster-b/anopheline-sialome-cds-pep-larger-orf40-50SimCLTL2.txt", 83)</f>
        <v>83</v>
      </c>
      <c r="BT388">
        <f>HYPERLINK("http://exon.niaid.nih.gov/transcriptome/Anopheles_sialome/links/cluster-b/anopheline-sialome-cds-pep-larger-orf45-50SimCLU1.txt", 1)</f>
        <v>1</v>
      </c>
      <c r="BU388">
        <f>HYPERLINK("http://exon.niaid.nih.gov/transcriptome/Anopheles_sialome/links/cluster-b/anopheline-sialome-cds-pep-larger-orf45-50SimCLTL1.txt", 83)</f>
        <v>83</v>
      </c>
      <c r="BV388">
        <f>HYPERLINK("http://exon.niaid.nih.gov/transcriptome/Anopheles_sialome/links/cluster-b/anopheline-sialome-cds-pep-larger-orf50-50SimCLU1.txt", 1)</f>
        <v>1</v>
      </c>
      <c r="BW388">
        <f>HYPERLINK("http://exon.niaid.nih.gov/transcriptome/Anopheles_sialome/links/cluster-b/anopheline-sialome-cds-pep-larger-orf50-50SimCLTL1.txt", 83)</f>
        <v>83</v>
      </c>
      <c r="BX388">
        <f>HYPERLINK("http://exon.niaid.nih.gov/transcriptome/Anopheles_sialome/links/cluster-b/anopheline-sialome-cds-pep-larger-orf55-50SimCLU1.txt", 1)</f>
        <v>1</v>
      </c>
      <c r="BY388">
        <f>HYPERLINK("http://exon.niaid.nih.gov/transcriptome/Anopheles_sialome/links/cluster-b/anopheline-sialome-cds-pep-larger-orf55-50SimCLTL1.txt", 79)</f>
        <v>79</v>
      </c>
      <c r="BZ388">
        <f>HYPERLINK("http://exon.niaid.nih.gov/transcriptome/Anopheles_sialome/links/cluster-b/anopheline-sialome-cds-pep-larger-orf60-50SimCLU12.txt", 12)</f>
        <v>12</v>
      </c>
      <c r="CA388">
        <f>HYPERLINK("http://exon.niaid.nih.gov/transcriptome/Anopheles_sialome/links/cluster-b/anopheline-sialome-cds-pep-larger-orf60-50SimCLTL12.txt", 19)</f>
        <v>19</v>
      </c>
      <c r="CB388">
        <f>HYPERLINK("http://exon.niaid.nih.gov/transcriptome/Anopheles_sialome/links/cluster-b/anopheline-sialome-cds-pep-larger-orf65-50SimCLU9.txt", 9)</f>
        <v>9</v>
      </c>
      <c r="CC388">
        <f>HYPERLINK("http://exon.niaid.nih.gov/transcriptome/Anopheles_sialome/links/cluster-b/anopheline-sialome-cds-pep-larger-orf65-50SimCLTL9.txt", 19)</f>
        <v>19</v>
      </c>
      <c r="CD388">
        <f>HYPERLINK("http://exon.niaid.nih.gov/transcriptome/Anopheles_sialome/links/cluster-b/anopheline-sialome-cds-pep-larger-orf70-50SimCLU9.txt", 9)</f>
        <v>9</v>
      </c>
      <c r="CE388">
        <f>HYPERLINK("http://exon.niaid.nih.gov/transcriptome/Anopheles_sialome/links/cluster-b/anopheline-sialome-cds-pep-larger-orf70-50SimCLTL9.txt", 19)</f>
        <v>19</v>
      </c>
      <c r="CF388">
        <f>HYPERLINK("http://exon.niaid.nih.gov/transcriptome/Anopheles_sialome/links/cluster-b/anopheline-sialome-cds-pep-larger-orf75-50SimCLU6.txt", 6)</f>
        <v>6</v>
      </c>
      <c r="CG388">
        <f>HYPERLINK("http://exon.niaid.nih.gov/transcriptome/Anopheles_sialome/links/cluster-b/anopheline-sialome-cds-pep-larger-orf75-50SimCLTL6.txt", 19)</f>
        <v>19</v>
      </c>
      <c r="CH388">
        <f>HYPERLINK("http://exon.niaid.nih.gov/transcriptome/Anopheles_sialome/links/cluster-b/anopheline-sialome-cds-pep-larger-orf80-50SimCLU12.txt", 12)</f>
        <v>12</v>
      </c>
      <c r="CI388">
        <f>HYPERLINK("http://exon.niaid.nih.gov/transcriptome/Anopheles_sialome/links/cluster-b/anopheline-sialome-cds-pep-larger-orf80-50SimCLTL12.txt", 15)</f>
        <v>15</v>
      </c>
      <c r="CJ388">
        <f>HYPERLINK("http://exon.niaid.nih.gov/transcriptome/Anopheles_sialome/links/cluster-b/anopheline-sialome-cds-pep-larger-orf85-50SimCLU16.txt", 16)</f>
        <v>16</v>
      </c>
      <c r="CK388">
        <f>HYPERLINK("http://exon.niaid.nih.gov/transcriptome/Anopheles_sialome/links/cluster-b/anopheline-sialome-cds-pep-larger-orf85-50SimCLTL16.txt", 11)</f>
        <v>11</v>
      </c>
      <c r="CL388">
        <f>HYPERLINK("http://exon.niaid.nih.gov/transcriptome/Anopheles_sialome/links/cluster-b/anopheline-sialome-cds-pep-larger-orf90-50SimCLU20.txt", 20)</f>
        <v>20</v>
      </c>
      <c r="CM388">
        <f>HYPERLINK("http://exon.niaid.nih.gov/transcriptome/Anopheles_sialome/links/cluster-b/anopheline-sialome-cds-pep-larger-orf90-50SimCLTL20.txt", 6)</f>
        <v>6</v>
      </c>
      <c r="CN388">
        <f>HYPERLINK("http://exon.niaid.nih.gov/transcriptome/Anopheles_sialome/links/cluster-b/anopheline-sialome-cds-pep-larger-orf95-50SimCLU12.txt", 12)</f>
        <v>12</v>
      </c>
      <c r="CO388">
        <f>HYPERLINK("http://exon.niaid.nih.gov/transcriptome/Anopheles_sialome/links/cluster-b/anopheline-sialome-cds-pep-larger-orf95-50SimCLTL12.txt", 6)</f>
        <v>6</v>
      </c>
    </row>
    <row r="389" spans="1:93">
      <c r="A389" s="2" t="str">
        <f>HYPERLINK("http://exon.niaid.nih.gov/transcriptome/Anopheles_sialome/links/cds/anoara_D7r5-cds.txt","anoara_D7r5")</f>
        <v>anoara_D7r5</v>
      </c>
      <c r="B389">
        <v>501</v>
      </c>
      <c r="C389" t="s">
        <v>149</v>
      </c>
      <c r="D389" t="s">
        <v>7</v>
      </c>
      <c r="E389" t="s">
        <v>5</v>
      </c>
      <c r="F389" t="s">
        <v>1</v>
      </c>
      <c r="G389" t="str">
        <f>HYPERLINK("http://exon.niaid.nih.gov/transcriptome/Anopheles_sialome/links/pep/anoara_D7r5-pep.txt","anoara_D7r5")</f>
        <v>anoara_D7r5</v>
      </c>
      <c r="H389">
        <v>166</v>
      </c>
      <c r="I389">
        <v>0</v>
      </c>
      <c r="J389" s="3" t="str">
        <f>HYPERLINK("http://exon.niaid.nih.gov/transcriptome/Anopheles_sialome/links/Sigp/anoara_D7r5-SigP.txt","SIG")</f>
        <v>SIG</v>
      </c>
      <c r="K389" t="s">
        <v>695</v>
      </c>
      <c r="L389">
        <v>18.957999999999998</v>
      </c>
      <c r="M389">
        <v>6.15</v>
      </c>
      <c r="N389">
        <v>16.385000000000002</v>
      </c>
      <c r="O389">
        <v>6.89</v>
      </c>
      <c r="P389" t="s">
        <v>1102</v>
      </c>
      <c r="Q389" s="3" t="str">
        <f>HYPERLINK("http://exon.niaid.nih.gov/transcriptome/Anopheles_sialome/links/tmhmm/anoara_D7r5-tmhmm.txt","1")</f>
        <v>1</v>
      </c>
      <c r="R389">
        <v>13.3</v>
      </c>
      <c r="S389">
        <v>3</v>
      </c>
      <c r="T389">
        <v>83.7</v>
      </c>
      <c r="U389" t="s">
        <v>128</v>
      </c>
      <c r="V389">
        <v>139</v>
      </c>
      <c r="W389" s="3" t="str">
        <f>HYPERLINK("http://exon.niaid.nih.gov/transcriptome/Anopheles_sialome/links/netoglyc/anoara_D7r5-netoglyc.txt","0")</f>
        <v>0</v>
      </c>
      <c r="X389">
        <v>12.7</v>
      </c>
      <c r="Y389">
        <v>4.2</v>
      </c>
      <c r="Z389">
        <v>1.8</v>
      </c>
      <c r="AA389" t="s">
        <v>654</v>
      </c>
      <c r="AB389" t="s">
        <v>128</v>
      </c>
      <c r="AC389" s="2" t="str">
        <f>HYPERLINK("http://exon.niaid.nih.gov/transcriptome/Anopheles_sialome/links/DIPTERA/anoara_D7r5-DIPTERA.txt","AGAP008280-PA")</f>
        <v>AGAP008280-PA</v>
      </c>
      <c r="AD389" t="str">
        <f>HYPERLINK("http://www.ncbi.nlm.nih.gov/sutils/blink.cgi?pid=30175327","1E-088")</f>
        <v>1E-088</v>
      </c>
      <c r="AE389" t="str">
        <f t="shared" si="147"/>
        <v>gi|30175327</v>
      </c>
      <c r="AF389">
        <v>98</v>
      </c>
      <c r="AG389">
        <v>98</v>
      </c>
      <c r="AH389">
        <v>100</v>
      </c>
      <c r="AI389" t="s">
        <v>2285</v>
      </c>
      <c r="AJ389" s="2" t="str">
        <f>HYPERLINK("http://exon.niaid.nih.gov/transcriptome/Anopheles_sialome/links/CULICOMORPHA/anoara_D7r5-CULICOMORPHA.txt","AGAP008280-PA")</f>
        <v>AGAP008280-PA</v>
      </c>
      <c r="AK389" t="str">
        <f>HYPERLINK("http://www.ncbi.nlm.nih.gov/sutils/blink.cgi?pid=30175327","2E-089")</f>
        <v>2E-089</v>
      </c>
      <c r="AL389" t="str">
        <f t="shared" si="148"/>
        <v>gi|30175327</v>
      </c>
      <c r="AM389">
        <v>98</v>
      </c>
      <c r="AN389">
        <v>98</v>
      </c>
      <c r="AO389">
        <v>100</v>
      </c>
      <c r="AP389" t="s">
        <v>2285</v>
      </c>
      <c r="AQ389" s="2" t="str">
        <f>HYPERLINK("http://exon.niaid.nih.gov/transcriptome/Anopheles_sialome/links/NR-LIGHT/anoara_D7r5-NR-LIGHT.txt","AGAP008280-PA")</f>
        <v>AGAP008280-PA</v>
      </c>
      <c r="AR389" t="str">
        <f>HYPERLINK("http://www.ncbi.nlm.nih.gov/sutils/blink.cgi?pid=31222512","2E-088")</f>
        <v>2E-088</v>
      </c>
      <c r="AS389" t="str">
        <f t="shared" si="149"/>
        <v>gi|31222512</v>
      </c>
      <c r="AT389">
        <v>98</v>
      </c>
      <c r="AU389">
        <v>98</v>
      </c>
      <c r="AV389">
        <v>100</v>
      </c>
      <c r="AW389" t="s">
        <v>2285</v>
      </c>
      <c r="AX389" s="2" t="str">
        <f>HYPERLINK("http://exon.niaid.nih.gov/transcriptome/Anopheles_sialome/links/CDD/anoara_D7r5-CDD.txt","PBP_GOBP")</f>
        <v>PBP_GOBP</v>
      </c>
      <c r="AY389" t="str">
        <f>HYPERLINK("http://www.ncbi.nlm.nih.gov/Structure/cdd/cddsrv.cgi?uid=pfam01395&amp;version=v4.0","0.027")</f>
        <v>0.027</v>
      </c>
      <c r="AZ389" t="s">
        <v>2531</v>
      </c>
      <c r="BA389" s="2" t="str">
        <f>HYPERLINK("http://exon.niaid.nih.gov/transcriptome/Anopheles_sialome/links/KOG/anoara_D7r5-KOG.txt","Beta-N-acetylhexosaminidase")</f>
        <v>Beta-N-acetylhexosaminidase</v>
      </c>
      <c r="BB389" t="str">
        <f>HYPERLINK("http://www.ncbi.nlm.nih.gov/Structure/cdd/cddsrv.cgi?uid=KOG2499","4.8")</f>
        <v>4.8</v>
      </c>
      <c r="BC389" t="s">
        <v>2308</v>
      </c>
      <c r="BD389" t="str">
        <f>HYPERLINK("http://exon.niaid.nih.gov/transcriptome/Anopheles_sialome/links/KOG/anoara_D7r5-KOG.txt","KOG2499")</f>
        <v>KOG2499</v>
      </c>
      <c r="BE389" t="str">
        <f>HYPERLINK("http://exon.niaid.nih.gov/transcriptome/Anopheles_sialome/links/PFAM/anoara_D7r5-PFAM.txt","PBP_GOBP")</f>
        <v>PBP_GOBP</v>
      </c>
      <c r="BF389" t="str">
        <f>HYPERLINK("http://pfam.sanger.ac.uk/family?acc=PF01395","0.006")</f>
        <v>0.006</v>
      </c>
      <c r="BG389" s="2" t="str">
        <f>HYPERLINK("http://exon.niaid.nih.gov/transcriptome/Anopheles_sialome/links/SMART/anoara_D7r5-SMART.txt","PhBP")</f>
        <v>PhBP</v>
      </c>
      <c r="BH389" t="str">
        <f>HYPERLINK("http://smart.embl-heidelberg.de/smart/do_annotation.pl?DOMAIN=PhBP&amp;BLAST=DUMMY","0.27")</f>
        <v>0.27</v>
      </c>
      <c r="BI389" t="s">
        <v>128</v>
      </c>
      <c r="BJ389" s="2" t="s">
        <v>128</v>
      </c>
      <c r="BK389" t="s">
        <v>1104</v>
      </c>
      <c r="BL389">
        <f>HYPERLINK("http://exon.niaid.nih.gov/transcriptome/Anopheles_sialome/links/cluster-b/anopheline-sialome-cds-pep-larger-orf25-50SimCLU2.txt", 2)</f>
        <v>2</v>
      </c>
      <c r="BM389">
        <f>HYPERLINK("http://exon.niaid.nih.gov/transcriptome/Anopheles_sialome/links/cluster-b/anopheline-sialome-cds-pep-larger-orf25-50SimCLTL2.txt", 120)</f>
        <v>120</v>
      </c>
      <c r="BN389">
        <f>HYPERLINK("http://exon.niaid.nih.gov/transcriptome/Anopheles_sialome/links/cluster-b/anopheline-sialome-cds-pep-larger-orf30-50SimCLU2.txt", 2)</f>
        <v>2</v>
      </c>
      <c r="BO389">
        <f>HYPERLINK("http://exon.niaid.nih.gov/transcriptome/Anopheles_sialome/links/cluster-b/anopheline-sialome-cds-pep-larger-orf30-50SimCLTL2.txt", 120)</f>
        <v>120</v>
      </c>
      <c r="BP389">
        <f>HYPERLINK("http://exon.niaid.nih.gov/transcriptome/Anopheles_sialome/links/cluster-b/anopheline-sialome-cds-pep-larger-orf35-50SimCLU1.txt", 1)</f>
        <v>1</v>
      </c>
      <c r="BQ389">
        <f>HYPERLINK("http://exon.niaid.nih.gov/transcriptome/Anopheles_sialome/links/cluster-b/anopheline-sialome-cds-pep-larger-orf35-50SimCLTL1.txt", 120)</f>
        <v>120</v>
      </c>
      <c r="BR389">
        <f>HYPERLINK("http://exon.niaid.nih.gov/transcriptome/Anopheles_sialome/links/cluster-b/anopheline-sialome-cds-pep-larger-orf40-50SimCLU2.txt", 2)</f>
        <v>2</v>
      </c>
      <c r="BS389">
        <f>HYPERLINK("http://exon.niaid.nih.gov/transcriptome/Anopheles_sialome/links/cluster-b/anopheline-sialome-cds-pep-larger-orf40-50SimCLTL2.txt", 83)</f>
        <v>83</v>
      </c>
      <c r="BT389">
        <f>HYPERLINK("http://exon.niaid.nih.gov/transcriptome/Anopheles_sialome/links/cluster-b/anopheline-sialome-cds-pep-larger-orf45-50SimCLU1.txt", 1)</f>
        <v>1</v>
      </c>
      <c r="BU389">
        <f>HYPERLINK("http://exon.niaid.nih.gov/transcriptome/Anopheles_sialome/links/cluster-b/anopheline-sialome-cds-pep-larger-orf45-50SimCLTL1.txt", 83)</f>
        <v>83</v>
      </c>
      <c r="BV389">
        <f>HYPERLINK("http://exon.niaid.nih.gov/transcriptome/Anopheles_sialome/links/cluster-b/anopheline-sialome-cds-pep-larger-orf50-50SimCLU1.txt", 1)</f>
        <v>1</v>
      </c>
      <c r="BW389">
        <f>HYPERLINK("http://exon.niaid.nih.gov/transcriptome/Anopheles_sialome/links/cluster-b/anopheline-sialome-cds-pep-larger-orf50-50SimCLTL1.txt", 83)</f>
        <v>83</v>
      </c>
      <c r="BX389">
        <f>HYPERLINK("http://exon.niaid.nih.gov/transcriptome/Anopheles_sialome/links/cluster-b/anopheline-sialome-cds-pep-larger-orf55-50SimCLU1.txt", 1)</f>
        <v>1</v>
      </c>
      <c r="BY389">
        <f>HYPERLINK("http://exon.niaid.nih.gov/transcriptome/Anopheles_sialome/links/cluster-b/anopheline-sialome-cds-pep-larger-orf55-50SimCLTL1.txt", 79)</f>
        <v>79</v>
      </c>
      <c r="BZ389">
        <f>HYPERLINK("http://exon.niaid.nih.gov/transcriptome/Anopheles_sialome/links/cluster-b/anopheline-sialome-cds-pep-larger-orf60-50SimCLU12.txt", 12)</f>
        <v>12</v>
      </c>
      <c r="CA389">
        <f>HYPERLINK("http://exon.niaid.nih.gov/transcriptome/Anopheles_sialome/links/cluster-b/anopheline-sialome-cds-pep-larger-orf60-50SimCLTL12.txt", 19)</f>
        <v>19</v>
      </c>
      <c r="CB389">
        <f>HYPERLINK("http://exon.niaid.nih.gov/transcriptome/Anopheles_sialome/links/cluster-b/anopheline-sialome-cds-pep-larger-orf65-50SimCLU9.txt", 9)</f>
        <v>9</v>
      </c>
      <c r="CC389">
        <f>HYPERLINK("http://exon.niaid.nih.gov/transcriptome/Anopheles_sialome/links/cluster-b/anopheline-sialome-cds-pep-larger-orf65-50SimCLTL9.txt", 19)</f>
        <v>19</v>
      </c>
      <c r="CD389">
        <f>HYPERLINK("http://exon.niaid.nih.gov/transcriptome/Anopheles_sialome/links/cluster-b/anopheline-sialome-cds-pep-larger-orf70-50SimCLU9.txt", 9)</f>
        <v>9</v>
      </c>
      <c r="CE389">
        <f>HYPERLINK("http://exon.niaid.nih.gov/transcriptome/Anopheles_sialome/links/cluster-b/anopheline-sialome-cds-pep-larger-orf70-50SimCLTL9.txt", 19)</f>
        <v>19</v>
      </c>
      <c r="CF389">
        <f>HYPERLINK("http://exon.niaid.nih.gov/transcriptome/Anopheles_sialome/links/cluster-b/anopheline-sialome-cds-pep-larger-orf75-50SimCLU6.txt", 6)</f>
        <v>6</v>
      </c>
      <c r="CG389">
        <f>HYPERLINK("http://exon.niaid.nih.gov/transcriptome/Anopheles_sialome/links/cluster-b/anopheline-sialome-cds-pep-larger-orf75-50SimCLTL6.txt", 19)</f>
        <v>19</v>
      </c>
      <c r="CH389">
        <f>HYPERLINK("http://exon.niaid.nih.gov/transcriptome/Anopheles_sialome/links/cluster-b/anopheline-sialome-cds-pep-larger-orf80-50SimCLU12.txt", 12)</f>
        <v>12</v>
      </c>
      <c r="CI389">
        <f>HYPERLINK("http://exon.niaid.nih.gov/transcriptome/Anopheles_sialome/links/cluster-b/anopheline-sialome-cds-pep-larger-orf80-50SimCLTL12.txt", 15)</f>
        <v>15</v>
      </c>
      <c r="CJ389">
        <f>HYPERLINK("http://exon.niaid.nih.gov/transcriptome/Anopheles_sialome/links/cluster-b/anopheline-sialome-cds-pep-larger-orf85-50SimCLU16.txt", 16)</f>
        <v>16</v>
      </c>
      <c r="CK389">
        <f>HYPERLINK("http://exon.niaid.nih.gov/transcriptome/Anopheles_sialome/links/cluster-b/anopheline-sialome-cds-pep-larger-orf85-50SimCLTL16.txt", 11)</f>
        <v>11</v>
      </c>
      <c r="CL389">
        <f>HYPERLINK("http://exon.niaid.nih.gov/transcriptome/Anopheles_sialome/links/cluster-b/anopheline-sialome-cds-pep-larger-orf90-50SimCLU20.txt", 20)</f>
        <v>20</v>
      </c>
      <c r="CM389">
        <f>HYPERLINK("http://exon.niaid.nih.gov/transcriptome/Anopheles_sialome/links/cluster-b/anopheline-sialome-cds-pep-larger-orf90-50SimCLTL20.txt", 6)</f>
        <v>6</v>
      </c>
      <c r="CN389">
        <f>HYPERLINK("http://exon.niaid.nih.gov/transcriptome/Anopheles_sialome/links/cluster-b/anopheline-sialome-cds-pep-larger-orf95-50SimCLU12.txt", 12)</f>
        <v>12</v>
      </c>
      <c r="CO389">
        <f>HYPERLINK("http://exon.niaid.nih.gov/transcriptome/Anopheles_sialome/links/cluster-b/anopheline-sialome-cds-pep-larger-orf95-50SimCLTL12.txt", 6)</f>
        <v>6</v>
      </c>
    </row>
    <row r="390" spans="1:93">
      <c r="A390" s="2" t="str">
        <f>HYPERLINK("http://exon.niaid.nih.gov/transcriptome/Anopheles_sialome/links/cds/anoqua_D7r5-cds.txt","anoqua_D7r5")</f>
        <v>anoqua_D7r5</v>
      </c>
      <c r="B390">
        <v>510</v>
      </c>
      <c r="C390" t="s">
        <v>150</v>
      </c>
      <c r="D390" t="s">
        <v>7</v>
      </c>
      <c r="E390" t="s">
        <v>5</v>
      </c>
      <c r="F390" t="s">
        <v>1</v>
      </c>
      <c r="G390" t="str">
        <f>HYPERLINK("http://exon.niaid.nih.gov/transcriptome/Anopheles_sialome/links/pep/anoqua_D7r5-pep.txt","anoqua_D7r5")</f>
        <v>anoqua_D7r5</v>
      </c>
      <c r="H390">
        <v>169</v>
      </c>
      <c r="I390">
        <v>0</v>
      </c>
      <c r="J390" s="3" t="str">
        <f>HYPERLINK("http://exon.niaid.nih.gov/transcriptome/Anopheles_sialome/links/Sigp/anoqua_D7r5-SigP.txt","SIG")</f>
        <v>SIG</v>
      </c>
      <c r="K390" t="s">
        <v>715</v>
      </c>
      <c r="L390">
        <v>19.245000000000001</v>
      </c>
      <c r="M390">
        <v>6.15</v>
      </c>
      <c r="N390">
        <v>16.385000000000002</v>
      </c>
      <c r="O390">
        <v>6.17</v>
      </c>
      <c r="P390" t="s">
        <v>1106</v>
      </c>
      <c r="Q390" s="3">
        <v>0</v>
      </c>
      <c r="R390" t="s">
        <v>128</v>
      </c>
      <c r="S390" t="s">
        <v>128</v>
      </c>
      <c r="T390" t="s">
        <v>128</v>
      </c>
      <c r="U390" t="s">
        <v>128</v>
      </c>
      <c r="V390" t="s">
        <v>128</v>
      </c>
      <c r="W390" s="3" t="str">
        <f>HYPERLINK("http://exon.niaid.nih.gov/transcriptome/Anopheles_sialome/links/netoglyc/anoqua_D7r5-netoglyc.txt","0")</f>
        <v>0</v>
      </c>
      <c r="X390">
        <v>13</v>
      </c>
      <c r="Y390">
        <v>4.0999999999999996</v>
      </c>
      <c r="Z390">
        <v>1.8</v>
      </c>
      <c r="AA390" t="s">
        <v>654</v>
      </c>
      <c r="AB390" t="s">
        <v>128</v>
      </c>
      <c r="AC390" s="2" t="str">
        <f>HYPERLINK("http://exon.niaid.nih.gov/transcriptome/Anopheles_sialome/links/DIPTERA/anoqua_D7r5-DIPTERA.txt","AGAP008280-PA")</f>
        <v>AGAP008280-PA</v>
      </c>
      <c r="AD390" t="str">
        <f>HYPERLINK("http://www.ncbi.nlm.nih.gov/sutils/blink.cgi?pid=30175327","4E-087")</f>
        <v>4E-087</v>
      </c>
      <c r="AE390" t="str">
        <f t="shared" si="147"/>
        <v>gi|30175327</v>
      </c>
      <c r="AF390">
        <v>97</v>
      </c>
      <c r="AG390">
        <v>97</v>
      </c>
      <c r="AH390">
        <v>101</v>
      </c>
      <c r="AI390" t="s">
        <v>2285</v>
      </c>
      <c r="AJ390" s="2" t="str">
        <f>HYPERLINK("http://exon.niaid.nih.gov/transcriptome/Anopheles_sialome/links/CULICOMORPHA/anoqua_D7r5-CULICOMORPHA.txt","AGAP008280-PA")</f>
        <v>AGAP008280-PA</v>
      </c>
      <c r="AK390" t="str">
        <f>HYPERLINK("http://www.ncbi.nlm.nih.gov/sutils/blink.cgi?pid=30175327","7E-088")</f>
        <v>7E-088</v>
      </c>
      <c r="AL390" t="str">
        <f t="shared" si="148"/>
        <v>gi|30175327</v>
      </c>
      <c r="AM390">
        <v>97</v>
      </c>
      <c r="AN390">
        <v>97</v>
      </c>
      <c r="AO390">
        <v>101</v>
      </c>
      <c r="AP390" t="s">
        <v>2285</v>
      </c>
      <c r="AQ390" s="2" t="str">
        <f>HYPERLINK("http://exon.niaid.nih.gov/transcriptome/Anopheles_sialome/links/NR-LIGHT/anoqua_D7r5-NR-LIGHT.txt","AGAP008280-PA")</f>
        <v>AGAP008280-PA</v>
      </c>
      <c r="AR390" t="str">
        <f>HYPERLINK("http://www.ncbi.nlm.nih.gov/sutils/blink.cgi?pid=31222512","8E-087")</f>
        <v>8E-087</v>
      </c>
      <c r="AS390" t="str">
        <f t="shared" si="149"/>
        <v>gi|31222512</v>
      </c>
      <c r="AT390">
        <v>97</v>
      </c>
      <c r="AU390">
        <v>97</v>
      </c>
      <c r="AV390">
        <v>101</v>
      </c>
      <c r="AW390" t="s">
        <v>2285</v>
      </c>
      <c r="AX390" s="2" t="str">
        <f>HYPERLINK("http://exon.niaid.nih.gov/transcriptome/Anopheles_sialome/links/CDD/anoqua_D7r5-CDD.txt","PBP_GOBP")</f>
        <v>PBP_GOBP</v>
      </c>
      <c r="AY390" t="str">
        <f>HYPERLINK("http://www.ncbi.nlm.nih.gov/Structure/cdd/cddsrv.cgi?uid=pfam01395&amp;version=v4.0","0.002")</f>
        <v>0.002</v>
      </c>
      <c r="AZ390" t="s">
        <v>2532</v>
      </c>
      <c r="BA390" s="2" t="str">
        <f>HYPERLINK("http://exon.niaid.nih.gov/transcriptome/Anopheles_sialome/links/KOG/anoqua_D7r5-KOG.txt","Mitochondrial/chloroplast DNA-directed RNA polymerase RPO41, provides primers for DNA replication-initiation")</f>
        <v>Mitochondrial/chloroplast DNA-directed RNA polymerase RPO41, provides primers for DNA replication-initiation</v>
      </c>
      <c r="BB390" t="str">
        <f>HYPERLINK("http://www.ncbi.nlm.nih.gov/Structure/cdd/cddsrv.cgi?uid=KOG1038","1.2")</f>
        <v>1.2</v>
      </c>
      <c r="BC390" t="s">
        <v>2533</v>
      </c>
      <c r="BD390" t="str">
        <f>HYPERLINK("http://exon.niaid.nih.gov/transcriptome/Anopheles_sialome/links/KOG/anoqua_D7r5-KOG.txt","KOG1038")</f>
        <v>KOG1038</v>
      </c>
      <c r="BE390" t="str">
        <f>HYPERLINK("http://exon.niaid.nih.gov/transcriptome/Anopheles_sialome/links/PFAM/anoqua_D7r5-PFAM.txt","PBP_GOBP")</f>
        <v>PBP_GOBP</v>
      </c>
      <c r="BF390" t="str">
        <f>HYPERLINK("http://pfam.sanger.ac.uk/family?acc=PF01395","5E-004")</f>
        <v>5E-004</v>
      </c>
      <c r="BG390" s="2" t="str">
        <f>HYPERLINK("http://exon.niaid.nih.gov/transcriptome/Anopheles_sialome/links/SMART/anoqua_D7r5-SMART.txt","PhBP")</f>
        <v>PhBP</v>
      </c>
      <c r="BH390" t="str">
        <f>HYPERLINK("http://smart.embl-heidelberg.de/smart/do_annotation.pl?DOMAIN=PhBP&amp;BLAST=DUMMY","0.13")</f>
        <v>0.13</v>
      </c>
      <c r="BI390" t="s">
        <v>128</v>
      </c>
      <c r="BJ390" s="2" t="s">
        <v>128</v>
      </c>
      <c r="BK390" t="s">
        <v>1105</v>
      </c>
      <c r="BL390">
        <f>HYPERLINK("http://exon.niaid.nih.gov/transcriptome/Anopheles_sialome/links/cluster-b/anopheline-sialome-cds-pep-larger-orf25-50SimCLU2.txt", 2)</f>
        <v>2</v>
      </c>
      <c r="BM390">
        <f>HYPERLINK("http://exon.niaid.nih.gov/transcriptome/Anopheles_sialome/links/cluster-b/anopheline-sialome-cds-pep-larger-orf25-50SimCLTL2.txt", 120)</f>
        <v>120</v>
      </c>
      <c r="BN390">
        <f>HYPERLINK("http://exon.niaid.nih.gov/transcriptome/Anopheles_sialome/links/cluster-b/anopheline-sialome-cds-pep-larger-orf30-50SimCLU2.txt", 2)</f>
        <v>2</v>
      </c>
      <c r="BO390">
        <f>HYPERLINK("http://exon.niaid.nih.gov/transcriptome/Anopheles_sialome/links/cluster-b/anopheline-sialome-cds-pep-larger-orf30-50SimCLTL2.txt", 120)</f>
        <v>120</v>
      </c>
      <c r="BP390">
        <f>HYPERLINK("http://exon.niaid.nih.gov/transcriptome/Anopheles_sialome/links/cluster-b/anopheline-sialome-cds-pep-larger-orf35-50SimCLU1.txt", 1)</f>
        <v>1</v>
      </c>
      <c r="BQ390">
        <f>HYPERLINK("http://exon.niaid.nih.gov/transcriptome/Anopheles_sialome/links/cluster-b/anopheline-sialome-cds-pep-larger-orf35-50SimCLTL1.txt", 120)</f>
        <v>120</v>
      </c>
      <c r="BR390">
        <f>HYPERLINK("http://exon.niaid.nih.gov/transcriptome/Anopheles_sialome/links/cluster-b/anopheline-sialome-cds-pep-larger-orf40-50SimCLU2.txt", 2)</f>
        <v>2</v>
      </c>
      <c r="BS390">
        <f>HYPERLINK("http://exon.niaid.nih.gov/transcriptome/Anopheles_sialome/links/cluster-b/anopheline-sialome-cds-pep-larger-orf40-50SimCLTL2.txt", 83)</f>
        <v>83</v>
      </c>
      <c r="BT390">
        <f>HYPERLINK("http://exon.niaid.nih.gov/transcriptome/Anopheles_sialome/links/cluster-b/anopheline-sialome-cds-pep-larger-orf45-50SimCLU1.txt", 1)</f>
        <v>1</v>
      </c>
      <c r="BU390">
        <f>HYPERLINK("http://exon.niaid.nih.gov/transcriptome/Anopheles_sialome/links/cluster-b/anopheline-sialome-cds-pep-larger-orf45-50SimCLTL1.txt", 83)</f>
        <v>83</v>
      </c>
      <c r="BV390">
        <f>HYPERLINK("http://exon.niaid.nih.gov/transcriptome/Anopheles_sialome/links/cluster-b/anopheline-sialome-cds-pep-larger-orf50-50SimCLU1.txt", 1)</f>
        <v>1</v>
      </c>
      <c r="BW390">
        <f>HYPERLINK("http://exon.niaid.nih.gov/transcriptome/Anopheles_sialome/links/cluster-b/anopheline-sialome-cds-pep-larger-orf50-50SimCLTL1.txt", 83)</f>
        <v>83</v>
      </c>
      <c r="BX390">
        <f>HYPERLINK("http://exon.niaid.nih.gov/transcriptome/Anopheles_sialome/links/cluster-b/anopheline-sialome-cds-pep-larger-orf55-50SimCLU1.txt", 1)</f>
        <v>1</v>
      </c>
      <c r="BY390">
        <f>HYPERLINK("http://exon.niaid.nih.gov/transcriptome/Anopheles_sialome/links/cluster-b/anopheline-sialome-cds-pep-larger-orf55-50SimCLTL1.txt", 79)</f>
        <v>79</v>
      </c>
      <c r="BZ390">
        <f>HYPERLINK("http://exon.niaid.nih.gov/transcriptome/Anopheles_sialome/links/cluster-b/anopheline-sialome-cds-pep-larger-orf60-50SimCLU12.txt", 12)</f>
        <v>12</v>
      </c>
      <c r="CA390">
        <f>HYPERLINK("http://exon.niaid.nih.gov/transcriptome/Anopheles_sialome/links/cluster-b/anopheline-sialome-cds-pep-larger-orf60-50SimCLTL12.txt", 19)</f>
        <v>19</v>
      </c>
      <c r="CB390">
        <f>HYPERLINK("http://exon.niaid.nih.gov/transcriptome/Anopheles_sialome/links/cluster-b/anopheline-sialome-cds-pep-larger-orf65-50SimCLU9.txt", 9)</f>
        <v>9</v>
      </c>
      <c r="CC390">
        <f>HYPERLINK("http://exon.niaid.nih.gov/transcriptome/Anopheles_sialome/links/cluster-b/anopheline-sialome-cds-pep-larger-orf65-50SimCLTL9.txt", 19)</f>
        <v>19</v>
      </c>
      <c r="CD390">
        <f>HYPERLINK("http://exon.niaid.nih.gov/transcriptome/Anopheles_sialome/links/cluster-b/anopheline-sialome-cds-pep-larger-orf70-50SimCLU9.txt", 9)</f>
        <v>9</v>
      </c>
      <c r="CE390">
        <f>HYPERLINK("http://exon.niaid.nih.gov/transcriptome/Anopheles_sialome/links/cluster-b/anopheline-sialome-cds-pep-larger-orf70-50SimCLTL9.txt", 19)</f>
        <v>19</v>
      </c>
      <c r="CF390">
        <f>HYPERLINK("http://exon.niaid.nih.gov/transcriptome/Anopheles_sialome/links/cluster-b/anopheline-sialome-cds-pep-larger-orf75-50SimCLU6.txt", 6)</f>
        <v>6</v>
      </c>
      <c r="CG390">
        <f>HYPERLINK("http://exon.niaid.nih.gov/transcriptome/Anopheles_sialome/links/cluster-b/anopheline-sialome-cds-pep-larger-orf75-50SimCLTL6.txt", 19)</f>
        <v>19</v>
      </c>
      <c r="CH390">
        <f>HYPERLINK("http://exon.niaid.nih.gov/transcriptome/Anopheles_sialome/links/cluster-b/anopheline-sialome-cds-pep-larger-orf80-50SimCLU12.txt", 12)</f>
        <v>12</v>
      </c>
      <c r="CI390">
        <f>HYPERLINK("http://exon.niaid.nih.gov/transcriptome/Anopheles_sialome/links/cluster-b/anopheline-sialome-cds-pep-larger-orf80-50SimCLTL12.txt", 15)</f>
        <v>15</v>
      </c>
      <c r="CJ390">
        <f>HYPERLINK("http://exon.niaid.nih.gov/transcriptome/Anopheles_sialome/links/cluster-b/anopheline-sialome-cds-pep-larger-orf85-50SimCLU16.txt", 16)</f>
        <v>16</v>
      </c>
      <c r="CK390">
        <f>HYPERLINK("http://exon.niaid.nih.gov/transcriptome/Anopheles_sialome/links/cluster-b/anopheline-sialome-cds-pep-larger-orf85-50SimCLTL16.txt", 11)</f>
        <v>11</v>
      </c>
      <c r="CL390">
        <f>HYPERLINK("http://exon.niaid.nih.gov/transcriptome/Anopheles_sialome/links/cluster-b/anopheline-sialome-cds-pep-larger-orf90-50SimCLU20.txt", 20)</f>
        <v>20</v>
      </c>
      <c r="CM390">
        <f>HYPERLINK("http://exon.niaid.nih.gov/transcriptome/Anopheles_sialome/links/cluster-b/anopheline-sialome-cds-pep-larger-orf90-50SimCLTL20.txt", 6)</f>
        <v>6</v>
      </c>
      <c r="CN390">
        <f>HYPERLINK("http://exon.niaid.nih.gov/transcriptome/Anopheles_sialome/links/cluster-b/anopheline-sialome-cds-pep-larger-orf95-50SimCLU12.txt", 12)</f>
        <v>12</v>
      </c>
      <c r="CO390">
        <f>HYPERLINK("http://exon.niaid.nih.gov/transcriptome/Anopheles_sialome/links/cluster-b/anopheline-sialome-cds-pep-larger-orf95-50SimCLTL12.txt", 6)</f>
        <v>6</v>
      </c>
    </row>
    <row r="391" spans="1:93">
      <c r="A391" s="2" t="str">
        <f>HYPERLINK("http://exon.niaid.nih.gov/transcriptome/Anopheles_sialome/links/cds/anomer_D7r5-cds.txt","anomer_D7r5")</f>
        <v>anomer_D7r5</v>
      </c>
      <c r="B391">
        <v>507</v>
      </c>
      <c r="C391" t="s">
        <v>181</v>
      </c>
      <c r="D391" t="s">
        <v>4</v>
      </c>
      <c r="E391" t="s">
        <v>5</v>
      </c>
      <c r="F391" t="s">
        <v>1</v>
      </c>
      <c r="G391" t="str">
        <f>HYPERLINK("http://exon.niaid.nih.gov/transcriptome/Anopheles_sialome/links/pep/anomer_D7r5-pep.txt","anomer_D7r5")</f>
        <v>anomer_D7r5</v>
      </c>
      <c r="H391">
        <v>168</v>
      </c>
      <c r="I391">
        <v>0</v>
      </c>
      <c r="J391" s="3" t="str">
        <f>HYPERLINK("http://exon.niaid.nih.gov/transcriptome/Anopheles_sialome/links/Sigp/anomer_D7r5-SigP.txt","SIG")</f>
        <v>SIG</v>
      </c>
      <c r="K391" t="s">
        <v>715</v>
      </c>
      <c r="L391">
        <v>19.204999999999998</v>
      </c>
      <c r="M391">
        <v>6.15</v>
      </c>
      <c r="N391">
        <v>16.256</v>
      </c>
      <c r="O391">
        <v>6.17</v>
      </c>
      <c r="P391" t="s">
        <v>1108</v>
      </c>
      <c r="Q391" s="3" t="str">
        <f>HYPERLINK("http://exon.niaid.nih.gov/transcriptome/Anopheles_sialome/links/tmhmm/anomer_D7r5-tmhmm.txt","1")</f>
        <v>1</v>
      </c>
      <c r="R391">
        <v>11.3</v>
      </c>
      <c r="S391">
        <v>84.5</v>
      </c>
      <c r="T391">
        <v>4.2</v>
      </c>
      <c r="U391" t="s">
        <v>128</v>
      </c>
      <c r="V391">
        <v>142</v>
      </c>
      <c r="W391" s="3" t="str">
        <f>HYPERLINK("http://exon.niaid.nih.gov/transcriptome/Anopheles_sialome/links/netoglyc/anomer_D7r5-netoglyc.txt","0")</f>
        <v>0</v>
      </c>
      <c r="X391">
        <v>13.7</v>
      </c>
      <c r="Y391">
        <v>4.2</v>
      </c>
      <c r="Z391">
        <v>1.8</v>
      </c>
      <c r="AA391" t="s">
        <v>654</v>
      </c>
      <c r="AB391" t="s">
        <v>128</v>
      </c>
      <c r="AC391" s="2" t="str">
        <f>HYPERLINK("http://exon.niaid.nih.gov/transcriptome/Anopheles_sialome/links/DIPTERA/anomer_D7r5-DIPTERA.txt","AGAP008280-PA")</f>
        <v>AGAP008280-PA</v>
      </c>
      <c r="AD391" t="str">
        <f>HYPERLINK("http://www.ncbi.nlm.nih.gov/sutils/blink.cgi?pid=30175327","9E-088")</f>
        <v>9E-088</v>
      </c>
      <c r="AE391" t="str">
        <f t="shared" si="147"/>
        <v>gi|30175327</v>
      </c>
      <c r="AF391">
        <v>97</v>
      </c>
      <c r="AG391">
        <v>97</v>
      </c>
      <c r="AH391">
        <v>101</v>
      </c>
      <c r="AI391" t="s">
        <v>2285</v>
      </c>
      <c r="AJ391" s="2" t="str">
        <f>HYPERLINK("http://exon.niaid.nih.gov/transcriptome/Anopheles_sialome/links/CULICOMORPHA/anomer_D7r5-CULICOMORPHA.txt","AGAP008280-PA")</f>
        <v>AGAP008280-PA</v>
      </c>
      <c r="AK391" t="str">
        <f>HYPERLINK("http://www.ncbi.nlm.nih.gov/sutils/blink.cgi?pid=30175327","2E-088")</f>
        <v>2E-088</v>
      </c>
      <c r="AL391" t="str">
        <f t="shared" si="148"/>
        <v>gi|30175327</v>
      </c>
      <c r="AM391">
        <v>97</v>
      </c>
      <c r="AN391">
        <v>97</v>
      </c>
      <c r="AO391">
        <v>101</v>
      </c>
      <c r="AP391" t="s">
        <v>2285</v>
      </c>
      <c r="AQ391" s="2" t="str">
        <f>HYPERLINK("http://exon.niaid.nih.gov/transcriptome/Anopheles_sialome/links/NR-LIGHT/anomer_D7r5-NR-LIGHT.txt","AGAP008280-PA")</f>
        <v>AGAP008280-PA</v>
      </c>
      <c r="AR391" t="str">
        <f>HYPERLINK("http://www.ncbi.nlm.nih.gov/sutils/blink.cgi?pid=31222512","2E-087")</f>
        <v>2E-087</v>
      </c>
      <c r="AS391" t="str">
        <f t="shared" si="149"/>
        <v>gi|31222512</v>
      </c>
      <c r="AT391">
        <v>97</v>
      </c>
      <c r="AU391">
        <v>97</v>
      </c>
      <c r="AV391">
        <v>101</v>
      </c>
      <c r="AW391" t="s">
        <v>2285</v>
      </c>
      <c r="AX391" s="2" t="str">
        <f>HYPERLINK("http://exon.niaid.nih.gov/transcriptome/Anopheles_sialome/links/CDD/anomer_D7r5-CDD.txt","PBP_GOBP")</f>
        <v>PBP_GOBP</v>
      </c>
      <c r="AY391" t="str">
        <f>HYPERLINK("http://www.ncbi.nlm.nih.gov/Structure/cdd/cddsrv.cgi?uid=pfam01395&amp;version=v4.0","0.004")</f>
        <v>0.004</v>
      </c>
      <c r="AZ391" t="s">
        <v>2534</v>
      </c>
      <c r="BA391" s="2" t="str">
        <f>HYPERLINK("http://exon.niaid.nih.gov/transcriptome/Anopheles_sialome/links/KOG/anomer_D7r5-KOG.txt","Mitochondrial/chloroplast DNA-directed RNA polymerase RPO41, provides primers for DNA replication-initiation")</f>
        <v>Mitochondrial/chloroplast DNA-directed RNA polymerase RPO41, provides primers for DNA replication-initiation</v>
      </c>
      <c r="BB391" t="str">
        <f>HYPERLINK("http://www.ncbi.nlm.nih.gov/Structure/cdd/cddsrv.cgi?uid=KOG1038","1.1")</f>
        <v>1.1</v>
      </c>
      <c r="BC391" t="s">
        <v>2533</v>
      </c>
      <c r="BD391" t="str">
        <f>HYPERLINK("http://exon.niaid.nih.gov/transcriptome/Anopheles_sialome/links/KOG/anomer_D7r5-KOG.txt","KOG1038")</f>
        <v>KOG1038</v>
      </c>
      <c r="BE391" t="str">
        <f>HYPERLINK("http://exon.niaid.nih.gov/transcriptome/Anopheles_sialome/links/PFAM/anomer_D7r5-PFAM.txt","PBP_GOBP")</f>
        <v>PBP_GOBP</v>
      </c>
      <c r="BF391" t="str">
        <f>HYPERLINK("http://pfam.sanger.ac.uk/family?acc=PF01395","8E-004")</f>
        <v>8E-004</v>
      </c>
      <c r="BG391" s="2" t="str">
        <f>HYPERLINK("http://exon.niaid.nih.gov/transcriptome/Anopheles_sialome/links/SMART/anomer_D7r5-SMART.txt","PhBP")</f>
        <v>PhBP</v>
      </c>
      <c r="BH391" t="str">
        <f>HYPERLINK("http://smart.embl-heidelberg.de/smart/do_annotation.pl?DOMAIN=PhBP&amp;BLAST=DUMMY","0.11")</f>
        <v>0.11</v>
      </c>
      <c r="BI391" t="s">
        <v>128</v>
      </c>
      <c r="BJ391" s="2" t="s">
        <v>128</v>
      </c>
      <c r="BK391" t="s">
        <v>1107</v>
      </c>
      <c r="BL391">
        <f>HYPERLINK("http://exon.niaid.nih.gov/transcriptome/Anopheles_sialome/links/cluster-b/anopheline-sialome-cds-pep-larger-orf25-50SimCLU2.txt", 2)</f>
        <v>2</v>
      </c>
      <c r="BM391">
        <f>HYPERLINK("http://exon.niaid.nih.gov/transcriptome/Anopheles_sialome/links/cluster-b/anopheline-sialome-cds-pep-larger-orf25-50SimCLTL2.txt", 120)</f>
        <v>120</v>
      </c>
      <c r="BN391">
        <f>HYPERLINK("http://exon.niaid.nih.gov/transcriptome/Anopheles_sialome/links/cluster-b/anopheline-sialome-cds-pep-larger-orf30-50SimCLU2.txt", 2)</f>
        <v>2</v>
      </c>
      <c r="BO391">
        <f>HYPERLINK("http://exon.niaid.nih.gov/transcriptome/Anopheles_sialome/links/cluster-b/anopheline-sialome-cds-pep-larger-orf30-50SimCLTL2.txt", 120)</f>
        <v>120</v>
      </c>
      <c r="BP391">
        <f>HYPERLINK("http://exon.niaid.nih.gov/transcriptome/Anopheles_sialome/links/cluster-b/anopheline-sialome-cds-pep-larger-orf35-50SimCLU1.txt", 1)</f>
        <v>1</v>
      </c>
      <c r="BQ391">
        <f>HYPERLINK("http://exon.niaid.nih.gov/transcriptome/Anopheles_sialome/links/cluster-b/anopheline-sialome-cds-pep-larger-orf35-50SimCLTL1.txt", 120)</f>
        <v>120</v>
      </c>
      <c r="BR391">
        <f>HYPERLINK("http://exon.niaid.nih.gov/transcriptome/Anopheles_sialome/links/cluster-b/anopheline-sialome-cds-pep-larger-orf40-50SimCLU2.txt", 2)</f>
        <v>2</v>
      </c>
      <c r="BS391">
        <f>HYPERLINK("http://exon.niaid.nih.gov/transcriptome/Anopheles_sialome/links/cluster-b/anopheline-sialome-cds-pep-larger-orf40-50SimCLTL2.txt", 83)</f>
        <v>83</v>
      </c>
      <c r="BT391">
        <f>HYPERLINK("http://exon.niaid.nih.gov/transcriptome/Anopheles_sialome/links/cluster-b/anopheline-sialome-cds-pep-larger-orf45-50SimCLU1.txt", 1)</f>
        <v>1</v>
      </c>
      <c r="BU391">
        <f>HYPERLINK("http://exon.niaid.nih.gov/transcriptome/Anopheles_sialome/links/cluster-b/anopheline-sialome-cds-pep-larger-orf45-50SimCLTL1.txt", 83)</f>
        <v>83</v>
      </c>
      <c r="BV391">
        <f>HYPERLINK("http://exon.niaid.nih.gov/transcriptome/Anopheles_sialome/links/cluster-b/anopheline-sialome-cds-pep-larger-orf50-50SimCLU1.txt", 1)</f>
        <v>1</v>
      </c>
      <c r="BW391">
        <f>HYPERLINK("http://exon.niaid.nih.gov/transcriptome/Anopheles_sialome/links/cluster-b/anopheline-sialome-cds-pep-larger-orf50-50SimCLTL1.txt", 83)</f>
        <v>83</v>
      </c>
      <c r="BX391">
        <f>HYPERLINK("http://exon.niaid.nih.gov/transcriptome/Anopheles_sialome/links/cluster-b/anopheline-sialome-cds-pep-larger-orf55-50SimCLU1.txt", 1)</f>
        <v>1</v>
      </c>
      <c r="BY391">
        <f>HYPERLINK("http://exon.niaid.nih.gov/transcriptome/Anopheles_sialome/links/cluster-b/anopheline-sialome-cds-pep-larger-orf55-50SimCLTL1.txt", 79)</f>
        <v>79</v>
      </c>
      <c r="BZ391">
        <f>HYPERLINK("http://exon.niaid.nih.gov/transcriptome/Anopheles_sialome/links/cluster-b/anopheline-sialome-cds-pep-larger-orf60-50SimCLU12.txt", 12)</f>
        <v>12</v>
      </c>
      <c r="CA391">
        <f>HYPERLINK("http://exon.niaid.nih.gov/transcriptome/Anopheles_sialome/links/cluster-b/anopheline-sialome-cds-pep-larger-orf60-50SimCLTL12.txt", 19)</f>
        <v>19</v>
      </c>
      <c r="CB391">
        <f>HYPERLINK("http://exon.niaid.nih.gov/transcriptome/Anopheles_sialome/links/cluster-b/anopheline-sialome-cds-pep-larger-orf65-50SimCLU9.txt", 9)</f>
        <v>9</v>
      </c>
      <c r="CC391">
        <f>HYPERLINK("http://exon.niaid.nih.gov/transcriptome/Anopheles_sialome/links/cluster-b/anopheline-sialome-cds-pep-larger-orf65-50SimCLTL9.txt", 19)</f>
        <v>19</v>
      </c>
      <c r="CD391">
        <f>HYPERLINK("http://exon.niaid.nih.gov/transcriptome/Anopheles_sialome/links/cluster-b/anopheline-sialome-cds-pep-larger-orf70-50SimCLU9.txt", 9)</f>
        <v>9</v>
      </c>
      <c r="CE391">
        <f>HYPERLINK("http://exon.niaid.nih.gov/transcriptome/Anopheles_sialome/links/cluster-b/anopheline-sialome-cds-pep-larger-orf70-50SimCLTL9.txt", 19)</f>
        <v>19</v>
      </c>
      <c r="CF391">
        <f>HYPERLINK("http://exon.niaid.nih.gov/transcriptome/Anopheles_sialome/links/cluster-b/anopheline-sialome-cds-pep-larger-orf75-50SimCLU6.txt", 6)</f>
        <v>6</v>
      </c>
      <c r="CG391">
        <f>HYPERLINK("http://exon.niaid.nih.gov/transcriptome/Anopheles_sialome/links/cluster-b/anopheline-sialome-cds-pep-larger-orf75-50SimCLTL6.txt", 19)</f>
        <v>19</v>
      </c>
      <c r="CH391">
        <f>HYPERLINK("http://exon.niaid.nih.gov/transcriptome/Anopheles_sialome/links/cluster-b/anopheline-sialome-cds-pep-larger-orf80-50SimCLU12.txt", 12)</f>
        <v>12</v>
      </c>
      <c r="CI391">
        <f>HYPERLINK("http://exon.niaid.nih.gov/transcriptome/Anopheles_sialome/links/cluster-b/anopheline-sialome-cds-pep-larger-orf80-50SimCLTL12.txt", 15)</f>
        <v>15</v>
      </c>
      <c r="CJ391">
        <f>HYPERLINK("http://exon.niaid.nih.gov/transcriptome/Anopheles_sialome/links/cluster-b/anopheline-sialome-cds-pep-larger-orf85-50SimCLU16.txt", 16)</f>
        <v>16</v>
      </c>
      <c r="CK391">
        <f>HYPERLINK("http://exon.niaid.nih.gov/transcriptome/Anopheles_sialome/links/cluster-b/anopheline-sialome-cds-pep-larger-orf85-50SimCLTL16.txt", 11)</f>
        <v>11</v>
      </c>
      <c r="CL391">
        <f>HYPERLINK("http://exon.niaid.nih.gov/transcriptome/Anopheles_sialome/links/cluster-b/anopheline-sialome-cds-pep-larger-orf90-50SimCLU20.txt", 20)</f>
        <v>20</v>
      </c>
      <c r="CM391">
        <f>HYPERLINK("http://exon.niaid.nih.gov/transcriptome/Anopheles_sialome/links/cluster-b/anopheline-sialome-cds-pep-larger-orf90-50SimCLTL20.txt", 6)</f>
        <v>6</v>
      </c>
      <c r="CN391">
        <f>HYPERLINK("http://exon.niaid.nih.gov/transcriptome/Anopheles_sialome/links/cluster-b/anopheline-sialome-cds-pep-larger-orf95-50SimCLU12.txt", 12)</f>
        <v>12</v>
      </c>
      <c r="CO391">
        <f>HYPERLINK("http://exon.niaid.nih.gov/transcriptome/Anopheles_sialome/links/cluster-b/anopheline-sialome-cds-pep-larger-orf95-50SimCLTL12.txt", 6)</f>
        <v>6</v>
      </c>
    </row>
    <row r="392" spans="1:93">
      <c r="A392" s="2" t="str">
        <f>HYPERLINK("http://exon.niaid.nih.gov/transcriptome/Anopheles_sialome/links/cds/anomel_D7r5-cds.txt","anomel_D7r5")</f>
        <v>anomel_D7r5</v>
      </c>
      <c r="B392">
        <v>507</v>
      </c>
      <c r="C392" t="s">
        <v>165</v>
      </c>
      <c r="D392" t="s">
        <v>7</v>
      </c>
      <c r="E392" t="s">
        <v>5</v>
      </c>
      <c r="F392" t="s">
        <v>1</v>
      </c>
      <c r="G392" t="str">
        <f>HYPERLINK("http://exon.niaid.nih.gov/transcriptome/Anopheles_sialome/links/pep/anomel_D7r5-pep.txt","anomel_D7r5")</f>
        <v>anomel_D7r5</v>
      </c>
      <c r="H392">
        <v>168</v>
      </c>
      <c r="I392">
        <v>0</v>
      </c>
      <c r="J392" s="3" t="str">
        <f>HYPERLINK("http://exon.niaid.nih.gov/transcriptome/Anopheles_sialome/links/Sigp/anomel_D7r5-SigP.txt","SIG")</f>
        <v>SIG</v>
      </c>
      <c r="K392" t="s">
        <v>715</v>
      </c>
      <c r="L392">
        <v>19.068000000000001</v>
      </c>
      <c r="M392">
        <v>6.73</v>
      </c>
      <c r="N392">
        <v>16.239000000000001</v>
      </c>
      <c r="O392">
        <v>6.17</v>
      </c>
      <c r="P392" t="s">
        <v>1110</v>
      </c>
      <c r="Q392" s="3" t="str">
        <f>HYPERLINK("http://exon.niaid.nih.gov/transcriptome/Anopheles_sialome/links/tmhmm/anomel_D7r5-tmhmm.txt","1")</f>
        <v>1</v>
      </c>
      <c r="R392">
        <v>11.3</v>
      </c>
      <c r="S392">
        <v>84.5</v>
      </c>
      <c r="T392">
        <v>4.2</v>
      </c>
      <c r="U392" t="s">
        <v>128</v>
      </c>
      <c r="V392">
        <v>142</v>
      </c>
      <c r="W392" s="3" t="str">
        <f>HYPERLINK("http://exon.niaid.nih.gov/transcriptome/Anopheles_sialome/links/netoglyc/anomel_D7r5-netoglyc.txt","0")</f>
        <v>0</v>
      </c>
      <c r="X392">
        <v>11.9</v>
      </c>
      <c r="Y392">
        <v>4.2</v>
      </c>
      <c r="Z392">
        <v>2.4</v>
      </c>
      <c r="AA392" t="s">
        <v>654</v>
      </c>
      <c r="AB392" t="s">
        <v>128</v>
      </c>
      <c r="AC392" s="2" t="str">
        <f>HYPERLINK("http://exon.niaid.nih.gov/transcriptome/Anopheles_sialome/links/DIPTERA/anomel_D7r5-DIPTERA.txt","AGAP008280-PA")</f>
        <v>AGAP008280-PA</v>
      </c>
      <c r="AD392" t="str">
        <f>HYPERLINK("http://www.ncbi.nlm.nih.gov/sutils/blink.cgi?pid=30175327","2E-085")</f>
        <v>2E-085</v>
      </c>
      <c r="AE392" t="str">
        <f t="shared" si="147"/>
        <v>gi|30175327</v>
      </c>
      <c r="AF392">
        <v>95</v>
      </c>
      <c r="AG392">
        <v>95</v>
      </c>
      <c r="AH392">
        <v>101</v>
      </c>
      <c r="AI392" t="s">
        <v>2285</v>
      </c>
      <c r="AJ392" s="2" t="str">
        <f>HYPERLINK("http://exon.niaid.nih.gov/transcriptome/Anopheles_sialome/links/CULICOMORPHA/anomel_D7r5-CULICOMORPHA.txt","AGAP008280-PA")</f>
        <v>AGAP008280-PA</v>
      </c>
      <c r="AK392" t="str">
        <f>HYPERLINK("http://www.ncbi.nlm.nih.gov/sutils/blink.cgi?pid=30175327","5E-086")</f>
        <v>5E-086</v>
      </c>
      <c r="AL392" t="str">
        <f t="shared" si="148"/>
        <v>gi|30175327</v>
      </c>
      <c r="AM392">
        <v>95</v>
      </c>
      <c r="AN392">
        <v>95</v>
      </c>
      <c r="AO392">
        <v>101</v>
      </c>
      <c r="AP392" t="s">
        <v>2285</v>
      </c>
      <c r="AQ392" s="2" t="str">
        <f>HYPERLINK("http://exon.niaid.nih.gov/transcriptome/Anopheles_sialome/links/NR-LIGHT/anomel_D7r5-NR-LIGHT.txt","AGAP008280-PA")</f>
        <v>AGAP008280-PA</v>
      </c>
      <c r="AR392" t="str">
        <f>HYPERLINK("http://www.ncbi.nlm.nih.gov/sutils/blink.cgi?pid=31222512","6E-085")</f>
        <v>6E-085</v>
      </c>
      <c r="AS392" t="str">
        <f t="shared" si="149"/>
        <v>gi|31222512</v>
      </c>
      <c r="AT392">
        <v>95</v>
      </c>
      <c r="AU392">
        <v>95</v>
      </c>
      <c r="AV392">
        <v>101</v>
      </c>
      <c r="AW392" t="s">
        <v>2285</v>
      </c>
      <c r="AX392" s="2" t="str">
        <f>HYPERLINK("http://exon.niaid.nih.gov/transcriptome/Anopheles_sialome/links/CDD/anomel_D7r5-CDD.txt","PBP_GOBP")</f>
        <v>PBP_GOBP</v>
      </c>
      <c r="AY392" t="str">
        <f>HYPERLINK("http://www.ncbi.nlm.nih.gov/Structure/cdd/cddsrv.cgi?uid=pfam01395&amp;version=v4.0","0.001")</f>
        <v>0.001</v>
      </c>
      <c r="AZ392" t="s">
        <v>2535</v>
      </c>
      <c r="BA392" s="2" t="str">
        <f>HYPERLINK("http://exon.niaid.nih.gov/transcriptome/Anopheles_sialome/links/KOG/anomel_D7r5-KOG.txt","Mitochondrial/chloroplast DNA-directed RNA polymerase RPO41, provides primers for DNA replication-initiation")</f>
        <v>Mitochondrial/chloroplast DNA-directed RNA polymerase RPO41, provides primers for DNA replication-initiation</v>
      </c>
      <c r="BB392" t="str">
        <f>HYPERLINK("http://www.ncbi.nlm.nih.gov/Structure/cdd/cddsrv.cgi?uid=KOG1038","1.2")</f>
        <v>1.2</v>
      </c>
      <c r="BC392" t="s">
        <v>2533</v>
      </c>
      <c r="BD392" t="str">
        <f>HYPERLINK("http://exon.niaid.nih.gov/transcriptome/Anopheles_sialome/links/KOG/anomel_D7r5-KOG.txt","KOG1038")</f>
        <v>KOG1038</v>
      </c>
      <c r="BE392" t="str">
        <f>HYPERLINK("http://exon.niaid.nih.gov/transcriptome/Anopheles_sialome/links/PFAM/anomel_D7r5-PFAM.txt","PBP_GOBP")</f>
        <v>PBP_GOBP</v>
      </c>
      <c r="BF392" t="str">
        <f>HYPERLINK("http://pfam.sanger.ac.uk/family?acc=PF01395","2E-004")</f>
        <v>2E-004</v>
      </c>
      <c r="BG392" s="2" t="str">
        <f>HYPERLINK("http://exon.niaid.nih.gov/transcriptome/Anopheles_sialome/links/SMART/anomel_D7r5-SMART.txt","PhBP")</f>
        <v>PhBP</v>
      </c>
      <c r="BH392" t="str">
        <f>HYPERLINK("http://smart.embl-heidelberg.de/smart/do_annotation.pl?DOMAIN=PhBP&amp;BLAST=DUMMY","0.077")</f>
        <v>0.077</v>
      </c>
      <c r="BI392" t="s">
        <v>128</v>
      </c>
      <c r="BJ392" s="2" t="s">
        <v>128</v>
      </c>
      <c r="BK392" t="s">
        <v>1109</v>
      </c>
      <c r="BL392">
        <f>HYPERLINK("http://exon.niaid.nih.gov/transcriptome/Anopheles_sialome/links/cluster-b/anopheline-sialome-cds-pep-larger-orf25-50SimCLU2.txt", 2)</f>
        <v>2</v>
      </c>
      <c r="BM392">
        <f>HYPERLINK("http://exon.niaid.nih.gov/transcriptome/Anopheles_sialome/links/cluster-b/anopheline-sialome-cds-pep-larger-orf25-50SimCLTL2.txt", 120)</f>
        <v>120</v>
      </c>
      <c r="BN392">
        <f>HYPERLINK("http://exon.niaid.nih.gov/transcriptome/Anopheles_sialome/links/cluster-b/anopheline-sialome-cds-pep-larger-orf30-50SimCLU2.txt", 2)</f>
        <v>2</v>
      </c>
      <c r="BO392">
        <f>HYPERLINK("http://exon.niaid.nih.gov/transcriptome/Anopheles_sialome/links/cluster-b/anopheline-sialome-cds-pep-larger-orf30-50SimCLTL2.txt", 120)</f>
        <v>120</v>
      </c>
      <c r="BP392">
        <f>HYPERLINK("http://exon.niaid.nih.gov/transcriptome/Anopheles_sialome/links/cluster-b/anopheline-sialome-cds-pep-larger-orf35-50SimCLU1.txt", 1)</f>
        <v>1</v>
      </c>
      <c r="BQ392">
        <f>HYPERLINK("http://exon.niaid.nih.gov/transcriptome/Anopheles_sialome/links/cluster-b/anopheline-sialome-cds-pep-larger-orf35-50SimCLTL1.txt", 120)</f>
        <v>120</v>
      </c>
      <c r="BR392">
        <f>HYPERLINK("http://exon.niaid.nih.gov/transcriptome/Anopheles_sialome/links/cluster-b/anopheline-sialome-cds-pep-larger-orf40-50SimCLU2.txt", 2)</f>
        <v>2</v>
      </c>
      <c r="BS392">
        <f>HYPERLINK("http://exon.niaid.nih.gov/transcriptome/Anopheles_sialome/links/cluster-b/anopheline-sialome-cds-pep-larger-orf40-50SimCLTL2.txt", 83)</f>
        <v>83</v>
      </c>
      <c r="BT392">
        <f>HYPERLINK("http://exon.niaid.nih.gov/transcriptome/Anopheles_sialome/links/cluster-b/anopheline-sialome-cds-pep-larger-orf45-50SimCLU1.txt", 1)</f>
        <v>1</v>
      </c>
      <c r="BU392">
        <f>HYPERLINK("http://exon.niaid.nih.gov/transcriptome/Anopheles_sialome/links/cluster-b/anopheline-sialome-cds-pep-larger-orf45-50SimCLTL1.txt", 83)</f>
        <v>83</v>
      </c>
      <c r="BV392">
        <f>HYPERLINK("http://exon.niaid.nih.gov/transcriptome/Anopheles_sialome/links/cluster-b/anopheline-sialome-cds-pep-larger-orf50-50SimCLU1.txt", 1)</f>
        <v>1</v>
      </c>
      <c r="BW392">
        <f>HYPERLINK("http://exon.niaid.nih.gov/transcriptome/Anopheles_sialome/links/cluster-b/anopheline-sialome-cds-pep-larger-orf50-50SimCLTL1.txt", 83)</f>
        <v>83</v>
      </c>
      <c r="BX392">
        <f>HYPERLINK("http://exon.niaid.nih.gov/transcriptome/Anopheles_sialome/links/cluster-b/anopheline-sialome-cds-pep-larger-orf55-50SimCLU1.txt", 1)</f>
        <v>1</v>
      </c>
      <c r="BY392">
        <f>HYPERLINK("http://exon.niaid.nih.gov/transcriptome/Anopheles_sialome/links/cluster-b/anopheline-sialome-cds-pep-larger-orf55-50SimCLTL1.txt", 79)</f>
        <v>79</v>
      </c>
      <c r="BZ392">
        <f>HYPERLINK("http://exon.niaid.nih.gov/transcriptome/Anopheles_sialome/links/cluster-b/anopheline-sialome-cds-pep-larger-orf60-50SimCLU12.txt", 12)</f>
        <v>12</v>
      </c>
      <c r="CA392">
        <f>HYPERLINK("http://exon.niaid.nih.gov/transcriptome/Anopheles_sialome/links/cluster-b/anopheline-sialome-cds-pep-larger-orf60-50SimCLTL12.txt", 19)</f>
        <v>19</v>
      </c>
      <c r="CB392">
        <f>HYPERLINK("http://exon.niaid.nih.gov/transcriptome/Anopheles_sialome/links/cluster-b/anopheline-sialome-cds-pep-larger-orf65-50SimCLU9.txt", 9)</f>
        <v>9</v>
      </c>
      <c r="CC392">
        <f>HYPERLINK("http://exon.niaid.nih.gov/transcriptome/Anopheles_sialome/links/cluster-b/anopheline-sialome-cds-pep-larger-orf65-50SimCLTL9.txt", 19)</f>
        <v>19</v>
      </c>
      <c r="CD392">
        <f>HYPERLINK("http://exon.niaid.nih.gov/transcriptome/Anopheles_sialome/links/cluster-b/anopheline-sialome-cds-pep-larger-orf70-50SimCLU9.txt", 9)</f>
        <v>9</v>
      </c>
      <c r="CE392">
        <f>HYPERLINK("http://exon.niaid.nih.gov/transcriptome/Anopheles_sialome/links/cluster-b/anopheline-sialome-cds-pep-larger-orf70-50SimCLTL9.txt", 19)</f>
        <v>19</v>
      </c>
      <c r="CF392">
        <f>HYPERLINK("http://exon.niaid.nih.gov/transcriptome/Anopheles_sialome/links/cluster-b/anopheline-sialome-cds-pep-larger-orf75-50SimCLU6.txt", 6)</f>
        <v>6</v>
      </c>
      <c r="CG392">
        <f>HYPERLINK("http://exon.niaid.nih.gov/transcriptome/Anopheles_sialome/links/cluster-b/anopheline-sialome-cds-pep-larger-orf75-50SimCLTL6.txt", 19)</f>
        <v>19</v>
      </c>
      <c r="CH392">
        <f>HYPERLINK("http://exon.niaid.nih.gov/transcriptome/Anopheles_sialome/links/cluster-b/anopheline-sialome-cds-pep-larger-orf80-50SimCLU12.txt", 12)</f>
        <v>12</v>
      </c>
      <c r="CI392">
        <f>HYPERLINK("http://exon.niaid.nih.gov/transcriptome/Anopheles_sialome/links/cluster-b/anopheline-sialome-cds-pep-larger-orf80-50SimCLTL12.txt", 15)</f>
        <v>15</v>
      </c>
      <c r="CJ392">
        <f>HYPERLINK("http://exon.niaid.nih.gov/transcriptome/Anopheles_sialome/links/cluster-b/anopheline-sialome-cds-pep-larger-orf85-50SimCLU16.txt", 16)</f>
        <v>16</v>
      </c>
      <c r="CK392">
        <f>HYPERLINK("http://exon.niaid.nih.gov/transcriptome/Anopheles_sialome/links/cluster-b/anopheline-sialome-cds-pep-larger-orf85-50SimCLTL16.txt", 11)</f>
        <v>11</v>
      </c>
      <c r="CL392">
        <f>HYPERLINK("http://exon.niaid.nih.gov/transcriptome/Anopheles_sialome/links/cluster-b/anopheline-sialome-cds-pep-larger-orf90-50SimCLU20.txt", 20)</f>
        <v>20</v>
      </c>
      <c r="CM392">
        <f>HYPERLINK("http://exon.niaid.nih.gov/transcriptome/Anopheles_sialome/links/cluster-b/anopheline-sialome-cds-pep-larger-orf90-50SimCLTL20.txt", 6)</f>
        <v>6</v>
      </c>
      <c r="CN392">
        <f>HYPERLINK("http://exon.niaid.nih.gov/transcriptome/Anopheles_sialome/links/cluster-b/anopheline-sialome-cds-pep-larger-orf95-50SimCLU12.txt", 12)</f>
        <v>12</v>
      </c>
      <c r="CO392">
        <f>HYPERLINK("http://exon.niaid.nih.gov/transcriptome/Anopheles_sialome/links/cluster-b/anopheline-sialome-cds-pep-larger-orf95-50SimCLTL12.txt", 6)</f>
        <v>6</v>
      </c>
    </row>
    <row r="393" spans="1:93">
      <c r="A393" s="2" t="str">
        <f>HYPERLINK("http://exon.niaid.nih.gov/transcriptome/Anopheles_sialome/links/cds/anochris_D7r5-cds.txt","anochris_D7r5")</f>
        <v>anochris_D7r5</v>
      </c>
      <c r="B393">
        <v>507</v>
      </c>
      <c r="C393" t="s">
        <v>177</v>
      </c>
      <c r="D393" t="s">
        <v>7</v>
      </c>
      <c r="E393" t="s">
        <v>5</v>
      </c>
      <c r="F393" t="s">
        <v>1</v>
      </c>
      <c r="G393" t="str">
        <f>HYPERLINK("http://exon.niaid.nih.gov/transcriptome/Anopheles_sialome/links/pep/anochris_D7r5-pep.txt","anochris_D7r5")</f>
        <v>anochris_D7r5</v>
      </c>
      <c r="H393">
        <v>168</v>
      </c>
      <c r="I393">
        <v>0</v>
      </c>
      <c r="J393" s="3" t="str">
        <f>HYPERLINK("http://exon.niaid.nih.gov/transcriptome/Anopheles_sialome/links/Sigp/anochris_D7r5-SigP.txt","SIG")</f>
        <v>SIG</v>
      </c>
      <c r="K393" t="s">
        <v>715</v>
      </c>
      <c r="L393">
        <v>19.140999999999998</v>
      </c>
      <c r="M393">
        <v>7.53</v>
      </c>
      <c r="N393">
        <v>16.300999999999998</v>
      </c>
      <c r="O393">
        <v>6.49</v>
      </c>
      <c r="P393" t="s">
        <v>1112</v>
      </c>
      <c r="Q393" s="3" t="str">
        <f>HYPERLINK("http://exon.niaid.nih.gov/transcriptome/Anopheles_sialome/links/tmhmm/anochris_D7r5-tmhmm.txt","1")</f>
        <v>1</v>
      </c>
      <c r="R393">
        <v>10.7</v>
      </c>
      <c r="S393">
        <v>85.1</v>
      </c>
      <c r="T393">
        <v>4.2</v>
      </c>
      <c r="U393" t="s">
        <v>128</v>
      </c>
      <c r="V393">
        <v>143</v>
      </c>
      <c r="W393" s="3" t="str">
        <f>HYPERLINK("http://exon.niaid.nih.gov/transcriptome/Anopheles_sialome/links/netoglyc/anochris_D7r5-netoglyc.txt","0")</f>
        <v>0</v>
      </c>
      <c r="X393">
        <v>13.1</v>
      </c>
      <c r="Y393">
        <v>4.2</v>
      </c>
      <c r="Z393">
        <v>0.6</v>
      </c>
      <c r="AA393" t="s">
        <v>654</v>
      </c>
      <c r="AB393" t="s">
        <v>1113</v>
      </c>
      <c r="AC393" s="2" t="str">
        <f>HYPERLINK("http://exon.niaid.nih.gov/transcriptome/Anopheles_sialome/links/DIPTERA/anochris_D7r5-DIPTERA.txt","AGAP008280-PA")</f>
        <v>AGAP008280-PA</v>
      </c>
      <c r="AD393" t="str">
        <f>HYPERLINK("http://www.ncbi.nlm.nih.gov/sutils/blink.cgi?pid=30175327","1E-068")</f>
        <v>1E-068</v>
      </c>
      <c r="AE393" t="str">
        <f t="shared" si="147"/>
        <v>gi|30175327</v>
      </c>
      <c r="AF393">
        <v>76</v>
      </c>
      <c r="AG393">
        <v>87</v>
      </c>
      <c r="AH393">
        <v>101</v>
      </c>
      <c r="AI393" t="s">
        <v>2285</v>
      </c>
      <c r="AJ393" s="2" t="str">
        <f>HYPERLINK("http://exon.niaid.nih.gov/transcriptome/Anopheles_sialome/links/CULICOMORPHA/anochris_D7r5-CULICOMORPHA.txt","AGAP008280-PA")</f>
        <v>AGAP008280-PA</v>
      </c>
      <c r="AK393" t="str">
        <f>HYPERLINK("http://www.ncbi.nlm.nih.gov/sutils/blink.cgi?pid=30175327","2E-069")</f>
        <v>2E-069</v>
      </c>
      <c r="AL393" t="str">
        <f t="shared" si="148"/>
        <v>gi|30175327</v>
      </c>
      <c r="AM393">
        <v>76</v>
      </c>
      <c r="AN393">
        <v>87</v>
      </c>
      <c r="AO393">
        <v>101</v>
      </c>
      <c r="AP393" t="s">
        <v>2285</v>
      </c>
      <c r="AQ393" s="2" t="str">
        <f>HYPERLINK("http://exon.niaid.nih.gov/transcriptome/Anopheles_sialome/links/NR-LIGHT/anochris_D7r5-NR-LIGHT.txt","AGAP008280-PA")</f>
        <v>AGAP008280-PA</v>
      </c>
      <c r="AR393" t="str">
        <f>HYPERLINK("http://www.ncbi.nlm.nih.gov/sutils/blink.cgi?pid=31222512","3E-068")</f>
        <v>3E-068</v>
      </c>
      <c r="AS393" t="str">
        <f t="shared" si="149"/>
        <v>gi|31222512</v>
      </c>
      <c r="AT393">
        <v>76</v>
      </c>
      <c r="AU393">
        <v>87</v>
      </c>
      <c r="AV393">
        <v>101</v>
      </c>
      <c r="AW393" t="s">
        <v>2285</v>
      </c>
      <c r="AX393" s="2" t="str">
        <f>HYPERLINK("http://exon.niaid.nih.gov/transcriptome/Anopheles_sialome/links/CDD/anochris_D7r5-CDD.txt","PBP_GOBP")</f>
        <v>PBP_GOBP</v>
      </c>
      <c r="AY393" t="str">
        <f>HYPERLINK("http://www.ncbi.nlm.nih.gov/Structure/cdd/cddsrv.cgi?uid=pfam01395&amp;version=v4.0","0.042")</f>
        <v>0.042</v>
      </c>
      <c r="AZ393" t="s">
        <v>2536</v>
      </c>
      <c r="BA393" s="2" t="str">
        <f>HYPERLINK("http://exon.niaid.nih.gov/transcriptome/Anopheles_sialome/links/KOG/anochris_D7r5-KOG.txt","AAA+-type ATPase")</f>
        <v>AAA+-type ATPase</v>
      </c>
      <c r="BB393" t="str">
        <f>HYPERLINK("http://www.ncbi.nlm.nih.gov/Structure/cdd/cddsrv.cgi?uid=KOG0735","0.45")</f>
        <v>0.45</v>
      </c>
      <c r="BC393" t="s">
        <v>2296</v>
      </c>
      <c r="BD393" t="str">
        <f>HYPERLINK("http://exon.niaid.nih.gov/transcriptome/Anopheles_sialome/links/KOG/anochris_D7r5-KOG.txt","KOG0735")</f>
        <v>KOG0735</v>
      </c>
      <c r="BE393" t="str">
        <f>HYPERLINK("http://exon.niaid.nih.gov/transcriptome/Anopheles_sialome/links/PFAM/anochris_D7r5-PFAM.txt","PBP_GOBP")</f>
        <v>PBP_GOBP</v>
      </c>
      <c r="BF393" t="str">
        <f>HYPERLINK("http://pfam.sanger.ac.uk/family?acc=PF01395","0.009")</f>
        <v>0.009</v>
      </c>
      <c r="BG393" s="2" t="str">
        <f>HYPERLINK("http://exon.niaid.nih.gov/transcriptome/Anopheles_sialome/links/SMART/anochris_D7r5-SMART.txt","PhBP")</f>
        <v>PhBP</v>
      </c>
      <c r="BH393" t="str">
        <f>HYPERLINK("http://smart.embl-heidelberg.de/smart/do_annotation.pl?DOMAIN=PhBP&amp;BLAST=DUMMY","0.004")</f>
        <v>0.004</v>
      </c>
      <c r="BI393" t="s">
        <v>128</v>
      </c>
      <c r="BJ393" s="2" t="s">
        <v>128</v>
      </c>
      <c r="BK393" t="s">
        <v>1111</v>
      </c>
      <c r="BL393">
        <f>HYPERLINK("http://exon.niaid.nih.gov/transcriptome/Anopheles_sialome/links/cluster-b/anopheline-sialome-cds-pep-larger-orf25-50SimCLU2.txt", 2)</f>
        <v>2</v>
      </c>
      <c r="BM393">
        <f>HYPERLINK("http://exon.niaid.nih.gov/transcriptome/Anopheles_sialome/links/cluster-b/anopheline-sialome-cds-pep-larger-orf25-50SimCLTL2.txt", 120)</f>
        <v>120</v>
      </c>
      <c r="BN393">
        <f>HYPERLINK("http://exon.niaid.nih.gov/transcriptome/Anopheles_sialome/links/cluster-b/anopheline-sialome-cds-pep-larger-orf30-50SimCLU2.txt", 2)</f>
        <v>2</v>
      </c>
      <c r="BO393">
        <f>HYPERLINK("http://exon.niaid.nih.gov/transcriptome/Anopheles_sialome/links/cluster-b/anopheline-sialome-cds-pep-larger-orf30-50SimCLTL2.txt", 120)</f>
        <v>120</v>
      </c>
      <c r="BP393">
        <f>HYPERLINK("http://exon.niaid.nih.gov/transcriptome/Anopheles_sialome/links/cluster-b/anopheline-sialome-cds-pep-larger-orf35-50SimCLU1.txt", 1)</f>
        <v>1</v>
      </c>
      <c r="BQ393">
        <f>HYPERLINK("http://exon.niaid.nih.gov/transcriptome/Anopheles_sialome/links/cluster-b/anopheline-sialome-cds-pep-larger-orf35-50SimCLTL1.txt", 120)</f>
        <v>120</v>
      </c>
      <c r="BR393">
        <f>HYPERLINK("http://exon.niaid.nih.gov/transcriptome/Anopheles_sialome/links/cluster-b/anopheline-sialome-cds-pep-larger-orf40-50SimCLU2.txt", 2)</f>
        <v>2</v>
      </c>
      <c r="BS393">
        <f>HYPERLINK("http://exon.niaid.nih.gov/transcriptome/Anopheles_sialome/links/cluster-b/anopheline-sialome-cds-pep-larger-orf40-50SimCLTL2.txt", 83)</f>
        <v>83</v>
      </c>
      <c r="BT393">
        <f>HYPERLINK("http://exon.niaid.nih.gov/transcriptome/Anopheles_sialome/links/cluster-b/anopheline-sialome-cds-pep-larger-orf45-50SimCLU1.txt", 1)</f>
        <v>1</v>
      </c>
      <c r="BU393">
        <f>HYPERLINK("http://exon.niaid.nih.gov/transcriptome/Anopheles_sialome/links/cluster-b/anopheline-sialome-cds-pep-larger-orf45-50SimCLTL1.txt", 83)</f>
        <v>83</v>
      </c>
      <c r="BV393">
        <f>HYPERLINK("http://exon.niaid.nih.gov/transcriptome/Anopheles_sialome/links/cluster-b/anopheline-sialome-cds-pep-larger-orf50-50SimCLU1.txt", 1)</f>
        <v>1</v>
      </c>
      <c r="BW393">
        <f>HYPERLINK("http://exon.niaid.nih.gov/transcriptome/Anopheles_sialome/links/cluster-b/anopheline-sialome-cds-pep-larger-orf50-50SimCLTL1.txt", 83)</f>
        <v>83</v>
      </c>
      <c r="BX393">
        <f>HYPERLINK("http://exon.niaid.nih.gov/transcriptome/Anopheles_sialome/links/cluster-b/anopheline-sialome-cds-pep-larger-orf55-50SimCLU1.txt", 1)</f>
        <v>1</v>
      </c>
      <c r="BY393">
        <f>HYPERLINK("http://exon.niaid.nih.gov/transcriptome/Anopheles_sialome/links/cluster-b/anopheline-sialome-cds-pep-larger-orf55-50SimCLTL1.txt", 79)</f>
        <v>79</v>
      </c>
      <c r="BZ393">
        <f>HYPERLINK("http://exon.niaid.nih.gov/transcriptome/Anopheles_sialome/links/cluster-b/anopheline-sialome-cds-pep-larger-orf60-50SimCLU12.txt", 12)</f>
        <v>12</v>
      </c>
      <c r="CA393">
        <f>HYPERLINK("http://exon.niaid.nih.gov/transcriptome/Anopheles_sialome/links/cluster-b/anopheline-sialome-cds-pep-larger-orf60-50SimCLTL12.txt", 19)</f>
        <v>19</v>
      </c>
      <c r="CB393">
        <f>HYPERLINK("http://exon.niaid.nih.gov/transcriptome/Anopheles_sialome/links/cluster-b/anopheline-sialome-cds-pep-larger-orf65-50SimCLU9.txt", 9)</f>
        <v>9</v>
      </c>
      <c r="CC393">
        <f>HYPERLINK("http://exon.niaid.nih.gov/transcriptome/Anopheles_sialome/links/cluster-b/anopheline-sialome-cds-pep-larger-orf65-50SimCLTL9.txt", 19)</f>
        <v>19</v>
      </c>
      <c r="CD393">
        <f>HYPERLINK("http://exon.niaid.nih.gov/transcriptome/Anopheles_sialome/links/cluster-b/anopheline-sialome-cds-pep-larger-orf70-50SimCLU9.txt", 9)</f>
        <v>9</v>
      </c>
      <c r="CE393">
        <f>HYPERLINK("http://exon.niaid.nih.gov/transcriptome/Anopheles_sialome/links/cluster-b/anopheline-sialome-cds-pep-larger-orf70-50SimCLTL9.txt", 19)</f>
        <v>19</v>
      </c>
      <c r="CF393">
        <f>HYPERLINK("http://exon.niaid.nih.gov/transcriptome/Anopheles_sialome/links/cluster-b/anopheline-sialome-cds-pep-larger-orf75-50SimCLU6.txt", 6)</f>
        <v>6</v>
      </c>
      <c r="CG393">
        <f>HYPERLINK("http://exon.niaid.nih.gov/transcriptome/Anopheles_sialome/links/cluster-b/anopheline-sialome-cds-pep-larger-orf75-50SimCLTL6.txt", 19)</f>
        <v>19</v>
      </c>
      <c r="CH393">
        <f>HYPERLINK("http://exon.niaid.nih.gov/transcriptome/Anopheles_sialome/links/cluster-b/anopheline-sialome-cds-pep-larger-orf80-50SimCLU12.txt", 12)</f>
        <v>12</v>
      </c>
      <c r="CI393">
        <f>HYPERLINK("http://exon.niaid.nih.gov/transcriptome/Anopheles_sialome/links/cluster-b/anopheline-sialome-cds-pep-larger-orf80-50SimCLTL12.txt", 15)</f>
        <v>15</v>
      </c>
      <c r="CJ393">
        <f>HYPERLINK("http://exon.niaid.nih.gov/transcriptome/Anopheles_sialome/links/cluster-b/anopheline-sialome-cds-pep-larger-orf85-50SimCLU16.txt", 16)</f>
        <v>16</v>
      </c>
      <c r="CK393">
        <f>HYPERLINK("http://exon.niaid.nih.gov/transcriptome/Anopheles_sialome/links/cluster-b/anopheline-sialome-cds-pep-larger-orf85-50SimCLTL16.txt", 11)</f>
        <v>11</v>
      </c>
      <c r="CL393">
        <v>179</v>
      </c>
      <c r="CM393">
        <v>1</v>
      </c>
      <c r="CN393">
        <v>189</v>
      </c>
      <c r="CO393">
        <v>1</v>
      </c>
    </row>
    <row r="394" spans="1:93">
      <c r="A394" s="2" t="str">
        <f>HYPERLINK("http://exon.niaid.nih.gov/transcriptome/Anopheles_sialome/links/cds/anoepi_D7r5-cds.txt","anoepi_D7r5")</f>
        <v>anoepi_D7r5</v>
      </c>
      <c r="B394">
        <v>507</v>
      </c>
      <c r="C394" t="s">
        <v>153</v>
      </c>
      <c r="D394" t="s">
        <v>7</v>
      </c>
      <c r="E394" t="s">
        <v>5</v>
      </c>
      <c r="F394" t="s">
        <v>1</v>
      </c>
      <c r="G394" t="str">
        <f>HYPERLINK("http://exon.niaid.nih.gov/transcriptome/Anopheles_sialome/links/pep/anoepi_D7r5-pep.txt","anoepi_D7r5")</f>
        <v>anoepi_D7r5</v>
      </c>
      <c r="H394">
        <v>168</v>
      </c>
      <c r="I394">
        <v>0</v>
      </c>
      <c r="J394" s="3" t="str">
        <f>HYPERLINK("http://exon.niaid.nih.gov/transcriptome/Anopheles_sialome/links/Sigp/anoepi_D7r5-SigP.txt","SIG")</f>
        <v>SIG</v>
      </c>
      <c r="K394" t="s">
        <v>708</v>
      </c>
      <c r="L394">
        <v>18.817</v>
      </c>
      <c r="M394">
        <v>5.53</v>
      </c>
      <c r="N394">
        <v>16.361999999999998</v>
      </c>
      <c r="O394">
        <v>5.25</v>
      </c>
      <c r="P394" t="s">
        <v>1115</v>
      </c>
      <c r="Q394" s="3">
        <v>0</v>
      </c>
      <c r="R394" t="s">
        <v>128</v>
      </c>
      <c r="S394" t="s">
        <v>128</v>
      </c>
      <c r="T394" t="s">
        <v>128</v>
      </c>
      <c r="U394" t="s">
        <v>128</v>
      </c>
      <c r="V394" t="s">
        <v>128</v>
      </c>
      <c r="W394" s="3" t="str">
        <f>HYPERLINK("http://exon.niaid.nih.gov/transcriptome/Anopheles_sialome/links/netoglyc/anoepi_D7r5-netoglyc.txt","0")</f>
        <v>0</v>
      </c>
      <c r="X394">
        <v>16.7</v>
      </c>
      <c r="Y394">
        <v>3.6</v>
      </c>
      <c r="Z394">
        <v>0.6</v>
      </c>
      <c r="AA394" t="s">
        <v>654</v>
      </c>
      <c r="AB394" t="s">
        <v>1116</v>
      </c>
      <c r="AC394" s="2" t="str">
        <f>HYPERLINK("http://exon.niaid.nih.gov/transcriptome/Anopheles_sialome/links/DIPTERA/anoepi_D7r5-DIPTERA.txt","AGAP008280-PA")</f>
        <v>AGAP008280-PA</v>
      </c>
      <c r="AD394" t="str">
        <f>HYPERLINK("http://www.ncbi.nlm.nih.gov/sutils/blink.cgi?pid=30175327","2E-065")</f>
        <v>2E-065</v>
      </c>
      <c r="AE394" t="str">
        <f t="shared" si="147"/>
        <v>gi|30175327</v>
      </c>
      <c r="AF394">
        <v>76</v>
      </c>
      <c r="AG394">
        <v>85</v>
      </c>
      <c r="AH394">
        <v>98</v>
      </c>
      <c r="AI394" t="s">
        <v>2285</v>
      </c>
      <c r="AJ394" s="2" t="str">
        <f>HYPERLINK("http://exon.niaid.nih.gov/transcriptome/Anopheles_sialome/links/CULICOMORPHA/anoepi_D7r5-CULICOMORPHA.txt","AGAP008280-PA")</f>
        <v>AGAP008280-PA</v>
      </c>
      <c r="AK394" t="str">
        <f>HYPERLINK("http://www.ncbi.nlm.nih.gov/sutils/blink.cgi?pid=30175327","3E-066")</f>
        <v>3E-066</v>
      </c>
      <c r="AL394" t="str">
        <f t="shared" si="148"/>
        <v>gi|30175327</v>
      </c>
      <c r="AM394">
        <v>76</v>
      </c>
      <c r="AN394">
        <v>85</v>
      </c>
      <c r="AO394">
        <v>98</v>
      </c>
      <c r="AP394" t="s">
        <v>2285</v>
      </c>
      <c r="AQ394" s="2" t="str">
        <f>HYPERLINK("http://exon.niaid.nih.gov/transcriptome/Anopheles_sialome/links/NR-LIGHT/anoepi_D7r5-NR-LIGHT.txt","AGAP008280-PA")</f>
        <v>AGAP008280-PA</v>
      </c>
      <c r="AR394" t="str">
        <f>HYPERLINK("http://www.ncbi.nlm.nih.gov/sutils/blink.cgi?pid=31222512","4E-065")</f>
        <v>4E-065</v>
      </c>
      <c r="AS394" t="str">
        <f t="shared" si="149"/>
        <v>gi|31222512</v>
      </c>
      <c r="AT394">
        <v>76</v>
      </c>
      <c r="AU394">
        <v>85</v>
      </c>
      <c r="AV394">
        <v>98</v>
      </c>
      <c r="AW394" t="s">
        <v>2285</v>
      </c>
      <c r="AX394" s="2" t="str">
        <f>HYPERLINK("http://exon.niaid.nih.gov/transcriptome/Anopheles_sialome/links/CDD/anoepi_D7r5-CDD.txt","PBP_GOBP")</f>
        <v>PBP_GOBP</v>
      </c>
      <c r="AY394" t="str">
        <f>HYPERLINK("http://www.ncbi.nlm.nih.gov/Structure/cdd/cddsrv.cgi?uid=pfam01395&amp;version=v4.0","0.001")</f>
        <v>0.001</v>
      </c>
      <c r="AZ394" t="s">
        <v>2537</v>
      </c>
      <c r="BA394" s="2" t="str">
        <f>HYPERLINK("http://exon.niaid.nih.gov/transcriptome/Anopheles_sialome/links/KOG/anoepi_D7r5-KOG.txt","Predicted oxidoreductase")</f>
        <v>Predicted oxidoreductase</v>
      </c>
      <c r="BB394" t="str">
        <f>HYPERLINK("http://www.ncbi.nlm.nih.gov/Structure/cdd/cddsrv.cgi?uid=KOG2742","3.1")</f>
        <v>3.1</v>
      </c>
      <c r="BC394" t="s">
        <v>2310</v>
      </c>
      <c r="BD394" t="str">
        <f>HYPERLINK("http://exon.niaid.nih.gov/transcriptome/Anopheles_sialome/links/KOG/anoepi_D7r5-KOG.txt","KOG2742")</f>
        <v>KOG2742</v>
      </c>
      <c r="BE394" t="str">
        <f>HYPERLINK("http://exon.niaid.nih.gov/transcriptome/Anopheles_sialome/links/PFAM/anoepi_D7r5-PFAM.txt","PBP_GOBP")</f>
        <v>PBP_GOBP</v>
      </c>
      <c r="BF394" t="str">
        <f>HYPERLINK("http://pfam.sanger.ac.uk/family?acc=PF01395","2E-004")</f>
        <v>2E-004</v>
      </c>
      <c r="BG394" s="2" t="str">
        <f>HYPERLINK("http://exon.niaid.nih.gov/transcriptome/Anopheles_sialome/links/SMART/anoepi_D7r5-SMART.txt","PhBP")</f>
        <v>PhBP</v>
      </c>
      <c r="BH394" t="str">
        <f>HYPERLINK("http://smart.embl-heidelberg.de/smart/do_annotation.pl?DOMAIN=PhBP&amp;BLAST=DUMMY","0.002")</f>
        <v>0.002</v>
      </c>
      <c r="BI394" t="s">
        <v>128</v>
      </c>
      <c r="BJ394" s="2" t="s">
        <v>128</v>
      </c>
      <c r="BK394" t="s">
        <v>1114</v>
      </c>
      <c r="BL394">
        <f>HYPERLINK("http://exon.niaid.nih.gov/transcriptome/Anopheles_sialome/links/cluster-b/anopheline-sialome-cds-pep-larger-orf25-50SimCLU2.txt", 2)</f>
        <v>2</v>
      </c>
      <c r="BM394">
        <f>HYPERLINK("http://exon.niaid.nih.gov/transcriptome/Anopheles_sialome/links/cluster-b/anopheline-sialome-cds-pep-larger-orf25-50SimCLTL2.txt", 120)</f>
        <v>120</v>
      </c>
      <c r="BN394">
        <f>HYPERLINK("http://exon.niaid.nih.gov/transcriptome/Anopheles_sialome/links/cluster-b/anopheline-sialome-cds-pep-larger-orf30-50SimCLU2.txt", 2)</f>
        <v>2</v>
      </c>
      <c r="BO394">
        <f>HYPERLINK("http://exon.niaid.nih.gov/transcriptome/Anopheles_sialome/links/cluster-b/anopheline-sialome-cds-pep-larger-orf30-50SimCLTL2.txt", 120)</f>
        <v>120</v>
      </c>
      <c r="BP394">
        <f>HYPERLINK("http://exon.niaid.nih.gov/transcriptome/Anopheles_sialome/links/cluster-b/anopheline-sialome-cds-pep-larger-orf35-50SimCLU1.txt", 1)</f>
        <v>1</v>
      </c>
      <c r="BQ394">
        <f>HYPERLINK("http://exon.niaid.nih.gov/transcriptome/Anopheles_sialome/links/cluster-b/anopheline-sialome-cds-pep-larger-orf35-50SimCLTL1.txt", 120)</f>
        <v>120</v>
      </c>
      <c r="BR394">
        <f>HYPERLINK("http://exon.niaid.nih.gov/transcriptome/Anopheles_sialome/links/cluster-b/anopheline-sialome-cds-pep-larger-orf40-50SimCLU2.txt", 2)</f>
        <v>2</v>
      </c>
      <c r="BS394">
        <f>HYPERLINK("http://exon.niaid.nih.gov/transcriptome/Anopheles_sialome/links/cluster-b/anopheline-sialome-cds-pep-larger-orf40-50SimCLTL2.txt", 83)</f>
        <v>83</v>
      </c>
      <c r="BT394">
        <f>HYPERLINK("http://exon.niaid.nih.gov/transcriptome/Anopheles_sialome/links/cluster-b/anopheline-sialome-cds-pep-larger-orf45-50SimCLU1.txt", 1)</f>
        <v>1</v>
      </c>
      <c r="BU394">
        <f>HYPERLINK("http://exon.niaid.nih.gov/transcriptome/Anopheles_sialome/links/cluster-b/anopheline-sialome-cds-pep-larger-orf45-50SimCLTL1.txt", 83)</f>
        <v>83</v>
      </c>
      <c r="BV394">
        <f>HYPERLINK("http://exon.niaid.nih.gov/transcriptome/Anopheles_sialome/links/cluster-b/anopheline-sialome-cds-pep-larger-orf50-50SimCLU1.txt", 1)</f>
        <v>1</v>
      </c>
      <c r="BW394">
        <f>HYPERLINK("http://exon.niaid.nih.gov/transcriptome/Anopheles_sialome/links/cluster-b/anopheline-sialome-cds-pep-larger-orf50-50SimCLTL1.txt", 83)</f>
        <v>83</v>
      </c>
      <c r="BX394">
        <f>HYPERLINK("http://exon.niaid.nih.gov/transcriptome/Anopheles_sialome/links/cluster-b/anopheline-sialome-cds-pep-larger-orf55-50SimCLU1.txt", 1)</f>
        <v>1</v>
      </c>
      <c r="BY394">
        <f>HYPERLINK("http://exon.niaid.nih.gov/transcriptome/Anopheles_sialome/links/cluster-b/anopheline-sialome-cds-pep-larger-orf55-50SimCLTL1.txt", 79)</f>
        <v>79</v>
      </c>
      <c r="BZ394">
        <f>HYPERLINK("http://exon.niaid.nih.gov/transcriptome/Anopheles_sialome/links/cluster-b/anopheline-sialome-cds-pep-larger-orf60-50SimCLU12.txt", 12)</f>
        <v>12</v>
      </c>
      <c r="CA394">
        <f>HYPERLINK("http://exon.niaid.nih.gov/transcriptome/Anopheles_sialome/links/cluster-b/anopheline-sialome-cds-pep-larger-orf60-50SimCLTL12.txt", 19)</f>
        <v>19</v>
      </c>
      <c r="CB394">
        <f>HYPERLINK("http://exon.niaid.nih.gov/transcriptome/Anopheles_sialome/links/cluster-b/anopheline-sialome-cds-pep-larger-orf65-50SimCLU9.txt", 9)</f>
        <v>9</v>
      </c>
      <c r="CC394">
        <f>HYPERLINK("http://exon.niaid.nih.gov/transcriptome/Anopheles_sialome/links/cluster-b/anopheline-sialome-cds-pep-larger-orf65-50SimCLTL9.txt", 19)</f>
        <v>19</v>
      </c>
      <c r="CD394">
        <f>HYPERLINK("http://exon.niaid.nih.gov/transcriptome/Anopheles_sialome/links/cluster-b/anopheline-sialome-cds-pep-larger-orf70-50SimCLU9.txt", 9)</f>
        <v>9</v>
      </c>
      <c r="CE394">
        <f>HYPERLINK("http://exon.niaid.nih.gov/transcriptome/Anopheles_sialome/links/cluster-b/anopheline-sialome-cds-pep-larger-orf70-50SimCLTL9.txt", 19)</f>
        <v>19</v>
      </c>
      <c r="CF394">
        <f>HYPERLINK("http://exon.niaid.nih.gov/transcriptome/Anopheles_sialome/links/cluster-b/anopheline-sialome-cds-pep-larger-orf75-50SimCLU6.txt", 6)</f>
        <v>6</v>
      </c>
      <c r="CG394">
        <f>HYPERLINK("http://exon.niaid.nih.gov/transcriptome/Anopheles_sialome/links/cluster-b/anopheline-sialome-cds-pep-larger-orf75-50SimCLTL6.txt", 19)</f>
        <v>19</v>
      </c>
      <c r="CH394">
        <f>HYPERLINK("http://exon.niaid.nih.gov/transcriptome/Anopheles_sialome/links/cluster-b/anopheline-sialome-cds-pep-larger-orf80-50SimCLU12.txt", 12)</f>
        <v>12</v>
      </c>
      <c r="CI394">
        <f>HYPERLINK("http://exon.niaid.nih.gov/transcriptome/Anopheles_sialome/links/cluster-b/anopheline-sialome-cds-pep-larger-orf80-50SimCLTL12.txt", 15)</f>
        <v>15</v>
      </c>
      <c r="CJ394">
        <f>HYPERLINK("http://exon.niaid.nih.gov/transcriptome/Anopheles_sialome/links/cluster-b/anopheline-sialome-cds-pep-larger-orf85-50SimCLU16.txt", 16)</f>
        <v>16</v>
      </c>
      <c r="CK394">
        <f>HYPERLINK("http://exon.niaid.nih.gov/transcriptome/Anopheles_sialome/links/cluster-b/anopheline-sialome-cds-pep-larger-orf85-50SimCLTL16.txt", 11)</f>
        <v>11</v>
      </c>
      <c r="CL394">
        <v>180</v>
      </c>
      <c r="CM394">
        <v>1</v>
      </c>
      <c r="CN394">
        <v>190</v>
      </c>
      <c r="CO394">
        <v>1</v>
      </c>
    </row>
    <row r="395" spans="1:93">
      <c r="A395" s="2" t="str">
        <f>HYPERLINK("http://exon.niaid.nih.gov/transcriptome/Anopheles_sialome/links/cds/anofun_D7r5-cds.txt","anofun_D7r5")</f>
        <v>anofun_D7r5</v>
      </c>
      <c r="B395">
        <v>525</v>
      </c>
      <c r="C395" t="s">
        <v>154</v>
      </c>
      <c r="D395" t="s">
        <v>7</v>
      </c>
      <c r="E395" t="s">
        <v>5</v>
      </c>
      <c r="F395" t="s">
        <v>1</v>
      </c>
      <c r="G395" t="str">
        <f>HYPERLINK("http://exon.niaid.nih.gov/transcriptome/Anopheles_sialome/links/pep/anofun_D7r5-pep.txt","anofun_D7r5")</f>
        <v>anofun_D7r5</v>
      </c>
      <c r="H395">
        <v>174</v>
      </c>
      <c r="I395">
        <v>0</v>
      </c>
      <c r="J395" s="3" t="str">
        <f>HYPERLINK("http://exon.niaid.nih.gov/transcriptome/Anopheles_sialome/links/Sigp/anofun_D7r5-SigP.txt","SIG")</f>
        <v>SIG</v>
      </c>
      <c r="K395" t="s">
        <v>708</v>
      </c>
      <c r="L395">
        <v>19.169</v>
      </c>
      <c r="M395">
        <v>7.52</v>
      </c>
      <c r="N395">
        <v>16.667999999999999</v>
      </c>
      <c r="O395">
        <v>5.48</v>
      </c>
      <c r="P395" t="s">
        <v>1118</v>
      </c>
      <c r="Q395" s="3" t="str">
        <f>HYPERLINK("http://exon.niaid.nih.gov/transcriptome/Anopheles_sialome/links/tmhmm/anofun_D7r5-tmhmm.txt","1")</f>
        <v>1</v>
      </c>
      <c r="R395">
        <v>12.6</v>
      </c>
      <c r="S395">
        <v>83.3</v>
      </c>
      <c r="T395">
        <v>4</v>
      </c>
      <c r="U395" t="s">
        <v>128</v>
      </c>
      <c r="V395">
        <v>145</v>
      </c>
      <c r="W395" s="3" t="str">
        <f>HYPERLINK("http://exon.niaid.nih.gov/transcriptome/Anopheles_sialome/links/netoglyc/anofun_D7r5-netoglyc.txt","0")</f>
        <v>0</v>
      </c>
      <c r="X395">
        <v>12.1</v>
      </c>
      <c r="Y395">
        <v>5.7</v>
      </c>
      <c r="Z395">
        <v>0.6</v>
      </c>
      <c r="AA395" t="s">
        <v>654</v>
      </c>
      <c r="AB395" t="s">
        <v>1119</v>
      </c>
      <c r="AC395" s="2" t="str">
        <f>HYPERLINK("http://exon.niaid.nih.gov/transcriptome/Anopheles_sialome/links/DIPTERA/anofun_D7r5-DIPTERA.txt","AGAP008280-PA")</f>
        <v>AGAP008280-PA</v>
      </c>
      <c r="AD395" t="str">
        <f>HYPERLINK("http://www.ncbi.nlm.nih.gov/sutils/blink.cgi?pid=30175327","1E-060")</f>
        <v>1E-060</v>
      </c>
      <c r="AE395" t="str">
        <f t="shared" si="147"/>
        <v>gi|30175327</v>
      </c>
      <c r="AF395">
        <v>70</v>
      </c>
      <c r="AG395">
        <v>83</v>
      </c>
      <c r="AH395">
        <v>99</v>
      </c>
      <c r="AI395" t="s">
        <v>2285</v>
      </c>
      <c r="AJ395" s="2" t="str">
        <f>HYPERLINK("http://exon.niaid.nih.gov/transcriptome/Anopheles_sialome/links/CULICOMORPHA/anofun_D7r5-CULICOMORPHA.txt","AGAP008280-PA")</f>
        <v>AGAP008280-PA</v>
      </c>
      <c r="AK395" t="str">
        <f>HYPERLINK("http://www.ncbi.nlm.nih.gov/sutils/blink.cgi?pid=30175327","3E-061")</f>
        <v>3E-061</v>
      </c>
      <c r="AL395" t="str">
        <f t="shared" si="148"/>
        <v>gi|30175327</v>
      </c>
      <c r="AM395">
        <v>70</v>
      </c>
      <c r="AN395">
        <v>83</v>
      </c>
      <c r="AO395">
        <v>99</v>
      </c>
      <c r="AP395" t="s">
        <v>2285</v>
      </c>
      <c r="AQ395" s="2" t="str">
        <f>HYPERLINK("http://exon.niaid.nih.gov/transcriptome/Anopheles_sialome/links/NR-LIGHT/anofun_D7r5-NR-LIGHT.txt","AGAP008280-PA")</f>
        <v>AGAP008280-PA</v>
      </c>
      <c r="AR395" t="str">
        <f>HYPERLINK("http://www.ncbi.nlm.nih.gov/sutils/blink.cgi?pid=31222512","3E-060")</f>
        <v>3E-060</v>
      </c>
      <c r="AS395" t="str">
        <f t="shared" si="149"/>
        <v>gi|31222512</v>
      </c>
      <c r="AT395">
        <v>70</v>
      </c>
      <c r="AU395">
        <v>83</v>
      </c>
      <c r="AV395">
        <v>99</v>
      </c>
      <c r="AW395" t="s">
        <v>2285</v>
      </c>
      <c r="AX395" s="2" t="str">
        <f>HYPERLINK("http://exon.niaid.nih.gov/transcriptome/Anopheles_sialome/links/CDD/anofun_D7r5-CDD.txt","PBP_GOBP")</f>
        <v>PBP_GOBP</v>
      </c>
      <c r="AY395" t="str">
        <f>HYPERLINK("http://www.ncbi.nlm.nih.gov/Structure/cdd/cddsrv.cgi?uid=pfam01395&amp;version=v4.0","0.060")</f>
        <v>0.060</v>
      </c>
      <c r="AZ395" t="s">
        <v>2538</v>
      </c>
      <c r="BA395" s="2" t="str">
        <f>HYPERLINK("http://exon.niaid.nih.gov/transcriptome/Anopheles_sialome/links/KOG/anofun_D7r5-KOG.txt","Protein kinase ATM/Tel1, involved in telomere length regulation and DNA repair")</f>
        <v>Protein kinase ATM/Tel1, involved in telomere length regulation and DNA repair</v>
      </c>
      <c r="BB395" t="str">
        <f>HYPERLINK("http://www.ncbi.nlm.nih.gov/Structure/cdd/cddsrv.cgi?uid=KOG0892","1.4")</f>
        <v>1.4</v>
      </c>
      <c r="BC395" t="s">
        <v>2300</v>
      </c>
      <c r="BD395" t="str">
        <f>HYPERLINK("http://exon.niaid.nih.gov/transcriptome/Anopheles_sialome/links/KOG/anofun_D7r5-KOG.txt","KOG0892")</f>
        <v>KOG0892</v>
      </c>
      <c r="BE395" t="str">
        <f>HYPERLINK("http://exon.niaid.nih.gov/transcriptome/Anopheles_sialome/links/PFAM/anofun_D7r5-PFAM.txt","PBP_GOBP")</f>
        <v>PBP_GOBP</v>
      </c>
      <c r="BF395" t="str">
        <f>HYPERLINK("http://pfam.sanger.ac.uk/family?acc=PF01395","0.013")</f>
        <v>0.013</v>
      </c>
      <c r="BG395" s="2" t="str">
        <f>HYPERLINK("http://exon.niaid.nih.gov/transcriptome/Anopheles_sialome/links/SMART/anofun_D7r5-SMART.txt","PhBP")</f>
        <v>PhBP</v>
      </c>
      <c r="BH395" t="str">
        <f>HYPERLINK("http://smart.embl-heidelberg.de/smart/do_annotation.pl?DOMAIN=PhBP&amp;BLAST=DUMMY","0.060")</f>
        <v>0.060</v>
      </c>
      <c r="BI395" t="s">
        <v>128</v>
      </c>
      <c r="BJ395" s="2" t="s">
        <v>128</v>
      </c>
      <c r="BK395" t="s">
        <v>1117</v>
      </c>
      <c r="BL395">
        <f>HYPERLINK("http://exon.niaid.nih.gov/transcriptome/Anopheles_sialome/links/cluster-b/anopheline-sialome-cds-pep-larger-orf25-50SimCLU2.txt", 2)</f>
        <v>2</v>
      </c>
      <c r="BM395">
        <f>HYPERLINK("http://exon.niaid.nih.gov/transcriptome/Anopheles_sialome/links/cluster-b/anopheline-sialome-cds-pep-larger-orf25-50SimCLTL2.txt", 120)</f>
        <v>120</v>
      </c>
      <c r="BN395">
        <f>HYPERLINK("http://exon.niaid.nih.gov/transcriptome/Anopheles_sialome/links/cluster-b/anopheline-sialome-cds-pep-larger-orf30-50SimCLU2.txt", 2)</f>
        <v>2</v>
      </c>
      <c r="BO395">
        <f>HYPERLINK("http://exon.niaid.nih.gov/transcriptome/Anopheles_sialome/links/cluster-b/anopheline-sialome-cds-pep-larger-orf30-50SimCLTL2.txt", 120)</f>
        <v>120</v>
      </c>
      <c r="BP395">
        <f>HYPERLINK("http://exon.niaid.nih.gov/transcriptome/Anopheles_sialome/links/cluster-b/anopheline-sialome-cds-pep-larger-orf35-50SimCLU1.txt", 1)</f>
        <v>1</v>
      </c>
      <c r="BQ395">
        <f>HYPERLINK("http://exon.niaid.nih.gov/transcriptome/Anopheles_sialome/links/cluster-b/anopheline-sialome-cds-pep-larger-orf35-50SimCLTL1.txt", 120)</f>
        <v>120</v>
      </c>
      <c r="BR395">
        <f>HYPERLINK("http://exon.niaid.nih.gov/transcriptome/Anopheles_sialome/links/cluster-b/anopheline-sialome-cds-pep-larger-orf40-50SimCLU2.txt", 2)</f>
        <v>2</v>
      </c>
      <c r="BS395">
        <f>HYPERLINK("http://exon.niaid.nih.gov/transcriptome/Anopheles_sialome/links/cluster-b/anopheline-sialome-cds-pep-larger-orf40-50SimCLTL2.txt", 83)</f>
        <v>83</v>
      </c>
      <c r="BT395">
        <f>HYPERLINK("http://exon.niaid.nih.gov/transcriptome/Anopheles_sialome/links/cluster-b/anopheline-sialome-cds-pep-larger-orf45-50SimCLU1.txt", 1)</f>
        <v>1</v>
      </c>
      <c r="BU395">
        <f>HYPERLINK("http://exon.niaid.nih.gov/transcriptome/Anopheles_sialome/links/cluster-b/anopheline-sialome-cds-pep-larger-orf45-50SimCLTL1.txt", 83)</f>
        <v>83</v>
      </c>
      <c r="BV395">
        <f>HYPERLINK("http://exon.niaid.nih.gov/transcriptome/Anopheles_sialome/links/cluster-b/anopheline-sialome-cds-pep-larger-orf50-50SimCLU1.txt", 1)</f>
        <v>1</v>
      </c>
      <c r="BW395">
        <f>HYPERLINK("http://exon.niaid.nih.gov/transcriptome/Anopheles_sialome/links/cluster-b/anopheline-sialome-cds-pep-larger-orf50-50SimCLTL1.txt", 83)</f>
        <v>83</v>
      </c>
      <c r="BX395">
        <f>HYPERLINK("http://exon.niaid.nih.gov/transcriptome/Anopheles_sialome/links/cluster-b/anopheline-sialome-cds-pep-larger-orf55-50SimCLU1.txt", 1)</f>
        <v>1</v>
      </c>
      <c r="BY395">
        <f>HYPERLINK("http://exon.niaid.nih.gov/transcriptome/Anopheles_sialome/links/cluster-b/anopheline-sialome-cds-pep-larger-orf55-50SimCLTL1.txt", 79)</f>
        <v>79</v>
      </c>
      <c r="BZ395">
        <f>HYPERLINK("http://exon.niaid.nih.gov/transcriptome/Anopheles_sialome/links/cluster-b/anopheline-sialome-cds-pep-larger-orf60-50SimCLU12.txt", 12)</f>
        <v>12</v>
      </c>
      <c r="CA395">
        <f>HYPERLINK("http://exon.niaid.nih.gov/transcriptome/Anopheles_sialome/links/cluster-b/anopheline-sialome-cds-pep-larger-orf60-50SimCLTL12.txt", 19)</f>
        <v>19</v>
      </c>
      <c r="CB395">
        <f>HYPERLINK("http://exon.niaid.nih.gov/transcriptome/Anopheles_sialome/links/cluster-b/anopheline-sialome-cds-pep-larger-orf65-50SimCLU9.txt", 9)</f>
        <v>9</v>
      </c>
      <c r="CC395">
        <f>HYPERLINK("http://exon.niaid.nih.gov/transcriptome/Anopheles_sialome/links/cluster-b/anopheline-sialome-cds-pep-larger-orf65-50SimCLTL9.txt", 19)</f>
        <v>19</v>
      </c>
      <c r="CD395">
        <f>HYPERLINK("http://exon.niaid.nih.gov/transcriptome/Anopheles_sialome/links/cluster-b/anopheline-sialome-cds-pep-larger-orf70-50SimCLU9.txt", 9)</f>
        <v>9</v>
      </c>
      <c r="CE395">
        <f>HYPERLINK("http://exon.niaid.nih.gov/transcriptome/Anopheles_sialome/links/cluster-b/anopheline-sialome-cds-pep-larger-orf70-50SimCLTL9.txt", 19)</f>
        <v>19</v>
      </c>
      <c r="CF395">
        <f>HYPERLINK("http://exon.niaid.nih.gov/transcriptome/Anopheles_sialome/links/cluster-b/anopheline-sialome-cds-pep-larger-orf75-50SimCLU6.txt", 6)</f>
        <v>6</v>
      </c>
      <c r="CG395">
        <f>HYPERLINK("http://exon.niaid.nih.gov/transcriptome/Anopheles_sialome/links/cluster-b/anopheline-sialome-cds-pep-larger-orf75-50SimCLTL6.txt", 19)</f>
        <v>19</v>
      </c>
      <c r="CH395">
        <f>HYPERLINK("http://exon.niaid.nih.gov/transcriptome/Anopheles_sialome/links/cluster-b/anopheline-sialome-cds-pep-larger-orf80-50SimCLU12.txt", 12)</f>
        <v>12</v>
      </c>
      <c r="CI395">
        <f>HYPERLINK("http://exon.niaid.nih.gov/transcriptome/Anopheles_sialome/links/cluster-b/anopheline-sialome-cds-pep-larger-orf80-50SimCLTL12.txt", 15)</f>
        <v>15</v>
      </c>
      <c r="CJ395">
        <f>HYPERLINK("http://exon.niaid.nih.gov/transcriptome/Anopheles_sialome/links/cluster-b/anopheline-sialome-cds-pep-larger-orf85-50SimCLU16.txt", 16)</f>
        <v>16</v>
      </c>
      <c r="CK395">
        <f>HYPERLINK("http://exon.niaid.nih.gov/transcriptome/Anopheles_sialome/links/cluster-b/anopheline-sialome-cds-pep-larger-orf85-50SimCLTL16.txt", 11)</f>
        <v>11</v>
      </c>
      <c r="CL395">
        <v>181</v>
      </c>
      <c r="CM395">
        <v>1</v>
      </c>
      <c r="CN395">
        <v>191</v>
      </c>
      <c r="CO395">
        <v>1</v>
      </c>
    </row>
    <row r="396" spans="1:93">
      <c r="A396" s="2" t="str">
        <f>HYPERLINK("http://exon.niaid.nih.gov/transcriptome/Anopheles_sialome/links/cds/anomin_D7r5-cds.txt","anomin_D7r5")</f>
        <v>anomin_D7r5</v>
      </c>
      <c r="B396">
        <v>510</v>
      </c>
      <c r="C396" t="s">
        <v>155</v>
      </c>
      <c r="D396" t="s">
        <v>7</v>
      </c>
      <c r="E396" t="s">
        <v>5</v>
      </c>
      <c r="F396" t="s">
        <v>1</v>
      </c>
      <c r="G396" t="str">
        <f>HYPERLINK("http://exon.niaid.nih.gov/transcriptome/Anopheles_sialome/links/pep/anomin_D7r5-pep.txt","anomin_D7r5")</f>
        <v>anomin_D7r5</v>
      </c>
      <c r="H396">
        <v>169</v>
      </c>
      <c r="I396">
        <v>0</v>
      </c>
      <c r="J396" s="3" t="str">
        <f>HYPERLINK("http://exon.niaid.nih.gov/transcriptome/Anopheles_sialome/links/Sigp/anomin_D7r5-SigP.txt","SIG")</f>
        <v>SIG</v>
      </c>
      <c r="K396" t="s">
        <v>715</v>
      </c>
      <c r="L396">
        <v>18.808</v>
      </c>
      <c r="M396">
        <v>6.72</v>
      </c>
      <c r="N396">
        <v>16.14</v>
      </c>
      <c r="O396">
        <v>5.04</v>
      </c>
      <c r="P396" t="s">
        <v>1121</v>
      </c>
      <c r="Q396" s="3">
        <v>0</v>
      </c>
      <c r="R396" t="s">
        <v>128</v>
      </c>
      <c r="S396" t="s">
        <v>128</v>
      </c>
      <c r="T396" t="s">
        <v>128</v>
      </c>
      <c r="U396" t="s">
        <v>128</v>
      </c>
      <c r="V396" t="s">
        <v>128</v>
      </c>
      <c r="W396" s="3" t="str">
        <f>HYPERLINK("http://exon.niaid.nih.gov/transcriptome/Anopheles_sialome/links/netoglyc/anomin_D7r5-netoglyc.txt","0")</f>
        <v>0</v>
      </c>
      <c r="X396">
        <v>13</v>
      </c>
      <c r="Y396">
        <v>4.0999999999999996</v>
      </c>
      <c r="Z396">
        <v>1.8</v>
      </c>
      <c r="AA396" t="s">
        <v>654</v>
      </c>
      <c r="AB396" t="s">
        <v>128</v>
      </c>
      <c r="AC396" s="2" t="str">
        <f>HYPERLINK("http://exon.niaid.nih.gov/transcriptome/Anopheles_sialome/links/DIPTERA/anomin_D7r5-DIPTERA.txt","AGAP008280-PA")</f>
        <v>AGAP008280-PA</v>
      </c>
      <c r="AD396" t="str">
        <f>HYPERLINK("http://www.ncbi.nlm.nih.gov/sutils/blink.cgi?pid=30175327","1E-060")</f>
        <v>1E-060</v>
      </c>
      <c r="AE396" t="str">
        <f t="shared" si="147"/>
        <v>gi|30175327</v>
      </c>
      <c r="AF396">
        <v>68</v>
      </c>
      <c r="AG396">
        <v>85</v>
      </c>
      <c r="AH396">
        <v>96</v>
      </c>
      <c r="AI396" t="s">
        <v>2285</v>
      </c>
      <c r="AJ396" s="2" t="str">
        <f>HYPERLINK("http://exon.niaid.nih.gov/transcriptome/Anopheles_sialome/links/CULICOMORPHA/anomin_D7r5-CULICOMORPHA.txt","AGAP008280-PA")</f>
        <v>AGAP008280-PA</v>
      </c>
      <c r="AK396" t="str">
        <f>HYPERLINK("http://www.ncbi.nlm.nih.gov/sutils/blink.cgi?pid=30175327","2E-061")</f>
        <v>2E-061</v>
      </c>
      <c r="AL396" t="str">
        <f t="shared" si="148"/>
        <v>gi|30175327</v>
      </c>
      <c r="AM396">
        <v>68</v>
      </c>
      <c r="AN396">
        <v>85</v>
      </c>
      <c r="AO396">
        <v>96</v>
      </c>
      <c r="AP396" t="s">
        <v>2285</v>
      </c>
      <c r="AQ396" s="2" t="str">
        <f>HYPERLINK("http://exon.niaid.nih.gov/transcriptome/Anopheles_sialome/links/NR-LIGHT/anomin_D7r5-NR-LIGHT.txt","AGAP008280-PA")</f>
        <v>AGAP008280-PA</v>
      </c>
      <c r="AR396" t="str">
        <f>HYPERLINK("http://www.ncbi.nlm.nih.gov/sutils/blink.cgi?pid=31222512","3E-060")</f>
        <v>3E-060</v>
      </c>
      <c r="AS396" t="str">
        <f t="shared" si="149"/>
        <v>gi|31222512</v>
      </c>
      <c r="AT396">
        <v>68</v>
      </c>
      <c r="AU396">
        <v>85</v>
      </c>
      <c r="AV396">
        <v>96</v>
      </c>
      <c r="AW396" t="s">
        <v>2285</v>
      </c>
      <c r="AX396" s="2" t="str">
        <f>HYPERLINK("http://exon.niaid.nih.gov/transcriptome/Anopheles_sialome/links/CDD/anomin_D7r5-CDD.txt","PBP_GOBP")</f>
        <v>PBP_GOBP</v>
      </c>
      <c r="AY396" t="str">
        <f>HYPERLINK("http://www.ncbi.nlm.nih.gov/Structure/cdd/cddsrv.cgi?uid=pfam01395&amp;version=v4.0","0.002")</f>
        <v>0.002</v>
      </c>
      <c r="AZ396" t="s">
        <v>2539</v>
      </c>
      <c r="BA396" s="2" t="str">
        <f>HYPERLINK("http://exon.niaid.nih.gov/transcriptome/Anopheles_sialome/links/KOG/anomin_D7r5-KOG.txt","AAA+-type ATPase")</f>
        <v>AAA+-type ATPase</v>
      </c>
      <c r="BB396" t="str">
        <f>HYPERLINK("http://www.ncbi.nlm.nih.gov/Structure/cdd/cddsrv.cgi?uid=KOG0735","0.29")</f>
        <v>0.29</v>
      </c>
      <c r="BC396" t="s">
        <v>2296</v>
      </c>
      <c r="BD396" t="str">
        <f>HYPERLINK("http://exon.niaid.nih.gov/transcriptome/Anopheles_sialome/links/KOG/anomin_D7r5-KOG.txt","KOG0735")</f>
        <v>KOG0735</v>
      </c>
      <c r="BE396" t="str">
        <f>HYPERLINK("http://exon.niaid.nih.gov/transcriptome/Anopheles_sialome/links/PFAM/anomin_D7r5-PFAM.txt","PBP_GOBP")</f>
        <v>PBP_GOBP</v>
      </c>
      <c r="BF396" t="str">
        <f>HYPERLINK("http://pfam.sanger.ac.uk/family?acc=PF01395","5E-004")</f>
        <v>5E-004</v>
      </c>
      <c r="BG396" s="2" t="str">
        <f>HYPERLINK("http://exon.niaid.nih.gov/transcriptome/Anopheles_sialome/links/SMART/anomin_D7r5-SMART.txt","PhBP")</f>
        <v>PhBP</v>
      </c>
      <c r="BH396" t="str">
        <f>HYPERLINK("http://smart.embl-heidelberg.de/smart/do_annotation.pl?DOMAIN=PhBP&amp;BLAST=DUMMY","0.019")</f>
        <v>0.019</v>
      </c>
      <c r="BI396" t="s">
        <v>128</v>
      </c>
      <c r="BJ396" s="2" t="s">
        <v>128</v>
      </c>
      <c r="BK396" t="s">
        <v>1120</v>
      </c>
      <c r="BL396">
        <f>HYPERLINK("http://exon.niaid.nih.gov/transcriptome/Anopheles_sialome/links/cluster-b/anopheline-sialome-cds-pep-larger-orf25-50SimCLU2.txt", 2)</f>
        <v>2</v>
      </c>
      <c r="BM396">
        <f>HYPERLINK("http://exon.niaid.nih.gov/transcriptome/Anopheles_sialome/links/cluster-b/anopheline-sialome-cds-pep-larger-orf25-50SimCLTL2.txt", 120)</f>
        <v>120</v>
      </c>
      <c r="BN396">
        <f>HYPERLINK("http://exon.niaid.nih.gov/transcriptome/Anopheles_sialome/links/cluster-b/anopheline-sialome-cds-pep-larger-orf30-50SimCLU2.txt", 2)</f>
        <v>2</v>
      </c>
      <c r="BO396">
        <f>HYPERLINK("http://exon.niaid.nih.gov/transcriptome/Anopheles_sialome/links/cluster-b/anopheline-sialome-cds-pep-larger-orf30-50SimCLTL2.txt", 120)</f>
        <v>120</v>
      </c>
      <c r="BP396">
        <f>HYPERLINK("http://exon.niaid.nih.gov/transcriptome/Anopheles_sialome/links/cluster-b/anopheline-sialome-cds-pep-larger-orf35-50SimCLU1.txt", 1)</f>
        <v>1</v>
      </c>
      <c r="BQ396">
        <f>HYPERLINK("http://exon.niaid.nih.gov/transcriptome/Anopheles_sialome/links/cluster-b/anopheline-sialome-cds-pep-larger-orf35-50SimCLTL1.txt", 120)</f>
        <v>120</v>
      </c>
      <c r="BR396">
        <f>HYPERLINK("http://exon.niaid.nih.gov/transcriptome/Anopheles_sialome/links/cluster-b/anopheline-sialome-cds-pep-larger-orf40-50SimCLU2.txt", 2)</f>
        <v>2</v>
      </c>
      <c r="BS396">
        <f>HYPERLINK("http://exon.niaid.nih.gov/transcriptome/Anopheles_sialome/links/cluster-b/anopheline-sialome-cds-pep-larger-orf40-50SimCLTL2.txt", 83)</f>
        <v>83</v>
      </c>
      <c r="BT396">
        <f>HYPERLINK("http://exon.niaid.nih.gov/transcriptome/Anopheles_sialome/links/cluster-b/anopheline-sialome-cds-pep-larger-orf45-50SimCLU1.txt", 1)</f>
        <v>1</v>
      </c>
      <c r="BU396">
        <f>HYPERLINK("http://exon.niaid.nih.gov/transcriptome/Anopheles_sialome/links/cluster-b/anopheline-sialome-cds-pep-larger-orf45-50SimCLTL1.txt", 83)</f>
        <v>83</v>
      </c>
      <c r="BV396">
        <f>HYPERLINK("http://exon.niaid.nih.gov/transcriptome/Anopheles_sialome/links/cluster-b/anopheline-sialome-cds-pep-larger-orf50-50SimCLU1.txt", 1)</f>
        <v>1</v>
      </c>
      <c r="BW396">
        <f>HYPERLINK("http://exon.niaid.nih.gov/transcriptome/Anopheles_sialome/links/cluster-b/anopheline-sialome-cds-pep-larger-orf50-50SimCLTL1.txt", 83)</f>
        <v>83</v>
      </c>
      <c r="BX396">
        <f>HYPERLINK("http://exon.niaid.nih.gov/transcriptome/Anopheles_sialome/links/cluster-b/anopheline-sialome-cds-pep-larger-orf55-50SimCLU1.txt", 1)</f>
        <v>1</v>
      </c>
      <c r="BY396">
        <f>HYPERLINK("http://exon.niaid.nih.gov/transcriptome/Anopheles_sialome/links/cluster-b/anopheline-sialome-cds-pep-larger-orf55-50SimCLTL1.txt", 79)</f>
        <v>79</v>
      </c>
      <c r="BZ396">
        <f>HYPERLINK("http://exon.niaid.nih.gov/transcriptome/Anopheles_sialome/links/cluster-b/anopheline-sialome-cds-pep-larger-orf60-50SimCLU12.txt", 12)</f>
        <v>12</v>
      </c>
      <c r="CA396">
        <f>HYPERLINK("http://exon.niaid.nih.gov/transcriptome/Anopheles_sialome/links/cluster-b/anopheline-sialome-cds-pep-larger-orf60-50SimCLTL12.txt", 19)</f>
        <v>19</v>
      </c>
      <c r="CB396">
        <f>HYPERLINK("http://exon.niaid.nih.gov/transcriptome/Anopheles_sialome/links/cluster-b/anopheline-sialome-cds-pep-larger-orf65-50SimCLU9.txt", 9)</f>
        <v>9</v>
      </c>
      <c r="CC396">
        <f>HYPERLINK("http://exon.niaid.nih.gov/transcriptome/Anopheles_sialome/links/cluster-b/anopheline-sialome-cds-pep-larger-orf65-50SimCLTL9.txt", 19)</f>
        <v>19</v>
      </c>
      <c r="CD396">
        <f>HYPERLINK("http://exon.niaid.nih.gov/transcriptome/Anopheles_sialome/links/cluster-b/anopheline-sialome-cds-pep-larger-orf70-50SimCLU9.txt", 9)</f>
        <v>9</v>
      </c>
      <c r="CE396">
        <f>HYPERLINK("http://exon.niaid.nih.gov/transcriptome/Anopheles_sialome/links/cluster-b/anopheline-sialome-cds-pep-larger-orf70-50SimCLTL9.txt", 19)</f>
        <v>19</v>
      </c>
      <c r="CF396">
        <f>HYPERLINK("http://exon.niaid.nih.gov/transcriptome/Anopheles_sialome/links/cluster-b/anopheline-sialome-cds-pep-larger-orf75-50SimCLU6.txt", 6)</f>
        <v>6</v>
      </c>
      <c r="CG396">
        <f>HYPERLINK("http://exon.niaid.nih.gov/transcriptome/Anopheles_sialome/links/cluster-b/anopheline-sialome-cds-pep-larger-orf75-50SimCLTL6.txt", 19)</f>
        <v>19</v>
      </c>
      <c r="CH396">
        <f>HYPERLINK("http://exon.niaid.nih.gov/transcriptome/Anopheles_sialome/links/cluster-b/anopheline-sialome-cds-pep-larger-orf80-50SimCLU12.txt", 12)</f>
        <v>12</v>
      </c>
      <c r="CI396">
        <f>HYPERLINK("http://exon.niaid.nih.gov/transcriptome/Anopheles_sialome/links/cluster-b/anopheline-sialome-cds-pep-larger-orf80-50SimCLTL12.txt", 15)</f>
        <v>15</v>
      </c>
      <c r="CJ396">
        <f>HYPERLINK("http://exon.niaid.nih.gov/transcriptome/Anopheles_sialome/links/cluster-b/anopheline-sialome-cds-pep-larger-orf85-50SimCLU16.txt", 16)</f>
        <v>16</v>
      </c>
      <c r="CK396">
        <f>HYPERLINK("http://exon.niaid.nih.gov/transcriptome/Anopheles_sialome/links/cluster-b/anopheline-sialome-cds-pep-larger-orf85-50SimCLTL16.txt", 11)</f>
        <v>11</v>
      </c>
      <c r="CL396">
        <f>HYPERLINK("http://exon.niaid.nih.gov/transcriptome/Anopheles_sialome/links/cluster-b/anopheline-sialome-cds-pep-larger-orf90-50SimCLU69.txt", 69)</f>
        <v>69</v>
      </c>
      <c r="CM396">
        <f>HYPERLINK("http://exon.niaid.nih.gov/transcriptome/Anopheles_sialome/links/cluster-b/anopheline-sialome-cds-pep-larger-orf90-50SimCLTL69.txt", 2)</f>
        <v>2</v>
      </c>
      <c r="CN396">
        <v>192</v>
      </c>
      <c r="CO396">
        <v>1</v>
      </c>
    </row>
    <row r="397" spans="1:93">
      <c r="A397" s="2" t="str">
        <f>HYPERLINK("http://exon.niaid.nih.gov/transcriptome/Anopheles_sialome/links/cds/anocul_D7r5-cds.txt","anocul_D7r5")</f>
        <v>anocul_D7r5</v>
      </c>
      <c r="B397">
        <v>510</v>
      </c>
      <c r="C397" t="s">
        <v>178</v>
      </c>
      <c r="D397" t="s">
        <v>7</v>
      </c>
      <c r="E397" t="s">
        <v>5</v>
      </c>
      <c r="F397" t="s">
        <v>1</v>
      </c>
      <c r="G397" t="str">
        <f>HYPERLINK("http://exon.niaid.nih.gov/transcriptome/Anopheles_sialome/links/pep/anocul_D7r5-pep.txt","anocul_D7r5")</f>
        <v>anocul_D7r5</v>
      </c>
      <c r="H397">
        <v>169</v>
      </c>
      <c r="I397">
        <v>0</v>
      </c>
      <c r="J397" s="3" t="str">
        <f>HYPERLINK("http://exon.niaid.nih.gov/transcriptome/Anopheles_sialome/links/Sigp/anocul_D7r5-SigP.txt","SIG")</f>
        <v>SIG</v>
      </c>
      <c r="K397" t="s">
        <v>708</v>
      </c>
      <c r="L397">
        <v>18.728000000000002</v>
      </c>
      <c r="M397">
        <v>5.9</v>
      </c>
      <c r="N397">
        <v>16.236999999999998</v>
      </c>
      <c r="O397">
        <v>5.49</v>
      </c>
      <c r="P397" t="s">
        <v>1123</v>
      </c>
      <c r="Q397" s="3" t="str">
        <f>HYPERLINK("http://exon.niaid.nih.gov/transcriptome/Anopheles_sialome/links/tmhmm/anocul_D7r5-tmhmm.txt","1")</f>
        <v>1</v>
      </c>
      <c r="R397">
        <v>11.2</v>
      </c>
      <c r="S397">
        <v>84.6</v>
      </c>
      <c r="T397">
        <v>4.0999999999999996</v>
      </c>
      <c r="U397" t="s">
        <v>128</v>
      </c>
      <c r="V397">
        <v>143</v>
      </c>
      <c r="W397" s="3" t="str">
        <f>HYPERLINK("http://exon.niaid.nih.gov/transcriptome/Anopheles_sialome/links/netoglyc/anocul_D7r5-netoglyc.txt","0")</f>
        <v>0</v>
      </c>
      <c r="X397">
        <v>11.8</v>
      </c>
      <c r="Y397">
        <v>5.3</v>
      </c>
      <c r="Z397">
        <v>1.8</v>
      </c>
      <c r="AA397" t="s">
        <v>654</v>
      </c>
      <c r="AB397" t="s">
        <v>128</v>
      </c>
      <c r="AC397" s="2" t="str">
        <f>HYPERLINK("http://exon.niaid.nih.gov/transcriptome/Anopheles_sialome/links/DIPTERA/anocul_D7r5-DIPTERA.txt","AGAP008280-PA")</f>
        <v>AGAP008280-PA</v>
      </c>
      <c r="AD397" t="str">
        <f>HYPERLINK("http://www.ncbi.nlm.nih.gov/sutils/blink.cgi?pid=30175327","2E-061")</f>
        <v>2E-061</v>
      </c>
      <c r="AE397" t="str">
        <f t="shared" si="147"/>
        <v>gi|30175327</v>
      </c>
      <c r="AF397">
        <v>68</v>
      </c>
      <c r="AG397">
        <v>82</v>
      </c>
      <c r="AH397">
        <v>102</v>
      </c>
      <c r="AI397" t="s">
        <v>2285</v>
      </c>
      <c r="AJ397" s="2" t="str">
        <f>HYPERLINK("http://exon.niaid.nih.gov/transcriptome/Anopheles_sialome/links/CULICOMORPHA/anocul_D7r5-CULICOMORPHA.txt","AGAP008280-PA")</f>
        <v>AGAP008280-PA</v>
      </c>
      <c r="AK397" t="str">
        <f>HYPERLINK("http://www.ncbi.nlm.nih.gov/sutils/blink.cgi?pid=30175327","4E-062")</f>
        <v>4E-062</v>
      </c>
      <c r="AL397" t="str">
        <f t="shared" si="148"/>
        <v>gi|30175327</v>
      </c>
      <c r="AM397">
        <v>68</v>
      </c>
      <c r="AN397">
        <v>82</v>
      </c>
      <c r="AO397">
        <v>102</v>
      </c>
      <c r="AP397" t="s">
        <v>2285</v>
      </c>
      <c r="AQ397" s="2" t="str">
        <f>HYPERLINK("http://exon.niaid.nih.gov/transcriptome/Anopheles_sialome/links/NR-LIGHT/anocul_D7r5-NR-LIGHT.txt","AGAP008280-PA")</f>
        <v>AGAP008280-PA</v>
      </c>
      <c r="AR397" t="str">
        <f>HYPERLINK("http://www.ncbi.nlm.nih.gov/sutils/blink.cgi?pid=31222512","5E-061")</f>
        <v>5E-061</v>
      </c>
      <c r="AS397" t="str">
        <f t="shared" si="149"/>
        <v>gi|31222512</v>
      </c>
      <c r="AT397">
        <v>68</v>
      </c>
      <c r="AU397">
        <v>82</v>
      </c>
      <c r="AV397">
        <v>102</v>
      </c>
      <c r="AW397" t="s">
        <v>2285</v>
      </c>
      <c r="AX397" s="2" t="str">
        <f>HYPERLINK("http://exon.niaid.nih.gov/transcriptome/Anopheles_sialome/links/CDD/anocul_D7r5-CDD.txt","PBP_GOBP")</f>
        <v>PBP_GOBP</v>
      </c>
      <c r="AY397" t="str">
        <f>HYPERLINK("http://www.ncbi.nlm.nih.gov/Structure/cdd/cddsrv.cgi?uid=pfam01395&amp;version=v4.0","0.090")</f>
        <v>0.090</v>
      </c>
      <c r="AZ397" t="s">
        <v>2540</v>
      </c>
      <c r="BA397" s="2" t="str">
        <f>HYPERLINK("http://exon.niaid.nih.gov/transcriptome/Anopheles_sialome/links/KOG/anocul_D7r5-KOG.txt","AAA+-type ATPase")</f>
        <v>AAA+-type ATPase</v>
      </c>
      <c r="BB397" t="str">
        <f>HYPERLINK("http://www.ncbi.nlm.nih.gov/Structure/cdd/cddsrv.cgi?uid=KOG0735","0.43")</f>
        <v>0.43</v>
      </c>
      <c r="BC397" t="s">
        <v>2296</v>
      </c>
      <c r="BD397" t="str">
        <f>HYPERLINK("http://exon.niaid.nih.gov/transcriptome/Anopheles_sialome/links/KOG/anocul_D7r5-KOG.txt","KOG0735")</f>
        <v>KOG0735</v>
      </c>
      <c r="BE397" t="str">
        <f>HYPERLINK("http://exon.niaid.nih.gov/transcriptome/Anopheles_sialome/links/PFAM/anocul_D7r5-PFAM.txt","PBP_GOBP")</f>
        <v>PBP_GOBP</v>
      </c>
      <c r="BF397" t="str">
        <f>HYPERLINK("http://pfam.sanger.ac.uk/family?acc=PF01395","0.020")</f>
        <v>0.020</v>
      </c>
      <c r="BG397" s="2" t="str">
        <f>HYPERLINK("http://exon.niaid.nih.gov/transcriptome/Anopheles_sialome/links/SMART/anocul_D7r5-SMART.txt","PhBP")</f>
        <v>PhBP</v>
      </c>
      <c r="BH397" t="str">
        <f>HYPERLINK("http://smart.embl-heidelberg.de/smart/do_annotation.pl?DOMAIN=PhBP&amp;BLAST=DUMMY","0.52")</f>
        <v>0.52</v>
      </c>
      <c r="BI397" t="s">
        <v>128</v>
      </c>
      <c r="BJ397" s="2" t="s">
        <v>128</v>
      </c>
      <c r="BK397" t="s">
        <v>1122</v>
      </c>
      <c r="BL397">
        <f>HYPERLINK("http://exon.niaid.nih.gov/transcriptome/Anopheles_sialome/links/cluster-b/anopheline-sialome-cds-pep-larger-orf25-50SimCLU2.txt", 2)</f>
        <v>2</v>
      </c>
      <c r="BM397">
        <f>HYPERLINK("http://exon.niaid.nih.gov/transcriptome/Anopheles_sialome/links/cluster-b/anopheline-sialome-cds-pep-larger-orf25-50SimCLTL2.txt", 120)</f>
        <v>120</v>
      </c>
      <c r="BN397">
        <f>HYPERLINK("http://exon.niaid.nih.gov/transcriptome/Anopheles_sialome/links/cluster-b/anopheline-sialome-cds-pep-larger-orf30-50SimCLU2.txt", 2)</f>
        <v>2</v>
      </c>
      <c r="BO397">
        <f>HYPERLINK("http://exon.niaid.nih.gov/transcriptome/Anopheles_sialome/links/cluster-b/anopheline-sialome-cds-pep-larger-orf30-50SimCLTL2.txt", 120)</f>
        <v>120</v>
      </c>
      <c r="BP397">
        <f>HYPERLINK("http://exon.niaid.nih.gov/transcriptome/Anopheles_sialome/links/cluster-b/anopheline-sialome-cds-pep-larger-orf35-50SimCLU1.txt", 1)</f>
        <v>1</v>
      </c>
      <c r="BQ397">
        <f>HYPERLINK("http://exon.niaid.nih.gov/transcriptome/Anopheles_sialome/links/cluster-b/anopheline-sialome-cds-pep-larger-orf35-50SimCLTL1.txt", 120)</f>
        <v>120</v>
      </c>
      <c r="BR397">
        <f>HYPERLINK("http://exon.niaid.nih.gov/transcriptome/Anopheles_sialome/links/cluster-b/anopheline-sialome-cds-pep-larger-orf40-50SimCLU2.txt", 2)</f>
        <v>2</v>
      </c>
      <c r="BS397">
        <f>HYPERLINK("http://exon.niaid.nih.gov/transcriptome/Anopheles_sialome/links/cluster-b/anopheline-sialome-cds-pep-larger-orf40-50SimCLTL2.txt", 83)</f>
        <v>83</v>
      </c>
      <c r="BT397">
        <f>HYPERLINK("http://exon.niaid.nih.gov/transcriptome/Anopheles_sialome/links/cluster-b/anopheline-sialome-cds-pep-larger-orf45-50SimCLU1.txt", 1)</f>
        <v>1</v>
      </c>
      <c r="BU397">
        <f>HYPERLINK("http://exon.niaid.nih.gov/transcriptome/Anopheles_sialome/links/cluster-b/anopheline-sialome-cds-pep-larger-orf45-50SimCLTL1.txt", 83)</f>
        <v>83</v>
      </c>
      <c r="BV397">
        <f>HYPERLINK("http://exon.niaid.nih.gov/transcriptome/Anopheles_sialome/links/cluster-b/anopheline-sialome-cds-pep-larger-orf50-50SimCLU1.txt", 1)</f>
        <v>1</v>
      </c>
      <c r="BW397">
        <f>HYPERLINK("http://exon.niaid.nih.gov/transcriptome/Anopheles_sialome/links/cluster-b/anopheline-sialome-cds-pep-larger-orf50-50SimCLTL1.txt", 83)</f>
        <v>83</v>
      </c>
      <c r="BX397">
        <f>HYPERLINK("http://exon.niaid.nih.gov/transcriptome/Anopheles_sialome/links/cluster-b/anopheline-sialome-cds-pep-larger-orf55-50SimCLU1.txt", 1)</f>
        <v>1</v>
      </c>
      <c r="BY397">
        <f>HYPERLINK("http://exon.niaid.nih.gov/transcriptome/Anopheles_sialome/links/cluster-b/anopheline-sialome-cds-pep-larger-orf55-50SimCLTL1.txt", 79)</f>
        <v>79</v>
      </c>
      <c r="BZ397">
        <f>HYPERLINK("http://exon.niaid.nih.gov/transcriptome/Anopheles_sialome/links/cluster-b/anopheline-sialome-cds-pep-larger-orf60-50SimCLU12.txt", 12)</f>
        <v>12</v>
      </c>
      <c r="CA397">
        <f>HYPERLINK("http://exon.niaid.nih.gov/transcriptome/Anopheles_sialome/links/cluster-b/anopheline-sialome-cds-pep-larger-orf60-50SimCLTL12.txt", 19)</f>
        <v>19</v>
      </c>
      <c r="CB397">
        <f>HYPERLINK("http://exon.niaid.nih.gov/transcriptome/Anopheles_sialome/links/cluster-b/anopheline-sialome-cds-pep-larger-orf65-50SimCLU9.txt", 9)</f>
        <v>9</v>
      </c>
      <c r="CC397">
        <f>HYPERLINK("http://exon.niaid.nih.gov/transcriptome/Anopheles_sialome/links/cluster-b/anopheline-sialome-cds-pep-larger-orf65-50SimCLTL9.txt", 19)</f>
        <v>19</v>
      </c>
      <c r="CD397">
        <f>HYPERLINK("http://exon.niaid.nih.gov/transcriptome/Anopheles_sialome/links/cluster-b/anopheline-sialome-cds-pep-larger-orf70-50SimCLU9.txt", 9)</f>
        <v>9</v>
      </c>
      <c r="CE397">
        <f>HYPERLINK("http://exon.niaid.nih.gov/transcriptome/Anopheles_sialome/links/cluster-b/anopheline-sialome-cds-pep-larger-orf70-50SimCLTL9.txt", 19)</f>
        <v>19</v>
      </c>
      <c r="CF397">
        <f>HYPERLINK("http://exon.niaid.nih.gov/transcriptome/Anopheles_sialome/links/cluster-b/anopheline-sialome-cds-pep-larger-orf75-50SimCLU6.txt", 6)</f>
        <v>6</v>
      </c>
      <c r="CG397">
        <f>HYPERLINK("http://exon.niaid.nih.gov/transcriptome/Anopheles_sialome/links/cluster-b/anopheline-sialome-cds-pep-larger-orf75-50SimCLTL6.txt", 19)</f>
        <v>19</v>
      </c>
      <c r="CH397">
        <f>HYPERLINK("http://exon.niaid.nih.gov/transcriptome/Anopheles_sialome/links/cluster-b/anopheline-sialome-cds-pep-larger-orf80-50SimCLU12.txt", 12)</f>
        <v>12</v>
      </c>
      <c r="CI397">
        <f>HYPERLINK("http://exon.niaid.nih.gov/transcriptome/Anopheles_sialome/links/cluster-b/anopheline-sialome-cds-pep-larger-orf80-50SimCLTL12.txt", 15)</f>
        <v>15</v>
      </c>
      <c r="CJ397">
        <f>HYPERLINK("http://exon.niaid.nih.gov/transcriptome/Anopheles_sialome/links/cluster-b/anopheline-sialome-cds-pep-larger-orf85-50SimCLU16.txt", 16)</f>
        <v>16</v>
      </c>
      <c r="CK397">
        <f>HYPERLINK("http://exon.niaid.nih.gov/transcriptome/Anopheles_sialome/links/cluster-b/anopheline-sialome-cds-pep-larger-orf85-50SimCLTL16.txt", 11)</f>
        <v>11</v>
      </c>
      <c r="CL397">
        <f>HYPERLINK("http://exon.niaid.nih.gov/transcriptome/Anopheles_sialome/links/cluster-b/anopheline-sialome-cds-pep-larger-orf90-50SimCLU69.txt", 69)</f>
        <v>69</v>
      </c>
      <c r="CM397">
        <f>HYPERLINK("http://exon.niaid.nih.gov/transcriptome/Anopheles_sialome/links/cluster-b/anopheline-sialome-cds-pep-larger-orf90-50SimCLTL69.txt", 2)</f>
        <v>2</v>
      </c>
      <c r="CN397">
        <v>193</v>
      </c>
      <c r="CO397">
        <v>1</v>
      </c>
    </row>
    <row r="398" spans="1:93">
      <c r="A398" s="2" t="str">
        <f>HYPERLINK("http://exon.niaid.nih.gov/transcriptome/Anopheles_sialome/links/cds/anoste_D7r5-cds.txt","anoste_D7r5")</f>
        <v>anoste_D7r5</v>
      </c>
      <c r="B398">
        <v>522</v>
      </c>
      <c r="C398" t="s">
        <v>156</v>
      </c>
      <c r="D398" t="s">
        <v>7</v>
      </c>
      <c r="E398" t="s">
        <v>5</v>
      </c>
      <c r="F398" t="s">
        <v>1</v>
      </c>
      <c r="G398" t="str">
        <f>HYPERLINK("http://exon.niaid.nih.gov/transcriptome/Anopheles_sialome/links/pep/anoste_D7r5-pep.txt","anoste_D7r5")</f>
        <v>anoste_D7r5</v>
      </c>
      <c r="H398">
        <v>173</v>
      </c>
      <c r="I398">
        <v>0</v>
      </c>
      <c r="J398" s="3" t="str">
        <f>HYPERLINK("http://exon.niaid.nih.gov/transcriptome/Anopheles_sialome/links/Sigp/anoste_D7r5-SigP.txt","SIG")</f>
        <v>SIG</v>
      </c>
      <c r="K398" t="s">
        <v>949</v>
      </c>
      <c r="L398">
        <v>19.302</v>
      </c>
      <c r="M398">
        <v>8.51</v>
      </c>
      <c r="N398">
        <v>16.117000000000001</v>
      </c>
      <c r="O398">
        <v>6.75</v>
      </c>
      <c r="P398" t="s">
        <v>1125</v>
      </c>
      <c r="Q398" s="3">
        <v>0</v>
      </c>
      <c r="R398" t="s">
        <v>128</v>
      </c>
      <c r="S398" t="s">
        <v>128</v>
      </c>
      <c r="T398" t="s">
        <v>128</v>
      </c>
      <c r="U398" t="s">
        <v>128</v>
      </c>
      <c r="V398" t="s">
        <v>128</v>
      </c>
      <c r="W398" s="3" t="str">
        <f>HYPERLINK("http://exon.niaid.nih.gov/transcriptome/Anopheles_sialome/links/netoglyc/anoste_D7r5-netoglyc.txt","0")</f>
        <v>0</v>
      </c>
      <c r="X398">
        <v>15</v>
      </c>
      <c r="Y398">
        <v>3.5</v>
      </c>
      <c r="Z398">
        <v>1.2</v>
      </c>
      <c r="AA398" t="s">
        <v>654</v>
      </c>
      <c r="AB398" t="s">
        <v>1126</v>
      </c>
      <c r="AC398" s="2" t="str">
        <f>HYPERLINK("http://exon.niaid.nih.gov/transcriptome/Anopheles_sialome/links/DIPTERA/anoste_D7r5-DIPTERA.txt","D7-related 5 protein")</f>
        <v>D7-related 5 protein</v>
      </c>
      <c r="AD398" t="str">
        <f>HYPERLINK("http://www.ncbi.nlm.nih.gov/sutils/blink.cgi?pid=18378603","7E-062")</f>
        <v>7E-062</v>
      </c>
      <c r="AE398" t="str">
        <f>HYPERLINK("http://www.ncbi.nlm.nih.gov/protein/18378603","gi|18378603")</f>
        <v>gi|18378603</v>
      </c>
      <c r="AF398">
        <v>72</v>
      </c>
      <c r="AG398">
        <v>85</v>
      </c>
      <c r="AH398">
        <v>96</v>
      </c>
      <c r="AI398" t="s">
        <v>2254</v>
      </c>
      <c r="AJ398" s="2" t="str">
        <f>HYPERLINK("http://exon.niaid.nih.gov/transcriptome/Anopheles_sialome/links/CULICOMORPHA/anoste_D7r5-CULICOMORPHA.txt","D7-related 5 protein")</f>
        <v>D7-related 5 protein</v>
      </c>
      <c r="AK398" t="str">
        <f>HYPERLINK("http://www.ncbi.nlm.nih.gov/sutils/blink.cgi?pid=18378603","1E-062")</f>
        <v>1E-062</v>
      </c>
      <c r="AL398" t="str">
        <f>HYPERLINK("http://www.ncbi.nlm.nih.gov/protein/18378603","gi|18378603")</f>
        <v>gi|18378603</v>
      </c>
      <c r="AM398">
        <v>72</v>
      </c>
      <c r="AN398">
        <v>85</v>
      </c>
      <c r="AO398">
        <v>96</v>
      </c>
      <c r="AP398" t="s">
        <v>2254</v>
      </c>
      <c r="AQ398" s="2" t="str">
        <f>HYPERLINK("http://exon.niaid.nih.gov/transcriptome/Anopheles_sialome/links/NR-LIGHT/anoste_D7r5-NR-LIGHT.txt","D7-related 5 protein")</f>
        <v>D7-related 5 protein</v>
      </c>
      <c r="AR398" t="str">
        <f>HYPERLINK("http://www.ncbi.nlm.nih.gov/sutils/blink.cgi?pid=18378603","2E-061")</f>
        <v>2E-061</v>
      </c>
      <c r="AS398" t="str">
        <f>HYPERLINK("http://www.ncbi.nlm.nih.gov/protein/18378603","gi|18378603")</f>
        <v>gi|18378603</v>
      </c>
      <c r="AT398">
        <v>72</v>
      </c>
      <c r="AU398">
        <v>85</v>
      </c>
      <c r="AV398">
        <v>96</v>
      </c>
      <c r="AW398" t="s">
        <v>2254</v>
      </c>
      <c r="AX398" s="2" t="str">
        <f>HYPERLINK("http://exon.niaid.nih.gov/transcriptome/Anopheles_sialome/links/CDD/anoste_D7r5-CDD.txt","PBP_GOBP")</f>
        <v>PBP_GOBP</v>
      </c>
      <c r="AY398" t="str">
        <f>HYPERLINK("http://www.ncbi.nlm.nih.gov/Structure/cdd/cddsrv.cgi?uid=pfam01395&amp;version=v4.0","0.002")</f>
        <v>0.002</v>
      </c>
      <c r="AZ398" t="s">
        <v>2541</v>
      </c>
      <c r="BA398" s="2" t="str">
        <f>HYPERLINK("http://exon.niaid.nih.gov/transcriptome/Anopheles_sialome/links/KOG/anoste_D7r5-KOG.txt","Origin recognition complex, subunit 3")</f>
        <v>Origin recognition complex, subunit 3</v>
      </c>
      <c r="BB398" t="str">
        <f>HYPERLINK("http://www.ncbi.nlm.nih.gov/Structure/cdd/cddsrv.cgi?uid=KOG2538","1.7")</f>
        <v>1.7</v>
      </c>
      <c r="BC398" t="s">
        <v>2290</v>
      </c>
      <c r="BD398" t="str">
        <f>HYPERLINK("http://exon.niaid.nih.gov/transcriptome/Anopheles_sialome/links/KOG/anoste_D7r5-KOG.txt","KOG2538")</f>
        <v>KOG2538</v>
      </c>
      <c r="BE398" t="str">
        <f>HYPERLINK("http://exon.niaid.nih.gov/transcriptome/Anopheles_sialome/links/PFAM/anoste_D7r5-PFAM.txt","PBP_GOBP")</f>
        <v>PBP_GOBP</v>
      </c>
      <c r="BF398" t="str">
        <f>HYPERLINK("http://pfam.sanger.ac.uk/family?acc=PF01395","5E-004")</f>
        <v>5E-004</v>
      </c>
      <c r="BG398" s="2" t="str">
        <f>HYPERLINK("http://exon.niaid.nih.gov/transcriptome/Anopheles_sialome/links/SMART/anoste_D7r5-SMART.txt","PhBP")</f>
        <v>PhBP</v>
      </c>
      <c r="BH398" t="str">
        <f>HYPERLINK("http://smart.embl-heidelberg.de/smart/do_annotation.pl?DOMAIN=PhBP&amp;BLAST=DUMMY","0.23")</f>
        <v>0.23</v>
      </c>
      <c r="BI398" t="s">
        <v>128</v>
      </c>
      <c r="BJ398" s="2" t="s">
        <v>128</v>
      </c>
      <c r="BK398" t="s">
        <v>1124</v>
      </c>
      <c r="BL398">
        <f>HYPERLINK("http://exon.niaid.nih.gov/transcriptome/Anopheles_sialome/links/cluster-b/anopheline-sialome-cds-pep-larger-orf25-50SimCLU2.txt", 2)</f>
        <v>2</v>
      </c>
      <c r="BM398">
        <f>HYPERLINK("http://exon.niaid.nih.gov/transcriptome/Anopheles_sialome/links/cluster-b/anopheline-sialome-cds-pep-larger-orf25-50SimCLTL2.txt", 120)</f>
        <v>120</v>
      </c>
      <c r="BN398">
        <f>HYPERLINK("http://exon.niaid.nih.gov/transcriptome/Anopheles_sialome/links/cluster-b/anopheline-sialome-cds-pep-larger-orf30-50SimCLU2.txt", 2)</f>
        <v>2</v>
      </c>
      <c r="BO398">
        <f>HYPERLINK("http://exon.niaid.nih.gov/transcriptome/Anopheles_sialome/links/cluster-b/anopheline-sialome-cds-pep-larger-orf30-50SimCLTL2.txt", 120)</f>
        <v>120</v>
      </c>
      <c r="BP398">
        <f>HYPERLINK("http://exon.niaid.nih.gov/transcriptome/Anopheles_sialome/links/cluster-b/anopheline-sialome-cds-pep-larger-orf35-50SimCLU1.txt", 1)</f>
        <v>1</v>
      </c>
      <c r="BQ398">
        <f>HYPERLINK("http://exon.niaid.nih.gov/transcriptome/Anopheles_sialome/links/cluster-b/anopheline-sialome-cds-pep-larger-orf35-50SimCLTL1.txt", 120)</f>
        <v>120</v>
      </c>
      <c r="BR398">
        <f>HYPERLINK("http://exon.niaid.nih.gov/transcriptome/Anopheles_sialome/links/cluster-b/anopheline-sialome-cds-pep-larger-orf40-50SimCLU2.txt", 2)</f>
        <v>2</v>
      </c>
      <c r="BS398">
        <f>HYPERLINK("http://exon.niaid.nih.gov/transcriptome/Anopheles_sialome/links/cluster-b/anopheline-sialome-cds-pep-larger-orf40-50SimCLTL2.txt", 83)</f>
        <v>83</v>
      </c>
      <c r="BT398">
        <f>HYPERLINK("http://exon.niaid.nih.gov/transcriptome/Anopheles_sialome/links/cluster-b/anopheline-sialome-cds-pep-larger-orf45-50SimCLU1.txt", 1)</f>
        <v>1</v>
      </c>
      <c r="BU398">
        <f>HYPERLINK("http://exon.niaid.nih.gov/transcriptome/Anopheles_sialome/links/cluster-b/anopheline-sialome-cds-pep-larger-orf45-50SimCLTL1.txt", 83)</f>
        <v>83</v>
      </c>
      <c r="BV398">
        <f>HYPERLINK("http://exon.niaid.nih.gov/transcriptome/Anopheles_sialome/links/cluster-b/anopheline-sialome-cds-pep-larger-orf50-50SimCLU1.txt", 1)</f>
        <v>1</v>
      </c>
      <c r="BW398">
        <f>HYPERLINK("http://exon.niaid.nih.gov/transcriptome/Anopheles_sialome/links/cluster-b/anopheline-sialome-cds-pep-larger-orf50-50SimCLTL1.txt", 83)</f>
        <v>83</v>
      </c>
      <c r="BX398">
        <f>HYPERLINK("http://exon.niaid.nih.gov/transcriptome/Anopheles_sialome/links/cluster-b/anopheline-sialome-cds-pep-larger-orf55-50SimCLU1.txt", 1)</f>
        <v>1</v>
      </c>
      <c r="BY398">
        <f>HYPERLINK("http://exon.niaid.nih.gov/transcriptome/Anopheles_sialome/links/cluster-b/anopheline-sialome-cds-pep-larger-orf55-50SimCLTL1.txt", 79)</f>
        <v>79</v>
      </c>
      <c r="BZ398">
        <f>HYPERLINK("http://exon.niaid.nih.gov/transcriptome/Anopheles_sialome/links/cluster-b/anopheline-sialome-cds-pep-larger-orf60-50SimCLU12.txt", 12)</f>
        <v>12</v>
      </c>
      <c r="CA398">
        <f>HYPERLINK("http://exon.niaid.nih.gov/transcriptome/Anopheles_sialome/links/cluster-b/anopheline-sialome-cds-pep-larger-orf60-50SimCLTL12.txt", 19)</f>
        <v>19</v>
      </c>
      <c r="CB398">
        <f>HYPERLINK("http://exon.niaid.nih.gov/transcriptome/Anopheles_sialome/links/cluster-b/anopheline-sialome-cds-pep-larger-orf65-50SimCLU9.txt", 9)</f>
        <v>9</v>
      </c>
      <c r="CC398">
        <f>HYPERLINK("http://exon.niaid.nih.gov/transcriptome/Anopheles_sialome/links/cluster-b/anopheline-sialome-cds-pep-larger-orf65-50SimCLTL9.txt", 19)</f>
        <v>19</v>
      </c>
      <c r="CD398">
        <f>HYPERLINK("http://exon.niaid.nih.gov/transcriptome/Anopheles_sialome/links/cluster-b/anopheline-sialome-cds-pep-larger-orf70-50SimCLU9.txt", 9)</f>
        <v>9</v>
      </c>
      <c r="CE398">
        <f>HYPERLINK("http://exon.niaid.nih.gov/transcriptome/Anopheles_sialome/links/cluster-b/anopheline-sialome-cds-pep-larger-orf70-50SimCLTL9.txt", 19)</f>
        <v>19</v>
      </c>
      <c r="CF398">
        <f>HYPERLINK("http://exon.niaid.nih.gov/transcriptome/Anopheles_sialome/links/cluster-b/anopheline-sialome-cds-pep-larger-orf75-50SimCLU6.txt", 6)</f>
        <v>6</v>
      </c>
      <c r="CG398">
        <f>HYPERLINK("http://exon.niaid.nih.gov/transcriptome/Anopheles_sialome/links/cluster-b/anopheline-sialome-cds-pep-larger-orf75-50SimCLTL6.txt", 19)</f>
        <v>19</v>
      </c>
      <c r="CH398">
        <f>HYPERLINK("http://exon.niaid.nih.gov/transcriptome/Anopheles_sialome/links/cluster-b/anopheline-sialome-cds-pep-larger-orf80-50SimCLU12.txt", 12)</f>
        <v>12</v>
      </c>
      <c r="CI398">
        <f>HYPERLINK("http://exon.niaid.nih.gov/transcriptome/Anopheles_sialome/links/cluster-b/anopheline-sialome-cds-pep-larger-orf80-50SimCLTL12.txt", 15)</f>
        <v>15</v>
      </c>
      <c r="CJ398">
        <f>HYPERLINK("http://exon.niaid.nih.gov/transcriptome/Anopheles_sialome/links/cluster-b/anopheline-sialome-cds-pep-larger-orf85-50SimCLU73.txt", 73)</f>
        <v>73</v>
      </c>
      <c r="CK398">
        <f>HYPERLINK("http://exon.niaid.nih.gov/transcriptome/Anopheles_sialome/links/cluster-b/anopheline-sialome-cds-pep-larger-orf85-50SimCLTL73.txt", 2)</f>
        <v>2</v>
      </c>
      <c r="CL398">
        <f>HYPERLINK("http://exon.niaid.nih.gov/transcriptome/Anopheles_sialome/links/cluster-b/anopheline-sialome-cds-pep-larger-orf90-50SimCLU70.txt", 70)</f>
        <v>70</v>
      </c>
      <c r="CM398">
        <f>HYPERLINK("http://exon.niaid.nih.gov/transcriptome/Anopheles_sialome/links/cluster-b/anopheline-sialome-cds-pep-larger-orf90-50SimCLTL70.txt", 2)</f>
        <v>2</v>
      </c>
      <c r="CN398">
        <v>194</v>
      </c>
      <c r="CO398">
        <v>1</v>
      </c>
    </row>
    <row r="399" spans="1:93">
      <c r="A399" s="2" t="str">
        <f>HYPERLINK("http://exon.niaid.nih.gov/transcriptome/Anopheles_sialome/links/cds/anomac_D7r5-cds.txt","anomac_D7r5")</f>
        <v>anomac_D7r5</v>
      </c>
      <c r="B399">
        <v>522</v>
      </c>
      <c r="C399" t="s">
        <v>182</v>
      </c>
      <c r="D399" t="s">
        <v>7</v>
      </c>
      <c r="E399" t="s">
        <v>5</v>
      </c>
      <c r="F399" t="s">
        <v>1</v>
      </c>
      <c r="G399" t="str">
        <f>HYPERLINK("http://exon.niaid.nih.gov/transcriptome/Anopheles_sialome/links/pep/anomac_D7r5-pep.txt","anomac_D7r5")</f>
        <v>anomac_D7r5</v>
      </c>
      <c r="H399">
        <v>173</v>
      </c>
      <c r="I399">
        <v>0</v>
      </c>
      <c r="J399" s="3" t="str">
        <f>HYPERLINK("http://exon.niaid.nih.gov/transcriptome/Anopheles_sialome/links/Sigp/anomac_D7r5-SigP.txt","SIG")</f>
        <v>SIG</v>
      </c>
      <c r="K399" t="s">
        <v>949</v>
      </c>
      <c r="L399">
        <v>19.254999999999999</v>
      </c>
      <c r="M399">
        <v>8.49</v>
      </c>
      <c r="N399">
        <v>16.241</v>
      </c>
      <c r="O399">
        <v>7.74</v>
      </c>
      <c r="P399" t="s">
        <v>1128</v>
      </c>
      <c r="Q399" s="3">
        <v>0</v>
      </c>
      <c r="R399" t="s">
        <v>128</v>
      </c>
      <c r="S399" t="s">
        <v>128</v>
      </c>
      <c r="T399" t="s">
        <v>128</v>
      </c>
      <c r="U399" t="s">
        <v>128</v>
      </c>
      <c r="V399" t="s">
        <v>128</v>
      </c>
      <c r="W399" s="3" t="str">
        <f>HYPERLINK("http://exon.niaid.nih.gov/transcriptome/Anopheles_sialome/links/netoglyc/anomac_D7r5-netoglyc.txt","0")</f>
        <v>0</v>
      </c>
      <c r="X399">
        <v>14.5</v>
      </c>
      <c r="Y399">
        <v>3.5</v>
      </c>
      <c r="Z399">
        <v>1.7</v>
      </c>
      <c r="AA399" t="s">
        <v>654</v>
      </c>
      <c r="AB399" t="s">
        <v>1129</v>
      </c>
      <c r="AC399" s="2" t="str">
        <f>HYPERLINK("http://exon.niaid.nih.gov/transcriptome/Anopheles_sialome/links/DIPTERA/anomac_D7r5-DIPTERA.txt","AGAP008280-PA")</f>
        <v>AGAP008280-PA</v>
      </c>
      <c r="AD399" t="str">
        <f>HYPERLINK("http://www.ncbi.nlm.nih.gov/sutils/blink.cgi?pid=30175327","1E-060")</f>
        <v>1E-060</v>
      </c>
      <c r="AE399" t="str">
        <f>HYPERLINK("http://www.ncbi.nlm.nih.gov/protein/30175327","gi|30175327")</f>
        <v>gi|30175327</v>
      </c>
      <c r="AF399">
        <v>70</v>
      </c>
      <c r="AG399">
        <v>83</v>
      </c>
      <c r="AH399">
        <v>96</v>
      </c>
      <c r="AI399" t="s">
        <v>2285</v>
      </c>
      <c r="AJ399" s="2" t="str">
        <f>HYPERLINK("http://exon.niaid.nih.gov/transcriptome/Anopheles_sialome/links/CULICOMORPHA/anomac_D7r5-CULICOMORPHA.txt","AGAP008280-PA")</f>
        <v>AGAP008280-PA</v>
      </c>
      <c r="AK399" t="str">
        <f>HYPERLINK("http://www.ncbi.nlm.nih.gov/sutils/blink.cgi?pid=30175327","3E-061")</f>
        <v>3E-061</v>
      </c>
      <c r="AL399" t="str">
        <f>HYPERLINK("http://www.ncbi.nlm.nih.gov/protein/30175327","gi|30175327")</f>
        <v>gi|30175327</v>
      </c>
      <c r="AM399">
        <v>70</v>
      </c>
      <c r="AN399">
        <v>83</v>
      </c>
      <c r="AO399">
        <v>96</v>
      </c>
      <c r="AP399" t="s">
        <v>2285</v>
      </c>
      <c r="AQ399" s="2" t="str">
        <f>HYPERLINK("http://exon.niaid.nih.gov/transcriptome/Anopheles_sialome/links/NR-LIGHT/anomac_D7r5-NR-LIGHT.txt","AGAP008280-PA")</f>
        <v>AGAP008280-PA</v>
      </c>
      <c r="AR399" t="str">
        <f>HYPERLINK("http://www.ncbi.nlm.nih.gov/sutils/blink.cgi?pid=31222512","3E-060")</f>
        <v>3E-060</v>
      </c>
      <c r="AS399" t="str">
        <f>HYPERLINK("http://www.ncbi.nlm.nih.gov/protein/31222512","gi|31222512")</f>
        <v>gi|31222512</v>
      </c>
      <c r="AT399">
        <v>70</v>
      </c>
      <c r="AU399">
        <v>83</v>
      </c>
      <c r="AV399">
        <v>96</v>
      </c>
      <c r="AW399" t="s">
        <v>2285</v>
      </c>
      <c r="AX399" s="2" t="str">
        <f>HYPERLINK("http://exon.niaid.nih.gov/transcriptome/Anopheles_sialome/links/CDD/anomac_D7r5-CDD.txt","PBP_GOBP")</f>
        <v>PBP_GOBP</v>
      </c>
      <c r="AY399" t="str">
        <f>HYPERLINK("http://www.ncbi.nlm.nih.gov/Structure/cdd/cddsrv.cgi?uid=pfam01395&amp;version=v4.0","0.007")</f>
        <v>0.007</v>
      </c>
      <c r="AZ399" t="s">
        <v>2542</v>
      </c>
      <c r="BA399" s="2" t="str">
        <f>HYPERLINK("http://exon.niaid.nih.gov/transcriptome/Anopheles_sialome/links/KOG/anomac_D7r5-KOG.txt","Ran GTPase-activating protein")</f>
        <v>Ran GTPase-activating protein</v>
      </c>
      <c r="BB399" t="str">
        <f>HYPERLINK("http://www.ncbi.nlm.nih.gov/Structure/cdd/cddsrv.cgi?uid=KOG1909","0.53")</f>
        <v>0.53</v>
      </c>
      <c r="BC399" t="s">
        <v>2543</v>
      </c>
      <c r="BD399" t="str">
        <f>HYPERLINK("http://exon.niaid.nih.gov/transcriptome/Anopheles_sialome/links/KOG/anomac_D7r5-KOG.txt","KOG1909")</f>
        <v>KOG1909</v>
      </c>
      <c r="BE399" t="str">
        <f>HYPERLINK("http://exon.niaid.nih.gov/transcriptome/Anopheles_sialome/links/PFAM/anomac_D7r5-PFAM.txt","PBP_GOBP")</f>
        <v>PBP_GOBP</v>
      </c>
      <c r="BF399" t="str">
        <f>HYPERLINK("http://pfam.sanger.ac.uk/family?acc=PF01395","0.002")</f>
        <v>0.002</v>
      </c>
      <c r="BG399" s="2" t="str">
        <f>HYPERLINK("http://exon.niaid.nih.gov/transcriptome/Anopheles_sialome/links/SMART/anomac_D7r5-SMART.txt","PhBP")</f>
        <v>PhBP</v>
      </c>
      <c r="BH399" t="str">
        <f>HYPERLINK("http://smart.embl-heidelberg.de/smart/do_annotation.pl?DOMAIN=PhBP&amp;BLAST=DUMMY","0.21")</f>
        <v>0.21</v>
      </c>
      <c r="BI399" t="s">
        <v>128</v>
      </c>
      <c r="BJ399" s="2" t="s">
        <v>128</v>
      </c>
      <c r="BK399" t="s">
        <v>1127</v>
      </c>
      <c r="BL399">
        <f>HYPERLINK("http://exon.niaid.nih.gov/transcriptome/Anopheles_sialome/links/cluster-b/anopheline-sialome-cds-pep-larger-orf25-50SimCLU2.txt", 2)</f>
        <v>2</v>
      </c>
      <c r="BM399">
        <f>HYPERLINK("http://exon.niaid.nih.gov/transcriptome/Anopheles_sialome/links/cluster-b/anopheline-sialome-cds-pep-larger-orf25-50SimCLTL2.txt", 120)</f>
        <v>120</v>
      </c>
      <c r="BN399">
        <f>HYPERLINK("http://exon.niaid.nih.gov/transcriptome/Anopheles_sialome/links/cluster-b/anopheline-sialome-cds-pep-larger-orf30-50SimCLU2.txt", 2)</f>
        <v>2</v>
      </c>
      <c r="BO399">
        <f>HYPERLINK("http://exon.niaid.nih.gov/transcriptome/Anopheles_sialome/links/cluster-b/anopheline-sialome-cds-pep-larger-orf30-50SimCLTL2.txt", 120)</f>
        <v>120</v>
      </c>
      <c r="BP399">
        <f>HYPERLINK("http://exon.niaid.nih.gov/transcriptome/Anopheles_sialome/links/cluster-b/anopheline-sialome-cds-pep-larger-orf35-50SimCLU1.txt", 1)</f>
        <v>1</v>
      </c>
      <c r="BQ399">
        <f>HYPERLINK("http://exon.niaid.nih.gov/transcriptome/Anopheles_sialome/links/cluster-b/anopheline-sialome-cds-pep-larger-orf35-50SimCLTL1.txt", 120)</f>
        <v>120</v>
      </c>
      <c r="BR399">
        <f>HYPERLINK("http://exon.niaid.nih.gov/transcriptome/Anopheles_sialome/links/cluster-b/anopheline-sialome-cds-pep-larger-orf40-50SimCLU2.txt", 2)</f>
        <v>2</v>
      </c>
      <c r="BS399">
        <f>HYPERLINK("http://exon.niaid.nih.gov/transcriptome/Anopheles_sialome/links/cluster-b/anopheline-sialome-cds-pep-larger-orf40-50SimCLTL2.txt", 83)</f>
        <v>83</v>
      </c>
      <c r="BT399">
        <f>HYPERLINK("http://exon.niaid.nih.gov/transcriptome/Anopheles_sialome/links/cluster-b/anopheline-sialome-cds-pep-larger-orf45-50SimCLU1.txt", 1)</f>
        <v>1</v>
      </c>
      <c r="BU399">
        <f>HYPERLINK("http://exon.niaid.nih.gov/transcriptome/Anopheles_sialome/links/cluster-b/anopheline-sialome-cds-pep-larger-orf45-50SimCLTL1.txt", 83)</f>
        <v>83</v>
      </c>
      <c r="BV399">
        <f>HYPERLINK("http://exon.niaid.nih.gov/transcriptome/Anopheles_sialome/links/cluster-b/anopheline-sialome-cds-pep-larger-orf50-50SimCLU1.txt", 1)</f>
        <v>1</v>
      </c>
      <c r="BW399">
        <f>HYPERLINK("http://exon.niaid.nih.gov/transcriptome/Anopheles_sialome/links/cluster-b/anopheline-sialome-cds-pep-larger-orf50-50SimCLTL1.txt", 83)</f>
        <v>83</v>
      </c>
      <c r="BX399">
        <f>HYPERLINK("http://exon.niaid.nih.gov/transcriptome/Anopheles_sialome/links/cluster-b/anopheline-sialome-cds-pep-larger-orf55-50SimCLU1.txt", 1)</f>
        <v>1</v>
      </c>
      <c r="BY399">
        <f>HYPERLINK("http://exon.niaid.nih.gov/transcriptome/Anopheles_sialome/links/cluster-b/anopheline-sialome-cds-pep-larger-orf55-50SimCLTL1.txt", 79)</f>
        <v>79</v>
      </c>
      <c r="BZ399">
        <f>HYPERLINK("http://exon.niaid.nih.gov/transcriptome/Anopheles_sialome/links/cluster-b/anopheline-sialome-cds-pep-larger-orf60-50SimCLU12.txt", 12)</f>
        <v>12</v>
      </c>
      <c r="CA399">
        <f>HYPERLINK("http://exon.niaid.nih.gov/transcriptome/Anopheles_sialome/links/cluster-b/anopheline-sialome-cds-pep-larger-orf60-50SimCLTL12.txt", 19)</f>
        <v>19</v>
      </c>
      <c r="CB399">
        <f>HYPERLINK("http://exon.niaid.nih.gov/transcriptome/Anopheles_sialome/links/cluster-b/anopheline-sialome-cds-pep-larger-orf65-50SimCLU9.txt", 9)</f>
        <v>9</v>
      </c>
      <c r="CC399">
        <f>HYPERLINK("http://exon.niaid.nih.gov/transcriptome/Anopheles_sialome/links/cluster-b/anopheline-sialome-cds-pep-larger-orf65-50SimCLTL9.txt", 19)</f>
        <v>19</v>
      </c>
      <c r="CD399">
        <f>HYPERLINK("http://exon.niaid.nih.gov/transcriptome/Anopheles_sialome/links/cluster-b/anopheline-sialome-cds-pep-larger-orf70-50SimCLU9.txt", 9)</f>
        <v>9</v>
      </c>
      <c r="CE399">
        <f>HYPERLINK("http://exon.niaid.nih.gov/transcriptome/Anopheles_sialome/links/cluster-b/anopheline-sialome-cds-pep-larger-orf70-50SimCLTL9.txt", 19)</f>
        <v>19</v>
      </c>
      <c r="CF399">
        <f>HYPERLINK("http://exon.niaid.nih.gov/transcriptome/Anopheles_sialome/links/cluster-b/anopheline-sialome-cds-pep-larger-orf75-50SimCLU6.txt", 6)</f>
        <v>6</v>
      </c>
      <c r="CG399">
        <f>HYPERLINK("http://exon.niaid.nih.gov/transcriptome/Anopheles_sialome/links/cluster-b/anopheline-sialome-cds-pep-larger-orf75-50SimCLTL6.txt", 19)</f>
        <v>19</v>
      </c>
      <c r="CH399">
        <f>HYPERLINK("http://exon.niaid.nih.gov/transcriptome/Anopheles_sialome/links/cluster-b/anopheline-sialome-cds-pep-larger-orf80-50SimCLU12.txt", 12)</f>
        <v>12</v>
      </c>
      <c r="CI399">
        <f>HYPERLINK("http://exon.niaid.nih.gov/transcriptome/Anopheles_sialome/links/cluster-b/anopheline-sialome-cds-pep-larger-orf80-50SimCLTL12.txt", 15)</f>
        <v>15</v>
      </c>
      <c r="CJ399">
        <f>HYPERLINK("http://exon.niaid.nih.gov/transcriptome/Anopheles_sialome/links/cluster-b/anopheline-sialome-cds-pep-larger-orf85-50SimCLU73.txt", 73)</f>
        <v>73</v>
      </c>
      <c r="CK399">
        <f>HYPERLINK("http://exon.niaid.nih.gov/transcriptome/Anopheles_sialome/links/cluster-b/anopheline-sialome-cds-pep-larger-orf85-50SimCLTL73.txt", 2)</f>
        <v>2</v>
      </c>
      <c r="CL399">
        <f>HYPERLINK("http://exon.niaid.nih.gov/transcriptome/Anopheles_sialome/links/cluster-b/anopheline-sialome-cds-pep-larger-orf90-50SimCLU70.txt", 70)</f>
        <v>70</v>
      </c>
      <c r="CM399">
        <f>HYPERLINK("http://exon.niaid.nih.gov/transcriptome/Anopheles_sialome/links/cluster-b/anopheline-sialome-cds-pep-larger-orf90-50SimCLTL70.txt", 2)</f>
        <v>2</v>
      </c>
      <c r="CN399">
        <v>195</v>
      </c>
      <c r="CO399">
        <v>1</v>
      </c>
    </row>
    <row r="400" spans="1:93">
      <c r="A400" s="2" t="str">
        <f>HYPERLINK("http://exon.niaid.nih.gov/transcriptome/Anopheles_sialome/links/cds/anofar_D7r5-cds.txt","anofar_D7r5")</f>
        <v>anofar_D7r5</v>
      </c>
      <c r="B400">
        <v>486</v>
      </c>
      <c r="C400" t="s">
        <v>183</v>
      </c>
      <c r="D400" t="s">
        <v>4</v>
      </c>
      <c r="E400" t="s">
        <v>5</v>
      </c>
      <c r="F400" t="s">
        <v>1</v>
      </c>
      <c r="G400" t="str">
        <f>HYPERLINK("http://exon.niaid.nih.gov/transcriptome/Anopheles_sialome/links/pep/anofar_D7r5-pep.txt","anofar_D7r5")</f>
        <v>anofar_D7r5</v>
      </c>
      <c r="H400">
        <v>161</v>
      </c>
      <c r="I400">
        <v>0</v>
      </c>
      <c r="J400" s="3" t="str">
        <f>HYPERLINK("http://exon.niaid.nih.gov/transcriptome/Anopheles_sialome/links/Sigp/anofar_D7r5-SigP.txt","SIG")</f>
        <v>SIG</v>
      </c>
      <c r="K400" t="s">
        <v>652</v>
      </c>
      <c r="L400">
        <v>17.902000000000001</v>
      </c>
      <c r="M400">
        <v>6.59</v>
      </c>
      <c r="N400">
        <v>15.914</v>
      </c>
      <c r="O400">
        <v>5.52</v>
      </c>
      <c r="P400" t="s">
        <v>1021</v>
      </c>
      <c r="Q400" s="3">
        <v>0</v>
      </c>
      <c r="R400" t="s">
        <v>128</v>
      </c>
      <c r="S400" t="s">
        <v>128</v>
      </c>
      <c r="T400" t="s">
        <v>128</v>
      </c>
      <c r="U400" t="s">
        <v>128</v>
      </c>
      <c r="V400" t="s">
        <v>128</v>
      </c>
      <c r="W400" s="3" t="str">
        <f>HYPERLINK("http://exon.niaid.nih.gov/transcriptome/Anopheles_sialome/links/netoglyc/anofar_D7r5-netoglyc.txt","0")</f>
        <v>0</v>
      </c>
      <c r="X400">
        <v>13</v>
      </c>
      <c r="Y400">
        <v>4.3</v>
      </c>
      <c r="Z400">
        <v>1.9</v>
      </c>
      <c r="AA400" t="s">
        <v>654</v>
      </c>
      <c r="AB400" t="s">
        <v>128</v>
      </c>
      <c r="AC400" s="2" t="str">
        <f>HYPERLINK("http://exon.niaid.nih.gov/transcriptome/Anopheles_sialome/links/DIPTERA/anofar_D7r5-DIPTERA.txt","AGAP008280-PA")</f>
        <v>AGAP008280-PA</v>
      </c>
      <c r="AD400" t="str">
        <f>HYPERLINK("http://www.ncbi.nlm.nih.gov/sutils/blink.cgi?pid=30175327","1E-050")</f>
        <v>1E-050</v>
      </c>
      <c r="AE400" t="str">
        <f>HYPERLINK("http://www.ncbi.nlm.nih.gov/protein/30175327","gi|30175327")</f>
        <v>gi|30175327</v>
      </c>
      <c r="AF400">
        <v>66</v>
      </c>
      <c r="AG400">
        <v>81</v>
      </c>
      <c r="AH400">
        <v>87</v>
      </c>
      <c r="AI400" t="s">
        <v>2285</v>
      </c>
      <c r="AJ400" s="2" t="str">
        <f>HYPERLINK("http://exon.niaid.nih.gov/transcriptome/Anopheles_sialome/links/CULICOMORPHA/anofar_D7r5-CULICOMORPHA.txt","AGAP008280-PA")</f>
        <v>AGAP008280-PA</v>
      </c>
      <c r="AK400" t="str">
        <f>HYPERLINK("http://www.ncbi.nlm.nih.gov/sutils/blink.cgi?pid=30175327","3E-051")</f>
        <v>3E-051</v>
      </c>
      <c r="AL400" t="str">
        <f>HYPERLINK("http://www.ncbi.nlm.nih.gov/protein/30175327","gi|30175327")</f>
        <v>gi|30175327</v>
      </c>
      <c r="AM400">
        <v>66</v>
      </c>
      <c r="AN400">
        <v>81</v>
      </c>
      <c r="AO400">
        <v>87</v>
      </c>
      <c r="AP400" t="s">
        <v>2285</v>
      </c>
      <c r="AQ400" s="2" t="str">
        <f>HYPERLINK("http://exon.niaid.nih.gov/transcriptome/Anopheles_sialome/links/NR-LIGHT/anofar_D7r5-NR-LIGHT.txt","AGAP008280-PA")</f>
        <v>AGAP008280-PA</v>
      </c>
      <c r="AR400" t="str">
        <f>HYPERLINK("http://www.ncbi.nlm.nih.gov/sutils/blink.cgi?pid=31222512","3E-050")</f>
        <v>3E-050</v>
      </c>
      <c r="AS400" t="str">
        <f>HYPERLINK("http://www.ncbi.nlm.nih.gov/protein/31222512","gi|31222512")</f>
        <v>gi|31222512</v>
      </c>
      <c r="AT400">
        <v>66</v>
      </c>
      <c r="AU400">
        <v>81</v>
      </c>
      <c r="AV400">
        <v>87</v>
      </c>
      <c r="AW400" t="s">
        <v>2285</v>
      </c>
      <c r="AX400" s="2" t="str">
        <f>HYPERLINK("http://exon.niaid.nih.gov/transcriptome/Anopheles_sialome/links/CDD/anofar_D7r5-CDD.txt","PBP_GOBP")</f>
        <v>PBP_GOBP</v>
      </c>
      <c r="AY400" t="str">
        <f>HYPERLINK("http://www.ncbi.nlm.nih.gov/Structure/cdd/cddsrv.cgi?uid=pfam01395&amp;version=v4.0","5E-004")</f>
        <v>5E-004</v>
      </c>
      <c r="AZ400" t="s">
        <v>2544</v>
      </c>
      <c r="BA400" s="2" t="str">
        <f>HYPERLINK("http://exon.niaid.nih.gov/transcriptome/Anopheles_sialome/links/KOG/anofar_D7r5-KOG.txt","AAA+-type ATPase")</f>
        <v>AAA+-type ATPase</v>
      </c>
      <c r="BB400" t="str">
        <f>HYPERLINK("http://www.ncbi.nlm.nih.gov/Structure/cdd/cddsrv.cgi?uid=KOG0735","0.36")</f>
        <v>0.36</v>
      </c>
      <c r="BC400" t="s">
        <v>2296</v>
      </c>
      <c r="BD400" t="str">
        <f>HYPERLINK("http://exon.niaid.nih.gov/transcriptome/Anopheles_sialome/links/KOG/anofar_D7r5-KOG.txt","KOG0735")</f>
        <v>KOG0735</v>
      </c>
      <c r="BE400" t="str">
        <f>HYPERLINK("http://exon.niaid.nih.gov/transcriptome/Anopheles_sialome/links/PFAM/anofar_D7r5-PFAM.txt","PBP_GOBP")</f>
        <v>PBP_GOBP</v>
      </c>
      <c r="BF400" t="str">
        <f>HYPERLINK("http://pfam.sanger.ac.uk/family?acc=PF01395","1E-004")</f>
        <v>1E-004</v>
      </c>
      <c r="BG400" s="2" t="str">
        <f>HYPERLINK("http://exon.niaid.nih.gov/transcriptome/Anopheles_sialome/links/SMART/anofar_D7r5-SMART.txt","PhBP")</f>
        <v>PhBP</v>
      </c>
      <c r="BH400" t="str">
        <f>HYPERLINK("http://smart.embl-heidelberg.de/smart/do_annotation.pl?DOMAIN=PhBP&amp;BLAST=DUMMY","0.12")</f>
        <v>0.12</v>
      </c>
      <c r="BI400" t="s">
        <v>128</v>
      </c>
      <c r="BJ400" s="2" t="s">
        <v>128</v>
      </c>
      <c r="BK400" t="s">
        <v>1130</v>
      </c>
      <c r="BL400">
        <f>HYPERLINK("http://exon.niaid.nih.gov/transcriptome/Anopheles_sialome/links/cluster-b/anopheline-sialome-cds-pep-larger-orf25-50SimCLU2.txt", 2)</f>
        <v>2</v>
      </c>
      <c r="BM400">
        <f>HYPERLINK("http://exon.niaid.nih.gov/transcriptome/Anopheles_sialome/links/cluster-b/anopheline-sialome-cds-pep-larger-orf25-50SimCLTL2.txt", 120)</f>
        <v>120</v>
      </c>
      <c r="BN400">
        <f>HYPERLINK("http://exon.niaid.nih.gov/transcriptome/Anopheles_sialome/links/cluster-b/anopheline-sialome-cds-pep-larger-orf30-50SimCLU2.txt", 2)</f>
        <v>2</v>
      </c>
      <c r="BO400">
        <f>HYPERLINK("http://exon.niaid.nih.gov/transcriptome/Anopheles_sialome/links/cluster-b/anopheline-sialome-cds-pep-larger-orf30-50SimCLTL2.txt", 120)</f>
        <v>120</v>
      </c>
      <c r="BP400">
        <f>HYPERLINK("http://exon.niaid.nih.gov/transcriptome/Anopheles_sialome/links/cluster-b/anopheline-sialome-cds-pep-larger-orf35-50SimCLU1.txt", 1)</f>
        <v>1</v>
      </c>
      <c r="BQ400">
        <f>HYPERLINK("http://exon.niaid.nih.gov/transcriptome/Anopheles_sialome/links/cluster-b/anopheline-sialome-cds-pep-larger-orf35-50SimCLTL1.txt", 120)</f>
        <v>120</v>
      </c>
      <c r="BR400">
        <f>HYPERLINK("http://exon.niaid.nih.gov/transcriptome/Anopheles_sialome/links/cluster-b/anopheline-sialome-cds-pep-larger-orf40-50SimCLU2.txt", 2)</f>
        <v>2</v>
      </c>
      <c r="BS400">
        <f>HYPERLINK("http://exon.niaid.nih.gov/transcriptome/Anopheles_sialome/links/cluster-b/anopheline-sialome-cds-pep-larger-orf40-50SimCLTL2.txt", 83)</f>
        <v>83</v>
      </c>
      <c r="BT400">
        <f>HYPERLINK("http://exon.niaid.nih.gov/transcriptome/Anopheles_sialome/links/cluster-b/anopheline-sialome-cds-pep-larger-orf45-50SimCLU1.txt", 1)</f>
        <v>1</v>
      </c>
      <c r="BU400">
        <f>HYPERLINK("http://exon.niaid.nih.gov/transcriptome/Anopheles_sialome/links/cluster-b/anopheline-sialome-cds-pep-larger-orf45-50SimCLTL1.txt", 83)</f>
        <v>83</v>
      </c>
      <c r="BV400">
        <f>HYPERLINK("http://exon.niaid.nih.gov/transcriptome/Anopheles_sialome/links/cluster-b/anopheline-sialome-cds-pep-larger-orf50-50SimCLU1.txt", 1)</f>
        <v>1</v>
      </c>
      <c r="BW400">
        <f>HYPERLINK("http://exon.niaid.nih.gov/transcriptome/Anopheles_sialome/links/cluster-b/anopheline-sialome-cds-pep-larger-orf50-50SimCLTL1.txt", 83)</f>
        <v>83</v>
      </c>
      <c r="BX400">
        <f>HYPERLINK("http://exon.niaid.nih.gov/transcriptome/Anopheles_sialome/links/cluster-b/anopheline-sialome-cds-pep-larger-orf55-50SimCLU1.txt", 1)</f>
        <v>1</v>
      </c>
      <c r="BY400">
        <f>HYPERLINK("http://exon.niaid.nih.gov/transcriptome/Anopheles_sialome/links/cluster-b/anopheline-sialome-cds-pep-larger-orf55-50SimCLTL1.txt", 79)</f>
        <v>79</v>
      </c>
      <c r="BZ400">
        <f>HYPERLINK("http://exon.niaid.nih.gov/transcriptome/Anopheles_sialome/links/cluster-b/anopheline-sialome-cds-pep-larger-orf60-50SimCLU12.txt", 12)</f>
        <v>12</v>
      </c>
      <c r="CA400">
        <f>HYPERLINK("http://exon.niaid.nih.gov/transcriptome/Anopheles_sialome/links/cluster-b/anopheline-sialome-cds-pep-larger-orf60-50SimCLTL12.txt", 19)</f>
        <v>19</v>
      </c>
      <c r="CB400">
        <f>HYPERLINK("http://exon.niaid.nih.gov/transcriptome/Anopheles_sialome/links/cluster-b/anopheline-sialome-cds-pep-larger-orf65-50SimCLU9.txt", 9)</f>
        <v>9</v>
      </c>
      <c r="CC400">
        <f>HYPERLINK("http://exon.niaid.nih.gov/transcriptome/Anopheles_sialome/links/cluster-b/anopheline-sialome-cds-pep-larger-orf65-50SimCLTL9.txt", 19)</f>
        <v>19</v>
      </c>
      <c r="CD400">
        <f>HYPERLINK("http://exon.niaid.nih.gov/transcriptome/Anopheles_sialome/links/cluster-b/anopheline-sialome-cds-pep-larger-orf70-50SimCLU9.txt", 9)</f>
        <v>9</v>
      </c>
      <c r="CE400">
        <f>HYPERLINK("http://exon.niaid.nih.gov/transcriptome/Anopheles_sialome/links/cluster-b/anopheline-sialome-cds-pep-larger-orf70-50SimCLTL9.txt", 19)</f>
        <v>19</v>
      </c>
      <c r="CF400">
        <f>HYPERLINK("http://exon.niaid.nih.gov/transcriptome/Anopheles_sialome/links/cluster-b/anopheline-sialome-cds-pep-larger-orf75-50SimCLU6.txt", 6)</f>
        <v>6</v>
      </c>
      <c r="CG400">
        <f>HYPERLINK("http://exon.niaid.nih.gov/transcriptome/Anopheles_sialome/links/cluster-b/anopheline-sialome-cds-pep-larger-orf75-50SimCLTL6.txt", 19)</f>
        <v>19</v>
      </c>
      <c r="CH400">
        <f>HYPERLINK("http://exon.niaid.nih.gov/transcriptome/Anopheles_sialome/links/cluster-b/anopheline-sialome-cds-pep-larger-orf80-50SimCLU12.txt", 12)</f>
        <v>12</v>
      </c>
      <c r="CI400">
        <f>HYPERLINK("http://exon.niaid.nih.gov/transcriptome/Anopheles_sialome/links/cluster-b/anopheline-sialome-cds-pep-larger-orf80-50SimCLTL12.txt", 15)</f>
        <v>15</v>
      </c>
      <c r="CJ400">
        <v>155</v>
      </c>
      <c r="CK400">
        <v>1</v>
      </c>
      <c r="CL400">
        <v>182</v>
      </c>
      <c r="CM400">
        <v>1</v>
      </c>
      <c r="CN400">
        <v>196</v>
      </c>
      <c r="CO400">
        <v>1</v>
      </c>
    </row>
    <row r="401" spans="1:93">
      <c r="A401" s="2" t="str">
        <f>HYPERLINK("http://exon.niaid.nih.gov/transcriptome/Anopheles_sialome/links/cds/anodir_D7r5-cds.txt","anodir_D7r5")</f>
        <v>anodir_D7r5</v>
      </c>
      <c r="B401">
        <v>531</v>
      </c>
      <c r="C401" t="s">
        <v>159</v>
      </c>
      <c r="D401" t="s">
        <v>7</v>
      </c>
      <c r="E401" t="s">
        <v>5</v>
      </c>
      <c r="F401" t="s">
        <v>1</v>
      </c>
      <c r="G401" t="str">
        <f>HYPERLINK("http://exon.niaid.nih.gov/transcriptome/Anopheles_sialome/links/pep/anodir_D7r5-pep.txt","anodir_D7r5")</f>
        <v>anodir_D7r5</v>
      </c>
      <c r="H401">
        <v>176</v>
      </c>
      <c r="I401">
        <v>0</v>
      </c>
      <c r="J401" s="3" t="str">
        <f>HYPERLINK("http://exon.niaid.nih.gov/transcriptome/Anopheles_sialome/links/Sigp/anodir_D7r5-SigP.txt","SIG")</f>
        <v>SIG</v>
      </c>
      <c r="K401" t="s">
        <v>945</v>
      </c>
      <c r="L401">
        <v>19.292000000000002</v>
      </c>
      <c r="M401">
        <v>6.82</v>
      </c>
      <c r="N401">
        <v>16.277000000000001</v>
      </c>
      <c r="O401">
        <v>5.74</v>
      </c>
      <c r="P401" t="s">
        <v>1132</v>
      </c>
      <c r="Q401" s="3" t="str">
        <f>HYPERLINK("http://exon.niaid.nih.gov/transcriptome/Anopheles_sialome/links/tmhmm/anodir_D7r5-tmhmm.txt","1")</f>
        <v>1</v>
      </c>
      <c r="R401">
        <v>12.5</v>
      </c>
      <c r="S401">
        <v>83.5</v>
      </c>
      <c r="T401">
        <v>4</v>
      </c>
      <c r="U401" t="s">
        <v>128</v>
      </c>
      <c r="V401">
        <v>147</v>
      </c>
      <c r="W401" s="3" t="str">
        <f>HYPERLINK("http://exon.niaid.nih.gov/transcriptome/Anopheles_sialome/links/netoglyc/anodir_D7r5-netoglyc.txt","3")</f>
        <v>3</v>
      </c>
      <c r="X401">
        <v>15.3</v>
      </c>
      <c r="Y401">
        <v>5.0999999999999996</v>
      </c>
      <c r="Z401">
        <v>2.2999999999999998</v>
      </c>
      <c r="AA401" t="s">
        <v>654</v>
      </c>
      <c r="AB401" t="s">
        <v>128</v>
      </c>
      <c r="AC401" s="2" t="str">
        <f>HYPERLINK("http://exon.niaid.nih.gov/transcriptome/Anopheles_sialome/links/DIPTERA/anodir_D7r5-DIPTERA.txt","AGAP008280-PA")</f>
        <v>AGAP008280-PA</v>
      </c>
      <c r="AD401" t="str">
        <f>HYPERLINK("http://www.ncbi.nlm.nih.gov/sutils/blink.cgi?pid=30175327","5E-055")</f>
        <v>5E-055</v>
      </c>
      <c r="AE401" t="str">
        <f>HYPERLINK("http://www.ncbi.nlm.nih.gov/protein/30175327","gi|30175327")</f>
        <v>gi|30175327</v>
      </c>
      <c r="AF401">
        <v>62</v>
      </c>
      <c r="AG401">
        <v>78</v>
      </c>
      <c r="AH401">
        <v>102</v>
      </c>
      <c r="AI401" t="s">
        <v>2285</v>
      </c>
      <c r="AJ401" s="2" t="str">
        <f>HYPERLINK("http://exon.niaid.nih.gov/transcriptome/Anopheles_sialome/links/CULICOMORPHA/anodir_D7r5-CULICOMORPHA.txt","AGAP008280-PA")</f>
        <v>AGAP008280-PA</v>
      </c>
      <c r="AK401" t="str">
        <f>HYPERLINK("http://www.ncbi.nlm.nih.gov/sutils/blink.cgi?pid=30175327","1E-055")</f>
        <v>1E-055</v>
      </c>
      <c r="AL401" t="str">
        <f>HYPERLINK("http://www.ncbi.nlm.nih.gov/protein/30175327","gi|30175327")</f>
        <v>gi|30175327</v>
      </c>
      <c r="AM401">
        <v>62</v>
      </c>
      <c r="AN401">
        <v>78</v>
      </c>
      <c r="AO401">
        <v>102</v>
      </c>
      <c r="AP401" t="s">
        <v>2285</v>
      </c>
      <c r="AQ401" s="2" t="str">
        <f>HYPERLINK("http://exon.niaid.nih.gov/transcriptome/Anopheles_sialome/links/NR-LIGHT/anodir_D7r5-NR-LIGHT.txt","AGAP008280-PA")</f>
        <v>AGAP008280-PA</v>
      </c>
      <c r="AR401" t="str">
        <f>HYPERLINK("http://www.ncbi.nlm.nih.gov/sutils/blink.cgi?pid=31222512","1E-054")</f>
        <v>1E-054</v>
      </c>
      <c r="AS401" t="str">
        <f>HYPERLINK("http://www.ncbi.nlm.nih.gov/protein/31222512","gi|31222512")</f>
        <v>gi|31222512</v>
      </c>
      <c r="AT401">
        <v>62</v>
      </c>
      <c r="AU401">
        <v>78</v>
      </c>
      <c r="AV401">
        <v>102</v>
      </c>
      <c r="AW401" t="s">
        <v>2285</v>
      </c>
      <c r="AX401" s="2" t="str">
        <f>HYPERLINK("http://exon.niaid.nih.gov/transcriptome/Anopheles_sialome/links/CDD/anodir_D7r5-CDD.txt","PBP_GOBP")</f>
        <v>PBP_GOBP</v>
      </c>
      <c r="AY401" t="str">
        <f>HYPERLINK("http://www.ncbi.nlm.nih.gov/Structure/cdd/cddsrv.cgi?uid=pfam01395&amp;version=v4.0","0.004")</f>
        <v>0.004</v>
      </c>
      <c r="AZ401" t="s">
        <v>2545</v>
      </c>
      <c r="BA401" s="2" t="str">
        <f>HYPERLINK("http://exon.niaid.nih.gov/transcriptome/Anopheles_sialome/links/KOG/anodir_D7r5-KOG.txt","Putative ubiquitin-specific protease")</f>
        <v>Putative ubiquitin-specific protease</v>
      </c>
      <c r="BB401" t="str">
        <f>HYPERLINK("http://www.ncbi.nlm.nih.gov/Structure/cdd/cddsrv.cgi?uid=KOG4598","0.64")</f>
        <v>0.64</v>
      </c>
      <c r="BC401" t="s">
        <v>2296</v>
      </c>
      <c r="BD401" t="str">
        <f>HYPERLINK("http://exon.niaid.nih.gov/transcriptome/Anopheles_sialome/links/KOG/anodir_D7r5-KOG.txt","KOG4598")</f>
        <v>KOG4598</v>
      </c>
      <c r="BE401" t="str">
        <f>HYPERLINK("http://exon.niaid.nih.gov/transcriptome/Anopheles_sialome/links/PFAM/anodir_D7r5-PFAM.txt","PBP_GOBP")</f>
        <v>PBP_GOBP</v>
      </c>
      <c r="BF401" t="str">
        <f>HYPERLINK("http://pfam.sanger.ac.uk/family?acc=PF01395","8E-004")</f>
        <v>8E-004</v>
      </c>
      <c r="BG401" s="2" t="str">
        <f>HYPERLINK("http://exon.niaid.nih.gov/transcriptome/Anopheles_sialome/links/SMART/anodir_D7r5-SMART.txt","PhBP")</f>
        <v>PhBP</v>
      </c>
      <c r="BH401" t="str">
        <f>HYPERLINK("http://smart.embl-heidelberg.de/smart/do_annotation.pl?DOMAIN=PhBP&amp;BLAST=DUMMY","0.20")</f>
        <v>0.20</v>
      </c>
      <c r="BI401" t="s">
        <v>128</v>
      </c>
      <c r="BJ401" s="2" t="s">
        <v>128</v>
      </c>
      <c r="BK401" t="s">
        <v>1131</v>
      </c>
      <c r="BL401">
        <f>HYPERLINK("http://exon.niaid.nih.gov/transcriptome/Anopheles_sialome/links/cluster-b/anopheline-sialome-cds-pep-larger-orf25-50SimCLU2.txt", 2)</f>
        <v>2</v>
      </c>
      <c r="BM401">
        <f>HYPERLINK("http://exon.niaid.nih.gov/transcriptome/Anopheles_sialome/links/cluster-b/anopheline-sialome-cds-pep-larger-orf25-50SimCLTL2.txt", 120)</f>
        <v>120</v>
      </c>
      <c r="BN401">
        <f>HYPERLINK("http://exon.niaid.nih.gov/transcriptome/Anopheles_sialome/links/cluster-b/anopheline-sialome-cds-pep-larger-orf30-50SimCLU2.txt", 2)</f>
        <v>2</v>
      </c>
      <c r="BO401">
        <f>HYPERLINK("http://exon.niaid.nih.gov/transcriptome/Anopheles_sialome/links/cluster-b/anopheline-sialome-cds-pep-larger-orf30-50SimCLTL2.txt", 120)</f>
        <v>120</v>
      </c>
      <c r="BP401">
        <f>HYPERLINK("http://exon.niaid.nih.gov/transcriptome/Anopheles_sialome/links/cluster-b/anopheline-sialome-cds-pep-larger-orf35-50SimCLU1.txt", 1)</f>
        <v>1</v>
      </c>
      <c r="BQ401">
        <f>HYPERLINK("http://exon.niaid.nih.gov/transcriptome/Anopheles_sialome/links/cluster-b/anopheline-sialome-cds-pep-larger-orf35-50SimCLTL1.txt", 120)</f>
        <v>120</v>
      </c>
      <c r="BR401">
        <f>HYPERLINK("http://exon.niaid.nih.gov/transcriptome/Anopheles_sialome/links/cluster-b/anopheline-sialome-cds-pep-larger-orf40-50SimCLU2.txt", 2)</f>
        <v>2</v>
      </c>
      <c r="BS401">
        <f>HYPERLINK("http://exon.niaid.nih.gov/transcriptome/Anopheles_sialome/links/cluster-b/anopheline-sialome-cds-pep-larger-orf40-50SimCLTL2.txt", 83)</f>
        <v>83</v>
      </c>
      <c r="BT401">
        <f>HYPERLINK("http://exon.niaid.nih.gov/transcriptome/Anopheles_sialome/links/cluster-b/anopheline-sialome-cds-pep-larger-orf45-50SimCLU1.txt", 1)</f>
        <v>1</v>
      </c>
      <c r="BU401">
        <f>HYPERLINK("http://exon.niaid.nih.gov/transcriptome/Anopheles_sialome/links/cluster-b/anopheline-sialome-cds-pep-larger-orf45-50SimCLTL1.txt", 83)</f>
        <v>83</v>
      </c>
      <c r="BV401">
        <f>HYPERLINK("http://exon.niaid.nih.gov/transcriptome/Anopheles_sialome/links/cluster-b/anopheline-sialome-cds-pep-larger-orf50-50SimCLU1.txt", 1)</f>
        <v>1</v>
      </c>
      <c r="BW401">
        <f>HYPERLINK("http://exon.niaid.nih.gov/transcriptome/Anopheles_sialome/links/cluster-b/anopheline-sialome-cds-pep-larger-orf50-50SimCLTL1.txt", 83)</f>
        <v>83</v>
      </c>
      <c r="BX401">
        <f>HYPERLINK("http://exon.niaid.nih.gov/transcriptome/Anopheles_sialome/links/cluster-b/anopheline-sialome-cds-pep-larger-orf55-50SimCLU1.txt", 1)</f>
        <v>1</v>
      </c>
      <c r="BY401">
        <f>HYPERLINK("http://exon.niaid.nih.gov/transcriptome/Anopheles_sialome/links/cluster-b/anopheline-sialome-cds-pep-larger-orf55-50SimCLTL1.txt", 79)</f>
        <v>79</v>
      </c>
      <c r="BZ401">
        <f>HYPERLINK("http://exon.niaid.nih.gov/transcriptome/Anopheles_sialome/links/cluster-b/anopheline-sialome-cds-pep-larger-orf60-50SimCLU12.txt", 12)</f>
        <v>12</v>
      </c>
      <c r="CA401">
        <f>HYPERLINK("http://exon.niaid.nih.gov/transcriptome/Anopheles_sialome/links/cluster-b/anopheline-sialome-cds-pep-larger-orf60-50SimCLTL12.txt", 19)</f>
        <v>19</v>
      </c>
      <c r="CB401">
        <f>HYPERLINK("http://exon.niaid.nih.gov/transcriptome/Anopheles_sialome/links/cluster-b/anopheline-sialome-cds-pep-larger-orf65-50SimCLU9.txt", 9)</f>
        <v>9</v>
      </c>
      <c r="CC401">
        <f>HYPERLINK("http://exon.niaid.nih.gov/transcriptome/Anopheles_sialome/links/cluster-b/anopheline-sialome-cds-pep-larger-orf65-50SimCLTL9.txt", 19)</f>
        <v>19</v>
      </c>
      <c r="CD401">
        <f>HYPERLINK("http://exon.niaid.nih.gov/transcriptome/Anopheles_sialome/links/cluster-b/anopheline-sialome-cds-pep-larger-orf70-50SimCLU9.txt", 9)</f>
        <v>9</v>
      </c>
      <c r="CE401">
        <f>HYPERLINK("http://exon.niaid.nih.gov/transcriptome/Anopheles_sialome/links/cluster-b/anopheline-sialome-cds-pep-larger-orf70-50SimCLTL9.txt", 19)</f>
        <v>19</v>
      </c>
      <c r="CF401">
        <f>HYPERLINK("http://exon.niaid.nih.gov/transcriptome/Anopheles_sialome/links/cluster-b/anopheline-sialome-cds-pep-larger-orf75-50SimCLU6.txt", 6)</f>
        <v>6</v>
      </c>
      <c r="CG401">
        <f>HYPERLINK("http://exon.niaid.nih.gov/transcriptome/Anopheles_sialome/links/cluster-b/anopheline-sialome-cds-pep-larger-orf75-50SimCLTL6.txt", 19)</f>
        <v>19</v>
      </c>
      <c r="CH401">
        <f>HYPERLINK("http://exon.niaid.nih.gov/transcriptome/Anopheles_sialome/links/cluster-b/anopheline-sialome-cds-pep-larger-orf80-50SimCLU12.txt", 12)</f>
        <v>12</v>
      </c>
      <c r="CI401">
        <f>HYPERLINK("http://exon.niaid.nih.gov/transcriptome/Anopheles_sialome/links/cluster-b/anopheline-sialome-cds-pep-larger-orf80-50SimCLTL12.txt", 15)</f>
        <v>15</v>
      </c>
      <c r="CJ401">
        <v>156</v>
      </c>
      <c r="CK401">
        <v>1</v>
      </c>
      <c r="CL401">
        <v>183</v>
      </c>
      <c r="CM401">
        <v>1</v>
      </c>
      <c r="CN401">
        <v>197</v>
      </c>
      <c r="CO401">
        <v>1</v>
      </c>
    </row>
    <row r="402" spans="1:93">
      <c r="A402" s="2" t="str">
        <f>HYPERLINK("http://exon.niaid.nih.gov/transcriptome/Anopheles_sialome/links/cds/anoatro_D7r5-cds.txt","anoatro_D7r5")</f>
        <v>anoatro_D7r5</v>
      </c>
      <c r="B402">
        <v>519</v>
      </c>
      <c r="C402" t="s">
        <v>184</v>
      </c>
      <c r="D402" t="s">
        <v>4</v>
      </c>
      <c r="E402" t="s">
        <v>5</v>
      </c>
      <c r="F402" t="s">
        <v>1</v>
      </c>
      <c r="G402" t="str">
        <f>HYPERLINK("http://exon.niaid.nih.gov/transcriptome/Anopheles_sialome/links/pep/anoatro_D7r5-pep.txt","anoatro_D7r5")</f>
        <v>anoatro_D7r5</v>
      </c>
      <c r="H402">
        <v>172</v>
      </c>
      <c r="I402">
        <v>0</v>
      </c>
      <c r="J402" s="3" t="str">
        <f>HYPERLINK("http://exon.niaid.nih.gov/transcriptome/Anopheles_sialome/links/Sigp/anoatro_D7r5-SigP.txt","SIG")</f>
        <v>SIG</v>
      </c>
      <c r="K402" t="s">
        <v>787</v>
      </c>
      <c r="L402">
        <v>19.004999999999999</v>
      </c>
      <c r="M402">
        <v>5.82</v>
      </c>
      <c r="N402">
        <v>16.395</v>
      </c>
      <c r="O402">
        <v>5.66</v>
      </c>
      <c r="P402" t="s">
        <v>1134</v>
      </c>
      <c r="Q402" s="3">
        <v>0</v>
      </c>
      <c r="R402" t="s">
        <v>128</v>
      </c>
      <c r="S402" t="s">
        <v>128</v>
      </c>
      <c r="T402" t="s">
        <v>128</v>
      </c>
      <c r="U402" t="s">
        <v>128</v>
      </c>
      <c r="V402" t="s">
        <v>128</v>
      </c>
      <c r="W402" s="3" t="str">
        <f>HYPERLINK("http://exon.niaid.nih.gov/transcriptome/Anopheles_sialome/links/netoglyc/anoatro_D7r5-netoglyc.txt","0")</f>
        <v>0</v>
      </c>
      <c r="X402">
        <v>11</v>
      </c>
      <c r="Y402">
        <v>7</v>
      </c>
      <c r="Z402">
        <v>1.7</v>
      </c>
      <c r="AA402" t="s">
        <v>654</v>
      </c>
      <c r="AB402" t="s">
        <v>128</v>
      </c>
      <c r="AC402" s="2" t="str">
        <f>HYPERLINK("http://exon.niaid.nih.gov/transcriptome/Anopheles_sialome/links/DIPTERA/anoatro_D7r5-DIPTERA.txt","short D7 protein")</f>
        <v>short D7 protein</v>
      </c>
      <c r="AD402" t="str">
        <f>HYPERLINK("http://www.ncbi.nlm.nih.gov/sutils/blink.cgi?pid=208657489","2E-056")</f>
        <v>2E-056</v>
      </c>
      <c r="AE402" t="str">
        <f>HYPERLINK("http://www.ncbi.nlm.nih.gov/protein/208657489","gi|208657489")</f>
        <v>gi|208657489</v>
      </c>
      <c r="AF402">
        <v>60</v>
      </c>
      <c r="AG402">
        <v>78</v>
      </c>
      <c r="AH402">
        <v>98</v>
      </c>
      <c r="AI402" t="s">
        <v>2283</v>
      </c>
      <c r="AJ402" s="2" t="str">
        <f>HYPERLINK("http://exon.niaid.nih.gov/transcriptome/Anopheles_sialome/links/CULICOMORPHA/anoatro_D7r5-CULICOMORPHA.txt","short D7 protein")</f>
        <v>short D7 protein</v>
      </c>
      <c r="AK402" t="str">
        <f>HYPERLINK("http://www.ncbi.nlm.nih.gov/sutils/blink.cgi?pid=208657489","4E-057")</f>
        <v>4E-057</v>
      </c>
      <c r="AL402" t="str">
        <f>HYPERLINK("http://www.ncbi.nlm.nih.gov/protein/208657489","gi|208657489")</f>
        <v>gi|208657489</v>
      </c>
      <c r="AM402">
        <v>60</v>
      </c>
      <c r="AN402">
        <v>78</v>
      </c>
      <c r="AO402">
        <v>98</v>
      </c>
      <c r="AP402" t="s">
        <v>2283</v>
      </c>
      <c r="AQ402" s="2" t="str">
        <f>HYPERLINK("http://exon.niaid.nih.gov/transcriptome/Anopheles_sialome/links/NR-LIGHT/anoatro_D7r5-NR-LIGHT.txt","hypothetical protein AND_010087")</f>
        <v>hypothetical protein AND_010087</v>
      </c>
      <c r="AR402" t="str">
        <f>HYPERLINK("http://www.ncbi.nlm.nih.gov/sutils/blink.cgi?pid=568248507","5E-056")</f>
        <v>5E-056</v>
      </c>
      <c r="AS402" t="str">
        <f>HYPERLINK("http://www.ncbi.nlm.nih.gov/protein/568248507","gi|568248507")</f>
        <v>gi|568248507</v>
      </c>
      <c r="AT402">
        <v>60</v>
      </c>
      <c r="AU402">
        <v>78</v>
      </c>
      <c r="AV402">
        <v>98</v>
      </c>
      <c r="AW402" t="s">
        <v>2283</v>
      </c>
      <c r="AX402" s="2" t="str">
        <f>HYPERLINK("http://exon.niaid.nih.gov/transcriptome/Anopheles_sialome/links/CDD/anoatro_D7r5-CDD.txt","PBP_GOBP")</f>
        <v>PBP_GOBP</v>
      </c>
      <c r="AY402" t="str">
        <f>HYPERLINK("http://www.ncbi.nlm.nih.gov/Structure/cdd/cddsrv.cgi?uid=pfam01395&amp;version=v4.0","0.002")</f>
        <v>0.002</v>
      </c>
      <c r="AZ402" t="s">
        <v>2546</v>
      </c>
      <c r="BA402" s="2" t="str">
        <f>HYPERLINK("http://exon.niaid.nih.gov/transcriptome/Anopheles_sialome/links/KOG/anoatro_D7r5-KOG.txt","Putative ubiquitin-specific protease")</f>
        <v>Putative ubiquitin-specific protease</v>
      </c>
      <c r="BB402" t="str">
        <f>HYPERLINK("http://www.ncbi.nlm.nih.gov/Structure/cdd/cddsrv.cgi?uid=KOG4598","0.78")</f>
        <v>0.78</v>
      </c>
      <c r="BC402" t="s">
        <v>2296</v>
      </c>
      <c r="BD402" t="str">
        <f>HYPERLINK("http://exon.niaid.nih.gov/transcriptome/Anopheles_sialome/links/KOG/anoatro_D7r5-KOG.txt","KOG4598")</f>
        <v>KOG4598</v>
      </c>
      <c r="BE402" t="str">
        <f>HYPERLINK("http://exon.niaid.nih.gov/transcriptome/Anopheles_sialome/links/PFAM/anoatro_D7r5-PFAM.txt","PBP_GOBP")</f>
        <v>PBP_GOBP</v>
      </c>
      <c r="BF402" t="str">
        <f>HYPERLINK("http://pfam.sanger.ac.uk/family?acc=PF01395","4E-004")</f>
        <v>4E-004</v>
      </c>
      <c r="BG402" s="2" t="str">
        <f>HYPERLINK("http://exon.niaid.nih.gov/transcriptome/Anopheles_sialome/links/SMART/anoatro_D7r5-SMART.txt","53EXOc")</f>
        <v>53EXOc</v>
      </c>
      <c r="BH402" t="str">
        <f>HYPERLINK("http://smart.embl-heidelberg.de/smart/do_annotation.pl?DOMAIN=53EXOc&amp;BLAST=DUMMY","0.025")</f>
        <v>0.025</v>
      </c>
      <c r="BI402" t="s">
        <v>128</v>
      </c>
      <c r="BJ402" s="2" t="s">
        <v>128</v>
      </c>
      <c r="BK402" t="s">
        <v>1133</v>
      </c>
      <c r="BL402">
        <f>HYPERLINK("http://exon.niaid.nih.gov/transcriptome/Anopheles_sialome/links/cluster-b/anopheline-sialome-cds-pep-larger-orf25-50SimCLU2.txt", 2)</f>
        <v>2</v>
      </c>
      <c r="BM402">
        <f>HYPERLINK("http://exon.niaid.nih.gov/transcriptome/Anopheles_sialome/links/cluster-b/anopheline-sialome-cds-pep-larger-orf25-50SimCLTL2.txt", 120)</f>
        <v>120</v>
      </c>
      <c r="BN402">
        <f>HYPERLINK("http://exon.niaid.nih.gov/transcriptome/Anopheles_sialome/links/cluster-b/anopheline-sialome-cds-pep-larger-orf30-50SimCLU2.txt", 2)</f>
        <v>2</v>
      </c>
      <c r="BO402">
        <f>HYPERLINK("http://exon.niaid.nih.gov/transcriptome/Anopheles_sialome/links/cluster-b/anopheline-sialome-cds-pep-larger-orf30-50SimCLTL2.txt", 120)</f>
        <v>120</v>
      </c>
      <c r="BP402">
        <f>HYPERLINK("http://exon.niaid.nih.gov/transcriptome/Anopheles_sialome/links/cluster-b/anopheline-sialome-cds-pep-larger-orf35-50SimCLU1.txt", 1)</f>
        <v>1</v>
      </c>
      <c r="BQ402">
        <f>HYPERLINK("http://exon.niaid.nih.gov/transcriptome/Anopheles_sialome/links/cluster-b/anopheline-sialome-cds-pep-larger-orf35-50SimCLTL1.txt", 120)</f>
        <v>120</v>
      </c>
      <c r="BR402">
        <f>HYPERLINK("http://exon.niaid.nih.gov/transcriptome/Anopheles_sialome/links/cluster-b/anopheline-sialome-cds-pep-larger-orf40-50SimCLU2.txt", 2)</f>
        <v>2</v>
      </c>
      <c r="BS402">
        <f>HYPERLINK("http://exon.niaid.nih.gov/transcriptome/Anopheles_sialome/links/cluster-b/anopheline-sialome-cds-pep-larger-orf40-50SimCLTL2.txt", 83)</f>
        <v>83</v>
      </c>
      <c r="BT402">
        <f>HYPERLINK("http://exon.niaid.nih.gov/transcriptome/Anopheles_sialome/links/cluster-b/anopheline-sialome-cds-pep-larger-orf45-50SimCLU1.txt", 1)</f>
        <v>1</v>
      </c>
      <c r="BU402">
        <f>HYPERLINK("http://exon.niaid.nih.gov/transcriptome/Anopheles_sialome/links/cluster-b/anopheline-sialome-cds-pep-larger-orf45-50SimCLTL1.txt", 83)</f>
        <v>83</v>
      </c>
      <c r="BV402">
        <f>HYPERLINK("http://exon.niaid.nih.gov/transcriptome/Anopheles_sialome/links/cluster-b/anopheline-sialome-cds-pep-larger-orf50-50SimCLU1.txt", 1)</f>
        <v>1</v>
      </c>
      <c r="BW402">
        <f>HYPERLINK("http://exon.niaid.nih.gov/transcriptome/Anopheles_sialome/links/cluster-b/anopheline-sialome-cds-pep-larger-orf50-50SimCLTL1.txt", 83)</f>
        <v>83</v>
      </c>
      <c r="BX402">
        <f>HYPERLINK("http://exon.niaid.nih.gov/transcriptome/Anopheles_sialome/links/cluster-b/anopheline-sialome-cds-pep-larger-orf55-50SimCLU1.txt", 1)</f>
        <v>1</v>
      </c>
      <c r="BY402">
        <f>HYPERLINK("http://exon.niaid.nih.gov/transcriptome/Anopheles_sialome/links/cluster-b/anopheline-sialome-cds-pep-larger-orf55-50SimCLTL1.txt", 79)</f>
        <v>79</v>
      </c>
      <c r="BZ402">
        <f>HYPERLINK("http://exon.niaid.nih.gov/transcriptome/Anopheles_sialome/links/cluster-b/anopheline-sialome-cds-pep-larger-orf60-50SimCLU12.txt", 12)</f>
        <v>12</v>
      </c>
      <c r="CA402">
        <f>HYPERLINK("http://exon.niaid.nih.gov/transcriptome/Anopheles_sialome/links/cluster-b/anopheline-sialome-cds-pep-larger-orf60-50SimCLTL12.txt", 19)</f>
        <v>19</v>
      </c>
      <c r="CB402">
        <f>HYPERLINK("http://exon.niaid.nih.gov/transcriptome/Anopheles_sialome/links/cluster-b/anopheline-sialome-cds-pep-larger-orf65-50SimCLU9.txt", 9)</f>
        <v>9</v>
      </c>
      <c r="CC402">
        <f>HYPERLINK("http://exon.niaid.nih.gov/transcriptome/Anopheles_sialome/links/cluster-b/anopheline-sialome-cds-pep-larger-orf65-50SimCLTL9.txt", 19)</f>
        <v>19</v>
      </c>
      <c r="CD402">
        <f>HYPERLINK("http://exon.niaid.nih.gov/transcriptome/Anopheles_sialome/links/cluster-b/anopheline-sialome-cds-pep-larger-orf70-50SimCLU9.txt", 9)</f>
        <v>9</v>
      </c>
      <c r="CE402">
        <f>HYPERLINK("http://exon.niaid.nih.gov/transcriptome/Anopheles_sialome/links/cluster-b/anopheline-sialome-cds-pep-larger-orf70-50SimCLTL9.txt", 19)</f>
        <v>19</v>
      </c>
      <c r="CF402">
        <f>HYPERLINK("http://exon.niaid.nih.gov/transcriptome/Anopheles_sialome/links/cluster-b/anopheline-sialome-cds-pep-larger-orf75-50SimCLU6.txt", 6)</f>
        <v>6</v>
      </c>
      <c r="CG402">
        <f>HYPERLINK("http://exon.niaid.nih.gov/transcriptome/Anopheles_sialome/links/cluster-b/anopheline-sialome-cds-pep-larger-orf75-50SimCLTL6.txt", 19)</f>
        <v>19</v>
      </c>
      <c r="CH402">
        <f>HYPERLINK("http://exon.niaid.nih.gov/transcriptome/Anopheles_sialome/links/cluster-b/anopheline-sialome-cds-pep-larger-orf80-50SimCLU69.txt", 69)</f>
        <v>69</v>
      </c>
      <c r="CI402">
        <f>HYPERLINK("http://exon.niaid.nih.gov/transcriptome/Anopheles_sialome/links/cluster-b/anopheline-sialome-cds-pep-larger-orf80-50SimCLTL69.txt", 2)</f>
        <v>2</v>
      </c>
      <c r="CJ402">
        <v>157</v>
      </c>
      <c r="CK402">
        <v>1</v>
      </c>
      <c r="CL402">
        <v>184</v>
      </c>
      <c r="CM402">
        <v>1</v>
      </c>
      <c r="CN402">
        <v>198</v>
      </c>
      <c r="CO402">
        <v>1</v>
      </c>
    </row>
    <row r="403" spans="1:93">
      <c r="A403" s="2" t="str">
        <f>HYPERLINK("http://exon.niaid.nih.gov/transcriptome/Anopheles_sialome/links/cds/anosin_D7r5-cds.txt","anosin_D7r5")</f>
        <v>anosin_D7r5</v>
      </c>
      <c r="B403">
        <v>531</v>
      </c>
      <c r="C403" t="s">
        <v>173</v>
      </c>
      <c r="D403" t="s">
        <v>7</v>
      </c>
      <c r="E403" t="s">
        <v>5</v>
      </c>
      <c r="F403" t="s">
        <v>1</v>
      </c>
      <c r="G403" t="str">
        <f>HYPERLINK("http://exon.niaid.nih.gov/transcriptome/Anopheles_sialome/links/pep/anosin_D7r5-pep.txt","anosin_D7r5")</f>
        <v>anosin_D7r5</v>
      </c>
      <c r="H403">
        <v>176</v>
      </c>
      <c r="I403">
        <v>0</v>
      </c>
      <c r="J403" s="3" t="str">
        <f>HYPERLINK("http://exon.niaid.nih.gov/transcriptome/Anopheles_sialome/links/Sigp/anosin_D7r5-SigP.txt","SIG")</f>
        <v>SIG</v>
      </c>
      <c r="K403" t="s">
        <v>945</v>
      </c>
      <c r="L403">
        <v>19.263999999999999</v>
      </c>
      <c r="M403">
        <v>6.29</v>
      </c>
      <c r="N403">
        <v>16.302</v>
      </c>
      <c r="O403">
        <v>5.93</v>
      </c>
      <c r="P403" t="s">
        <v>1136</v>
      </c>
      <c r="Q403" s="3">
        <v>0</v>
      </c>
      <c r="R403" t="s">
        <v>128</v>
      </c>
      <c r="S403" t="s">
        <v>128</v>
      </c>
      <c r="T403" t="s">
        <v>128</v>
      </c>
      <c r="U403" t="s">
        <v>128</v>
      </c>
      <c r="V403" t="s">
        <v>128</v>
      </c>
      <c r="W403" s="3" t="str">
        <f>HYPERLINK("http://exon.niaid.nih.gov/transcriptome/Anopheles_sialome/links/netoglyc/anosin_D7r5-netoglyc.txt","0")</f>
        <v>0</v>
      </c>
      <c r="X403">
        <v>13.1</v>
      </c>
      <c r="Y403">
        <v>7.4</v>
      </c>
      <c r="Z403">
        <v>1.1000000000000001</v>
      </c>
      <c r="AA403" t="s">
        <v>654</v>
      </c>
      <c r="AB403" t="s">
        <v>128</v>
      </c>
      <c r="AC403" s="2" t="str">
        <f>HYPERLINK("http://exon.niaid.nih.gov/transcriptome/Anopheles_sialome/links/DIPTERA/anosin_D7r5-DIPTERA.txt","short D7 protein")</f>
        <v>short D7 protein</v>
      </c>
      <c r="AD403" t="str">
        <f>HYPERLINK("http://www.ncbi.nlm.nih.gov/sutils/blink.cgi?pid=208657489","9E-052")</f>
        <v>9E-052</v>
      </c>
      <c r="AE403" t="str">
        <f>HYPERLINK("http://www.ncbi.nlm.nih.gov/protein/208657489","gi|208657489")</f>
        <v>gi|208657489</v>
      </c>
      <c r="AF403">
        <v>61</v>
      </c>
      <c r="AG403">
        <v>76</v>
      </c>
      <c r="AH403">
        <v>98</v>
      </c>
      <c r="AI403" t="s">
        <v>2283</v>
      </c>
      <c r="AJ403" s="2" t="str">
        <f>HYPERLINK("http://exon.niaid.nih.gov/transcriptome/Anopheles_sialome/links/CULICOMORPHA/anosin_D7r5-CULICOMORPHA.txt","short D7 protein")</f>
        <v>short D7 protein</v>
      </c>
      <c r="AK403" t="str">
        <f>HYPERLINK("http://www.ncbi.nlm.nih.gov/sutils/blink.cgi?pid=208657489","2E-052")</f>
        <v>2E-052</v>
      </c>
      <c r="AL403" t="str">
        <f>HYPERLINK("http://www.ncbi.nlm.nih.gov/protein/208657489","gi|208657489")</f>
        <v>gi|208657489</v>
      </c>
      <c r="AM403">
        <v>61</v>
      </c>
      <c r="AN403">
        <v>76</v>
      </c>
      <c r="AO403">
        <v>98</v>
      </c>
      <c r="AP403" t="s">
        <v>2283</v>
      </c>
      <c r="AQ403" s="2" t="str">
        <f>HYPERLINK("http://exon.niaid.nih.gov/transcriptome/Anopheles_sialome/links/NR-LIGHT/anosin_D7r5-NR-LIGHT.txt","hypothetical protein AND_010087")</f>
        <v>hypothetical protein AND_010087</v>
      </c>
      <c r="AR403" t="str">
        <f>HYPERLINK("http://www.ncbi.nlm.nih.gov/sutils/blink.cgi?pid=568248507","2E-051")</f>
        <v>2E-051</v>
      </c>
      <c r="AS403" t="str">
        <f>HYPERLINK("http://www.ncbi.nlm.nih.gov/protein/568248507","gi|568248507")</f>
        <v>gi|568248507</v>
      </c>
      <c r="AT403">
        <v>61</v>
      </c>
      <c r="AU403">
        <v>76</v>
      </c>
      <c r="AV403">
        <v>98</v>
      </c>
      <c r="AW403" t="s">
        <v>2283</v>
      </c>
      <c r="AX403" s="2" t="str">
        <f>HYPERLINK("http://exon.niaid.nih.gov/transcriptome/Anopheles_sialome/links/CDD/anosin_D7r5-CDD.txt","ERG12")</f>
        <v>ERG12</v>
      </c>
      <c r="AY403" t="str">
        <f>HYPERLINK("http://www.ncbi.nlm.nih.gov/Structure/cdd/cddsrv.cgi?uid=COG1577&amp;version=v4.0","0.23")</f>
        <v>0.23</v>
      </c>
      <c r="AZ403" t="s">
        <v>2547</v>
      </c>
      <c r="BA403" s="2" t="str">
        <f>HYPERLINK("http://exon.niaid.nih.gov/transcriptome/Anopheles_sialome/links/KOG/anosin_D7r5-KOG.txt","Predicted metal-dependent hydrolase, contains AlaS domain")</f>
        <v>Predicted metal-dependent hydrolase, contains AlaS domain</v>
      </c>
      <c r="BB403" t="str">
        <f>HYPERLINK("http://www.ncbi.nlm.nih.gov/Structure/cdd/cddsrv.cgi?uid=KOG2105","3.9")</f>
        <v>3.9</v>
      </c>
      <c r="BC403" t="s">
        <v>2310</v>
      </c>
      <c r="BD403" t="str">
        <f>HYPERLINK("http://exon.niaid.nih.gov/transcriptome/Anopheles_sialome/links/KOG/anosin_D7r5-KOG.txt","KOG2105")</f>
        <v>KOG2105</v>
      </c>
      <c r="BE403" t="str">
        <f>HYPERLINK("http://exon.niaid.nih.gov/transcriptome/Anopheles_sialome/links/PFAM/anosin_D7r5-PFAM.txt","Herpes_U30")</f>
        <v>Herpes_U30</v>
      </c>
      <c r="BF403" t="str">
        <f>HYPERLINK("http://pfam.sanger.ac.uk/family?acc=PF04523","0.062")</f>
        <v>0.062</v>
      </c>
      <c r="BG403" s="2" t="str">
        <f>HYPERLINK("http://exon.niaid.nih.gov/transcriptome/Anopheles_sialome/links/SMART/anosin_D7r5-SMART.txt","53EXOc")</f>
        <v>53EXOc</v>
      </c>
      <c r="BH403" t="str">
        <f>HYPERLINK("http://smart.embl-heidelberg.de/smart/do_annotation.pl?DOMAIN=53EXOc&amp;BLAST=DUMMY","0.31")</f>
        <v>0.31</v>
      </c>
      <c r="BI403" t="s">
        <v>128</v>
      </c>
      <c r="BJ403" s="2" t="s">
        <v>128</v>
      </c>
      <c r="BK403" t="s">
        <v>1135</v>
      </c>
      <c r="BL403">
        <f>HYPERLINK("http://exon.niaid.nih.gov/transcriptome/Anopheles_sialome/links/cluster-b/anopheline-sialome-cds-pep-larger-orf25-50SimCLU2.txt", 2)</f>
        <v>2</v>
      </c>
      <c r="BM403">
        <f>HYPERLINK("http://exon.niaid.nih.gov/transcriptome/Anopheles_sialome/links/cluster-b/anopheline-sialome-cds-pep-larger-orf25-50SimCLTL2.txt", 120)</f>
        <v>120</v>
      </c>
      <c r="BN403">
        <f>HYPERLINK("http://exon.niaid.nih.gov/transcriptome/Anopheles_sialome/links/cluster-b/anopheline-sialome-cds-pep-larger-orf30-50SimCLU2.txt", 2)</f>
        <v>2</v>
      </c>
      <c r="BO403">
        <f>HYPERLINK("http://exon.niaid.nih.gov/transcriptome/Anopheles_sialome/links/cluster-b/anopheline-sialome-cds-pep-larger-orf30-50SimCLTL2.txt", 120)</f>
        <v>120</v>
      </c>
      <c r="BP403">
        <f>HYPERLINK("http://exon.niaid.nih.gov/transcriptome/Anopheles_sialome/links/cluster-b/anopheline-sialome-cds-pep-larger-orf35-50SimCLU1.txt", 1)</f>
        <v>1</v>
      </c>
      <c r="BQ403">
        <f>HYPERLINK("http://exon.niaid.nih.gov/transcriptome/Anopheles_sialome/links/cluster-b/anopheline-sialome-cds-pep-larger-orf35-50SimCLTL1.txt", 120)</f>
        <v>120</v>
      </c>
      <c r="BR403">
        <f>HYPERLINK("http://exon.niaid.nih.gov/transcriptome/Anopheles_sialome/links/cluster-b/anopheline-sialome-cds-pep-larger-orf40-50SimCLU2.txt", 2)</f>
        <v>2</v>
      </c>
      <c r="BS403">
        <f>HYPERLINK("http://exon.niaid.nih.gov/transcriptome/Anopheles_sialome/links/cluster-b/anopheline-sialome-cds-pep-larger-orf40-50SimCLTL2.txt", 83)</f>
        <v>83</v>
      </c>
      <c r="BT403">
        <f>HYPERLINK("http://exon.niaid.nih.gov/transcriptome/Anopheles_sialome/links/cluster-b/anopheline-sialome-cds-pep-larger-orf45-50SimCLU1.txt", 1)</f>
        <v>1</v>
      </c>
      <c r="BU403">
        <f>HYPERLINK("http://exon.niaid.nih.gov/transcriptome/Anopheles_sialome/links/cluster-b/anopheline-sialome-cds-pep-larger-orf45-50SimCLTL1.txt", 83)</f>
        <v>83</v>
      </c>
      <c r="BV403">
        <f>HYPERLINK("http://exon.niaid.nih.gov/transcriptome/Anopheles_sialome/links/cluster-b/anopheline-sialome-cds-pep-larger-orf50-50SimCLU1.txt", 1)</f>
        <v>1</v>
      </c>
      <c r="BW403">
        <f>HYPERLINK("http://exon.niaid.nih.gov/transcriptome/Anopheles_sialome/links/cluster-b/anopheline-sialome-cds-pep-larger-orf50-50SimCLTL1.txt", 83)</f>
        <v>83</v>
      </c>
      <c r="BX403">
        <f>HYPERLINK("http://exon.niaid.nih.gov/transcriptome/Anopheles_sialome/links/cluster-b/anopheline-sialome-cds-pep-larger-orf55-50SimCLU1.txt", 1)</f>
        <v>1</v>
      </c>
      <c r="BY403">
        <f>HYPERLINK("http://exon.niaid.nih.gov/transcriptome/Anopheles_sialome/links/cluster-b/anopheline-sialome-cds-pep-larger-orf55-50SimCLTL1.txt", 79)</f>
        <v>79</v>
      </c>
      <c r="BZ403">
        <f>HYPERLINK("http://exon.niaid.nih.gov/transcriptome/Anopheles_sialome/links/cluster-b/anopheline-sialome-cds-pep-larger-orf60-50SimCLU12.txt", 12)</f>
        <v>12</v>
      </c>
      <c r="CA403">
        <f>HYPERLINK("http://exon.niaid.nih.gov/transcriptome/Anopheles_sialome/links/cluster-b/anopheline-sialome-cds-pep-larger-orf60-50SimCLTL12.txt", 19)</f>
        <v>19</v>
      </c>
      <c r="CB403">
        <f>HYPERLINK("http://exon.niaid.nih.gov/transcriptome/Anopheles_sialome/links/cluster-b/anopheline-sialome-cds-pep-larger-orf65-50SimCLU9.txt", 9)</f>
        <v>9</v>
      </c>
      <c r="CC403">
        <f>HYPERLINK("http://exon.niaid.nih.gov/transcriptome/Anopheles_sialome/links/cluster-b/anopheline-sialome-cds-pep-larger-orf65-50SimCLTL9.txt", 19)</f>
        <v>19</v>
      </c>
      <c r="CD403">
        <f>HYPERLINK("http://exon.niaid.nih.gov/transcriptome/Anopheles_sialome/links/cluster-b/anopheline-sialome-cds-pep-larger-orf70-50SimCLU9.txt", 9)</f>
        <v>9</v>
      </c>
      <c r="CE403">
        <f>HYPERLINK("http://exon.niaid.nih.gov/transcriptome/Anopheles_sialome/links/cluster-b/anopheline-sialome-cds-pep-larger-orf70-50SimCLTL9.txt", 19)</f>
        <v>19</v>
      </c>
      <c r="CF403">
        <f>HYPERLINK("http://exon.niaid.nih.gov/transcriptome/Anopheles_sialome/links/cluster-b/anopheline-sialome-cds-pep-larger-orf75-50SimCLU6.txt", 6)</f>
        <v>6</v>
      </c>
      <c r="CG403">
        <f>HYPERLINK("http://exon.niaid.nih.gov/transcriptome/Anopheles_sialome/links/cluster-b/anopheline-sialome-cds-pep-larger-orf75-50SimCLTL6.txt", 19)</f>
        <v>19</v>
      </c>
      <c r="CH403">
        <f>HYPERLINK("http://exon.niaid.nih.gov/transcriptome/Anopheles_sialome/links/cluster-b/anopheline-sialome-cds-pep-larger-orf80-50SimCLU69.txt", 69)</f>
        <v>69</v>
      </c>
      <c r="CI403">
        <f>HYPERLINK("http://exon.niaid.nih.gov/transcriptome/Anopheles_sialome/links/cluster-b/anopheline-sialome-cds-pep-larger-orf80-50SimCLTL69.txt", 2)</f>
        <v>2</v>
      </c>
      <c r="CJ403">
        <v>158</v>
      </c>
      <c r="CK403">
        <v>1</v>
      </c>
      <c r="CL403">
        <v>185</v>
      </c>
      <c r="CM403">
        <v>1</v>
      </c>
      <c r="CN403">
        <v>199</v>
      </c>
      <c r="CO403">
        <v>1</v>
      </c>
    </row>
    <row r="404" spans="1:93">
      <c r="A404" s="2" t="str">
        <f>HYPERLINK("http://exon.niaid.nih.gov/transcriptome/Anopheles_sialome/links/cds/anoalb_D7r5-cds.txt","anoalb_D7r5")</f>
        <v>anoalb_D7r5</v>
      </c>
      <c r="B404">
        <v>522</v>
      </c>
      <c r="C404" t="s">
        <v>168</v>
      </c>
      <c r="D404" t="s">
        <v>7</v>
      </c>
      <c r="E404" t="s">
        <v>5</v>
      </c>
      <c r="F404" t="s">
        <v>1</v>
      </c>
      <c r="G404" t="str">
        <f>HYPERLINK("http://exon.niaid.nih.gov/transcriptome/Anopheles_sialome/links/pep/anoalb_D7r5-pep.txt","anoalb_D7r5")</f>
        <v>anoalb_D7r5</v>
      </c>
      <c r="H404">
        <v>173</v>
      </c>
      <c r="I404">
        <v>0</v>
      </c>
      <c r="J404" s="3" t="str">
        <f>HYPERLINK("http://exon.niaid.nih.gov/transcriptome/Anopheles_sialome/links/Sigp/anoalb_D7r5-SigP.txt","SIG")</f>
        <v>SIG</v>
      </c>
      <c r="K404" t="s">
        <v>689</v>
      </c>
      <c r="L404">
        <v>19.315000000000001</v>
      </c>
      <c r="M404">
        <v>6.28</v>
      </c>
      <c r="N404">
        <v>16.946000000000002</v>
      </c>
      <c r="O404">
        <v>5.88</v>
      </c>
      <c r="P404" t="s">
        <v>1138</v>
      </c>
      <c r="Q404" s="3">
        <v>0</v>
      </c>
      <c r="R404" t="s">
        <v>128</v>
      </c>
      <c r="S404" t="s">
        <v>128</v>
      </c>
      <c r="T404" t="s">
        <v>128</v>
      </c>
      <c r="U404" t="s">
        <v>128</v>
      </c>
      <c r="V404" t="s">
        <v>128</v>
      </c>
      <c r="W404" s="3" t="str">
        <f>HYPERLINK("http://exon.niaid.nih.gov/transcriptome/Anopheles_sialome/links/netoglyc/anoalb_D7r5-netoglyc.txt","1")</f>
        <v>1</v>
      </c>
      <c r="X404">
        <v>15.6</v>
      </c>
      <c r="Y404">
        <v>4</v>
      </c>
      <c r="Z404">
        <v>2.2999999999999998</v>
      </c>
      <c r="AA404" t="s">
        <v>654</v>
      </c>
      <c r="AB404" t="s">
        <v>128</v>
      </c>
      <c r="AC404" s="2" t="str">
        <f>HYPERLINK("http://exon.niaid.nih.gov/transcriptome/Anopheles_sialome/links/DIPTERA/anoalb_D7r5-DIPTERA.txt","short D7 protein")</f>
        <v>short D7 protein</v>
      </c>
      <c r="AD404" t="str">
        <f>HYPERLINK("http://www.ncbi.nlm.nih.gov/sutils/blink.cgi?pid=208657489","7E-076")</f>
        <v>7E-076</v>
      </c>
      <c r="AE404" t="str">
        <f>HYPERLINK("http://www.ncbi.nlm.nih.gov/protein/208657489","gi|208657489")</f>
        <v>gi|208657489</v>
      </c>
      <c r="AF404">
        <v>84</v>
      </c>
      <c r="AG404">
        <v>86</v>
      </c>
      <c r="AH404">
        <v>101</v>
      </c>
      <c r="AI404" t="s">
        <v>2283</v>
      </c>
      <c r="AJ404" s="2" t="str">
        <f>HYPERLINK("http://exon.niaid.nih.gov/transcriptome/Anopheles_sialome/links/CULICOMORPHA/anoalb_D7r5-CULICOMORPHA.txt","short D7 protein")</f>
        <v>short D7 protein</v>
      </c>
      <c r="AK404" t="str">
        <f>HYPERLINK("http://www.ncbi.nlm.nih.gov/sutils/blink.cgi?pid=208657489","1E-076")</f>
        <v>1E-076</v>
      </c>
      <c r="AL404" t="str">
        <f>HYPERLINK("http://www.ncbi.nlm.nih.gov/protein/208657489","gi|208657489")</f>
        <v>gi|208657489</v>
      </c>
      <c r="AM404">
        <v>84</v>
      </c>
      <c r="AN404">
        <v>86</v>
      </c>
      <c r="AO404">
        <v>101</v>
      </c>
      <c r="AP404" t="s">
        <v>2283</v>
      </c>
      <c r="AQ404" s="2" t="str">
        <f>HYPERLINK("http://exon.niaid.nih.gov/transcriptome/Anopheles_sialome/links/NR-LIGHT/anoalb_D7r5-NR-LIGHT.txt","hypothetical protein AND_010087")</f>
        <v>hypothetical protein AND_010087</v>
      </c>
      <c r="AR404" t="str">
        <f>HYPERLINK("http://www.ncbi.nlm.nih.gov/sutils/blink.cgi?pid=568248507","2E-075")</f>
        <v>2E-075</v>
      </c>
      <c r="AS404" t="str">
        <f>HYPERLINK("http://www.ncbi.nlm.nih.gov/protein/568248507","gi|568248507")</f>
        <v>gi|568248507</v>
      </c>
      <c r="AT404">
        <v>84</v>
      </c>
      <c r="AU404">
        <v>86</v>
      </c>
      <c r="AV404">
        <v>101</v>
      </c>
      <c r="AW404" t="s">
        <v>2283</v>
      </c>
      <c r="AX404" s="2" t="str">
        <f>HYPERLINK("http://exon.niaid.nih.gov/transcriptome/Anopheles_sialome/links/CDD/anoalb_D7r5-CDD.txt","PLN02877")</f>
        <v>PLN02877</v>
      </c>
      <c r="AY404" t="str">
        <f>HYPERLINK("http://www.ncbi.nlm.nih.gov/Structure/cdd/cddsrv.cgi?uid=PLN02877&amp;version=v4.0","0.100")</f>
        <v>0.100</v>
      </c>
      <c r="AZ404" t="s">
        <v>2548</v>
      </c>
      <c r="BA404" s="2" t="str">
        <f>HYPERLINK("http://exon.niaid.nih.gov/transcriptome/Anopheles_sialome/links/KOG/anoalb_D7r5-KOG.txt","Thyroid hormone receptor-associated protein complex, subunit TRAP230")</f>
        <v>Thyroid hormone receptor-associated protein complex, subunit TRAP230</v>
      </c>
      <c r="BB404" t="str">
        <f>HYPERLINK("http://www.ncbi.nlm.nih.gov/Structure/cdd/cddsrv.cgi?uid=KOG3598","3.7")</f>
        <v>3.7</v>
      </c>
      <c r="BC404" t="s">
        <v>2262</v>
      </c>
      <c r="BD404" t="str">
        <f>HYPERLINK("http://exon.niaid.nih.gov/transcriptome/Anopheles_sialome/links/KOG/anoalb_D7r5-KOG.txt","KOG3598")</f>
        <v>KOG3598</v>
      </c>
      <c r="BE404" t="str">
        <f>HYPERLINK("http://exon.niaid.nih.gov/transcriptome/Anopheles_sialome/links/PFAM/anoalb_D7r5-PFAM.txt","PBP_GOBP")</f>
        <v>PBP_GOBP</v>
      </c>
      <c r="BF404" t="str">
        <f>HYPERLINK("http://pfam.sanger.ac.uk/family?acc=PF01395","0.10")</f>
        <v>0.10</v>
      </c>
      <c r="BG404" s="2" t="str">
        <f>HYPERLINK("http://exon.niaid.nih.gov/transcriptome/Anopheles_sialome/links/SMART/anoalb_D7r5-SMART.txt","CLa")</f>
        <v>CLa</v>
      </c>
      <c r="BH404" t="str">
        <f>HYPERLINK("http://smart.embl-heidelberg.de/smart/do_annotation.pl?DOMAIN=CLa&amp;BLAST=DUMMY","2.7")</f>
        <v>2.7</v>
      </c>
      <c r="BI404" t="s">
        <v>128</v>
      </c>
      <c r="BJ404" s="2" t="s">
        <v>128</v>
      </c>
      <c r="BK404" t="s">
        <v>1137</v>
      </c>
      <c r="BL404">
        <f>HYPERLINK("http://exon.niaid.nih.gov/transcriptome/Anopheles_sialome/links/cluster-b/anopheline-sialome-cds-pep-larger-orf25-50SimCLU2.txt", 2)</f>
        <v>2</v>
      </c>
      <c r="BM404">
        <f>HYPERLINK("http://exon.niaid.nih.gov/transcriptome/Anopheles_sialome/links/cluster-b/anopheline-sialome-cds-pep-larger-orf25-50SimCLTL2.txt", 120)</f>
        <v>120</v>
      </c>
      <c r="BN404">
        <f>HYPERLINK("http://exon.niaid.nih.gov/transcriptome/Anopheles_sialome/links/cluster-b/anopheline-sialome-cds-pep-larger-orf30-50SimCLU2.txt", 2)</f>
        <v>2</v>
      </c>
      <c r="BO404">
        <f>HYPERLINK("http://exon.niaid.nih.gov/transcriptome/Anopheles_sialome/links/cluster-b/anopheline-sialome-cds-pep-larger-orf30-50SimCLTL2.txt", 120)</f>
        <v>120</v>
      </c>
      <c r="BP404">
        <f>HYPERLINK("http://exon.niaid.nih.gov/transcriptome/Anopheles_sialome/links/cluster-b/anopheline-sialome-cds-pep-larger-orf35-50SimCLU1.txt", 1)</f>
        <v>1</v>
      </c>
      <c r="BQ404">
        <f>HYPERLINK("http://exon.niaid.nih.gov/transcriptome/Anopheles_sialome/links/cluster-b/anopheline-sialome-cds-pep-larger-orf35-50SimCLTL1.txt", 120)</f>
        <v>120</v>
      </c>
      <c r="BR404">
        <f>HYPERLINK("http://exon.niaid.nih.gov/transcriptome/Anopheles_sialome/links/cluster-b/anopheline-sialome-cds-pep-larger-orf40-50SimCLU2.txt", 2)</f>
        <v>2</v>
      </c>
      <c r="BS404">
        <f>HYPERLINK("http://exon.niaid.nih.gov/transcriptome/Anopheles_sialome/links/cluster-b/anopheline-sialome-cds-pep-larger-orf40-50SimCLTL2.txt", 83)</f>
        <v>83</v>
      </c>
      <c r="BT404">
        <f>HYPERLINK("http://exon.niaid.nih.gov/transcriptome/Anopheles_sialome/links/cluster-b/anopheline-sialome-cds-pep-larger-orf45-50SimCLU1.txt", 1)</f>
        <v>1</v>
      </c>
      <c r="BU404">
        <f>HYPERLINK("http://exon.niaid.nih.gov/transcriptome/Anopheles_sialome/links/cluster-b/anopheline-sialome-cds-pep-larger-orf45-50SimCLTL1.txt", 83)</f>
        <v>83</v>
      </c>
      <c r="BV404">
        <f>HYPERLINK("http://exon.niaid.nih.gov/transcriptome/Anopheles_sialome/links/cluster-b/anopheline-sialome-cds-pep-larger-orf50-50SimCLU1.txt", 1)</f>
        <v>1</v>
      </c>
      <c r="BW404">
        <f>HYPERLINK("http://exon.niaid.nih.gov/transcriptome/Anopheles_sialome/links/cluster-b/anopheline-sialome-cds-pep-larger-orf50-50SimCLTL1.txt", 83)</f>
        <v>83</v>
      </c>
      <c r="BX404">
        <f>HYPERLINK("http://exon.niaid.nih.gov/transcriptome/Anopheles_sialome/links/cluster-b/anopheline-sialome-cds-pep-larger-orf55-50SimCLU1.txt", 1)</f>
        <v>1</v>
      </c>
      <c r="BY404">
        <f>HYPERLINK("http://exon.niaid.nih.gov/transcriptome/Anopheles_sialome/links/cluster-b/anopheline-sialome-cds-pep-larger-orf55-50SimCLTL1.txt", 79)</f>
        <v>79</v>
      </c>
      <c r="BZ404">
        <f>HYPERLINK("http://exon.niaid.nih.gov/transcriptome/Anopheles_sialome/links/cluster-b/anopheline-sialome-cds-pep-larger-orf60-50SimCLU12.txt", 12)</f>
        <v>12</v>
      </c>
      <c r="CA404">
        <f>HYPERLINK("http://exon.niaid.nih.gov/transcriptome/Anopheles_sialome/links/cluster-b/anopheline-sialome-cds-pep-larger-orf60-50SimCLTL12.txt", 19)</f>
        <v>19</v>
      </c>
      <c r="CB404">
        <f>HYPERLINK("http://exon.niaid.nih.gov/transcriptome/Anopheles_sialome/links/cluster-b/anopheline-sialome-cds-pep-larger-orf65-50SimCLU9.txt", 9)</f>
        <v>9</v>
      </c>
      <c r="CC404">
        <f>HYPERLINK("http://exon.niaid.nih.gov/transcriptome/Anopheles_sialome/links/cluster-b/anopheline-sialome-cds-pep-larger-orf65-50SimCLTL9.txt", 19)</f>
        <v>19</v>
      </c>
      <c r="CD404">
        <f>HYPERLINK("http://exon.niaid.nih.gov/transcriptome/Anopheles_sialome/links/cluster-b/anopheline-sialome-cds-pep-larger-orf70-50SimCLU9.txt", 9)</f>
        <v>9</v>
      </c>
      <c r="CE404">
        <f>HYPERLINK("http://exon.niaid.nih.gov/transcriptome/Anopheles_sialome/links/cluster-b/anopheline-sialome-cds-pep-larger-orf70-50SimCLTL9.txt", 19)</f>
        <v>19</v>
      </c>
      <c r="CF404">
        <f>HYPERLINK("http://exon.niaid.nih.gov/transcriptome/Anopheles_sialome/links/cluster-b/anopheline-sialome-cds-pep-larger-orf75-50SimCLU6.txt", 6)</f>
        <v>6</v>
      </c>
      <c r="CG404">
        <f>HYPERLINK("http://exon.niaid.nih.gov/transcriptome/Anopheles_sialome/links/cluster-b/anopheline-sialome-cds-pep-larger-orf75-50SimCLTL6.txt", 19)</f>
        <v>19</v>
      </c>
      <c r="CH404">
        <v>134</v>
      </c>
      <c r="CI404">
        <v>1</v>
      </c>
      <c r="CJ404">
        <v>159</v>
      </c>
      <c r="CK404">
        <v>1</v>
      </c>
      <c r="CL404">
        <v>186</v>
      </c>
      <c r="CM404">
        <v>1</v>
      </c>
      <c r="CN404">
        <v>200</v>
      </c>
      <c r="CO404">
        <v>1</v>
      </c>
    </row>
    <row r="405" spans="1:93">
      <c r="A405" s="2" t="str">
        <f>HYPERLINK("http://exon.niaid.nih.gov/transcriptome/Anopheles_sialome/links/cds/anodar_D7r5-cds.txt","anodar_D7r5")</f>
        <v>anodar_D7r5</v>
      </c>
      <c r="B405">
        <v>465</v>
      </c>
      <c r="C405" t="s">
        <v>185</v>
      </c>
      <c r="D405" t="s">
        <v>4</v>
      </c>
      <c r="E405" t="s">
        <v>5</v>
      </c>
      <c r="F405" t="s">
        <v>1</v>
      </c>
      <c r="G405" t="str">
        <f>HYPERLINK("http://exon.niaid.nih.gov/transcriptome/Anopheles_sialome/links/pep/anodar_D7r5-pep.txt","anodar_D7r5")</f>
        <v>anodar_D7r5</v>
      </c>
      <c r="H405">
        <v>154</v>
      </c>
      <c r="I405">
        <v>0</v>
      </c>
      <c r="J405" s="3" t="str">
        <f>HYPERLINK("http://exon.niaid.nih.gov/transcriptome/Anopheles_sialome/links/Sigp/anodar_D7r5-SigP.txt","SIG")</f>
        <v>SIG</v>
      </c>
      <c r="K405" t="s">
        <v>787</v>
      </c>
      <c r="L405">
        <v>17.177</v>
      </c>
      <c r="M405">
        <v>6.71</v>
      </c>
      <c r="N405">
        <v>14.576000000000001</v>
      </c>
      <c r="O405">
        <v>6.13</v>
      </c>
      <c r="P405" t="s">
        <v>1140</v>
      </c>
      <c r="Q405" s="3" t="str">
        <f>HYPERLINK("http://exon.niaid.nih.gov/transcriptome/Anopheles_sialome/links/tmhmm/anodar_D7r5-tmhmm.txt","1")</f>
        <v>1</v>
      </c>
      <c r="R405">
        <v>12.3</v>
      </c>
      <c r="S405">
        <v>2.6</v>
      </c>
      <c r="T405">
        <v>85.1</v>
      </c>
      <c r="U405" t="s">
        <v>128</v>
      </c>
      <c r="V405">
        <v>131</v>
      </c>
      <c r="W405" s="3" t="str">
        <f>HYPERLINK("http://exon.niaid.nih.gov/transcriptome/Anopheles_sialome/links/netoglyc/anodar_D7r5-netoglyc.txt","0")</f>
        <v>0</v>
      </c>
      <c r="X405">
        <v>11.7</v>
      </c>
      <c r="Y405">
        <v>5.8</v>
      </c>
      <c r="Z405">
        <v>2.6</v>
      </c>
      <c r="AA405" t="s">
        <v>654</v>
      </c>
      <c r="AB405" t="s">
        <v>128</v>
      </c>
      <c r="AC405" s="2" t="str">
        <f>HYPERLINK("http://exon.niaid.nih.gov/transcriptome/Anopheles_sialome/links/DIPTERA/anodar_D7r5-DIPTERA.txt","short D7 protein")</f>
        <v>short D7 protein</v>
      </c>
      <c r="AD405" t="str">
        <f>HYPERLINK("http://www.ncbi.nlm.nih.gov/sutils/blink.cgi?pid=208657489","1E-079")</f>
        <v>1E-079</v>
      </c>
      <c r="AE405" t="str">
        <f>HYPERLINK("http://www.ncbi.nlm.nih.gov/protein/208657489","gi|208657489")</f>
        <v>gi|208657489</v>
      </c>
      <c r="AF405">
        <v>89</v>
      </c>
      <c r="AG405">
        <v>89</v>
      </c>
      <c r="AH405">
        <v>100</v>
      </c>
      <c r="AI405" t="s">
        <v>2283</v>
      </c>
      <c r="AJ405" s="2" t="str">
        <f>HYPERLINK("http://exon.niaid.nih.gov/transcriptome/Anopheles_sialome/links/CULICOMORPHA/anodar_D7r5-CULICOMORPHA.txt","short D7 protein")</f>
        <v>short D7 protein</v>
      </c>
      <c r="AK405" t="str">
        <f>HYPERLINK("http://www.ncbi.nlm.nih.gov/sutils/blink.cgi?pid=208657489","2E-080")</f>
        <v>2E-080</v>
      </c>
      <c r="AL405" t="str">
        <f>HYPERLINK("http://www.ncbi.nlm.nih.gov/protein/208657489","gi|208657489")</f>
        <v>gi|208657489</v>
      </c>
      <c r="AM405">
        <v>89</v>
      </c>
      <c r="AN405">
        <v>89</v>
      </c>
      <c r="AO405">
        <v>100</v>
      </c>
      <c r="AP405" t="s">
        <v>2283</v>
      </c>
      <c r="AQ405" s="2" t="str">
        <f>HYPERLINK("http://exon.niaid.nih.gov/transcriptome/Anopheles_sialome/links/NR-LIGHT/anodar_D7r5-NR-LIGHT.txt","hypothetical protein AND_010087")</f>
        <v>hypothetical protein AND_010087</v>
      </c>
      <c r="AR405" t="str">
        <f>HYPERLINK("http://www.ncbi.nlm.nih.gov/sutils/blink.cgi?pid=568248507","3E-079")</f>
        <v>3E-079</v>
      </c>
      <c r="AS405" t="str">
        <f>HYPERLINK("http://www.ncbi.nlm.nih.gov/protein/568248507","gi|568248507")</f>
        <v>gi|568248507</v>
      </c>
      <c r="AT405">
        <v>89</v>
      </c>
      <c r="AU405">
        <v>89</v>
      </c>
      <c r="AV405">
        <v>100</v>
      </c>
      <c r="AW405" t="s">
        <v>2283</v>
      </c>
      <c r="AX405" s="2" t="str">
        <f>HYPERLINK("http://exon.niaid.nih.gov/transcriptome/Anopheles_sialome/links/CDD/anodar_D7r5-CDD.txt","JCAD")</f>
        <v>JCAD</v>
      </c>
      <c r="AY405" t="str">
        <f>HYPERLINK("http://www.ncbi.nlm.nih.gov/Structure/cdd/cddsrv.cgi?uid=pfam15351&amp;version=v4.0","2.2")</f>
        <v>2.2</v>
      </c>
      <c r="AZ405" t="s">
        <v>2549</v>
      </c>
      <c r="BA405" s="2" t="str">
        <f>HYPERLINK("http://exon.niaid.nih.gov/transcriptome/Anopheles_sialome/links/KOG/anodar_D7r5-KOG.txt","AAA+-type ATPase")</f>
        <v>AAA+-type ATPase</v>
      </c>
      <c r="BB405" t="str">
        <f>HYPERLINK("http://www.ncbi.nlm.nih.gov/Structure/cdd/cddsrv.cgi?uid=KOG0735","1.2")</f>
        <v>1.2</v>
      </c>
      <c r="BC405" t="s">
        <v>2296</v>
      </c>
      <c r="BD405" t="str">
        <f>HYPERLINK("http://exon.niaid.nih.gov/transcriptome/Anopheles_sialome/links/KOG/anodar_D7r5-KOG.txt","KOG0735")</f>
        <v>KOG0735</v>
      </c>
      <c r="BE405" t="str">
        <f>HYPERLINK("http://exon.niaid.nih.gov/transcriptome/Anopheles_sialome/links/PFAM/anodar_D7r5-PFAM.txt","JCAD")</f>
        <v>JCAD</v>
      </c>
      <c r="BF405" t="str">
        <f>HYPERLINK("http://pfam.sanger.ac.uk/family?acc=PF15351","0.50")</f>
        <v>0.50</v>
      </c>
      <c r="BG405" s="2" t="str">
        <f>HYPERLINK("http://exon.niaid.nih.gov/transcriptome/Anopheles_sialome/links/SMART/anodar_D7r5-SMART.txt","AgrB")</f>
        <v>AgrB</v>
      </c>
      <c r="BH405" t="str">
        <f>HYPERLINK("http://smart.embl-heidelberg.de/smart/do_annotation.pl?DOMAIN=AgrB&amp;BLAST=DUMMY","0.83")</f>
        <v>0.83</v>
      </c>
      <c r="BI405" t="s">
        <v>128</v>
      </c>
      <c r="BJ405" s="2" t="s">
        <v>128</v>
      </c>
      <c r="BK405" t="s">
        <v>1139</v>
      </c>
      <c r="BL405">
        <f>HYPERLINK("http://exon.niaid.nih.gov/transcriptome/Anopheles_sialome/links/cluster-b/anopheline-sialome-cds-pep-larger-orf25-50SimCLU2.txt", 2)</f>
        <v>2</v>
      </c>
      <c r="BM405">
        <f>HYPERLINK("http://exon.niaid.nih.gov/transcriptome/Anopheles_sialome/links/cluster-b/anopheline-sialome-cds-pep-larger-orf25-50SimCLTL2.txt", 120)</f>
        <v>120</v>
      </c>
      <c r="BN405">
        <f>HYPERLINK("http://exon.niaid.nih.gov/transcriptome/Anopheles_sialome/links/cluster-b/anopheline-sialome-cds-pep-larger-orf30-50SimCLU2.txt", 2)</f>
        <v>2</v>
      </c>
      <c r="BO405">
        <f>HYPERLINK("http://exon.niaid.nih.gov/transcriptome/Anopheles_sialome/links/cluster-b/anopheline-sialome-cds-pep-larger-orf30-50SimCLTL2.txt", 120)</f>
        <v>120</v>
      </c>
      <c r="BP405">
        <f>HYPERLINK("http://exon.niaid.nih.gov/transcriptome/Anopheles_sialome/links/cluster-b/anopheline-sialome-cds-pep-larger-orf35-50SimCLU1.txt", 1)</f>
        <v>1</v>
      </c>
      <c r="BQ405">
        <f>HYPERLINK("http://exon.niaid.nih.gov/transcriptome/Anopheles_sialome/links/cluster-b/anopheline-sialome-cds-pep-larger-orf35-50SimCLTL1.txt", 120)</f>
        <v>120</v>
      </c>
      <c r="BR405">
        <f>HYPERLINK("http://exon.niaid.nih.gov/transcriptome/Anopheles_sialome/links/cluster-b/anopheline-sialome-cds-pep-larger-orf40-50SimCLU2.txt", 2)</f>
        <v>2</v>
      </c>
      <c r="BS405">
        <f>HYPERLINK("http://exon.niaid.nih.gov/transcriptome/Anopheles_sialome/links/cluster-b/anopheline-sialome-cds-pep-larger-orf40-50SimCLTL2.txt", 83)</f>
        <v>83</v>
      </c>
      <c r="BT405">
        <f>HYPERLINK("http://exon.niaid.nih.gov/transcriptome/Anopheles_sialome/links/cluster-b/anopheline-sialome-cds-pep-larger-orf45-50SimCLU1.txt", 1)</f>
        <v>1</v>
      </c>
      <c r="BU405">
        <f>HYPERLINK("http://exon.niaid.nih.gov/transcriptome/Anopheles_sialome/links/cluster-b/anopheline-sialome-cds-pep-larger-orf45-50SimCLTL1.txt", 83)</f>
        <v>83</v>
      </c>
      <c r="BV405">
        <f>HYPERLINK("http://exon.niaid.nih.gov/transcriptome/Anopheles_sialome/links/cluster-b/anopheline-sialome-cds-pep-larger-orf50-50SimCLU1.txt", 1)</f>
        <v>1</v>
      </c>
      <c r="BW405">
        <f>HYPERLINK("http://exon.niaid.nih.gov/transcriptome/Anopheles_sialome/links/cluster-b/anopheline-sialome-cds-pep-larger-orf50-50SimCLTL1.txt", 83)</f>
        <v>83</v>
      </c>
      <c r="BX405">
        <f>HYPERLINK("http://exon.niaid.nih.gov/transcriptome/Anopheles_sialome/links/cluster-b/anopheline-sialome-cds-pep-larger-orf55-50SimCLU1.txt", 1)</f>
        <v>1</v>
      </c>
      <c r="BY405">
        <f>HYPERLINK("http://exon.niaid.nih.gov/transcriptome/Anopheles_sialome/links/cluster-b/anopheline-sialome-cds-pep-larger-orf55-50SimCLTL1.txt", 79)</f>
        <v>79</v>
      </c>
      <c r="BZ405">
        <f>HYPERLINK("http://exon.niaid.nih.gov/transcriptome/Anopheles_sialome/links/cluster-b/anopheline-sialome-cds-pep-larger-orf60-50SimCLU12.txt", 12)</f>
        <v>12</v>
      </c>
      <c r="CA405">
        <f>HYPERLINK("http://exon.niaid.nih.gov/transcriptome/Anopheles_sialome/links/cluster-b/anopheline-sialome-cds-pep-larger-orf60-50SimCLTL12.txt", 19)</f>
        <v>19</v>
      </c>
      <c r="CB405">
        <f>HYPERLINK("http://exon.niaid.nih.gov/transcriptome/Anopheles_sialome/links/cluster-b/anopheline-sialome-cds-pep-larger-orf65-50SimCLU9.txt", 9)</f>
        <v>9</v>
      </c>
      <c r="CC405">
        <f>HYPERLINK("http://exon.niaid.nih.gov/transcriptome/Anopheles_sialome/links/cluster-b/anopheline-sialome-cds-pep-larger-orf65-50SimCLTL9.txt", 19)</f>
        <v>19</v>
      </c>
      <c r="CD405">
        <f>HYPERLINK("http://exon.niaid.nih.gov/transcriptome/Anopheles_sialome/links/cluster-b/anopheline-sialome-cds-pep-larger-orf70-50SimCLU9.txt", 9)</f>
        <v>9</v>
      </c>
      <c r="CE405">
        <f>HYPERLINK("http://exon.niaid.nih.gov/transcriptome/Anopheles_sialome/links/cluster-b/anopheline-sialome-cds-pep-larger-orf70-50SimCLTL9.txt", 19)</f>
        <v>19</v>
      </c>
      <c r="CF405">
        <f>HYPERLINK("http://exon.niaid.nih.gov/transcriptome/Anopheles_sialome/links/cluster-b/anopheline-sialome-cds-pep-larger-orf75-50SimCLU6.txt", 6)</f>
        <v>6</v>
      </c>
      <c r="CG405">
        <f>HYPERLINK("http://exon.niaid.nih.gov/transcriptome/Anopheles_sialome/links/cluster-b/anopheline-sialome-cds-pep-larger-orf75-50SimCLTL6.txt", 19)</f>
        <v>19</v>
      </c>
      <c r="CH405">
        <v>135</v>
      </c>
      <c r="CI405">
        <v>1</v>
      </c>
      <c r="CJ405">
        <v>160</v>
      </c>
      <c r="CK405">
        <v>1</v>
      </c>
      <c r="CL405">
        <v>187</v>
      </c>
      <c r="CM405">
        <v>1</v>
      </c>
      <c r="CN405">
        <v>201</v>
      </c>
      <c r="CO405">
        <v>1</v>
      </c>
    </row>
    <row r="406" spans="1:93">
      <c r="A406" s="14" t="s">
        <v>3133</v>
      </c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13"/>
    </row>
    <row r="407" spans="1:93">
      <c r="A407" s="2" t="str">
        <f>HYPERLINK("http://exon.niaid.nih.gov/transcriptome/Anopheles_sialome/links/cds/anoga_30kDa-cds.txt","anoga_30kDa")</f>
        <v>anoga_30kDa</v>
      </c>
      <c r="B407">
        <v>759</v>
      </c>
      <c r="C407" t="s">
        <v>3</v>
      </c>
      <c r="D407" t="s">
        <v>4</v>
      </c>
      <c r="E407" t="s">
        <v>5</v>
      </c>
      <c r="F407" t="s">
        <v>1</v>
      </c>
      <c r="G407" t="str">
        <f>HYPERLINK("http://exon.niaid.nih.gov/transcriptome/Anopheles_sialome/links/pep/anoga_30kDa-pep.txt","anoga_30kDa")</f>
        <v>anoga_30kDa</v>
      </c>
      <c r="H407">
        <v>252</v>
      </c>
      <c r="I407">
        <v>0</v>
      </c>
      <c r="J407" s="3" t="str">
        <f>HYPERLINK("http://exon.niaid.nih.gov/transcriptome/Anopheles_sialome/links/Sigp/anoga_30kDa-SigP.txt","SIG")</f>
        <v>SIG</v>
      </c>
      <c r="K407" t="s">
        <v>652</v>
      </c>
      <c r="L407">
        <v>26.904</v>
      </c>
      <c r="M407">
        <v>4.12</v>
      </c>
      <c r="N407">
        <v>24.916</v>
      </c>
      <c r="O407">
        <v>4.09</v>
      </c>
      <c r="P407" t="s">
        <v>653</v>
      </c>
      <c r="Q407" s="3">
        <v>0</v>
      </c>
      <c r="R407" t="s">
        <v>128</v>
      </c>
      <c r="S407" t="s">
        <v>128</v>
      </c>
      <c r="T407" t="s">
        <v>128</v>
      </c>
      <c r="U407" t="s">
        <v>128</v>
      </c>
      <c r="V407" t="s">
        <v>128</v>
      </c>
      <c r="W407" s="3" t="str">
        <f>HYPERLINK("http://exon.niaid.nih.gov/transcriptome/Anopheles_sialome/links/netoglyc/anoga_30kDa-netoglyc.txt","5")</f>
        <v>5</v>
      </c>
      <c r="X407">
        <v>15.9</v>
      </c>
      <c r="Y407">
        <v>9.9</v>
      </c>
      <c r="Z407">
        <v>1.2</v>
      </c>
      <c r="AA407" t="s">
        <v>654</v>
      </c>
      <c r="AB407" t="s">
        <v>128</v>
      </c>
      <c r="AC407" s="2" t="str">
        <f>HYPERLINK("http://exon.niaid.nih.gov/transcriptome/Anopheles_sialome/links/DIPTERA/anoga_30kDa-DIPTERA.txt","anti-platelet protein")</f>
        <v>anti-platelet protein</v>
      </c>
      <c r="AD407" t="str">
        <f>HYPERLINK("http://www.ncbi.nlm.nih.gov/sutils/blink.cgi?pid=190576759","1E-139")</f>
        <v>1E-139</v>
      </c>
      <c r="AE407" t="str">
        <f t="shared" ref="AE407:AE413" si="150">HYPERLINK("http://www.ncbi.nlm.nih.gov/protein/190576759","gi|190576759")</f>
        <v>gi|190576759</v>
      </c>
      <c r="AF407">
        <v>100</v>
      </c>
      <c r="AG407">
        <v>100</v>
      </c>
      <c r="AH407">
        <v>100</v>
      </c>
      <c r="AI407" t="s">
        <v>2254</v>
      </c>
      <c r="AJ407" s="2" t="str">
        <f>HYPERLINK("http://exon.niaid.nih.gov/transcriptome/Anopheles_sialome/links/CULICOMORPHA/anoga_30kDa-CULICOMORPHA.txt","anti-platelet protein")</f>
        <v>anti-platelet protein</v>
      </c>
      <c r="AK407" t="str">
        <f>HYPERLINK("http://www.ncbi.nlm.nih.gov/sutils/blink.cgi?pid=190576759","1E-139")</f>
        <v>1E-139</v>
      </c>
      <c r="AL407" t="str">
        <f t="shared" ref="AL407:AL413" si="151">HYPERLINK("http://www.ncbi.nlm.nih.gov/protein/190576759","gi|190576759")</f>
        <v>gi|190576759</v>
      </c>
      <c r="AM407">
        <v>100</v>
      </c>
      <c r="AN407">
        <v>100</v>
      </c>
      <c r="AO407">
        <v>100</v>
      </c>
      <c r="AP407" t="s">
        <v>2254</v>
      </c>
      <c r="AQ407" s="2" t="str">
        <f>HYPERLINK("http://exon.niaid.nih.gov/transcriptome/Anopheles_sialome/links/NR-LIGHT/anoga_30kDa-NR-LIGHT.txt","anti-platelet protein")</f>
        <v>anti-platelet protein</v>
      </c>
      <c r="AR407" t="str">
        <f>HYPERLINK("http://www.ncbi.nlm.nih.gov/sutils/blink.cgi?pid=190576759","1E-138")</f>
        <v>1E-138</v>
      </c>
      <c r="AS407" t="str">
        <f t="shared" ref="AS407:AS413" si="152">HYPERLINK("http://www.ncbi.nlm.nih.gov/protein/190576759","gi|190576759")</f>
        <v>gi|190576759</v>
      </c>
      <c r="AT407">
        <v>100</v>
      </c>
      <c r="AU407">
        <v>100</v>
      </c>
      <c r="AV407">
        <v>100</v>
      </c>
      <c r="AW407" t="s">
        <v>2254</v>
      </c>
      <c r="AX407" s="2" t="str">
        <f>HYPERLINK("http://exon.niaid.nih.gov/transcriptome/Anopheles_sialome/links/CDD/anoga_30kDa-CDD.txt","retinal_rod")</f>
        <v>retinal_rod</v>
      </c>
      <c r="AY407" t="str">
        <f>HYPERLINK("http://www.ncbi.nlm.nih.gov/Structure/cdd/cddsrv.cgi?uid=TIGR00927&amp;version=v4.0","2E-006")</f>
        <v>2E-006</v>
      </c>
      <c r="AZ407" t="s">
        <v>2255</v>
      </c>
      <c r="BA407" s="2" t="str">
        <f>HYPERLINK("http://exon.niaid.nih.gov/transcriptome/Anopheles_sialome/links/KOG/anoga_30kDa-KOG.txt","HIV-1 Vpr-binding protein")</f>
        <v>HIV-1 Vpr-binding protein</v>
      </c>
      <c r="BB407" t="str">
        <f>HYPERLINK("http://www.ncbi.nlm.nih.gov/Structure/cdd/cddsrv.cgi?uid=KOG1832","2E-004")</f>
        <v>2E-004</v>
      </c>
      <c r="BC407" t="s">
        <v>2256</v>
      </c>
      <c r="BD407" t="str">
        <f>HYPERLINK("http://exon.niaid.nih.gov/transcriptome/Anopheles_sialome/links/KOG/anoga_30kDa-KOG.txt","KOG1832")</f>
        <v>KOG1832</v>
      </c>
      <c r="BE407" t="str">
        <f>HYPERLINK("http://exon.niaid.nih.gov/transcriptome/Anopheles_sialome/links/PFAM/anoga_30kDa-PFAM.txt","Nop14")</f>
        <v>Nop14</v>
      </c>
      <c r="BF407" t="str">
        <f>HYPERLINK("http://pfam.sanger.ac.uk/family?acc=PF04147","4E-005")</f>
        <v>4E-005</v>
      </c>
      <c r="BG407" s="2" t="str">
        <f>HYPERLINK("http://exon.niaid.nih.gov/transcriptome/Anopheles_sialome/links/SMART/anoga_30kDa-SMART.txt","DM6")</f>
        <v>DM6</v>
      </c>
      <c r="BH407" t="str">
        <f>HYPERLINK("http://smart.embl-heidelberg.de/smart/do_annotation.pl?DOMAIN=DM6&amp;BLAST=DUMMY","0.84")</f>
        <v>0.84</v>
      </c>
      <c r="BI407" t="str">
        <f>HYPERLINK("http://exon.niaid.nih.gov/transcriptome/Anopheles_sialome/links/TICK-BLOCKS/anoga_30kDa-TICK-BLOCKS.txt","Aegyptin_stringent_pattern |Aegyptin_mosquito |Aegyptin_mosquito_stringent_pattern |Aegyptin_coxy |")</f>
        <v>Aegyptin_stringent_pattern |Aegyptin_mosquito |Aegyptin_mosquito_stringent_pattern |Aegyptin_coxy |</v>
      </c>
      <c r="BJ407" s="2" t="s">
        <v>2257</v>
      </c>
      <c r="BK407" t="s">
        <v>651</v>
      </c>
      <c r="BL407">
        <f>HYPERLINK("http://exon.niaid.nih.gov/transcriptome/Anopheles_sialome/links/cluster-b/anopheline-sialome-cds-pep-larger-orf25-50SimCLU10.txt", 10)</f>
        <v>10</v>
      </c>
      <c r="BM407">
        <f>HYPERLINK("http://exon.niaid.nih.gov/transcriptome/Anopheles_sialome/links/cluster-b/anopheline-sialome-cds-pep-larger-orf25-50SimCLTL10.txt", 19)</f>
        <v>19</v>
      </c>
      <c r="BN407">
        <f>HYPERLINK("http://exon.niaid.nih.gov/transcriptome/Anopheles_sialome/links/cluster-b/anopheline-sialome-cds-pep-larger-orf30-50SimCLU9.txt", 9)</f>
        <v>9</v>
      </c>
      <c r="BO407">
        <f>HYPERLINK("http://exon.niaid.nih.gov/transcriptome/Anopheles_sialome/links/cluster-b/anopheline-sialome-cds-pep-larger-orf30-50SimCLTL9.txt", 19)</f>
        <v>19</v>
      </c>
      <c r="BP407">
        <f>HYPERLINK("http://exon.niaid.nih.gov/transcriptome/Anopheles_sialome/links/cluster-b/anopheline-sialome-cds-pep-larger-orf35-50SimCLU11.txt", 11)</f>
        <v>11</v>
      </c>
      <c r="BQ407">
        <f>HYPERLINK("http://exon.niaid.nih.gov/transcriptome/Anopheles_sialome/links/cluster-b/anopheline-sialome-cds-pep-larger-orf35-50SimCLTL11.txt", 19)</f>
        <v>19</v>
      </c>
      <c r="BR407">
        <f>HYPERLINK("http://exon.niaid.nih.gov/transcriptome/Anopheles_sialome/links/cluster-b/anopheline-sialome-cds-pep-larger-orf40-50SimCLU12.txt", 12)</f>
        <v>12</v>
      </c>
      <c r="BS407">
        <f>HYPERLINK("http://exon.niaid.nih.gov/transcriptome/Anopheles_sialome/links/cluster-b/anopheline-sialome-cds-pep-larger-orf40-50SimCLTL12.txt", 19)</f>
        <v>19</v>
      </c>
      <c r="BT407">
        <f>HYPERLINK("http://exon.niaid.nih.gov/transcriptome/Anopheles_sialome/links/cluster-b/anopheline-sialome-cds-pep-larger-orf45-50SimCLU12.txt", 12)</f>
        <v>12</v>
      </c>
      <c r="BU407">
        <f>HYPERLINK("http://exon.niaid.nih.gov/transcriptome/Anopheles_sialome/links/cluster-b/anopheline-sialome-cds-pep-larger-orf45-50SimCLTL12.txt", 19)</f>
        <v>19</v>
      </c>
      <c r="BV407">
        <f>HYPERLINK("http://exon.niaid.nih.gov/transcriptome/Anopheles_sialome/links/cluster-b/anopheline-sialome-cds-pep-larger-orf50-50SimCLU12.txt", 12)</f>
        <v>12</v>
      </c>
      <c r="BW407">
        <f>HYPERLINK("http://exon.niaid.nih.gov/transcriptome/Anopheles_sialome/links/cluster-b/anopheline-sialome-cds-pep-larger-orf50-50SimCLTL12.txt", 19)</f>
        <v>19</v>
      </c>
      <c r="BX407">
        <f>HYPERLINK("http://exon.niaid.nih.gov/transcriptome/Anopheles_sialome/links/cluster-b/anopheline-sialome-cds-pep-larger-orf55-50SimCLU13.txt", 13)</f>
        <v>13</v>
      </c>
      <c r="BY407">
        <f>HYPERLINK("http://exon.niaid.nih.gov/transcriptome/Anopheles_sialome/links/cluster-b/anopheline-sialome-cds-pep-larger-orf55-50SimCLTL13.txt", 19)</f>
        <v>19</v>
      </c>
      <c r="BZ407">
        <f>HYPERLINK("http://exon.niaid.nih.gov/transcriptome/Anopheles_sialome/links/cluster-b/anopheline-sialome-cds-pep-larger-orf60-50SimCLU11.txt", 11)</f>
        <v>11</v>
      </c>
      <c r="CA407">
        <f>HYPERLINK("http://exon.niaid.nih.gov/transcriptome/Anopheles_sialome/links/cluster-b/anopheline-sialome-cds-pep-larger-orf60-50SimCLTL11.txt", 19)</f>
        <v>19</v>
      </c>
      <c r="CB407">
        <f>HYPERLINK("http://exon.niaid.nih.gov/transcriptome/Anopheles_sialome/links/cluster-b/anopheline-sialome-cds-pep-larger-orf65-50SimCLU8.txt", 8)</f>
        <v>8</v>
      </c>
      <c r="CC407">
        <f>HYPERLINK("http://exon.niaid.nih.gov/transcriptome/Anopheles_sialome/links/cluster-b/anopheline-sialome-cds-pep-larger-orf65-50SimCLTL8.txt", 19)</f>
        <v>19</v>
      </c>
      <c r="CD407">
        <f>HYPERLINK("http://exon.niaid.nih.gov/transcriptome/Anopheles_sialome/links/cluster-b/anopheline-sialome-cds-pep-larger-orf70-50SimCLU7.txt", 7)</f>
        <v>7</v>
      </c>
      <c r="CE407">
        <f>HYPERLINK("http://exon.niaid.nih.gov/transcriptome/Anopheles_sialome/links/cluster-b/anopheline-sialome-cds-pep-larger-orf70-50SimCLTL7.txt", 19)</f>
        <v>19</v>
      </c>
      <c r="CF407">
        <f>HYPERLINK("http://exon.niaid.nih.gov/transcriptome/Anopheles_sialome/links/cluster-b/anopheline-sialome-cds-pep-larger-orf75-50SimCLU16.txt", 16)</f>
        <v>16</v>
      </c>
      <c r="CG407">
        <f>HYPERLINK("http://exon.niaid.nih.gov/transcriptome/Anopheles_sialome/links/cluster-b/anopheline-sialome-cds-pep-larger-orf75-50SimCLTL16.txt", 16)</f>
        <v>16</v>
      </c>
      <c r="CH407">
        <f>HYPERLINK("http://exon.niaid.nih.gov/transcriptome/Anopheles_sialome/links/cluster-b/anopheline-sialome-cds-pep-larger-orf80-50SimCLU16.txt", 16)</f>
        <v>16</v>
      </c>
      <c r="CI407">
        <f>HYPERLINK("http://exon.niaid.nih.gov/transcriptome/Anopheles_sialome/links/cluster-b/anopheline-sialome-cds-pep-larger-orf80-50SimCLTL16.txt", 13)</f>
        <v>13</v>
      </c>
      <c r="CJ407">
        <f>HYPERLINK("http://exon.niaid.nih.gov/transcriptome/Anopheles_sialome/links/cluster-b/anopheline-sialome-cds-pep-larger-orf85-50SimCLU26.txt", 26)</f>
        <v>26</v>
      </c>
      <c r="CK407">
        <f>HYPERLINK("http://exon.niaid.nih.gov/transcriptome/Anopheles_sialome/links/cluster-b/anopheline-sialome-cds-pep-larger-orf85-50SimCLTL26.txt", 6)</f>
        <v>6</v>
      </c>
      <c r="CL407">
        <f>HYPERLINK("http://exon.niaid.nih.gov/transcriptome/Anopheles_sialome/links/cluster-b/anopheline-sialome-cds-pep-larger-orf90-50SimCLU16.txt", 16)</f>
        <v>16</v>
      </c>
      <c r="CM407">
        <f>HYPERLINK("http://exon.niaid.nih.gov/transcriptome/Anopheles_sialome/links/cluster-b/anopheline-sialome-cds-pep-larger-orf90-50SimCLTL16.txt", 6)</f>
        <v>6</v>
      </c>
      <c r="CN407">
        <f>HYPERLINK("http://exon.niaid.nih.gov/transcriptome/Anopheles_sialome/links/cluster-b/anopheline-sialome-cds-pep-larger-orf95-50SimCLU2.txt", 2)</f>
        <v>2</v>
      </c>
      <c r="CO407">
        <f>HYPERLINK("http://exon.niaid.nih.gov/transcriptome/Anopheles_sialome/links/cluster-b/anopheline-sialome-cds-pep-larger-orf95-50SimCLTL2.txt", 6)</f>
        <v>6</v>
      </c>
    </row>
    <row r="408" spans="1:93">
      <c r="A408" s="2" t="str">
        <f>HYPERLINK("http://exon.niaid.nih.gov/transcriptome/Anopheles_sialome/links/cds/anocol_30kDa-cds.txt","anocol_30kDa")</f>
        <v>anocol_30kDa</v>
      </c>
      <c r="B408">
        <v>759</v>
      </c>
      <c r="C408" t="s">
        <v>6</v>
      </c>
      <c r="D408" t="s">
        <v>7</v>
      </c>
      <c r="E408" t="s">
        <v>5</v>
      </c>
      <c r="F408" t="s">
        <v>1</v>
      </c>
      <c r="G408" t="str">
        <f>HYPERLINK("http://exon.niaid.nih.gov/transcriptome/Anopheles_sialome/links/pep/anocol_30kDa-pep.txt","anocol_30kDa")</f>
        <v>anocol_30kDa</v>
      </c>
      <c r="H408">
        <v>252</v>
      </c>
      <c r="I408">
        <v>0</v>
      </c>
      <c r="J408" s="3" t="str">
        <f>HYPERLINK("http://exon.niaid.nih.gov/transcriptome/Anopheles_sialome/links/Sigp/anocol_30kDa-SigP.txt","SIG")</f>
        <v>SIG</v>
      </c>
      <c r="K408" t="s">
        <v>652</v>
      </c>
      <c r="L408">
        <v>26.824999999999999</v>
      </c>
      <c r="M408">
        <v>4.1399999999999997</v>
      </c>
      <c r="N408">
        <v>24.812000000000001</v>
      </c>
      <c r="O408">
        <v>4.1100000000000003</v>
      </c>
      <c r="P408" t="s">
        <v>653</v>
      </c>
      <c r="Q408" s="3">
        <v>0</v>
      </c>
      <c r="R408" t="s">
        <v>128</v>
      </c>
      <c r="S408" t="s">
        <v>128</v>
      </c>
      <c r="T408" t="s">
        <v>128</v>
      </c>
      <c r="U408" t="s">
        <v>128</v>
      </c>
      <c r="V408" t="s">
        <v>128</v>
      </c>
      <c r="W408" s="3" t="str">
        <f>HYPERLINK("http://exon.niaid.nih.gov/transcriptome/Anopheles_sialome/links/netoglyc/anocol_30kDa-netoglyc.txt","5")</f>
        <v>5</v>
      </c>
      <c r="X408">
        <v>15.5</v>
      </c>
      <c r="Y408">
        <v>10.3</v>
      </c>
      <c r="Z408">
        <v>1.2</v>
      </c>
      <c r="AA408" t="s">
        <v>654</v>
      </c>
      <c r="AB408" t="s">
        <v>128</v>
      </c>
      <c r="AC408" s="2" t="str">
        <f>HYPERLINK("http://exon.niaid.nih.gov/transcriptome/Anopheles_sialome/links/DIPTERA/anocol_30kDa-DIPTERA.txt","anti-platelet protein")</f>
        <v>anti-platelet protein</v>
      </c>
      <c r="AD408" t="str">
        <f>HYPERLINK("http://www.ncbi.nlm.nih.gov/sutils/blink.cgi?pid=190576759","1E-137")</f>
        <v>1E-137</v>
      </c>
      <c r="AE408" t="str">
        <f t="shared" si="150"/>
        <v>gi|190576759</v>
      </c>
      <c r="AF408">
        <v>98</v>
      </c>
      <c r="AG408">
        <v>98</v>
      </c>
      <c r="AH408">
        <v>100</v>
      </c>
      <c r="AI408" t="s">
        <v>2254</v>
      </c>
      <c r="AJ408" s="2" t="str">
        <f>HYPERLINK("http://exon.niaid.nih.gov/transcriptome/Anopheles_sialome/links/CULICOMORPHA/anocol_30kDa-CULICOMORPHA.txt","anti-platelet protein")</f>
        <v>anti-platelet protein</v>
      </c>
      <c r="AK408" t="str">
        <f>HYPERLINK("http://www.ncbi.nlm.nih.gov/sutils/blink.cgi?pid=190576759","1E-137")</f>
        <v>1E-137</v>
      </c>
      <c r="AL408" t="str">
        <f t="shared" si="151"/>
        <v>gi|190576759</v>
      </c>
      <c r="AM408">
        <v>98</v>
      </c>
      <c r="AN408">
        <v>98</v>
      </c>
      <c r="AO408">
        <v>100</v>
      </c>
      <c r="AP408" t="s">
        <v>2254</v>
      </c>
      <c r="AQ408" s="2" t="str">
        <f>HYPERLINK("http://exon.niaid.nih.gov/transcriptome/Anopheles_sialome/links/NR-LIGHT/anocol_30kDa-NR-LIGHT.txt","anti-platelet protein")</f>
        <v>anti-platelet protein</v>
      </c>
      <c r="AR408" t="str">
        <f>HYPERLINK("http://www.ncbi.nlm.nih.gov/sutils/blink.cgi?pid=190576759","1E-136")</f>
        <v>1E-136</v>
      </c>
      <c r="AS408" t="str">
        <f t="shared" si="152"/>
        <v>gi|190576759</v>
      </c>
      <c r="AT408">
        <v>98</v>
      </c>
      <c r="AU408">
        <v>98</v>
      </c>
      <c r="AV408">
        <v>100</v>
      </c>
      <c r="AW408" t="s">
        <v>2254</v>
      </c>
      <c r="AX408" s="2" t="str">
        <f>HYPERLINK("http://exon.niaid.nih.gov/transcriptome/Anopheles_sialome/links/CDD/anocol_30kDa-CDD.txt","retinal_rod")</f>
        <v>retinal_rod</v>
      </c>
      <c r="AY408" t="str">
        <f>HYPERLINK("http://www.ncbi.nlm.nih.gov/Structure/cdd/cddsrv.cgi?uid=TIGR00927&amp;version=v4.0","5E-006")</f>
        <v>5E-006</v>
      </c>
      <c r="AZ408" t="s">
        <v>2258</v>
      </c>
      <c r="BA408" s="2" t="str">
        <f>HYPERLINK("http://exon.niaid.nih.gov/transcriptome/Anopheles_sialome/links/KOG/anocol_30kDa-KOG.txt","HIV-1 Vpr-binding protein")</f>
        <v>HIV-1 Vpr-binding protein</v>
      </c>
      <c r="BB408" t="str">
        <f>HYPERLINK("http://www.ncbi.nlm.nih.gov/Structure/cdd/cddsrv.cgi?uid=KOG1832","2E-004")</f>
        <v>2E-004</v>
      </c>
      <c r="BC408" t="s">
        <v>2256</v>
      </c>
      <c r="BD408" t="str">
        <f>HYPERLINK("http://exon.niaid.nih.gov/transcriptome/Anopheles_sialome/links/KOG/anocol_30kDa-KOG.txt","KOG1832")</f>
        <v>KOG1832</v>
      </c>
      <c r="BE408" t="str">
        <f>HYPERLINK("http://exon.niaid.nih.gov/transcriptome/Anopheles_sialome/links/PFAM/anocol_30kDa-PFAM.txt","COPI_C")</f>
        <v>COPI_C</v>
      </c>
      <c r="BF408" t="str">
        <f>HYPERLINK("http://pfam.sanger.ac.uk/family?acc=PF06957","6E-004")</f>
        <v>6E-004</v>
      </c>
      <c r="BG408" s="2" t="str">
        <f>HYPERLINK("http://exon.niaid.nih.gov/transcriptome/Anopheles_sialome/links/SMART/anocol_30kDa-SMART.txt","DM6")</f>
        <v>DM6</v>
      </c>
      <c r="BH408" t="str">
        <f>HYPERLINK("http://smart.embl-heidelberg.de/smart/do_annotation.pl?DOMAIN=DM6&amp;BLAST=DUMMY","0.79")</f>
        <v>0.79</v>
      </c>
      <c r="BI408" t="str">
        <f>HYPERLINK("http://exon.niaid.nih.gov/transcriptome/Anopheles_sialome/links/TICK-BLOCKS/anocol_30kDa-TICK-BLOCKS.txt","Aegyptin_stringent_pattern |Aegyptin_mosquito |Aegyptin_mosquito_stringent_pattern |Aegyptin_coxy |")</f>
        <v>Aegyptin_stringent_pattern |Aegyptin_mosquito |Aegyptin_mosquito_stringent_pattern |Aegyptin_coxy |</v>
      </c>
      <c r="BJ408" s="2" t="s">
        <v>2257</v>
      </c>
      <c r="BK408" t="s">
        <v>655</v>
      </c>
      <c r="BL408">
        <f>HYPERLINK("http://exon.niaid.nih.gov/transcriptome/Anopheles_sialome/links/cluster-b/anopheline-sialome-cds-pep-larger-orf25-50SimCLU10.txt", 10)</f>
        <v>10</v>
      </c>
      <c r="BM408">
        <f>HYPERLINK("http://exon.niaid.nih.gov/transcriptome/Anopheles_sialome/links/cluster-b/anopheline-sialome-cds-pep-larger-orf25-50SimCLTL10.txt", 19)</f>
        <v>19</v>
      </c>
      <c r="BN408">
        <f>HYPERLINK("http://exon.niaid.nih.gov/transcriptome/Anopheles_sialome/links/cluster-b/anopheline-sialome-cds-pep-larger-orf30-50SimCLU9.txt", 9)</f>
        <v>9</v>
      </c>
      <c r="BO408">
        <f>HYPERLINK("http://exon.niaid.nih.gov/transcriptome/Anopheles_sialome/links/cluster-b/anopheline-sialome-cds-pep-larger-orf30-50SimCLTL9.txt", 19)</f>
        <v>19</v>
      </c>
      <c r="BP408">
        <f>HYPERLINK("http://exon.niaid.nih.gov/transcriptome/Anopheles_sialome/links/cluster-b/anopheline-sialome-cds-pep-larger-orf35-50SimCLU11.txt", 11)</f>
        <v>11</v>
      </c>
      <c r="BQ408">
        <f>HYPERLINK("http://exon.niaid.nih.gov/transcriptome/Anopheles_sialome/links/cluster-b/anopheline-sialome-cds-pep-larger-orf35-50SimCLTL11.txt", 19)</f>
        <v>19</v>
      </c>
      <c r="BR408">
        <f>HYPERLINK("http://exon.niaid.nih.gov/transcriptome/Anopheles_sialome/links/cluster-b/anopheline-sialome-cds-pep-larger-orf40-50SimCLU12.txt", 12)</f>
        <v>12</v>
      </c>
      <c r="BS408">
        <f>HYPERLINK("http://exon.niaid.nih.gov/transcriptome/Anopheles_sialome/links/cluster-b/anopheline-sialome-cds-pep-larger-orf40-50SimCLTL12.txt", 19)</f>
        <v>19</v>
      </c>
      <c r="BT408">
        <f>HYPERLINK("http://exon.niaid.nih.gov/transcriptome/Anopheles_sialome/links/cluster-b/anopheline-sialome-cds-pep-larger-orf45-50SimCLU12.txt", 12)</f>
        <v>12</v>
      </c>
      <c r="BU408">
        <f>HYPERLINK("http://exon.niaid.nih.gov/transcriptome/Anopheles_sialome/links/cluster-b/anopheline-sialome-cds-pep-larger-orf45-50SimCLTL12.txt", 19)</f>
        <v>19</v>
      </c>
      <c r="BV408">
        <f>HYPERLINK("http://exon.niaid.nih.gov/transcriptome/Anopheles_sialome/links/cluster-b/anopheline-sialome-cds-pep-larger-orf50-50SimCLU12.txt", 12)</f>
        <v>12</v>
      </c>
      <c r="BW408">
        <f>HYPERLINK("http://exon.niaid.nih.gov/transcriptome/Anopheles_sialome/links/cluster-b/anopheline-sialome-cds-pep-larger-orf50-50SimCLTL12.txt", 19)</f>
        <v>19</v>
      </c>
      <c r="BX408">
        <f>HYPERLINK("http://exon.niaid.nih.gov/transcriptome/Anopheles_sialome/links/cluster-b/anopheline-sialome-cds-pep-larger-orf55-50SimCLU13.txt", 13)</f>
        <v>13</v>
      </c>
      <c r="BY408">
        <f>HYPERLINK("http://exon.niaid.nih.gov/transcriptome/Anopheles_sialome/links/cluster-b/anopheline-sialome-cds-pep-larger-orf55-50SimCLTL13.txt", 19)</f>
        <v>19</v>
      </c>
      <c r="BZ408">
        <f>HYPERLINK("http://exon.niaid.nih.gov/transcriptome/Anopheles_sialome/links/cluster-b/anopheline-sialome-cds-pep-larger-orf60-50SimCLU11.txt", 11)</f>
        <v>11</v>
      </c>
      <c r="CA408">
        <f>HYPERLINK("http://exon.niaid.nih.gov/transcriptome/Anopheles_sialome/links/cluster-b/anopheline-sialome-cds-pep-larger-orf60-50SimCLTL11.txt", 19)</f>
        <v>19</v>
      </c>
      <c r="CB408">
        <f>HYPERLINK("http://exon.niaid.nih.gov/transcriptome/Anopheles_sialome/links/cluster-b/anopheline-sialome-cds-pep-larger-orf65-50SimCLU8.txt", 8)</f>
        <v>8</v>
      </c>
      <c r="CC408">
        <f>HYPERLINK("http://exon.niaid.nih.gov/transcriptome/Anopheles_sialome/links/cluster-b/anopheline-sialome-cds-pep-larger-orf65-50SimCLTL8.txt", 19)</f>
        <v>19</v>
      </c>
      <c r="CD408">
        <f>HYPERLINK("http://exon.niaid.nih.gov/transcriptome/Anopheles_sialome/links/cluster-b/anopheline-sialome-cds-pep-larger-orf70-50SimCLU7.txt", 7)</f>
        <v>7</v>
      </c>
      <c r="CE408">
        <f>HYPERLINK("http://exon.niaid.nih.gov/transcriptome/Anopheles_sialome/links/cluster-b/anopheline-sialome-cds-pep-larger-orf70-50SimCLTL7.txt", 19)</f>
        <v>19</v>
      </c>
      <c r="CF408">
        <f>HYPERLINK("http://exon.niaid.nih.gov/transcriptome/Anopheles_sialome/links/cluster-b/anopheline-sialome-cds-pep-larger-orf75-50SimCLU16.txt", 16)</f>
        <v>16</v>
      </c>
      <c r="CG408">
        <f>HYPERLINK("http://exon.niaid.nih.gov/transcriptome/Anopheles_sialome/links/cluster-b/anopheline-sialome-cds-pep-larger-orf75-50SimCLTL16.txt", 16)</f>
        <v>16</v>
      </c>
      <c r="CH408">
        <f>HYPERLINK("http://exon.niaid.nih.gov/transcriptome/Anopheles_sialome/links/cluster-b/anopheline-sialome-cds-pep-larger-orf80-50SimCLU16.txt", 16)</f>
        <v>16</v>
      </c>
      <c r="CI408">
        <f>HYPERLINK("http://exon.niaid.nih.gov/transcriptome/Anopheles_sialome/links/cluster-b/anopheline-sialome-cds-pep-larger-orf80-50SimCLTL16.txt", 13)</f>
        <v>13</v>
      </c>
      <c r="CJ408">
        <f>HYPERLINK("http://exon.niaid.nih.gov/transcriptome/Anopheles_sialome/links/cluster-b/anopheline-sialome-cds-pep-larger-orf85-50SimCLU26.txt", 26)</f>
        <v>26</v>
      </c>
      <c r="CK408">
        <f>HYPERLINK("http://exon.niaid.nih.gov/transcriptome/Anopheles_sialome/links/cluster-b/anopheline-sialome-cds-pep-larger-orf85-50SimCLTL26.txt", 6)</f>
        <v>6</v>
      </c>
      <c r="CL408">
        <f>HYPERLINK("http://exon.niaid.nih.gov/transcriptome/Anopheles_sialome/links/cluster-b/anopheline-sialome-cds-pep-larger-orf90-50SimCLU16.txt", 16)</f>
        <v>16</v>
      </c>
      <c r="CM408">
        <f>HYPERLINK("http://exon.niaid.nih.gov/transcriptome/Anopheles_sialome/links/cluster-b/anopheline-sialome-cds-pep-larger-orf90-50SimCLTL16.txt", 6)</f>
        <v>6</v>
      </c>
      <c r="CN408">
        <f>HYPERLINK("http://exon.niaid.nih.gov/transcriptome/Anopheles_sialome/links/cluster-b/anopheline-sialome-cds-pep-larger-orf95-50SimCLU2.txt", 2)</f>
        <v>2</v>
      </c>
      <c r="CO408">
        <f>HYPERLINK("http://exon.niaid.nih.gov/transcriptome/Anopheles_sialome/links/cluster-b/anopheline-sialome-cds-pep-larger-orf95-50SimCLTL2.txt", 6)</f>
        <v>6</v>
      </c>
    </row>
    <row r="409" spans="1:93">
      <c r="A409" s="2" t="str">
        <f>HYPERLINK("http://exon.niaid.nih.gov/transcriptome/Anopheles_sialome/links/cds/anoara_30kDa-cds.txt","anoara_30kDa")</f>
        <v>anoara_30kDa</v>
      </c>
      <c r="B409">
        <v>747</v>
      </c>
      <c r="C409" t="s">
        <v>8</v>
      </c>
      <c r="D409" t="s">
        <v>4</v>
      </c>
      <c r="E409" t="s">
        <v>5</v>
      </c>
      <c r="F409" t="s">
        <v>1</v>
      </c>
      <c r="G409" t="str">
        <f>HYPERLINK("http://exon.niaid.nih.gov/transcriptome/Anopheles_sialome/links/pep/anoara_30kDa-pep.txt","anoara_30kDa")</f>
        <v>anoara_30kDa</v>
      </c>
      <c r="H409">
        <v>248</v>
      </c>
      <c r="I409">
        <v>0</v>
      </c>
      <c r="J409" s="3" t="str">
        <f>HYPERLINK("http://exon.niaid.nih.gov/transcriptome/Anopheles_sialome/links/Sigp/anoara_30kDa-SigP.txt","SIG")</f>
        <v>SIG</v>
      </c>
      <c r="K409" t="s">
        <v>652</v>
      </c>
      <c r="L409">
        <v>26.6</v>
      </c>
      <c r="M409">
        <v>4.12</v>
      </c>
      <c r="N409">
        <v>24.587</v>
      </c>
      <c r="O409">
        <v>4.0999999999999996</v>
      </c>
      <c r="P409" t="s">
        <v>657</v>
      </c>
      <c r="Q409" s="3">
        <v>0</v>
      </c>
      <c r="R409" t="s">
        <v>128</v>
      </c>
      <c r="S409" t="s">
        <v>128</v>
      </c>
      <c r="T409" t="s">
        <v>128</v>
      </c>
      <c r="U409" t="s">
        <v>128</v>
      </c>
      <c r="V409" t="s">
        <v>128</v>
      </c>
      <c r="W409" s="3" t="str">
        <f>HYPERLINK("http://exon.niaid.nih.gov/transcriptome/Anopheles_sialome/links/netoglyc/anoara_30kDa-netoglyc.txt","6")</f>
        <v>6</v>
      </c>
      <c r="X409">
        <v>16.100000000000001</v>
      </c>
      <c r="Y409">
        <v>9.6999999999999993</v>
      </c>
      <c r="Z409">
        <v>1.2</v>
      </c>
      <c r="AA409" t="s">
        <v>654</v>
      </c>
      <c r="AB409" t="s">
        <v>128</v>
      </c>
      <c r="AC409" s="2" t="str">
        <f>HYPERLINK("http://exon.niaid.nih.gov/transcriptome/Anopheles_sialome/links/DIPTERA/anoara_30kDa-DIPTERA.txt","anti-platelet protein")</f>
        <v>anti-platelet protein</v>
      </c>
      <c r="AD409" t="str">
        <f>HYPERLINK("http://www.ncbi.nlm.nih.gov/sutils/blink.cgi?pid=190576759","1E-132")</f>
        <v>1E-132</v>
      </c>
      <c r="AE409" t="str">
        <f t="shared" si="150"/>
        <v>gi|190576759</v>
      </c>
      <c r="AF409">
        <v>96</v>
      </c>
      <c r="AG409">
        <v>97</v>
      </c>
      <c r="AH409">
        <v>100</v>
      </c>
      <c r="AI409" t="s">
        <v>2254</v>
      </c>
      <c r="AJ409" s="2" t="str">
        <f>HYPERLINK("http://exon.niaid.nih.gov/transcriptome/Anopheles_sialome/links/CULICOMORPHA/anoara_30kDa-CULICOMORPHA.txt","anti-platelet protein")</f>
        <v>anti-platelet protein</v>
      </c>
      <c r="AK409" t="str">
        <f>HYPERLINK("http://www.ncbi.nlm.nih.gov/sutils/blink.cgi?pid=190576759","1E-133")</f>
        <v>1E-133</v>
      </c>
      <c r="AL409" t="str">
        <f t="shared" si="151"/>
        <v>gi|190576759</v>
      </c>
      <c r="AM409">
        <v>96</v>
      </c>
      <c r="AN409">
        <v>97</v>
      </c>
      <c r="AO409">
        <v>100</v>
      </c>
      <c r="AP409" t="s">
        <v>2254</v>
      </c>
      <c r="AQ409" s="2" t="str">
        <f>HYPERLINK("http://exon.niaid.nih.gov/transcriptome/Anopheles_sialome/links/NR-LIGHT/anoara_30kDa-NR-LIGHT.txt","anti-platelet protein")</f>
        <v>anti-platelet protein</v>
      </c>
      <c r="AR409" t="str">
        <f>HYPERLINK("http://www.ncbi.nlm.nih.gov/sutils/blink.cgi?pid=190576759","1E-132")</f>
        <v>1E-132</v>
      </c>
      <c r="AS409" t="str">
        <f t="shared" si="152"/>
        <v>gi|190576759</v>
      </c>
      <c r="AT409">
        <v>96</v>
      </c>
      <c r="AU409">
        <v>97</v>
      </c>
      <c r="AV409">
        <v>100</v>
      </c>
      <c r="AW409" t="s">
        <v>2254</v>
      </c>
      <c r="AX409" s="2" t="str">
        <f>HYPERLINK("http://exon.niaid.nih.gov/transcriptome/Anopheles_sialome/links/CDD/anoara_30kDa-CDD.txt","retinal_rod")</f>
        <v>retinal_rod</v>
      </c>
      <c r="AY409" t="str">
        <f>HYPERLINK("http://www.ncbi.nlm.nih.gov/Structure/cdd/cddsrv.cgi?uid=TIGR00927&amp;version=v4.0","7E-007")</f>
        <v>7E-007</v>
      </c>
      <c r="AZ409" t="s">
        <v>2259</v>
      </c>
      <c r="BA409" s="2" t="str">
        <f>HYPERLINK("http://exon.niaid.nih.gov/transcriptome/Anopheles_sialome/links/KOG/anoara_30kDa-KOG.txt","WD40 repeat nucleolar protein Bop1, involved in ribosome biogenesis")</f>
        <v>WD40 repeat nucleolar protein Bop1, involved in ribosome biogenesis</v>
      </c>
      <c r="BB409" t="str">
        <f>HYPERLINK("http://www.ncbi.nlm.nih.gov/Structure/cdd/cddsrv.cgi?uid=KOG0650","5E-005")</f>
        <v>5E-005</v>
      </c>
      <c r="BC409" t="s">
        <v>2260</v>
      </c>
      <c r="BD409" t="str">
        <f>HYPERLINK("http://exon.niaid.nih.gov/transcriptome/Anopheles_sialome/links/KOG/anoara_30kDa-KOG.txt","KOG0650")</f>
        <v>KOG0650</v>
      </c>
      <c r="BE409" t="str">
        <f>HYPERLINK("http://exon.niaid.nih.gov/transcriptome/Anopheles_sialome/links/PFAM/anoara_30kDa-PFAM.txt","Nop14")</f>
        <v>Nop14</v>
      </c>
      <c r="BF409" t="str">
        <f>HYPERLINK("http://pfam.sanger.ac.uk/family?acc=PF04147","4E-005")</f>
        <v>4E-005</v>
      </c>
      <c r="BG409" s="2" t="str">
        <f>HYPERLINK("http://exon.niaid.nih.gov/transcriptome/Anopheles_sialome/links/SMART/anoara_30kDa-SMART.txt","DM6")</f>
        <v>DM6</v>
      </c>
      <c r="BH409" t="str">
        <f>HYPERLINK("http://smart.embl-heidelberg.de/smart/do_annotation.pl?DOMAIN=DM6&amp;BLAST=DUMMY","0.87")</f>
        <v>0.87</v>
      </c>
      <c r="BI409" t="str">
        <f>HYPERLINK("http://exon.niaid.nih.gov/transcriptome/Anopheles_sialome/links/TICK-BLOCKS/anoara_30kDa-TICK-BLOCKS.txt","Aegyptin_stringent_pattern |Aegyptin_mosquito |Aegyptin_mosquito_stringent_pattern |Aegyptin_coxy |")</f>
        <v>Aegyptin_stringent_pattern |Aegyptin_mosquito |Aegyptin_mosquito_stringent_pattern |Aegyptin_coxy |</v>
      </c>
      <c r="BJ409" s="2" t="s">
        <v>2257</v>
      </c>
      <c r="BK409" t="s">
        <v>656</v>
      </c>
      <c r="BL409">
        <f>HYPERLINK("http://exon.niaid.nih.gov/transcriptome/Anopheles_sialome/links/cluster-b/anopheline-sialome-cds-pep-larger-orf25-50SimCLU10.txt", 10)</f>
        <v>10</v>
      </c>
      <c r="BM409">
        <f>HYPERLINK("http://exon.niaid.nih.gov/transcriptome/Anopheles_sialome/links/cluster-b/anopheline-sialome-cds-pep-larger-orf25-50SimCLTL10.txt", 19)</f>
        <v>19</v>
      </c>
      <c r="BN409">
        <f>HYPERLINK("http://exon.niaid.nih.gov/transcriptome/Anopheles_sialome/links/cluster-b/anopheline-sialome-cds-pep-larger-orf30-50SimCLU9.txt", 9)</f>
        <v>9</v>
      </c>
      <c r="BO409">
        <f>HYPERLINK("http://exon.niaid.nih.gov/transcriptome/Anopheles_sialome/links/cluster-b/anopheline-sialome-cds-pep-larger-orf30-50SimCLTL9.txt", 19)</f>
        <v>19</v>
      </c>
      <c r="BP409">
        <f>HYPERLINK("http://exon.niaid.nih.gov/transcriptome/Anopheles_sialome/links/cluster-b/anopheline-sialome-cds-pep-larger-orf35-50SimCLU11.txt", 11)</f>
        <v>11</v>
      </c>
      <c r="BQ409">
        <f>HYPERLINK("http://exon.niaid.nih.gov/transcriptome/Anopheles_sialome/links/cluster-b/anopheline-sialome-cds-pep-larger-orf35-50SimCLTL11.txt", 19)</f>
        <v>19</v>
      </c>
      <c r="BR409">
        <f>HYPERLINK("http://exon.niaid.nih.gov/transcriptome/Anopheles_sialome/links/cluster-b/anopheline-sialome-cds-pep-larger-orf40-50SimCLU12.txt", 12)</f>
        <v>12</v>
      </c>
      <c r="BS409">
        <f>HYPERLINK("http://exon.niaid.nih.gov/transcriptome/Anopheles_sialome/links/cluster-b/anopheline-sialome-cds-pep-larger-orf40-50SimCLTL12.txt", 19)</f>
        <v>19</v>
      </c>
      <c r="BT409">
        <f>HYPERLINK("http://exon.niaid.nih.gov/transcriptome/Anopheles_sialome/links/cluster-b/anopheline-sialome-cds-pep-larger-orf45-50SimCLU12.txt", 12)</f>
        <v>12</v>
      </c>
      <c r="BU409">
        <f>HYPERLINK("http://exon.niaid.nih.gov/transcriptome/Anopheles_sialome/links/cluster-b/anopheline-sialome-cds-pep-larger-orf45-50SimCLTL12.txt", 19)</f>
        <v>19</v>
      </c>
      <c r="BV409">
        <f>HYPERLINK("http://exon.niaid.nih.gov/transcriptome/Anopheles_sialome/links/cluster-b/anopheline-sialome-cds-pep-larger-orf50-50SimCLU12.txt", 12)</f>
        <v>12</v>
      </c>
      <c r="BW409">
        <f>HYPERLINK("http://exon.niaid.nih.gov/transcriptome/Anopheles_sialome/links/cluster-b/anopheline-sialome-cds-pep-larger-orf50-50SimCLTL12.txt", 19)</f>
        <v>19</v>
      </c>
      <c r="BX409">
        <f>HYPERLINK("http://exon.niaid.nih.gov/transcriptome/Anopheles_sialome/links/cluster-b/anopheline-sialome-cds-pep-larger-orf55-50SimCLU13.txt", 13)</f>
        <v>13</v>
      </c>
      <c r="BY409">
        <f>HYPERLINK("http://exon.niaid.nih.gov/transcriptome/Anopheles_sialome/links/cluster-b/anopheline-sialome-cds-pep-larger-orf55-50SimCLTL13.txt", 19)</f>
        <v>19</v>
      </c>
      <c r="BZ409">
        <f>HYPERLINK("http://exon.niaid.nih.gov/transcriptome/Anopheles_sialome/links/cluster-b/anopheline-sialome-cds-pep-larger-orf60-50SimCLU11.txt", 11)</f>
        <v>11</v>
      </c>
      <c r="CA409">
        <f>HYPERLINK("http://exon.niaid.nih.gov/transcriptome/Anopheles_sialome/links/cluster-b/anopheline-sialome-cds-pep-larger-orf60-50SimCLTL11.txt", 19)</f>
        <v>19</v>
      </c>
      <c r="CB409">
        <f>HYPERLINK("http://exon.niaid.nih.gov/transcriptome/Anopheles_sialome/links/cluster-b/anopheline-sialome-cds-pep-larger-orf65-50SimCLU8.txt", 8)</f>
        <v>8</v>
      </c>
      <c r="CC409">
        <f>HYPERLINK("http://exon.niaid.nih.gov/transcriptome/Anopheles_sialome/links/cluster-b/anopheline-sialome-cds-pep-larger-orf65-50SimCLTL8.txt", 19)</f>
        <v>19</v>
      </c>
      <c r="CD409">
        <f>HYPERLINK("http://exon.niaid.nih.gov/transcriptome/Anopheles_sialome/links/cluster-b/anopheline-sialome-cds-pep-larger-orf70-50SimCLU7.txt", 7)</f>
        <v>7</v>
      </c>
      <c r="CE409">
        <f>HYPERLINK("http://exon.niaid.nih.gov/transcriptome/Anopheles_sialome/links/cluster-b/anopheline-sialome-cds-pep-larger-orf70-50SimCLTL7.txt", 19)</f>
        <v>19</v>
      </c>
      <c r="CF409">
        <f>HYPERLINK("http://exon.niaid.nih.gov/transcriptome/Anopheles_sialome/links/cluster-b/anopheline-sialome-cds-pep-larger-orf75-50SimCLU16.txt", 16)</f>
        <v>16</v>
      </c>
      <c r="CG409">
        <f>HYPERLINK("http://exon.niaid.nih.gov/transcriptome/Anopheles_sialome/links/cluster-b/anopheline-sialome-cds-pep-larger-orf75-50SimCLTL16.txt", 16)</f>
        <v>16</v>
      </c>
      <c r="CH409">
        <f>HYPERLINK("http://exon.niaid.nih.gov/transcriptome/Anopheles_sialome/links/cluster-b/anopheline-sialome-cds-pep-larger-orf80-50SimCLU16.txt", 16)</f>
        <v>16</v>
      </c>
      <c r="CI409">
        <f>HYPERLINK("http://exon.niaid.nih.gov/transcriptome/Anopheles_sialome/links/cluster-b/anopheline-sialome-cds-pep-larger-orf80-50SimCLTL16.txt", 13)</f>
        <v>13</v>
      </c>
      <c r="CJ409">
        <f>HYPERLINK("http://exon.niaid.nih.gov/transcriptome/Anopheles_sialome/links/cluster-b/anopheline-sialome-cds-pep-larger-orf85-50SimCLU26.txt", 26)</f>
        <v>26</v>
      </c>
      <c r="CK409">
        <f>HYPERLINK("http://exon.niaid.nih.gov/transcriptome/Anopheles_sialome/links/cluster-b/anopheline-sialome-cds-pep-larger-orf85-50SimCLTL26.txt", 6)</f>
        <v>6</v>
      </c>
      <c r="CL409">
        <f>HYPERLINK("http://exon.niaid.nih.gov/transcriptome/Anopheles_sialome/links/cluster-b/anopheline-sialome-cds-pep-larger-orf90-50SimCLU16.txt", 16)</f>
        <v>16</v>
      </c>
      <c r="CM409">
        <f>HYPERLINK("http://exon.niaid.nih.gov/transcriptome/Anopheles_sialome/links/cluster-b/anopheline-sialome-cds-pep-larger-orf90-50SimCLTL16.txt", 6)</f>
        <v>6</v>
      </c>
      <c r="CN409">
        <f>HYPERLINK("http://exon.niaid.nih.gov/transcriptome/Anopheles_sialome/links/cluster-b/anopheline-sialome-cds-pep-larger-orf95-50SimCLU2.txt", 2)</f>
        <v>2</v>
      </c>
      <c r="CO409">
        <f>HYPERLINK("http://exon.niaid.nih.gov/transcriptome/Anopheles_sialome/links/cluster-b/anopheline-sialome-cds-pep-larger-orf95-50SimCLTL2.txt", 6)</f>
        <v>6</v>
      </c>
    </row>
    <row r="410" spans="1:93">
      <c r="A410" s="2" t="str">
        <f>HYPERLINK("http://exon.niaid.nih.gov/transcriptome/Anopheles_sialome/links/cds/anoqua_30kDa-cds.txt","anoqua_30kDa")</f>
        <v>anoqua_30kDa</v>
      </c>
      <c r="B410">
        <v>759</v>
      </c>
      <c r="C410" t="s">
        <v>9</v>
      </c>
      <c r="D410" t="s">
        <v>4</v>
      </c>
      <c r="E410" t="s">
        <v>5</v>
      </c>
      <c r="F410" t="s">
        <v>1</v>
      </c>
      <c r="G410" t="str">
        <f>HYPERLINK("http://exon.niaid.nih.gov/transcriptome/Anopheles_sialome/links/pep/anoqua_30kDa-pep.txt","anoqua_30kDa")</f>
        <v>anoqua_30kDa</v>
      </c>
      <c r="H410">
        <v>252</v>
      </c>
      <c r="I410">
        <v>0</v>
      </c>
      <c r="J410" s="3" t="str">
        <f>HYPERLINK("http://exon.niaid.nih.gov/transcriptome/Anopheles_sialome/links/Sigp/anoqua_30kDa-SigP.txt","SIG")</f>
        <v>SIG</v>
      </c>
      <c r="K410" t="s">
        <v>652</v>
      </c>
      <c r="L410">
        <v>26.812000000000001</v>
      </c>
      <c r="M410">
        <v>4.1399999999999997</v>
      </c>
      <c r="N410">
        <v>24.8</v>
      </c>
      <c r="O410">
        <v>4.1100000000000003</v>
      </c>
      <c r="P410" t="s">
        <v>653</v>
      </c>
      <c r="Q410" s="3">
        <v>0</v>
      </c>
      <c r="R410" t="s">
        <v>128</v>
      </c>
      <c r="S410" t="s">
        <v>128</v>
      </c>
      <c r="T410" t="s">
        <v>128</v>
      </c>
      <c r="U410" t="s">
        <v>128</v>
      </c>
      <c r="V410" t="s">
        <v>128</v>
      </c>
      <c r="W410" s="3" t="str">
        <f>HYPERLINK("http://exon.niaid.nih.gov/transcriptome/Anopheles_sialome/links/netoglyc/anoqua_30kDa-netoglyc.txt","5")</f>
        <v>5</v>
      </c>
      <c r="X410">
        <v>15.9</v>
      </c>
      <c r="Y410">
        <v>10.3</v>
      </c>
      <c r="Z410">
        <v>1.2</v>
      </c>
      <c r="AA410" t="s">
        <v>654</v>
      </c>
      <c r="AB410" t="s">
        <v>128</v>
      </c>
      <c r="AC410" s="2" t="str">
        <f>HYPERLINK("http://exon.niaid.nih.gov/transcriptome/Anopheles_sialome/links/DIPTERA/anoqua_30kDa-DIPTERA.txt","anti-platelet protein")</f>
        <v>anti-platelet protein</v>
      </c>
      <c r="AD410" t="str">
        <f>HYPERLINK("http://www.ncbi.nlm.nih.gov/sutils/blink.cgi?pid=190576759","1E-137")</f>
        <v>1E-137</v>
      </c>
      <c r="AE410" t="str">
        <f t="shared" si="150"/>
        <v>gi|190576759</v>
      </c>
      <c r="AF410">
        <v>99</v>
      </c>
      <c r="AG410">
        <v>99</v>
      </c>
      <c r="AH410">
        <v>100</v>
      </c>
      <c r="AI410" t="s">
        <v>2254</v>
      </c>
      <c r="AJ410" s="2" t="str">
        <f>HYPERLINK("http://exon.niaid.nih.gov/transcriptome/Anopheles_sialome/links/CULICOMORPHA/anoqua_30kDa-CULICOMORPHA.txt","anti-platelet protein")</f>
        <v>anti-platelet protein</v>
      </c>
      <c r="AK410" t="str">
        <f>HYPERLINK("http://www.ncbi.nlm.nih.gov/sutils/blink.cgi?pid=190576759","1E-138")</f>
        <v>1E-138</v>
      </c>
      <c r="AL410" t="str">
        <f t="shared" si="151"/>
        <v>gi|190576759</v>
      </c>
      <c r="AM410">
        <v>99</v>
      </c>
      <c r="AN410">
        <v>99</v>
      </c>
      <c r="AO410">
        <v>100</v>
      </c>
      <c r="AP410" t="s">
        <v>2254</v>
      </c>
      <c r="AQ410" s="2" t="str">
        <f>HYPERLINK("http://exon.niaid.nih.gov/transcriptome/Anopheles_sialome/links/NR-LIGHT/anoqua_30kDa-NR-LIGHT.txt","anti-platelet protein")</f>
        <v>anti-platelet protein</v>
      </c>
      <c r="AR410" t="str">
        <f>HYPERLINK("http://www.ncbi.nlm.nih.gov/sutils/blink.cgi?pid=190576759","1E-137")</f>
        <v>1E-137</v>
      </c>
      <c r="AS410" t="str">
        <f t="shared" si="152"/>
        <v>gi|190576759</v>
      </c>
      <c r="AT410">
        <v>99</v>
      </c>
      <c r="AU410">
        <v>99</v>
      </c>
      <c r="AV410">
        <v>100</v>
      </c>
      <c r="AW410" t="s">
        <v>2254</v>
      </c>
      <c r="AX410" s="2" t="str">
        <f>HYPERLINK("http://exon.niaid.nih.gov/transcriptome/Anopheles_sialome/links/CDD/anoqua_30kDa-CDD.txt","retinal_rod")</f>
        <v>retinal_rod</v>
      </c>
      <c r="AY410" t="str">
        <f>HYPERLINK("http://www.ncbi.nlm.nih.gov/Structure/cdd/cddsrv.cgi?uid=TIGR00927&amp;version=v4.0","7E-006")</f>
        <v>7E-006</v>
      </c>
      <c r="AZ410" t="s">
        <v>2261</v>
      </c>
      <c r="BA410" s="2" t="str">
        <f>HYPERLINK("http://exon.niaid.nih.gov/transcriptome/Anopheles_sialome/links/KOG/anoqua_30kDa-KOG.txt","RNA polymerase I, large subunit")</f>
        <v>RNA polymerase I, large subunit</v>
      </c>
      <c r="BB410" t="str">
        <f>HYPERLINK("http://www.ncbi.nlm.nih.gov/Structure/cdd/cddsrv.cgi?uid=KOG0262","0.001")</f>
        <v>0.001</v>
      </c>
      <c r="BC410" t="s">
        <v>2262</v>
      </c>
      <c r="BD410" t="str">
        <f>HYPERLINK("http://exon.niaid.nih.gov/transcriptome/Anopheles_sialome/links/KOG/anoqua_30kDa-KOG.txt","KOG0262")</f>
        <v>KOG0262</v>
      </c>
      <c r="BE410" t="str">
        <f>HYPERLINK("http://exon.niaid.nih.gov/transcriptome/Anopheles_sialome/links/PFAM/anoqua_30kDa-PFAM.txt","Nop14")</f>
        <v>Nop14</v>
      </c>
      <c r="BF410" t="str">
        <f>HYPERLINK("http://pfam.sanger.ac.uk/family?acc=PF04147","4E-004")</f>
        <v>4E-004</v>
      </c>
      <c r="BG410" s="2" t="str">
        <f>HYPERLINK("http://exon.niaid.nih.gov/transcriptome/Anopheles_sialome/links/SMART/anoqua_30kDa-SMART.txt","DM6")</f>
        <v>DM6</v>
      </c>
      <c r="BH410" t="str">
        <f>HYPERLINK("http://smart.embl-heidelberg.de/smart/do_annotation.pl?DOMAIN=DM6&amp;BLAST=DUMMY","0.80")</f>
        <v>0.80</v>
      </c>
      <c r="BI410" t="str">
        <f>HYPERLINK("http://exon.niaid.nih.gov/transcriptome/Anopheles_sialome/links/TICK-BLOCKS/anoqua_30kDa-TICK-BLOCKS.txt","Aegyptin_stringent_pattern |Aegyptin_mosquito |Aegyptin_mosquito_stringent_pattern |Aegyptin_coxy |")</f>
        <v>Aegyptin_stringent_pattern |Aegyptin_mosquito |Aegyptin_mosquito_stringent_pattern |Aegyptin_coxy |</v>
      </c>
      <c r="BJ410" s="2" t="s">
        <v>2257</v>
      </c>
      <c r="BK410" t="s">
        <v>658</v>
      </c>
      <c r="BL410">
        <f>HYPERLINK("http://exon.niaid.nih.gov/transcriptome/Anopheles_sialome/links/cluster-b/anopheline-sialome-cds-pep-larger-orf25-50SimCLU10.txt", 10)</f>
        <v>10</v>
      </c>
      <c r="BM410">
        <f>HYPERLINK("http://exon.niaid.nih.gov/transcriptome/Anopheles_sialome/links/cluster-b/anopheline-sialome-cds-pep-larger-orf25-50SimCLTL10.txt", 19)</f>
        <v>19</v>
      </c>
      <c r="BN410">
        <f>HYPERLINK("http://exon.niaid.nih.gov/transcriptome/Anopheles_sialome/links/cluster-b/anopheline-sialome-cds-pep-larger-orf30-50SimCLU9.txt", 9)</f>
        <v>9</v>
      </c>
      <c r="BO410">
        <f>HYPERLINK("http://exon.niaid.nih.gov/transcriptome/Anopheles_sialome/links/cluster-b/anopheline-sialome-cds-pep-larger-orf30-50SimCLTL9.txt", 19)</f>
        <v>19</v>
      </c>
      <c r="BP410">
        <f>HYPERLINK("http://exon.niaid.nih.gov/transcriptome/Anopheles_sialome/links/cluster-b/anopheline-sialome-cds-pep-larger-orf35-50SimCLU11.txt", 11)</f>
        <v>11</v>
      </c>
      <c r="BQ410">
        <f>HYPERLINK("http://exon.niaid.nih.gov/transcriptome/Anopheles_sialome/links/cluster-b/anopheline-sialome-cds-pep-larger-orf35-50SimCLTL11.txt", 19)</f>
        <v>19</v>
      </c>
      <c r="BR410">
        <f>HYPERLINK("http://exon.niaid.nih.gov/transcriptome/Anopheles_sialome/links/cluster-b/anopheline-sialome-cds-pep-larger-orf40-50SimCLU12.txt", 12)</f>
        <v>12</v>
      </c>
      <c r="BS410">
        <f>HYPERLINK("http://exon.niaid.nih.gov/transcriptome/Anopheles_sialome/links/cluster-b/anopheline-sialome-cds-pep-larger-orf40-50SimCLTL12.txt", 19)</f>
        <v>19</v>
      </c>
      <c r="BT410">
        <f>HYPERLINK("http://exon.niaid.nih.gov/transcriptome/Anopheles_sialome/links/cluster-b/anopheline-sialome-cds-pep-larger-orf45-50SimCLU12.txt", 12)</f>
        <v>12</v>
      </c>
      <c r="BU410">
        <f>HYPERLINK("http://exon.niaid.nih.gov/transcriptome/Anopheles_sialome/links/cluster-b/anopheline-sialome-cds-pep-larger-orf45-50SimCLTL12.txt", 19)</f>
        <v>19</v>
      </c>
      <c r="BV410">
        <f>HYPERLINK("http://exon.niaid.nih.gov/transcriptome/Anopheles_sialome/links/cluster-b/anopheline-sialome-cds-pep-larger-orf50-50SimCLU12.txt", 12)</f>
        <v>12</v>
      </c>
      <c r="BW410">
        <f>HYPERLINK("http://exon.niaid.nih.gov/transcriptome/Anopheles_sialome/links/cluster-b/anopheline-sialome-cds-pep-larger-orf50-50SimCLTL12.txt", 19)</f>
        <v>19</v>
      </c>
      <c r="BX410">
        <f>HYPERLINK("http://exon.niaid.nih.gov/transcriptome/Anopheles_sialome/links/cluster-b/anopheline-sialome-cds-pep-larger-orf55-50SimCLU13.txt", 13)</f>
        <v>13</v>
      </c>
      <c r="BY410">
        <f>HYPERLINK("http://exon.niaid.nih.gov/transcriptome/Anopheles_sialome/links/cluster-b/anopheline-sialome-cds-pep-larger-orf55-50SimCLTL13.txt", 19)</f>
        <v>19</v>
      </c>
      <c r="BZ410">
        <f>HYPERLINK("http://exon.niaid.nih.gov/transcriptome/Anopheles_sialome/links/cluster-b/anopheline-sialome-cds-pep-larger-orf60-50SimCLU11.txt", 11)</f>
        <v>11</v>
      </c>
      <c r="CA410">
        <f>HYPERLINK("http://exon.niaid.nih.gov/transcriptome/Anopheles_sialome/links/cluster-b/anopheline-sialome-cds-pep-larger-orf60-50SimCLTL11.txt", 19)</f>
        <v>19</v>
      </c>
      <c r="CB410">
        <f>HYPERLINK("http://exon.niaid.nih.gov/transcriptome/Anopheles_sialome/links/cluster-b/anopheline-sialome-cds-pep-larger-orf65-50SimCLU8.txt", 8)</f>
        <v>8</v>
      </c>
      <c r="CC410">
        <f>HYPERLINK("http://exon.niaid.nih.gov/transcriptome/Anopheles_sialome/links/cluster-b/anopheline-sialome-cds-pep-larger-orf65-50SimCLTL8.txt", 19)</f>
        <v>19</v>
      </c>
      <c r="CD410">
        <f>HYPERLINK("http://exon.niaid.nih.gov/transcriptome/Anopheles_sialome/links/cluster-b/anopheline-sialome-cds-pep-larger-orf70-50SimCLU7.txt", 7)</f>
        <v>7</v>
      </c>
      <c r="CE410">
        <f>HYPERLINK("http://exon.niaid.nih.gov/transcriptome/Anopheles_sialome/links/cluster-b/anopheline-sialome-cds-pep-larger-orf70-50SimCLTL7.txt", 19)</f>
        <v>19</v>
      </c>
      <c r="CF410">
        <f>HYPERLINK("http://exon.niaid.nih.gov/transcriptome/Anopheles_sialome/links/cluster-b/anopheline-sialome-cds-pep-larger-orf75-50SimCLU16.txt", 16)</f>
        <v>16</v>
      </c>
      <c r="CG410">
        <f>HYPERLINK("http://exon.niaid.nih.gov/transcriptome/Anopheles_sialome/links/cluster-b/anopheline-sialome-cds-pep-larger-orf75-50SimCLTL16.txt", 16)</f>
        <v>16</v>
      </c>
      <c r="CH410">
        <f>HYPERLINK("http://exon.niaid.nih.gov/transcriptome/Anopheles_sialome/links/cluster-b/anopheline-sialome-cds-pep-larger-orf80-50SimCLU16.txt", 16)</f>
        <v>16</v>
      </c>
      <c r="CI410">
        <f>HYPERLINK("http://exon.niaid.nih.gov/transcriptome/Anopheles_sialome/links/cluster-b/anopheline-sialome-cds-pep-larger-orf80-50SimCLTL16.txt", 13)</f>
        <v>13</v>
      </c>
      <c r="CJ410">
        <f>HYPERLINK("http://exon.niaid.nih.gov/transcriptome/Anopheles_sialome/links/cluster-b/anopheline-sialome-cds-pep-larger-orf85-50SimCLU26.txt", 26)</f>
        <v>26</v>
      </c>
      <c r="CK410">
        <f>HYPERLINK("http://exon.niaid.nih.gov/transcriptome/Anopheles_sialome/links/cluster-b/anopheline-sialome-cds-pep-larger-orf85-50SimCLTL26.txt", 6)</f>
        <v>6</v>
      </c>
      <c r="CL410">
        <f>HYPERLINK("http://exon.niaid.nih.gov/transcriptome/Anopheles_sialome/links/cluster-b/anopheline-sialome-cds-pep-larger-orf90-50SimCLU16.txt", 16)</f>
        <v>16</v>
      </c>
      <c r="CM410">
        <f>HYPERLINK("http://exon.niaid.nih.gov/transcriptome/Anopheles_sialome/links/cluster-b/anopheline-sialome-cds-pep-larger-orf90-50SimCLTL16.txt", 6)</f>
        <v>6</v>
      </c>
      <c r="CN410">
        <f>HYPERLINK("http://exon.niaid.nih.gov/transcriptome/Anopheles_sialome/links/cluster-b/anopheline-sialome-cds-pep-larger-orf95-50SimCLU2.txt", 2)</f>
        <v>2</v>
      </c>
      <c r="CO410">
        <f>HYPERLINK("http://exon.niaid.nih.gov/transcriptome/Anopheles_sialome/links/cluster-b/anopheline-sialome-cds-pep-larger-orf95-50SimCLTL2.txt", 6)</f>
        <v>6</v>
      </c>
    </row>
    <row r="411" spans="1:93">
      <c r="A411" s="2" t="str">
        <f>HYPERLINK("http://exon.niaid.nih.gov/transcriptome/Anopheles_sialome/links/cds/anomer_30kDa-cds.txt","anomer_30kDa")</f>
        <v>anomer_30kDa</v>
      </c>
      <c r="B411">
        <v>759</v>
      </c>
      <c r="C411" t="s">
        <v>10</v>
      </c>
      <c r="D411" t="s">
        <v>4</v>
      </c>
      <c r="E411" t="s">
        <v>5</v>
      </c>
      <c r="F411" t="s">
        <v>1</v>
      </c>
      <c r="G411" t="str">
        <f>HYPERLINK("http://exon.niaid.nih.gov/transcriptome/Anopheles_sialome/links/pep/anomer_30kDa-pep.txt","anomer_30kDa")</f>
        <v>anomer_30kDa</v>
      </c>
      <c r="H411">
        <v>252</v>
      </c>
      <c r="I411">
        <v>0</v>
      </c>
      <c r="J411" s="3" t="str">
        <f>HYPERLINK("http://exon.niaid.nih.gov/transcriptome/Anopheles_sialome/links/Sigp/anomer_30kDa-SigP.txt","SIG")</f>
        <v>SIG</v>
      </c>
      <c r="K411" t="s">
        <v>652</v>
      </c>
      <c r="L411">
        <v>26.975999999999999</v>
      </c>
      <c r="M411">
        <v>4.12</v>
      </c>
      <c r="N411">
        <v>24.962</v>
      </c>
      <c r="O411">
        <v>4.09</v>
      </c>
      <c r="P411" t="s">
        <v>660</v>
      </c>
      <c r="Q411" s="3">
        <v>0</v>
      </c>
      <c r="R411" t="s">
        <v>128</v>
      </c>
      <c r="S411" t="s">
        <v>128</v>
      </c>
      <c r="T411" t="s">
        <v>128</v>
      </c>
      <c r="U411" t="s">
        <v>128</v>
      </c>
      <c r="V411" t="s">
        <v>128</v>
      </c>
      <c r="W411" s="3" t="str">
        <f>HYPERLINK("http://exon.niaid.nih.gov/transcriptome/Anopheles_sialome/links/netoglyc/anomer_30kDa-netoglyc.txt","8")</f>
        <v>8</v>
      </c>
      <c r="X411">
        <v>17.100000000000001</v>
      </c>
      <c r="Y411">
        <v>10.3</v>
      </c>
      <c r="Z411">
        <v>1.2</v>
      </c>
      <c r="AA411" t="s">
        <v>654</v>
      </c>
      <c r="AB411" t="s">
        <v>128</v>
      </c>
      <c r="AC411" s="2" t="str">
        <f>HYPERLINK("http://exon.niaid.nih.gov/transcriptome/Anopheles_sialome/links/DIPTERA/anomer_30kDa-DIPTERA.txt","anti-platelet protein")</f>
        <v>anti-platelet protein</v>
      </c>
      <c r="AD411" t="str">
        <f>HYPERLINK("http://www.ncbi.nlm.nih.gov/sutils/blink.cgi?pid=190576759","1E-135")</f>
        <v>1E-135</v>
      </c>
      <c r="AE411" t="str">
        <f t="shared" si="150"/>
        <v>gi|190576759</v>
      </c>
      <c r="AF411">
        <v>97</v>
      </c>
      <c r="AG411">
        <v>97</v>
      </c>
      <c r="AH411">
        <v>100</v>
      </c>
      <c r="AI411" t="s">
        <v>2254</v>
      </c>
      <c r="AJ411" s="2" t="str">
        <f>HYPERLINK("http://exon.niaid.nih.gov/transcriptome/Anopheles_sialome/links/CULICOMORPHA/anomer_30kDa-CULICOMORPHA.txt","anti-platelet protein")</f>
        <v>anti-platelet protein</v>
      </c>
      <c r="AK411" t="str">
        <f>HYPERLINK("http://www.ncbi.nlm.nih.gov/sutils/blink.cgi?pid=190576759","1E-136")</f>
        <v>1E-136</v>
      </c>
      <c r="AL411" t="str">
        <f t="shared" si="151"/>
        <v>gi|190576759</v>
      </c>
      <c r="AM411">
        <v>97</v>
      </c>
      <c r="AN411">
        <v>97</v>
      </c>
      <c r="AO411">
        <v>100</v>
      </c>
      <c r="AP411" t="s">
        <v>2254</v>
      </c>
      <c r="AQ411" s="2" t="str">
        <f>HYPERLINK("http://exon.niaid.nih.gov/transcriptome/Anopheles_sialome/links/NR-LIGHT/anomer_30kDa-NR-LIGHT.txt","anti-platelet protein")</f>
        <v>anti-platelet protein</v>
      </c>
      <c r="AR411" t="str">
        <f>HYPERLINK("http://www.ncbi.nlm.nih.gov/sutils/blink.cgi?pid=190576759","1E-135")</f>
        <v>1E-135</v>
      </c>
      <c r="AS411" t="str">
        <f t="shared" si="152"/>
        <v>gi|190576759</v>
      </c>
      <c r="AT411">
        <v>97</v>
      </c>
      <c r="AU411">
        <v>97</v>
      </c>
      <c r="AV411">
        <v>100</v>
      </c>
      <c r="AW411" t="s">
        <v>2254</v>
      </c>
      <c r="AX411" s="2" t="str">
        <f>HYPERLINK("http://exon.niaid.nih.gov/transcriptome/Anopheles_sialome/links/CDD/anomer_30kDa-CDD.txt","retinal_rod")</f>
        <v>retinal_rod</v>
      </c>
      <c r="AY411" t="str">
        <f>HYPERLINK("http://www.ncbi.nlm.nih.gov/Structure/cdd/cddsrv.cgi?uid=TIGR00927&amp;version=v4.0","2E-006")</f>
        <v>2E-006</v>
      </c>
      <c r="AZ411" t="s">
        <v>2263</v>
      </c>
      <c r="BA411" s="2" t="str">
        <f>HYPERLINK("http://exon.niaid.nih.gov/transcriptome/Anopheles_sialome/links/KOG/anomer_30kDa-KOG.txt","HIV-1 Vpr-binding protein")</f>
        <v>HIV-1 Vpr-binding protein</v>
      </c>
      <c r="BB411" t="str">
        <f>HYPERLINK("http://www.ncbi.nlm.nih.gov/Structure/cdd/cddsrv.cgi?uid=KOG1832","1E-004")</f>
        <v>1E-004</v>
      </c>
      <c r="BC411" t="s">
        <v>2256</v>
      </c>
      <c r="BD411" t="str">
        <f>HYPERLINK("http://exon.niaid.nih.gov/transcriptome/Anopheles_sialome/links/KOG/anomer_30kDa-KOG.txt","KOG1832")</f>
        <v>KOG1832</v>
      </c>
      <c r="BE411" t="str">
        <f>HYPERLINK("http://exon.niaid.nih.gov/transcriptome/Anopheles_sialome/links/PFAM/anomer_30kDa-PFAM.txt","Nop14")</f>
        <v>Nop14</v>
      </c>
      <c r="BF411" t="str">
        <f>HYPERLINK("http://pfam.sanger.ac.uk/family?acc=PF04147","4E-004")</f>
        <v>4E-004</v>
      </c>
      <c r="BG411" s="2" t="str">
        <f>HYPERLINK("http://exon.niaid.nih.gov/transcriptome/Anopheles_sialome/links/SMART/anomer_30kDa-SMART.txt","DM6")</f>
        <v>DM6</v>
      </c>
      <c r="BH411" t="str">
        <f>HYPERLINK("http://smart.embl-heidelberg.de/smart/do_annotation.pl?DOMAIN=DM6&amp;BLAST=DUMMY","0.82")</f>
        <v>0.82</v>
      </c>
      <c r="BI411" t="str">
        <f>HYPERLINK("http://exon.niaid.nih.gov/transcriptome/Anopheles_sialome/links/TICK-BLOCKS/anomer_30kDa-TICK-BLOCKS.txt","Aegyptin_stringent_pattern |Aegyptin_mosquito |Aegyptin_mosquito_stringent_pattern |Aegyptin_coxy |")</f>
        <v>Aegyptin_stringent_pattern |Aegyptin_mosquito |Aegyptin_mosquito_stringent_pattern |Aegyptin_coxy |</v>
      </c>
      <c r="BJ411" s="2" t="s">
        <v>2257</v>
      </c>
      <c r="BK411" t="s">
        <v>659</v>
      </c>
      <c r="BL411">
        <f>HYPERLINK("http://exon.niaid.nih.gov/transcriptome/Anopheles_sialome/links/cluster-b/anopheline-sialome-cds-pep-larger-orf25-50SimCLU10.txt", 10)</f>
        <v>10</v>
      </c>
      <c r="BM411">
        <f>HYPERLINK("http://exon.niaid.nih.gov/transcriptome/Anopheles_sialome/links/cluster-b/anopheline-sialome-cds-pep-larger-orf25-50SimCLTL10.txt", 19)</f>
        <v>19</v>
      </c>
      <c r="BN411">
        <f>HYPERLINK("http://exon.niaid.nih.gov/transcriptome/Anopheles_sialome/links/cluster-b/anopheline-sialome-cds-pep-larger-orf30-50SimCLU9.txt", 9)</f>
        <v>9</v>
      </c>
      <c r="BO411">
        <f>HYPERLINK("http://exon.niaid.nih.gov/transcriptome/Anopheles_sialome/links/cluster-b/anopheline-sialome-cds-pep-larger-orf30-50SimCLTL9.txt", 19)</f>
        <v>19</v>
      </c>
      <c r="BP411">
        <f>HYPERLINK("http://exon.niaid.nih.gov/transcriptome/Anopheles_sialome/links/cluster-b/anopheline-sialome-cds-pep-larger-orf35-50SimCLU11.txt", 11)</f>
        <v>11</v>
      </c>
      <c r="BQ411">
        <f>HYPERLINK("http://exon.niaid.nih.gov/transcriptome/Anopheles_sialome/links/cluster-b/anopheline-sialome-cds-pep-larger-orf35-50SimCLTL11.txt", 19)</f>
        <v>19</v>
      </c>
      <c r="BR411">
        <f>HYPERLINK("http://exon.niaid.nih.gov/transcriptome/Anopheles_sialome/links/cluster-b/anopheline-sialome-cds-pep-larger-orf40-50SimCLU12.txt", 12)</f>
        <v>12</v>
      </c>
      <c r="BS411">
        <f>HYPERLINK("http://exon.niaid.nih.gov/transcriptome/Anopheles_sialome/links/cluster-b/anopheline-sialome-cds-pep-larger-orf40-50SimCLTL12.txt", 19)</f>
        <v>19</v>
      </c>
      <c r="BT411">
        <f>HYPERLINK("http://exon.niaid.nih.gov/transcriptome/Anopheles_sialome/links/cluster-b/anopheline-sialome-cds-pep-larger-orf45-50SimCLU12.txt", 12)</f>
        <v>12</v>
      </c>
      <c r="BU411">
        <f>HYPERLINK("http://exon.niaid.nih.gov/transcriptome/Anopheles_sialome/links/cluster-b/anopheline-sialome-cds-pep-larger-orf45-50SimCLTL12.txt", 19)</f>
        <v>19</v>
      </c>
      <c r="BV411">
        <f>HYPERLINK("http://exon.niaid.nih.gov/transcriptome/Anopheles_sialome/links/cluster-b/anopheline-sialome-cds-pep-larger-orf50-50SimCLU12.txt", 12)</f>
        <v>12</v>
      </c>
      <c r="BW411">
        <f>HYPERLINK("http://exon.niaid.nih.gov/transcriptome/Anopheles_sialome/links/cluster-b/anopheline-sialome-cds-pep-larger-orf50-50SimCLTL12.txt", 19)</f>
        <v>19</v>
      </c>
      <c r="BX411">
        <f>HYPERLINK("http://exon.niaid.nih.gov/transcriptome/Anopheles_sialome/links/cluster-b/anopheline-sialome-cds-pep-larger-orf55-50SimCLU13.txt", 13)</f>
        <v>13</v>
      </c>
      <c r="BY411">
        <f>HYPERLINK("http://exon.niaid.nih.gov/transcriptome/Anopheles_sialome/links/cluster-b/anopheline-sialome-cds-pep-larger-orf55-50SimCLTL13.txt", 19)</f>
        <v>19</v>
      </c>
      <c r="BZ411">
        <f>HYPERLINK("http://exon.niaid.nih.gov/transcriptome/Anopheles_sialome/links/cluster-b/anopheline-sialome-cds-pep-larger-orf60-50SimCLU11.txt", 11)</f>
        <v>11</v>
      </c>
      <c r="CA411">
        <f>HYPERLINK("http://exon.niaid.nih.gov/transcriptome/Anopheles_sialome/links/cluster-b/anopheline-sialome-cds-pep-larger-orf60-50SimCLTL11.txt", 19)</f>
        <v>19</v>
      </c>
      <c r="CB411">
        <f>HYPERLINK("http://exon.niaid.nih.gov/transcriptome/Anopheles_sialome/links/cluster-b/anopheline-sialome-cds-pep-larger-orf65-50SimCLU8.txt", 8)</f>
        <v>8</v>
      </c>
      <c r="CC411">
        <f>HYPERLINK("http://exon.niaid.nih.gov/transcriptome/Anopheles_sialome/links/cluster-b/anopheline-sialome-cds-pep-larger-orf65-50SimCLTL8.txt", 19)</f>
        <v>19</v>
      </c>
      <c r="CD411">
        <f>HYPERLINK("http://exon.niaid.nih.gov/transcriptome/Anopheles_sialome/links/cluster-b/anopheline-sialome-cds-pep-larger-orf70-50SimCLU7.txt", 7)</f>
        <v>7</v>
      </c>
      <c r="CE411">
        <f>HYPERLINK("http://exon.niaid.nih.gov/transcriptome/Anopheles_sialome/links/cluster-b/anopheline-sialome-cds-pep-larger-orf70-50SimCLTL7.txt", 19)</f>
        <v>19</v>
      </c>
      <c r="CF411">
        <f>HYPERLINK("http://exon.niaid.nih.gov/transcriptome/Anopheles_sialome/links/cluster-b/anopheline-sialome-cds-pep-larger-orf75-50SimCLU16.txt", 16)</f>
        <v>16</v>
      </c>
      <c r="CG411">
        <f>HYPERLINK("http://exon.niaid.nih.gov/transcriptome/Anopheles_sialome/links/cluster-b/anopheline-sialome-cds-pep-larger-orf75-50SimCLTL16.txt", 16)</f>
        <v>16</v>
      </c>
      <c r="CH411">
        <f>HYPERLINK("http://exon.niaid.nih.gov/transcriptome/Anopheles_sialome/links/cluster-b/anopheline-sialome-cds-pep-larger-orf80-50SimCLU16.txt", 16)</f>
        <v>16</v>
      </c>
      <c r="CI411">
        <f>HYPERLINK("http://exon.niaid.nih.gov/transcriptome/Anopheles_sialome/links/cluster-b/anopheline-sialome-cds-pep-larger-orf80-50SimCLTL16.txt", 13)</f>
        <v>13</v>
      </c>
      <c r="CJ411">
        <f>HYPERLINK("http://exon.niaid.nih.gov/transcriptome/Anopheles_sialome/links/cluster-b/anopheline-sialome-cds-pep-larger-orf85-50SimCLU26.txt", 26)</f>
        <v>26</v>
      </c>
      <c r="CK411">
        <f>HYPERLINK("http://exon.niaid.nih.gov/transcriptome/Anopheles_sialome/links/cluster-b/anopheline-sialome-cds-pep-larger-orf85-50SimCLTL26.txt", 6)</f>
        <v>6</v>
      </c>
      <c r="CL411">
        <f>HYPERLINK("http://exon.niaid.nih.gov/transcriptome/Anopheles_sialome/links/cluster-b/anopheline-sialome-cds-pep-larger-orf90-50SimCLU16.txt", 16)</f>
        <v>16</v>
      </c>
      <c r="CM411">
        <f>HYPERLINK("http://exon.niaid.nih.gov/transcriptome/Anopheles_sialome/links/cluster-b/anopheline-sialome-cds-pep-larger-orf90-50SimCLTL16.txt", 6)</f>
        <v>6</v>
      </c>
      <c r="CN411">
        <f>HYPERLINK("http://exon.niaid.nih.gov/transcriptome/Anopheles_sialome/links/cluster-b/anopheline-sialome-cds-pep-larger-orf95-50SimCLU2.txt", 2)</f>
        <v>2</v>
      </c>
      <c r="CO411">
        <f>HYPERLINK("http://exon.niaid.nih.gov/transcriptome/Anopheles_sialome/links/cluster-b/anopheline-sialome-cds-pep-larger-orf95-50SimCLTL2.txt", 6)</f>
        <v>6</v>
      </c>
    </row>
    <row r="412" spans="1:93">
      <c r="A412" s="2" t="str">
        <f>HYPERLINK("http://exon.niaid.nih.gov/transcriptome/Anopheles_sialome/links/cds/anomel_30kDa-cds.txt","anomel_30kDa")</f>
        <v>anomel_30kDa</v>
      </c>
      <c r="B412">
        <v>747</v>
      </c>
      <c r="C412" t="s">
        <v>11</v>
      </c>
      <c r="D412" t="s">
        <v>4</v>
      </c>
      <c r="E412" t="s">
        <v>5</v>
      </c>
      <c r="F412" t="s">
        <v>1</v>
      </c>
      <c r="G412" t="str">
        <f>HYPERLINK("http://exon.niaid.nih.gov/transcriptome/Anopheles_sialome/links/pep/anomel_30kDa-pep.txt","anomel_30kDa")</f>
        <v>anomel_30kDa</v>
      </c>
      <c r="H412">
        <v>248</v>
      </c>
      <c r="I412">
        <v>0</v>
      </c>
      <c r="J412" s="3" t="str">
        <f>HYPERLINK("http://exon.niaid.nih.gov/transcriptome/Anopheles_sialome/links/Sigp/anomel_30kDa-SigP.txt","SIG")</f>
        <v>SIG</v>
      </c>
      <c r="K412" t="s">
        <v>652</v>
      </c>
      <c r="L412">
        <v>26.632000000000001</v>
      </c>
      <c r="M412">
        <v>4.13</v>
      </c>
      <c r="N412">
        <v>24.646999999999998</v>
      </c>
      <c r="O412">
        <v>4.0999999999999996</v>
      </c>
      <c r="P412" t="s">
        <v>662</v>
      </c>
      <c r="Q412" s="3">
        <v>0</v>
      </c>
      <c r="R412" t="s">
        <v>128</v>
      </c>
      <c r="S412" t="s">
        <v>128</v>
      </c>
      <c r="T412" t="s">
        <v>128</v>
      </c>
      <c r="U412" t="s">
        <v>128</v>
      </c>
      <c r="V412" t="s">
        <v>128</v>
      </c>
      <c r="W412" s="3" t="str">
        <f>HYPERLINK("http://exon.niaid.nih.gov/transcriptome/Anopheles_sialome/links/netoglyc/anomel_30kDa-netoglyc.txt","10")</f>
        <v>10</v>
      </c>
      <c r="X412">
        <v>16.899999999999999</v>
      </c>
      <c r="Y412">
        <v>10.1</v>
      </c>
      <c r="Z412">
        <v>1.2</v>
      </c>
      <c r="AA412" t="s">
        <v>654</v>
      </c>
      <c r="AB412" t="s">
        <v>128</v>
      </c>
      <c r="AC412" s="2" t="str">
        <f>HYPERLINK("http://exon.niaid.nih.gov/transcriptome/Anopheles_sialome/links/DIPTERA/anomel_30kDa-DIPTERA.txt","anti-platelet protein")</f>
        <v>anti-platelet protein</v>
      </c>
      <c r="AD412" t="str">
        <f>HYPERLINK("http://www.ncbi.nlm.nih.gov/sutils/blink.cgi?pid=190576759","1E-130")</f>
        <v>1E-130</v>
      </c>
      <c r="AE412" t="str">
        <f t="shared" si="150"/>
        <v>gi|190576759</v>
      </c>
      <c r="AF412">
        <v>95</v>
      </c>
      <c r="AG412">
        <v>95</v>
      </c>
      <c r="AH412">
        <v>100</v>
      </c>
      <c r="AI412" t="s">
        <v>2254</v>
      </c>
      <c r="AJ412" s="2" t="str">
        <f>HYPERLINK("http://exon.niaid.nih.gov/transcriptome/Anopheles_sialome/links/CULICOMORPHA/anomel_30kDa-CULICOMORPHA.txt","anti-platelet protein")</f>
        <v>anti-platelet protein</v>
      </c>
      <c r="AK412" t="str">
        <f>HYPERLINK("http://www.ncbi.nlm.nih.gov/sutils/blink.cgi?pid=190576759","1E-131")</f>
        <v>1E-131</v>
      </c>
      <c r="AL412" t="str">
        <f t="shared" si="151"/>
        <v>gi|190576759</v>
      </c>
      <c r="AM412">
        <v>95</v>
      </c>
      <c r="AN412">
        <v>95</v>
      </c>
      <c r="AO412">
        <v>100</v>
      </c>
      <c r="AP412" t="s">
        <v>2254</v>
      </c>
      <c r="AQ412" s="2" t="str">
        <f>HYPERLINK("http://exon.niaid.nih.gov/transcriptome/Anopheles_sialome/links/NR-LIGHT/anomel_30kDa-NR-LIGHT.txt","anti-platelet protein")</f>
        <v>anti-platelet protein</v>
      </c>
      <c r="AR412" t="str">
        <f>HYPERLINK("http://www.ncbi.nlm.nih.gov/sutils/blink.cgi?pid=190576759","1E-130")</f>
        <v>1E-130</v>
      </c>
      <c r="AS412" t="str">
        <f t="shared" si="152"/>
        <v>gi|190576759</v>
      </c>
      <c r="AT412">
        <v>95</v>
      </c>
      <c r="AU412">
        <v>95</v>
      </c>
      <c r="AV412">
        <v>100</v>
      </c>
      <c r="AW412" t="s">
        <v>2254</v>
      </c>
      <c r="AX412" s="2" t="str">
        <f>HYPERLINK("http://exon.niaid.nih.gov/transcriptome/Anopheles_sialome/links/CDD/anomel_30kDa-CDD.txt","retinal_rod")</f>
        <v>retinal_rod</v>
      </c>
      <c r="AY412" t="str">
        <f>HYPERLINK("http://www.ncbi.nlm.nih.gov/Structure/cdd/cddsrv.cgi?uid=TIGR00927&amp;version=v4.0","3E-006")</f>
        <v>3E-006</v>
      </c>
      <c r="AZ412" t="s">
        <v>2264</v>
      </c>
      <c r="BA412" s="2" t="str">
        <f>HYPERLINK("http://exon.niaid.nih.gov/transcriptome/Anopheles_sialome/links/KOG/anomel_30kDa-KOG.txt","HIV-1 Vpr-binding protein")</f>
        <v>HIV-1 Vpr-binding protein</v>
      </c>
      <c r="BB412" t="str">
        <f>HYPERLINK("http://www.ncbi.nlm.nih.gov/Structure/cdd/cddsrv.cgi?uid=KOG1832","1E-004")</f>
        <v>1E-004</v>
      </c>
      <c r="BC412" t="s">
        <v>2256</v>
      </c>
      <c r="BD412" t="str">
        <f>HYPERLINK("http://exon.niaid.nih.gov/transcriptome/Anopheles_sialome/links/KOG/anomel_30kDa-KOG.txt","KOG1832")</f>
        <v>KOG1832</v>
      </c>
      <c r="BE412" t="str">
        <f>HYPERLINK("http://exon.niaid.nih.gov/transcriptome/Anopheles_sialome/links/PFAM/anomel_30kDa-PFAM.txt","COPI_C")</f>
        <v>COPI_C</v>
      </c>
      <c r="BF412" t="str">
        <f>HYPERLINK("http://pfam.sanger.ac.uk/family?acc=PF06957","7E-004")</f>
        <v>7E-004</v>
      </c>
      <c r="BG412" s="2" t="str">
        <f>HYPERLINK("http://exon.niaid.nih.gov/transcriptome/Anopheles_sialome/links/SMART/anomel_30kDa-SMART.txt","EFG_IV")</f>
        <v>EFG_IV</v>
      </c>
      <c r="BH412" t="str">
        <f>HYPERLINK("http://smart.embl-heidelberg.de/smart/do_annotation.pl?DOMAIN=EFG_IV&amp;BLAST=DUMMY","0.41")</f>
        <v>0.41</v>
      </c>
      <c r="BI412" t="str">
        <f>HYPERLINK("http://exon.niaid.nih.gov/transcriptome/Anopheles_sialome/links/TICK-BLOCKS/anomel_30kDa-TICK-BLOCKS.txt","Aegyptin_stringent_pattern |Aegyptin_mosquito |Aegyptin_mosquito_stringent_pattern |Aegyptin_coxy |")</f>
        <v>Aegyptin_stringent_pattern |Aegyptin_mosquito |Aegyptin_mosquito_stringent_pattern |Aegyptin_coxy |</v>
      </c>
      <c r="BJ412" s="2" t="s">
        <v>2257</v>
      </c>
      <c r="BK412" t="s">
        <v>661</v>
      </c>
      <c r="BL412">
        <f>HYPERLINK("http://exon.niaid.nih.gov/transcriptome/Anopheles_sialome/links/cluster-b/anopheline-sialome-cds-pep-larger-orf25-50SimCLU10.txt", 10)</f>
        <v>10</v>
      </c>
      <c r="BM412">
        <f>HYPERLINK("http://exon.niaid.nih.gov/transcriptome/Anopheles_sialome/links/cluster-b/anopheline-sialome-cds-pep-larger-orf25-50SimCLTL10.txt", 19)</f>
        <v>19</v>
      </c>
      <c r="BN412">
        <f>HYPERLINK("http://exon.niaid.nih.gov/transcriptome/Anopheles_sialome/links/cluster-b/anopheline-sialome-cds-pep-larger-orf30-50SimCLU9.txt", 9)</f>
        <v>9</v>
      </c>
      <c r="BO412">
        <f>HYPERLINK("http://exon.niaid.nih.gov/transcriptome/Anopheles_sialome/links/cluster-b/anopheline-sialome-cds-pep-larger-orf30-50SimCLTL9.txt", 19)</f>
        <v>19</v>
      </c>
      <c r="BP412">
        <f>HYPERLINK("http://exon.niaid.nih.gov/transcriptome/Anopheles_sialome/links/cluster-b/anopheline-sialome-cds-pep-larger-orf35-50SimCLU11.txt", 11)</f>
        <v>11</v>
      </c>
      <c r="BQ412">
        <f>HYPERLINK("http://exon.niaid.nih.gov/transcriptome/Anopheles_sialome/links/cluster-b/anopheline-sialome-cds-pep-larger-orf35-50SimCLTL11.txt", 19)</f>
        <v>19</v>
      </c>
      <c r="BR412">
        <f>HYPERLINK("http://exon.niaid.nih.gov/transcriptome/Anopheles_sialome/links/cluster-b/anopheline-sialome-cds-pep-larger-orf40-50SimCLU12.txt", 12)</f>
        <v>12</v>
      </c>
      <c r="BS412">
        <f>HYPERLINK("http://exon.niaid.nih.gov/transcriptome/Anopheles_sialome/links/cluster-b/anopheline-sialome-cds-pep-larger-orf40-50SimCLTL12.txt", 19)</f>
        <v>19</v>
      </c>
      <c r="BT412">
        <f>HYPERLINK("http://exon.niaid.nih.gov/transcriptome/Anopheles_sialome/links/cluster-b/anopheline-sialome-cds-pep-larger-orf45-50SimCLU12.txt", 12)</f>
        <v>12</v>
      </c>
      <c r="BU412">
        <f>HYPERLINK("http://exon.niaid.nih.gov/transcriptome/Anopheles_sialome/links/cluster-b/anopheline-sialome-cds-pep-larger-orf45-50SimCLTL12.txt", 19)</f>
        <v>19</v>
      </c>
      <c r="BV412">
        <f>HYPERLINK("http://exon.niaid.nih.gov/transcriptome/Anopheles_sialome/links/cluster-b/anopheline-sialome-cds-pep-larger-orf50-50SimCLU12.txt", 12)</f>
        <v>12</v>
      </c>
      <c r="BW412">
        <f>HYPERLINK("http://exon.niaid.nih.gov/transcriptome/Anopheles_sialome/links/cluster-b/anopheline-sialome-cds-pep-larger-orf50-50SimCLTL12.txt", 19)</f>
        <v>19</v>
      </c>
      <c r="BX412">
        <f>HYPERLINK("http://exon.niaid.nih.gov/transcriptome/Anopheles_sialome/links/cluster-b/anopheline-sialome-cds-pep-larger-orf55-50SimCLU13.txt", 13)</f>
        <v>13</v>
      </c>
      <c r="BY412">
        <f>HYPERLINK("http://exon.niaid.nih.gov/transcriptome/Anopheles_sialome/links/cluster-b/anopheline-sialome-cds-pep-larger-orf55-50SimCLTL13.txt", 19)</f>
        <v>19</v>
      </c>
      <c r="BZ412">
        <f>HYPERLINK("http://exon.niaid.nih.gov/transcriptome/Anopheles_sialome/links/cluster-b/anopheline-sialome-cds-pep-larger-orf60-50SimCLU11.txt", 11)</f>
        <v>11</v>
      </c>
      <c r="CA412">
        <f>HYPERLINK("http://exon.niaid.nih.gov/transcriptome/Anopheles_sialome/links/cluster-b/anopheline-sialome-cds-pep-larger-orf60-50SimCLTL11.txt", 19)</f>
        <v>19</v>
      </c>
      <c r="CB412">
        <f>HYPERLINK("http://exon.niaid.nih.gov/transcriptome/Anopheles_sialome/links/cluster-b/anopheline-sialome-cds-pep-larger-orf65-50SimCLU8.txt", 8)</f>
        <v>8</v>
      </c>
      <c r="CC412">
        <f>HYPERLINK("http://exon.niaid.nih.gov/transcriptome/Anopheles_sialome/links/cluster-b/anopheline-sialome-cds-pep-larger-orf65-50SimCLTL8.txt", 19)</f>
        <v>19</v>
      </c>
      <c r="CD412">
        <f>HYPERLINK("http://exon.niaid.nih.gov/transcriptome/Anopheles_sialome/links/cluster-b/anopheline-sialome-cds-pep-larger-orf70-50SimCLU7.txt", 7)</f>
        <v>7</v>
      </c>
      <c r="CE412">
        <f>HYPERLINK("http://exon.niaid.nih.gov/transcriptome/Anopheles_sialome/links/cluster-b/anopheline-sialome-cds-pep-larger-orf70-50SimCLTL7.txt", 19)</f>
        <v>19</v>
      </c>
      <c r="CF412">
        <f>HYPERLINK("http://exon.niaid.nih.gov/transcriptome/Anopheles_sialome/links/cluster-b/anopheline-sialome-cds-pep-larger-orf75-50SimCLU16.txt", 16)</f>
        <v>16</v>
      </c>
      <c r="CG412">
        <f>HYPERLINK("http://exon.niaid.nih.gov/transcriptome/Anopheles_sialome/links/cluster-b/anopheline-sialome-cds-pep-larger-orf75-50SimCLTL16.txt", 16)</f>
        <v>16</v>
      </c>
      <c r="CH412">
        <f>HYPERLINK("http://exon.niaid.nih.gov/transcriptome/Anopheles_sialome/links/cluster-b/anopheline-sialome-cds-pep-larger-orf80-50SimCLU16.txt", 16)</f>
        <v>16</v>
      </c>
      <c r="CI412">
        <f>HYPERLINK("http://exon.niaid.nih.gov/transcriptome/Anopheles_sialome/links/cluster-b/anopheline-sialome-cds-pep-larger-orf80-50SimCLTL16.txt", 13)</f>
        <v>13</v>
      </c>
      <c r="CJ412">
        <f>HYPERLINK("http://exon.niaid.nih.gov/transcriptome/Anopheles_sialome/links/cluster-b/anopheline-sialome-cds-pep-larger-orf85-50SimCLU26.txt", 26)</f>
        <v>26</v>
      </c>
      <c r="CK412">
        <f>HYPERLINK("http://exon.niaid.nih.gov/transcriptome/Anopheles_sialome/links/cluster-b/anopheline-sialome-cds-pep-larger-orf85-50SimCLTL26.txt", 6)</f>
        <v>6</v>
      </c>
      <c r="CL412">
        <f>HYPERLINK("http://exon.niaid.nih.gov/transcriptome/Anopheles_sialome/links/cluster-b/anopheline-sialome-cds-pep-larger-orf90-50SimCLU16.txt", 16)</f>
        <v>16</v>
      </c>
      <c r="CM412">
        <f>HYPERLINK("http://exon.niaid.nih.gov/transcriptome/Anopheles_sialome/links/cluster-b/anopheline-sialome-cds-pep-larger-orf90-50SimCLTL16.txt", 6)</f>
        <v>6</v>
      </c>
      <c r="CN412">
        <f>HYPERLINK("http://exon.niaid.nih.gov/transcriptome/Anopheles_sialome/links/cluster-b/anopheline-sialome-cds-pep-larger-orf95-50SimCLU2.txt", 2)</f>
        <v>2</v>
      </c>
      <c r="CO412">
        <f>HYPERLINK("http://exon.niaid.nih.gov/transcriptome/Anopheles_sialome/links/cluster-b/anopheline-sialome-cds-pep-larger-orf95-50SimCLTL2.txt", 6)</f>
        <v>6</v>
      </c>
    </row>
    <row r="413" spans="1:93">
      <c r="A413" s="2" t="str">
        <f>HYPERLINK("http://exon.niaid.nih.gov/transcriptome/Anopheles_sialome/links/cds/anochris_30kDa-cds.txt","anochris_30kDa")</f>
        <v>anochris_30kDa</v>
      </c>
      <c r="B413">
        <v>759</v>
      </c>
      <c r="C413" t="s">
        <v>12</v>
      </c>
      <c r="D413" t="s">
        <v>4</v>
      </c>
      <c r="E413" t="s">
        <v>5</v>
      </c>
      <c r="F413" t="s">
        <v>1</v>
      </c>
      <c r="G413" t="str">
        <f>HYPERLINK("http://exon.niaid.nih.gov/transcriptome/Anopheles_sialome/links/pep/anochris_30kDa-pep.txt","anochris_30kDa")</f>
        <v>anochris_30kDa</v>
      </c>
      <c r="H413">
        <v>252</v>
      </c>
      <c r="I413">
        <v>0</v>
      </c>
      <c r="J413" s="3" t="str">
        <f>HYPERLINK("http://exon.niaid.nih.gov/transcriptome/Anopheles_sialome/links/Sigp/anochris_30kDa-SigP.txt","SIG")</f>
        <v>SIG</v>
      </c>
      <c r="K413" t="s">
        <v>652</v>
      </c>
      <c r="L413">
        <v>27.061</v>
      </c>
      <c r="M413">
        <v>4.03</v>
      </c>
      <c r="N413">
        <v>25.123000000000001</v>
      </c>
      <c r="O413">
        <v>4.01</v>
      </c>
      <c r="P413" t="s">
        <v>664</v>
      </c>
      <c r="Q413" s="3">
        <v>0</v>
      </c>
      <c r="R413" t="s">
        <v>128</v>
      </c>
      <c r="S413" t="s">
        <v>128</v>
      </c>
      <c r="T413" t="s">
        <v>128</v>
      </c>
      <c r="U413" t="s">
        <v>128</v>
      </c>
      <c r="V413" t="s">
        <v>128</v>
      </c>
      <c r="W413" s="3" t="str">
        <f>HYPERLINK("http://exon.niaid.nih.gov/transcriptome/Anopheles_sialome/links/netoglyc/anochris_30kDa-netoglyc.txt","14")</f>
        <v>14</v>
      </c>
      <c r="X413">
        <v>18.7</v>
      </c>
      <c r="Y413">
        <v>9.9</v>
      </c>
      <c r="Z413">
        <v>1.6</v>
      </c>
      <c r="AA413" t="s">
        <v>654</v>
      </c>
      <c r="AB413" t="s">
        <v>128</v>
      </c>
      <c r="AC413" s="2" t="str">
        <f>HYPERLINK("http://exon.niaid.nih.gov/transcriptome/Anopheles_sialome/links/DIPTERA/anochris_30kDa-DIPTERA.txt","anti-platelet protein")</f>
        <v>anti-platelet protein</v>
      </c>
      <c r="AD413" t="str">
        <f>HYPERLINK("http://www.ncbi.nlm.nih.gov/sutils/blink.cgi?pid=190576759","6E-095")</f>
        <v>6E-095</v>
      </c>
      <c r="AE413" t="str">
        <f t="shared" si="150"/>
        <v>gi|190576759</v>
      </c>
      <c r="AF413">
        <v>71</v>
      </c>
      <c r="AG413">
        <v>81</v>
      </c>
      <c r="AH413">
        <v>102</v>
      </c>
      <c r="AI413" t="s">
        <v>2254</v>
      </c>
      <c r="AJ413" s="2" t="str">
        <f>HYPERLINK("http://exon.niaid.nih.gov/transcriptome/Anopheles_sialome/links/CULICOMORPHA/anochris_30kDa-CULICOMORPHA.txt","anti-platelet protein")</f>
        <v>anti-platelet protein</v>
      </c>
      <c r="AK413" t="str">
        <f>HYPERLINK("http://www.ncbi.nlm.nih.gov/sutils/blink.cgi?pid=190576759","1E-095")</f>
        <v>1E-095</v>
      </c>
      <c r="AL413" t="str">
        <f t="shared" si="151"/>
        <v>gi|190576759</v>
      </c>
      <c r="AM413">
        <v>71</v>
      </c>
      <c r="AN413">
        <v>81</v>
      </c>
      <c r="AO413">
        <v>102</v>
      </c>
      <c r="AP413" t="s">
        <v>2254</v>
      </c>
      <c r="AQ413" s="2" t="str">
        <f>HYPERLINK("http://exon.niaid.nih.gov/transcriptome/Anopheles_sialome/links/NR-LIGHT/anochris_30kDa-NR-LIGHT.txt","anti-platelet protein")</f>
        <v>anti-platelet protein</v>
      </c>
      <c r="AR413" t="str">
        <f>HYPERLINK("http://www.ncbi.nlm.nih.gov/sutils/blink.cgi?pid=190576759","2E-094")</f>
        <v>2E-094</v>
      </c>
      <c r="AS413" t="str">
        <f t="shared" si="152"/>
        <v>gi|190576759</v>
      </c>
      <c r="AT413">
        <v>71</v>
      </c>
      <c r="AU413">
        <v>81</v>
      </c>
      <c r="AV413">
        <v>102</v>
      </c>
      <c r="AW413" t="s">
        <v>2254</v>
      </c>
      <c r="AX413" s="2" t="str">
        <f>HYPERLINK("http://exon.niaid.nih.gov/transcriptome/Anopheles_sialome/links/CDD/anochris_30kDa-CDD.txt","retinal_rod")</f>
        <v>retinal_rod</v>
      </c>
      <c r="AY413" t="str">
        <f>HYPERLINK("http://www.ncbi.nlm.nih.gov/Structure/cdd/cddsrv.cgi?uid=TIGR00927&amp;version=v4.0","3E-005")</f>
        <v>3E-005</v>
      </c>
      <c r="AZ413" t="s">
        <v>2265</v>
      </c>
      <c r="BA413" s="2" t="str">
        <f>HYPERLINK("http://exon.niaid.nih.gov/transcriptome/Anopheles_sialome/links/KOG/anochris_30kDa-KOG.txt","HIV-1 Vpr-binding protein")</f>
        <v>HIV-1 Vpr-binding protein</v>
      </c>
      <c r="BB413" t="str">
        <f>HYPERLINK("http://www.ncbi.nlm.nih.gov/Structure/cdd/cddsrv.cgi?uid=KOG1832","6E-006")</f>
        <v>6E-006</v>
      </c>
      <c r="BC413" t="s">
        <v>2256</v>
      </c>
      <c r="BD413" t="str">
        <f>HYPERLINK("http://exon.niaid.nih.gov/transcriptome/Anopheles_sialome/links/KOG/anochris_30kDa-KOG.txt","KOG1832")</f>
        <v>KOG1832</v>
      </c>
      <c r="BE413" t="str">
        <f>HYPERLINK("http://exon.niaid.nih.gov/transcriptome/Anopheles_sialome/links/PFAM/anochris_30kDa-PFAM.txt","BUD22")</f>
        <v>BUD22</v>
      </c>
      <c r="BF413" t="str">
        <f>HYPERLINK("http://pfam.sanger.ac.uk/family?acc=PF09073","6E-004")</f>
        <v>6E-004</v>
      </c>
      <c r="BG413" s="2" t="str">
        <f>HYPERLINK("http://exon.niaid.nih.gov/transcriptome/Anopheles_sialome/links/SMART/anochris_30kDa-SMART.txt","IL2")</f>
        <v>IL2</v>
      </c>
      <c r="BH413" t="str">
        <f>HYPERLINK("http://smart.embl-heidelberg.de/smart/do_annotation.pl?DOMAIN=IL2&amp;BLAST=DUMMY","0.94")</f>
        <v>0.94</v>
      </c>
      <c r="BI413" t="str">
        <f>HYPERLINK("http://exon.niaid.nih.gov/transcriptome/Anopheles_sialome/links/TICK-BLOCKS/anochris_30kDa-TICK-BLOCKS.txt","Aegyptin_stringent_pattern |Aegyptin_mosquito |Aegyptin_mosquito_stringent_pattern |Aegyptin_coxy |")</f>
        <v>Aegyptin_stringent_pattern |Aegyptin_mosquito |Aegyptin_mosquito_stringent_pattern |Aegyptin_coxy |</v>
      </c>
      <c r="BJ413" s="2" t="s">
        <v>2257</v>
      </c>
      <c r="BK413" t="s">
        <v>663</v>
      </c>
      <c r="BL413">
        <f>HYPERLINK("http://exon.niaid.nih.gov/transcriptome/Anopheles_sialome/links/cluster-b/anopheline-sialome-cds-pep-larger-orf25-50SimCLU10.txt", 10)</f>
        <v>10</v>
      </c>
      <c r="BM413">
        <f>HYPERLINK("http://exon.niaid.nih.gov/transcriptome/Anopheles_sialome/links/cluster-b/anopheline-sialome-cds-pep-larger-orf25-50SimCLTL10.txt", 19)</f>
        <v>19</v>
      </c>
      <c r="BN413">
        <f>HYPERLINK("http://exon.niaid.nih.gov/transcriptome/Anopheles_sialome/links/cluster-b/anopheline-sialome-cds-pep-larger-orf30-50SimCLU9.txt", 9)</f>
        <v>9</v>
      </c>
      <c r="BO413">
        <f>HYPERLINK("http://exon.niaid.nih.gov/transcriptome/Anopheles_sialome/links/cluster-b/anopheline-sialome-cds-pep-larger-orf30-50SimCLTL9.txt", 19)</f>
        <v>19</v>
      </c>
      <c r="BP413">
        <f>HYPERLINK("http://exon.niaid.nih.gov/transcriptome/Anopheles_sialome/links/cluster-b/anopheline-sialome-cds-pep-larger-orf35-50SimCLU11.txt", 11)</f>
        <v>11</v>
      </c>
      <c r="BQ413">
        <f>HYPERLINK("http://exon.niaid.nih.gov/transcriptome/Anopheles_sialome/links/cluster-b/anopheline-sialome-cds-pep-larger-orf35-50SimCLTL11.txt", 19)</f>
        <v>19</v>
      </c>
      <c r="BR413">
        <f>HYPERLINK("http://exon.niaid.nih.gov/transcriptome/Anopheles_sialome/links/cluster-b/anopheline-sialome-cds-pep-larger-orf40-50SimCLU12.txt", 12)</f>
        <v>12</v>
      </c>
      <c r="BS413">
        <f>HYPERLINK("http://exon.niaid.nih.gov/transcriptome/Anopheles_sialome/links/cluster-b/anopheline-sialome-cds-pep-larger-orf40-50SimCLTL12.txt", 19)</f>
        <v>19</v>
      </c>
      <c r="BT413">
        <f>HYPERLINK("http://exon.niaid.nih.gov/transcriptome/Anopheles_sialome/links/cluster-b/anopheline-sialome-cds-pep-larger-orf45-50SimCLU12.txt", 12)</f>
        <v>12</v>
      </c>
      <c r="BU413">
        <f>HYPERLINK("http://exon.niaid.nih.gov/transcriptome/Anopheles_sialome/links/cluster-b/anopheline-sialome-cds-pep-larger-orf45-50SimCLTL12.txt", 19)</f>
        <v>19</v>
      </c>
      <c r="BV413">
        <f>HYPERLINK("http://exon.niaid.nih.gov/transcriptome/Anopheles_sialome/links/cluster-b/anopheline-sialome-cds-pep-larger-orf50-50SimCLU12.txt", 12)</f>
        <v>12</v>
      </c>
      <c r="BW413">
        <f>HYPERLINK("http://exon.niaid.nih.gov/transcriptome/Anopheles_sialome/links/cluster-b/anopheline-sialome-cds-pep-larger-orf50-50SimCLTL12.txt", 19)</f>
        <v>19</v>
      </c>
      <c r="BX413">
        <f>HYPERLINK("http://exon.niaid.nih.gov/transcriptome/Anopheles_sialome/links/cluster-b/anopheline-sialome-cds-pep-larger-orf55-50SimCLU13.txt", 13)</f>
        <v>13</v>
      </c>
      <c r="BY413">
        <f>HYPERLINK("http://exon.niaid.nih.gov/transcriptome/Anopheles_sialome/links/cluster-b/anopheline-sialome-cds-pep-larger-orf55-50SimCLTL13.txt", 19)</f>
        <v>19</v>
      </c>
      <c r="BZ413">
        <f>HYPERLINK("http://exon.niaid.nih.gov/transcriptome/Anopheles_sialome/links/cluster-b/anopheline-sialome-cds-pep-larger-orf60-50SimCLU11.txt", 11)</f>
        <v>11</v>
      </c>
      <c r="CA413">
        <f>HYPERLINK("http://exon.niaid.nih.gov/transcriptome/Anopheles_sialome/links/cluster-b/anopheline-sialome-cds-pep-larger-orf60-50SimCLTL11.txt", 19)</f>
        <v>19</v>
      </c>
      <c r="CB413">
        <f>HYPERLINK("http://exon.niaid.nih.gov/transcriptome/Anopheles_sialome/links/cluster-b/anopheline-sialome-cds-pep-larger-orf65-50SimCLU8.txt", 8)</f>
        <v>8</v>
      </c>
      <c r="CC413">
        <f>HYPERLINK("http://exon.niaid.nih.gov/transcriptome/Anopheles_sialome/links/cluster-b/anopheline-sialome-cds-pep-larger-orf65-50SimCLTL8.txt", 19)</f>
        <v>19</v>
      </c>
      <c r="CD413">
        <f>HYPERLINK("http://exon.niaid.nih.gov/transcriptome/Anopheles_sialome/links/cluster-b/anopheline-sialome-cds-pep-larger-orf70-50SimCLU7.txt", 7)</f>
        <v>7</v>
      </c>
      <c r="CE413">
        <f>HYPERLINK("http://exon.niaid.nih.gov/transcriptome/Anopheles_sialome/links/cluster-b/anopheline-sialome-cds-pep-larger-orf70-50SimCLTL7.txt", 19)</f>
        <v>19</v>
      </c>
      <c r="CF413">
        <f>HYPERLINK("http://exon.niaid.nih.gov/transcriptome/Anopheles_sialome/links/cluster-b/anopheline-sialome-cds-pep-larger-orf75-50SimCLU16.txt", 16)</f>
        <v>16</v>
      </c>
      <c r="CG413">
        <f>HYPERLINK("http://exon.niaid.nih.gov/transcriptome/Anopheles_sialome/links/cluster-b/anopheline-sialome-cds-pep-larger-orf75-50SimCLTL16.txt", 16)</f>
        <v>16</v>
      </c>
      <c r="CH413">
        <f>HYPERLINK("http://exon.niaid.nih.gov/transcriptome/Anopheles_sialome/links/cluster-b/anopheline-sialome-cds-pep-larger-orf80-50SimCLU16.txt", 16)</f>
        <v>16</v>
      </c>
      <c r="CI413">
        <f>HYPERLINK("http://exon.niaid.nih.gov/transcriptome/Anopheles_sialome/links/cluster-b/anopheline-sialome-cds-pep-larger-orf80-50SimCLTL16.txt", 13)</f>
        <v>13</v>
      </c>
      <c r="CJ413">
        <v>108</v>
      </c>
      <c r="CK413">
        <v>1</v>
      </c>
      <c r="CL413">
        <v>96</v>
      </c>
      <c r="CM413">
        <v>1</v>
      </c>
      <c r="CN413">
        <v>70</v>
      </c>
      <c r="CO413">
        <v>1</v>
      </c>
    </row>
    <row r="414" spans="1:93">
      <c r="A414" s="2" t="str">
        <f>HYPERLINK("http://exon.niaid.nih.gov/transcriptome/Anopheles_sialome/links/cds/anoepi_30kDa-cds.txt","anoepi_30kDa")</f>
        <v>anoepi_30kDa</v>
      </c>
      <c r="B414">
        <v>768</v>
      </c>
      <c r="C414" t="s">
        <v>13</v>
      </c>
      <c r="D414" t="s">
        <v>4</v>
      </c>
      <c r="E414" t="s">
        <v>5</v>
      </c>
      <c r="F414" t="s">
        <v>1</v>
      </c>
      <c r="G414" t="str">
        <f>HYPERLINK("http://exon.niaid.nih.gov/transcriptome/Anopheles_sialome/links/pep/anoepi_30kDa-pep.txt","anoepi_30kDa")</f>
        <v>anoepi_30kDa</v>
      </c>
      <c r="H414">
        <v>255</v>
      </c>
      <c r="I414">
        <v>0</v>
      </c>
      <c r="J414" s="3" t="str">
        <f>HYPERLINK("http://exon.niaid.nih.gov/transcriptome/Anopheles_sialome/links/Sigp/anoepi_30kDa-SigP.txt","SIG")</f>
        <v>SIG</v>
      </c>
      <c r="K414" t="s">
        <v>652</v>
      </c>
      <c r="L414">
        <v>27.46</v>
      </c>
      <c r="M414">
        <v>4.18</v>
      </c>
      <c r="N414">
        <v>25.536000000000001</v>
      </c>
      <c r="O414">
        <v>4.16</v>
      </c>
      <c r="P414" t="s">
        <v>666</v>
      </c>
      <c r="Q414" s="3">
        <v>0</v>
      </c>
      <c r="R414" t="s">
        <v>128</v>
      </c>
      <c r="S414" t="s">
        <v>128</v>
      </c>
      <c r="T414" t="s">
        <v>128</v>
      </c>
      <c r="U414" t="s">
        <v>128</v>
      </c>
      <c r="V414" t="s">
        <v>128</v>
      </c>
      <c r="W414" s="3" t="str">
        <f>HYPERLINK("http://exon.niaid.nih.gov/transcriptome/Anopheles_sialome/links/netoglyc/anoepi_30kDa-netoglyc.txt","18")</f>
        <v>18</v>
      </c>
      <c r="X414">
        <v>18.399999999999999</v>
      </c>
      <c r="Y414">
        <v>8.1999999999999993</v>
      </c>
      <c r="Z414">
        <v>2</v>
      </c>
      <c r="AA414" t="s">
        <v>654</v>
      </c>
      <c r="AB414" t="s">
        <v>128</v>
      </c>
      <c r="AC414" s="2" t="str">
        <f>HYPERLINK("http://exon.niaid.nih.gov/transcriptome/Anopheles_sialome/links/DIPTERA/anoepi_30kDa-DIPTERA.txt","30 kDa salivary antigen family protein")</f>
        <v>30 kDa salivary antigen family protein</v>
      </c>
      <c r="AD414" t="str">
        <f>HYPERLINK("http://www.ncbi.nlm.nih.gov/sutils/blink.cgi?pid=114864639","1E-089")</f>
        <v>1E-089</v>
      </c>
      <c r="AE414" t="str">
        <f>HYPERLINK("http://www.ncbi.nlm.nih.gov/protein/114864639","gi|114864639")</f>
        <v>gi|114864639</v>
      </c>
      <c r="AF414">
        <v>65</v>
      </c>
      <c r="AG414">
        <v>77</v>
      </c>
      <c r="AH414">
        <v>104</v>
      </c>
      <c r="AI414" t="s">
        <v>2266</v>
      </c>
      <c r="AJ414" s="2" t="str">
        <f>HYPERLINK("http://exon.niaid.nih.gov/transcriptome/Anopheles_sialome/links/CULICOMORPHA/anoepi_30kDa-CULICOMORPHA.txt","30 kDa salivary antigen family protein")</f>
        <v>30 kDa salivary antigen family protein</v>
      </c>
      <c r="AK414" t="str">
        <f>HYPERLINK("http://www.ncbi.nlm.nih.gov/sutils/blink.cgi?pid=114864639","2E-090")</f>
        <v>2E-090</v>
      </c>
      <c r="AL414" t="str">
        <f>HYPERLINK("http://www.ncbi.nlm.nih.gov/protein/114864639","gi|114864639")</f>
        <v>gi|114864639</v>
      </c>
      <c r="AM414">
        <v>65</v>
      </c>
      <c r="AN414">
        <v>77</v>
      </c>
      <c r="AO414">
        <v>104</v>
      </c>
      <c r="AP414" t="s">
        <v>2266</v>
      </c>
      <c r="AQ414" s="2" t="str">
        <f>HYPERLINK("http://exon.niaid.nih.gov/transcriptome/Anopheles_sialome/links/NR-LIGHT/anoepi_30kDa-NR-LIGHT.txt","30 kDa salivary antigen family protein")</f>
        <v>30 kDa salivary antigen family protein</v>
      </c>
      <c r="AR414" t="str">
        <f>HYPERLINK("http://www.ncbi.nlm.nih.gov/sutils/blink.cgi?pid=114864639","4E-089")</f>
        <v>4E-089</v>
      </c>
      <c r="AS414" t="str">
        <f>HYPERLINK("http://www.ncbi.nlm.nih.gov/protein/114864639","gi|114864639")</f>
        <v>gi|114864639</v>
      </c>
      <c r="AT414">
        <v>65</v>
      </c>
      <c r="AU414">
        <v>77</v>
      </c>
      <c r="AV414">
        <v>104</v>
      </c>
      <c r="AW414" t="s">
        <v>2266</v>
      </c>
      <c r="AX414" s="2" t="str">
        <f>HYPERLINK("http://exon.niaid.nih.gov/transcriptome/Anopheles_sialome/links/CDD/anoepi_30kDa-CDD.txt","retinal_rod")</f>
        <v>retinal_rod</v>
      </c>
      <c r="AY414" t="str">
        <f>HYPERLINK("http://www.ncbi.nlm.nih.gov/Structure/cdd/cddsrv.cgi?uid=TIGR00927&amp;version=v4.0","1E-006")</f>
        <v>1E-006</v>
      </c>
      <c r="AZ414" t="s">
        <v>2267</v>
      </c>
      <c r="BA414" s="2" t="str">
        <f>HYPERLINK("http://exon.niaid.nih.gov/transcriptome/Anopheles_sialome/links/KOG/anoepi_30kDa-KOG.txt","HIV-1 Vpr-binding protein")</f>
        <v>HIV-1 Vpr-binding protein</v>
      </c>
      <c r="BB414" t="str">
        <f>HYPERLINK("http://www.ncbi.nlm.nih.gov/Structure/cdd/cddsrv.cgi?uid=KOG1832","5E-005")</f>
        <v>5E-005</v>
      </c>
      <c r="BC414" t="s">
        <v>2256</v>
      </c>
      <c r="BD414" t="str">
        <f>HYPERLINK("http://exon.niaid.nih.gov/transcriptome/Anopheles_sialome/links/KOG/anoepi_30kDa-KOG.txt","KOG1832")</f>
        <v>KOG1832</v>
      </c>
      <c r="BE414" t="str">
        <f>HYPERLINK("http://exon.niaid.nih.gov/transcriptome/Anopheles_sialome/links/PFAM/anoepi_30kDa-PFAM.txt","Nop14")</f>
        <v>Nop14</v>
      </c>
      <c r="BF414" t="str">
        <f>HYPERLINK("http://pfam.sanger.ac.uk/family?acc=PF04147","5E-004")</f>
        <v>5E-004</v>
      </c>
      <c r="BG414" s="2" t="str">
        <f>HYPERLINK("http://exon.niaid.nih.gov/transcriptome/Anopheles_sialome/links/SMART/anoepi_30kDa-SMART.txt","BRO1")</f>
        <v>BRO1</v>
      </c>
      <c r="BH414" t="str">
        <f>HYPERLINK("http://smart.embl-heidelberg.de/smart/do_annotation.pl?DOMAIN=BRO1&amp;BLAST=DUMMY","0.54")</f>
        <v>0.54</v>
      </c>
      <c r="BI414" t="str">
        <f>HYPERLINK("http://exon.niaid.nih.gov/transcriptome/Anopheles_sialome/links/TICK-BLOCKS/anoepi_30kDa-TICK-BLOCKS.txt","Aegyptin_stringent_pattern |Aegyptin_mosquito |Aegyptin_mosquito_stringent_pattern |Aegyptin_coxy |")</f>
        <v>Aegyptin_stringent_pattern |Aegyptin_mosquito |Aegyptin_mosquito_stringent_pattern |Aegyptin_coxy |</v>
      </c>
      <c r="BJ414" s="2" t="s">
        <v>2257</v>
      </c>
      <c r="BK414" t="s">
        <v>665</v>
      </c>
      <c r="BL414">
        <f>HYPERLINK("http://exon.niaid.nih.gov/transcriptome/Anopheles_sialome/links/cluster-b/anopheline-sialome-cds-pep-larger-orf25-50SimCLU10.txt", 10)</f>
        <v>10</v>
      </c>
      <c r="BM414">
        <f>HYPERLINK("http://exon.niaid.nih.gov/transcriptome/Anopheles_sialome/links/cluster-b/anopheline-sialome-cds-pep-larger-orf25-50SimCLTL10.txt", 19)</f>
        <v>19</v>
      </c>
      <c r="BN414">
        <f>HYPERLINK("http://exon.niaid.nih.gov/transcriptome/Anopheles_sialome/links/cluster-b/anopheline-sialome-cds-pep-larger-orf30-50SimCLU9.txt", 9)</f>
        <v>9</v>
      </c>
      <c r="BO414">
        <f>HYPERLINK("http://exon.niaid.nih.gov/transcriptome/Anopheles_sialome/links/cluster-b/anopheline-sialome-cds-pep-larger-orf30-50SimCLTL9.txt", 19)</f>
        <v>19</v>
      </c>
      <c r="BP414">
        <f>HYPERLINK("http://exon.niaid.nih.gov/transcriptome/Anopheles_sialome/links/cluster-b/anopheline-sialome-cds-pep-larger-orf35-50SimCLU11.txt", 11)</f>
        <v>11</v>
      </c>
      <c r="BQ414">
        <f>HYPERLINK("http://exon.niaid.nih.gov/transcriptome/Anopheles_sialome/links/cluster-b/anopheline-sialome-cds-pep-larger-orf35-50SimCLTL11.txt", 19)</f>
        <v>19</v>
      </c>
      <c r="BR414">
        <f>HYPERLINK("http://exon.niaid.nih.gov/transcriptome/Anopheles_sialome/links/cluster-b/anopheline-sialome-cds-pep-larger-orf40-50SimCLU12.txt", 12)</f>
        <v>12</v>
      </c>
      <c r="BS414">
        <f>HYPERLINK("http://exon.niaid.nih.gov/transcriptome/Anopheles_sialome/links/cluster-b/anopheline-sialome-cds-pep-larger-orf40-50SimCLTL12.txt", 19)</f>
        <v>19</v>
      </c>
      <c r="BT414">
        <f>HYPERLINK("http://exon.niaid.nih.gov/transcriptome/Anopheles_sialome/links/cluster-b/anopheline-sialome-cds-pep-larger-orf45-50SimCLU12.txt", 12)</f>
        <v>12</v>
      </c>
      <c r="BU414">
        <f>HYPERLINK("http://exon.niaid.nih.gov/transcriptome/Anopheles_sialome/links/cluster-b/anopheline-sialome-cds-pep-larger-orf45-50SimCLTL12.txt", 19)</f>
        <v>19</v>
      </c>
      <c r="BV414">
        <f>HYPERLINK("http://exon.niaid.nih.gov/transcriptome/Anopheles_sialome/links/cluster-b/anopheline-sialome-cds-pep-larger-orf50-50SimCLU12.txt", 12)</f>
        <v>12</v>
      </c>
      <c r="BW414">
        <f>HYPERLINK("http://exon.niaid.nih.gov/transcriptome/Anopheles_sialome/links/cluster-b/anopheline-sialome-cds-pep-larger-orf50-50SimCLTL12.txt", 19)</f>
        <v>19</v>
      </c>
      <c r="BX414">
        <f>HYPERLINK("http://exon.niaid.nih.gov/transcriptome/Anopheles_sialome/links/cluster-b/anopheline-sialome-cds-pep-larger-orf55-50SimCLU13.txt", 13)</f>
        <v>13</v>
      </c>
      <c r="BY414">
        <f>HYPERLINK("http://exon.niaid.nih.gov/transcriptome/Anopheles_sialome/links/cluster-b/anopheline-sialome-cds-pep-larger-orf55-50SimCLTL13.txt", 19)</f>
        <v>19</v>
      </c>
      <c r="BZ414">
        <f>HYPERLINK("http://exon.niaid.nih.gov/transcriptome/Anopheles_sialome/links/cluster-b/anopheline-sialome-cds-pep-larger-orf60-50SimCLU11.txt", 11)</f>
        <v>11</v>
      </c>
      <c r="CA414">
        <f>HYPERLINK("http://exon.niaid.nih.gov/transcriptome/Anopheles_sialome/links/cluster-b/anopheline-sialome-cds-pep-larger-orf60-50SimCLTL11.txt", 19)</f>
        <v>19</v>
      </c>
      <c r="CB414">
        <f>HYPERLINK("http://exon.niaid.nih.gov/transcriptome/Anopheles_sialome/links/cluster-b/anopheline-sialome-cds-pep-larger-orf65-50SimCLU8.txt", 8)</f>
        <v>8</v>
      </c>
      <c r="CC414">
        <f>HYPERLINK("http://exon.niaid.nih.gov/transcriptome/Anopheles_sialome/links/cluster-b/anopheline-sialome-cds-pep-larger-orf65-50SimCLTL8.txt", 19)</f>
        <v>19</v>
      </c>
      <c r="CD414">
        <f>HYPERLINK("http://exon.niaid.nih.gov/transcriptome/Anopheles_sialome/links/cluster-b/anopheline-sialome-cds-pep-larger-orf70-50SimCLU7.txt", 7)</f>
        <v>7</v>
      </c>
      <c r="CE414">
        <f>HYPERLINK("http://exon.niaid.nih.gov/transcriptome/Anopheles_sialome/links/cluster-b/anopheline-sialome-cds-pep-larger-orf70-50SimCLTL7.txt", 19)</f>
        <v>19</v>
      </c>
      <c r="CF414">
        <f>HYPERLINK("http://exon.niaid.nih.gov/transcriptome/Anopheles_sialome/links/cluster-b/anopheline-sialome-cds-pep-larger-orf75-50SimCLU16.txt", 16)</f>
        <v>16</v>
      </c>
      <c r="CG414">
        <f>HYPERLINK("http://exon.niaid.nih.gov/transcriptome/Anopheles_sialome/links/cluster-b/anopheline-sialome-cds-pep-larger-orf75-50SimCLTL16.txt", 16)</f>
        <v>16</v>
      </c>
      <c r="CH414">
        <f>HYPERLINK("http://exon.niaid.nih.gov/transcriptome/Anopheles_sialome/links/cluster-b/anopheline-sialome-cds-pep-larger-orf80-50SimCLU16.txt", 16)</f>
        <v>16</v>
      </c>
      <c r="CI414">
        <f>HYPERLINK("http://exon.niaid.nih.gov/transcriptome/Anopheles_sialome/links/cluster-b/anopheline-sialome-cds-pep-larger-orf80-50SimCLTL16.txt", 13)</f>
        <v>13</v>
      </c>
      <c r="CJ414">
        <v>109</v>
      </c>
      <c r="CK414">
        <v>1</v>
      </c>
      <c r="CL414">
        <v>97</v>
      </c>
      <c r="CM414">
        <v>1</v>
      </c>
      <c r="CN414">
        <v>71</v>
      </c>
      <c r="CO414">
        <v>1</v>
      </c>
    </row>
    <row r="415" spans="1:93">
      <c r="A415" s="2" t="str">
        <f>HYPERLINK("http://exon.niaid.nih.gov/transcriptome/Anopheles_sialome/links/cds/anofun_30kDa-cds.txt","anofun_30kDa")</f>
        <v>anofun_30kDa</v>
      </c>
      <c r="B415">
        <v>774</v>
      </c>
      <c r="C415" t="s">
        <v>14</v>
      </c>
      <c r="D415" t="s">
        <v>4</v>
      </c>
      <c r="E415" t="s">
        <v>5</v>
      </c>
      <c r="F415" t="s">
        <v>1</v>
      </c>
      <c r="G415" t="str">
        <f>HYPERLINK("http://exon.niaid.nih.gov/transcriptome/Anopheles_sialome/links/pep/anofun_30kDa-pep.txt","anofun_30kDa")</f>
        <v>anofun_30kDa</v>
      </c>
      <c r="H415">
        <v>257</v>
      </c>
      <c r="I415">
        <v>0</v>
      </c>
      <c r="J415" s="3" t="str">
        <f>HYPERLINK("http://exon.niaid.nih.gov/transcriptome/Anopheles_sialome/links/Sigp/anofun_30kDa-SigP.txt","SIG")</f>
        <v>SIG</v>
      </c>
      <c r="K415" t="s">
        <v>652</v>
      </c>
      <c r="L415">
        <v>27.722999999999999</v>
      </c>
      <c r="M415">
        <v>4.1100000000000003</v>
      </c>
      <c r="N415">
        <v>25.783999999999999</v>
      </c>
      <c r="O415">
        <v>4.09</v>
      </c>
      <c r="P415" t="s">
        <v>668</v>
      </c>
      <c r="Q415" s="3">
        <v>0</v>
      </c>
      <c r="R415" t="s">
        <v>128</v>
      </c>
      <c r="S415" t="s">
        <v>128</v>
      </c>
      <c r="T415" t="s">
        <v>128</v>
      </c>
      <c r="U415" t="s">
        <v>128</v>
      </c>
      <c r="V415" t="s">
        <v>128</v>
      </c>
      <c r="W415" s="3" t="str">
        <f>HYPERLINK("http://exon.niaid.nih.gov/transcriptome/Anopheles_sialome/links/netoglyc/anofun_30kDa-netoglyc.txt","23")</f>
        <v>23</v>
      </c>
      <c r="X415">
        <v>19.100000000000001</v>
      </c>
      <c r="Y415">
        <v>8.9</v>
      </c>
      <c r="Z415">
        <v>2.2999999999999998</v>
      </c>
      <c r="AA415" t="s">
        <v>654</v>
      </c>
      <c r="AB415" t="s">
        <v>128</v>
      </c>
      <c r="AC415" s="2" t="str">
        <f>HYPERLINK("http://exon.niaid.nih.gov/transcriptome/Anopheles_sialome/links/DIPTERA/anofun_30kDa-DIPTERA.txt","30 kDa salivary antigen family protein")</f>
        <v>30 kDa salivary antigen family protein</v>
      </c>
      <c r="AD415" t="str">
        <f>HYPERLINK("http://www.ncbi.nlm.nih.gov/sutils/blink.cgi?pid=114864639","1E-143")</f>
        <v>1E-143</v>
      </c>
      <c r="AE415" t="str">
        <f>HYPERLINK("http://www.ncbi.nlm.nih.gov/protein/114864639","gi|114864639")</f>
        <v>gi|114864639</v>
      </c>
      <c r="AF415">
        <v>99</v>
      </c>
      <c r="AG415">
        <v>99</v>
      </c>
      <c r="AH415">
        <v>100</v>
      </c>
      <c r="AI415" t="s">
        <v>2266</v>
      </c>
      <c r="AJ415" s="2" t="str">
        <f>HYPERLINK("http://exon.niaid.nih.gov/transcriptome/Anopheles_sialome/links/CULICOMORPHA/anofun_30kDa-CULICOMORPHA.txt","30 kDa salivary antigen family protein")</f>
        <v>30 kDa salivary antigen family protein</v>
      </c>
      <c r="AK415" t="str">
        <f>HYPERLINK("http://www.ncbi.nlm.nih.gov/sutils/blink.cgi?pid=114864639","1E-143")</f>
        <v>1E-143</v>
      </c>
      <c r="AL415" t="str">
        <f>HYPERLINK("http://www.ncbi.nlm.nih.gov/protein/114864639","gi|114864639")</f>
        <v>gi|114864639</v>
      </c>
      <c r="AM415">
        <v>99</v>
      </c>
      <c r="AN415">
        <v>99</v>
      </c>
      <c r="AO415">
        <v>100</v>
      </c>
      <c r="AP415" t="s">
        <v>2266</v>
      </c>
      <c r="AQ415" s="2" t="str">
        <f>HYPERLINK("http://exon.niaid.nih.gov/transcriptome/Anopheles_sialome/links/NR-LIGHT/anofun_30kDa-NR-LIGHT.txt","30 kDa salivary antigen family protein")</f>
        <v>30 kDa salivary antigen family protein</v>
      </c>
      <c r="AR415" t="str">
        <f>HYPERLINK("http://www.ncbi.nlm.nih.gov/sutils/blink.cgi?pid=114864639","1E-142")</f>
        <v>1E-142</v>
      </c>
      <c r="AS415" t="str">
        <f>HYPERLINK("http://www.ncbi.nlm.nih.gov/protein/114864639","gi|114864639")</f>
        <v>gi|114864639</v>
      </c>
      <c r="AT415">
        <v>99</v>
      </c>
      <c r="AU415">
        <v>99</v>
      </c>
      <c r="AV415">
        <v>100</v>
      </c>
      <c r="AW415" t="s">
        <v>2266</v>
      </c>
      <c r="AX415" s="2" t="str">
        <f>HYPERLINK("http://exon.niaid.nih.gov/transcriptome/Anopheles_sialome/links/CDD/anofun_30kDa-CDD.txt","retinal_rod")</f>
        <v>retinal_rod</v>
      </c>
      <c r="AY415" t="str">
        <f>HYPERLINK("http://www.ncbi.nlm.nih.gov/Structure/cdd/cddsrv.cgi?uid=TIGR00927&amp;version=v4.0","9E-006")</f>
        <v>9E-006</v>
      </c>
      <c r="AZ415" t="s">
        <v>2268</v>
      </c>
      <c r="BA415" s="2" t="str">
        <f>HYPERLINK("http://exon.niaid.nih.gov/transcriptome/Anopheles_sialome/links/KOG/anofun_30kDa-KOG.txt","HIV-1 Vpr-binding protein")</f>
        <v>HIV-1 Vpr-binding protein</v>
      </c>
      <c r="BB415" t="str">
        <f>HYPERLINK("http://www.ncbi.nlm.nih.gov/Structure/cdd/cddsrv.cgi?uid=KOG1832","4E-005")</f>
        <v>4E-005</v>
      </c>
      <c r="BC415" t="s">
        <v>2256</v>
      </c>
      <c r="BD415" t="str">
        <f>HYPERLINK("http://exon.niaid.nih.gov/transcriptome/Anopheles_sialome/links/KOG/anofun_30kDa-KOG.txt","KOG1832")</f>
        <v>KOG1832</v>
      </c>
      <c r="BE415" t="str">
        <f>HYPERLINK("http://exon.niaid.nih.gov/transcriptome/Anopheles_sialome/links/PFAM/anofun_30kDa-PFAM.txt","Herpes_LMP1")</f>
        <v>Herpes_LMP1</v>
      </c>
      <c r="BF415" t="str">
        <f>HYPERLINK("http://pfam.sanger.ac.uk/family?acc=PF05297","4E-004")</f>
        <v>4E-004</v>
      </c>
      <c r="BG415" s="2" t="str">
        <f>HYPERLINK("http://exon.niaid.nih.gov/transcriptome/Anopheles_sialome/links/SMART/anofun_30kDa-SMART.txt","Elp3")</f>
        <v>Elp3</v>
      </c>
      <c r="BH415" t="str">
        <f>HYPERLINK("http://smart.embl-heidelberg.de/smart/do_annotation.pl?DOMAIN=Elp3&amp;BLAST=DUMMY","1.2")</f>
        <v>1.2</v>
      </c>
      <c r="BI415" t="str">
        <f>HYPERLINK("http://exon.niaid.nih.gov/transcriptome/Anopheles_sialome/links/TICK-BLOCKS/anofun_30kDa-TICK-BLOCKS.txt","Aegyptin_stringent_pattern |Aegyptin_mosquito |Aegyptin_mosquito_stringent_pattern |Aegyptin_coxy |")</f>
        <v>Aegyptin_stringent_pattern |Aegyptin_mosquito |Aegyptin_mosquito_stringent_pattern |Aegyptin_coxy |</v>
      </c>
      <c r="BJ415" s="2" t="s">
        <v>2257</v>
      </c>
      <c r="BK415" t="s">
        <v>667</v>
      </c>
      <c r="BL415">
        <f>HYPERLINK("http://exon.niaid.nih.gov/transcriptome/Anopheles_sialome/links/cluster-b/anopheline-sialome-cds-pep-larger-orf25-50SimCLU10.txt", 10)</f>
        <v>10</v>
      </c>
      <c r="BM415">
        <f>HYPERLINK("http://exon.niaid.nih.gov/transcriptome/Anopheles_sialome/links/cluster-b/anopheline-sialome-cds-pep-larger-orf25-50SimCLTL10.txt", 19)</f>
        <v>19</v>
      </c>
      <c r="BN415">
        <f>HYPERLINK("http://exon.niaid.nih.gov/transcriptome/Anopheles_sialome/links/cluster-b/anopheline-sialome-cds-pep-larger-orf30-50SimCLU9.txt", 9)</f>
        <v>9</v>
      </c>
      <c r="BO415">
        <f>HYPERLINK("http://exon.niaid.nih.gov/transcriptome/Anopheles_sialome/links/cluster-b/anopheline-sialome-cds-pep-larger-orf30-50SimCLTL9.txt", 19)</f>
        <v>19</v>
      </c>
      <c r="BP415">
        <f>HYPERLINK("http://exon.niaid.nih.gov/transcriptome/Anopheles_sialome/links/cluster-b/anopheline-sialome-cds-pep-larger-orf35-50SimCLU11.txt", 11)</f>
        <v>11</v>
      </c>
      <c r="BQ415">
        <f>HYPERLINK("http://exon.niaid.nih.gov/transcriptome/Anopheles_sialome/links/cluster-b/anopheline-sialome-cds-pep-larger-orf35-50SimCLTL11.txt", 19)</f>
        <v>19</v>
      </c>
      <c r="BR415">
        <f>HYPERLINK("http://exon.niaid.nih.gov/transcriptome/Anopheles_sialome/links/cluster-b/anopheline-sialome-cds-pep-larger-orf40-50SimCLU12.txt", 12)</f>
        <v>12</v>
      </c>
      <c r="BS415">
        <f>HYPERLINK("http://exon.niaid.nih.gov/transcriptome/Anopheles_sialome/links/cluster-b/anopheline-sialome-cds-pep-larger-orf40-50SimCLTL12.txt", 19)</f>
        <v>19</v>
      </c>
      <c r="BT415">
        <f>HYPERLINK("http://exon.niaid.nih.gov/transcriptome/Anopheles_sialome/links/cluster-b/anopheline-sialome-cds-pep-larger-orf45-50SimCLU12.txt", 12)</f>
        <v>12</v>
      </c>
      <c r="BU415">
        <f>HYPERLINK("http://exon.niaid.nih.gov/transcriptome/Anopheles_sialome/links/cluster-b/anopheline-sialome-cds-pep-larger-orf45-50SimCLTL12.txt", 19)</f>
        <v>19</v>
      </c>
      <c r="BV415">
        <f>HYPERLINK("http://exon.niaid.nih.gov/transcriptome/Anopheles_sialome/links/cluster-b/anopheline-sialome-cds-pep-larger-orf50-50SimCLU12.txt", 12)</f>
        <v>12</v>
      </c>
      <c r="BW415">
        <f>HYPERLINK("http://exon.niaid.nih.gov/transcriptome/Anopheles_sialome/links/cluster-b/anopheline-sialome-cds-pep-larger-orf50-50SimCLTL12.txt", 19)</f>
        <v>19</v>
      </c>
      <c r="BX415">
        <f>HYPERLINK("http://exon.niaid.nih.gov/transcriptome/Anopheles_sialome/links/cluster-b/anopheline-sialome-cds-pep-larger-orf55-50SimCLU13.txt", 13)</f>
        <v>13</v>
      </c>
      <c r="BY415">
        <f>HYPERLINK("http://exon.niaid.nih.gov/transcriptome/Anopheles_sialome/links/cluster-b/anopheline-sialome-cds-pep-larger-orf55-50SimCLTL13.txt", 19)</f>
        <v>19</v>
      </c>
      <c r="BZ415">
        <f>HYPERLINK("http://exon.niaid.nih.gov/transcriptome/Anopheles_sialome/links/cluster-b/anopheline-sialome-cds-pep-larger-orf60-50SimCLU11.txt", 11)</f>
        <v>11</v>
      </c>
      <c r="CA415">
        <f>HYPERLINK("http://exon.niaid.nih.gov/transcriptome/Anopheles_sialome/links/cluster-b/anopheline-sialome-cds-pep-larger-orf60-50SimCLTL11.txt", 19)</f>
        <v>19</v>
      </c>
      <c r="CB415">
        <f>HYPERLINK("http://exon.niaid.nih.gov/transcriptome/Anopheles_sialome/links/cluster-b/anopheline-sialome-cds-pep-larger-orf65-50SimCLU8.txt", 8)</f>
        <v>8</v>
      </c>
      <c r="CC415">
        <f>HYPERLINK("http://exon.niaid.nih.gov/transcriptome/Anopheles_sialome/links/cluster-b/anopheline-sialome-cds-pep-larger-orf65-50SimCLTL8.txt", 19)</f>
        <v>19</v>
      </c>
      <c r="CD415">
        <f>HYPERLINK("http://exon.niaid.nih.gov/transcriptome/Anopheles_sialome/links/cluster-b/anopheline-sialome-cds-pep-larger-orf70-50SimCLU7.txt", 7)</f>
        <v>7</v>
      </c>
      <c r="CE415">
        <f>HYPERLINK("http://exon.niaid.nih.gov/transcriptome/Anopheles_sialome/links/cluster-b/anopheline-sialome-cds-pep-larger-orf70-50SimCLTL7.txt", 19)</f>
        <v>19</v>
      </c>
      <c r="CF415">
        <f>HYPERLINK("http://exon.niaid.nih.gov/transcriptome/Anopheles_sialome/links/cluster-b/anopheline-sialome-cds-pep-larger-orf75-50SimCLU16.txt", 16)</f>
        <v>16</v>
      </c>
      <c r="CG415">
        <f>HYPERLINK("http://exon.niaid.nih.gov/transcriptome/Anopheles_sialome/links/cluster-b/anopheline-sialome-cds-pep-larger-orf75-50SimCLTL16.txt", 16)</f>
        <v>16</v>
      </c>
      <c r="CH415">
        <f>HYPERLINK("http://exon.niaid.nih.gov/transcriptome/Anopheles_sialome/links/cluster-b/anopheline-sialome-cds-pep-larger-orf80-50SimCLU16.txt", 16)</f>
        <v>16</v>
      </c>
      <c r="CI415">
        <f>HYPERLINK("http://exon.niaid.nih.gov/transcriptome/Anopheles_sialome/links/cluster-b/anopheline-sialome-cds-pep-larger-orf80-50SimCLTL16.txt", 13)</f>
        <v>13</v>
      </c>
      <c r="CJ415">
        <v>110</v>
      </c>
      <c r="CK415">
        <v>1</v>
      </c>
      <c r="CL415">
        <v>98</v>
      </c>
      <c r="CM415">
        <v>1</v>
      </c>
      <c r="CN415">
        <v>72</v>
      </c>
      <c r="CO415">
        <v>1</v>
      </c>
    </row>
    <row r="416" spans="1:93">
      <c r="A416" s="2" t="str">
        <f>HYPERLINK("http://exon.niaid.nih.gov/transcriptome/Anopheles_sialome/links/cds/anomin_30kDa-cds.txt","anomin_30kDa")</f>
        <v>anomin_30kDa</v>
      </c>
      <c r="B416">
        <v>786</v>
      </c>
      <c r="C416" t="s">
        <v>15</v>
      </c>
      <c r="D416" t="s">
        <v>4</v>
      </c>
      <c r="E416" t="s">
        <v>5</v>
      </c>
      <c r="F416" t="s">
        <v>1</v>
      </c>
      <c r="G416" t="str">
        <f>HYPERLINK("http://exon.niaid.nih.gov/transcriptome/Anopheles_sialome/links/pep/anomin_30kDa-pep.txt","anomin_30kDa")</f>
        <v>anomin_30kDa</v>
      </c>
      <c r="H416">
        <v>261</v>
      </c>
      <c r="I416">
        <v>0</v>
      </c>
      <c r="J416" s="3" t="str">
        <f>HYPERLINK("http://exon.niaid.nih.gov/transcriptome/Anopheles_sialome/links/Sigp/anomin_30kDa-SigP.txt","SIG")</f>
        <v>SIG</v>
      </c>
      <c r="K416" t="s">
        <v>652</v>
      </c>
      <c r="L416">
        <v>28.233000000000001</v>
      </c>
      <c r="M416">
        <v>4.09</v>
      </c>
      <c r="N416">
        <v>26.204000000000001</v>
      </c>
      <c r="O416">
        <v>4.07</v>
      </c>
      <c r="P416" t="s">
        <v>670</v>
      </c>
      <c r="Q416" s="3">
        <v>0</v>
      </c>
      <c r="R416" t="s">
        <v>128</v>
      </c>
      <c r="S416" t="s">
        <v>128</v>
      </c>
      <c r="T416" t="s">
        <v>128</v>
      </c>
      <c r="U416" t="s">
        <v>128</v>
      </c>
      <c r="V416" t="s">
        <v>128</v>
      </c>
      <c r="W416" s="3" t="str">
        <f>HYPERLINK("http://exon.niaid.nih.gov/transcriptome/Anopheles_sialome/links/netoglyc/anomin_30kDa-netoglyc.txt","15")</f>
        <v>15</v>
      </c>
      <c r="X416">
        <v>14.6</v>
      </c>
      <c r="Y416">
        <v>10.7</v>
      </c>
      <c r="Z416">
        <v>1.9</v>
      </c>
      <c r="AA416" t="s">
        <v>654</v>
      </c>
      <c r="AB416" t="s">
        <v>128</v>
      </c>
      <c r="AC416" s="2" t="str">
        <f>HYPERLINK("http://exon.niaid.nih.gov/transcriptome/Anopheles_sialome/links/DIPTERA/anomin_30kDa-DIPTERA.txt","30 kDa salivary antigen family protein")</f>
        <v>30 kDa salivary antigen family protein</v>
      </c>
      <c r="AD416" t="str">
        <f>HYPERLINK("http://www.ncbi.nlm.nih.gov/sutils/blink.cgi?pid=114864639","1E-088")</f>
        <v>1E-088</v>
      </c>
      <c r="AE416" t="str">
        <f>HYPERLINK("http://www.ncbi.nlm.nih.gov/protein/114864639","gi|114864639")</f>
        <v>gi|114864639</v>
      </c>
      <c r="AF416">
        <v>64</v>
      </c>
      <c r="AG416">
        <v>73</v>
      </c>
      <c r="AH416">
        <v>107</v>
      </c>
      <c r="AI416" t="s">
        <v>2266</v>
      </c>
      <c r="AJ416" s="2" t="str">
        <f>HYPERLINK("http://exon.niaid.nih.gov/transcriptome/Anopheles_sialome/links/CULICOMORPHA/anomin_30kDa-CULICOMORPHA.txt","30 kDa salivary antigen family protein")</f>
        <v>30 kDa salivary antigen family protein</v>
      </c>
      <c r="AK416" t="str">
        <f>HYPERLINK("http://www.ncbi.nlm.nih.gov/sutils/blink.cgi?pid=114864639","2E-089")</f>
        <v>2E-089</v>
      </c>
      <c r="AL416" t="str">
        <f>HYPERLINK("http://www.ncbi.nlm.nih.gov/protein/114864639","gi|114864639")</f>
        <v>gi|114864639</v>
      </c>
      <c r="AM416">
        <v>64</v>
      </c>
      <c r="AN416">
        <v>73</v>
      </c>
      <c r="AO416">
        <v>107</v>
      </c>
      <c r="AP416" t="s">
        <v>2266</v>
      </c>
      <c r="AQ416" s="2" t="str">
        <f>HYPERLINK("http://exon.niaid.nih.gov/transcriptome/Anopheles_sialome/links/NR-LIGHT/anomin_30kDa-NR-LIGHT.txt","30 kDa salivary antigen family protein")</f>
        <v>30 kDa salivary antigen family protein</v>
      </c>
      <c r="AR416" t="str">
        <f>HYPERLINK("http://www.ncbi.nlm.nih.gov/sutils/blink.cgi?pid=114864639","2E-088")</f>
        <v>2E-088</v>
      </c>
      <c r="AS416" t="str">
        <f>HYPERLINK("http://www.ncbi.nlm.nih.gov/protein/114864639","gi|114864639")</f>
        <v>gi|114864639</v>
      </c>
      <c r="AT416">
        <v>64</v>
      </c>
      <c r="AU416">
        <v>73</v>
      </c>
      <c r="AV416">
        <v>107</v>
      </c>
      <c r="AW416" t="s">
        <v>2266</v>
      </c>
      <c r="AX416" s="2" t="str">
        <f>HYPERLINK("http://exon.niaid.nih.gov/transcriptome/Anopheles_sialome/links/CDD/anomin_30kDa-CDD.txt","retinal_rod")</f>
        <v>retinal_rod</v>
      </c>
      <c r="AY416" t="str">
        <f>HYPERLINK("http://www.ncbi.nlm.nih.gov/Structure/cdd/cddsrv.cgi?uid=TIGR00927&amp;version=v4.0","2E-008")</f>
        <v>2E-008</v>
      </c>
      <c r="AZ416" t="s">
        <v>2269</v>
      </c>
      <c r="BA416" s="2" t="str">
        <f>HYPERLINK("http://exon.niaid.nih.gov/transcriptome/Anopheles_sialome/links/KOG/anomin_30kDa-KOG.txt","HIV-1 Vpr-binding protein")</f>
        <v>HIV-1 Vpr-binding protein</v>
      </c>
      <c r="BB416" t="str">
        <f>HYPERLINK("http://www.ncbi.nlm.nih.gov/Structure/cdd/cddsrv.cgi?uid=KOG1832","7E-005")</f>
        <v>7E-005</v>
      </c>
      <c r="BC416" t="s">
        <v>2256</v>
      </c>
      <c r="BD416" t="str">
        <f>HYPERLINK("http://exon.niaid.nih.gov/transcriptome/Anopheles_sialome/links/KOG/anomin_30kDa-KOG.txt","KOG1832")</f>
        <v>KOG1832</v>
      </c>
      <c r="BE416" t="str">
        <f>HYPERLINK("http://exon.niaid.nih.gov/transcriptome/Anopheles_sialome/links/PFAM/anomin_30kDa-PFAM.txt","Nop14")</f>
        <v>Nop14</v>
      </c>
      <c r="BF416" t="str">
        <f>HYPERLINK("http://pfam.sanger.ac.uk/family?acc=PF04147","2E-004")</f>
        <v>2E-004</v>
      </c>
      <c r="BG416" s="2" t="str">
        <f>HYPERLINK("http://exon.niaid.nih.gov/transcriptome/Anopheles_sialome/links/SMART/anomin_30kDa-SMART.txt","Tubulin")</f>
        <v>Tubulin</v>
      </c>
      <c r="BH416" t="str">
        <f>HYPERLINK("http://smart.embl-heidelberg.de/smart/do_annotation.pl?DOMAIN=Tubulin&amp;BLAST=DUMMY","3.0")</f>
        <v>3.0</v>
      </c>
      <c r="BI416" t="str">
        <f>HYPERLINK("http://exon.niaid.nih.gov/transcriptome/Anopheles_sialome/links/TICK-BLOCKS/anomin_30kDa-TICK-BLOCKS.txt","Aegyptin_stringent_pattern |Aegyptin_mosquito |Aegyptin_mosquito_stringent_pattern |Aegyptin_coxy |")</f>
        <v>Aegyptin_stringent_pattern |Aegyptin_mosquito |Aegyptin_mosquito_stringent_pattern |Aegyptin_coxy |</v>
      </c>
      <c r="BJ416" s="2" t="s">
        <v>2257</v>
      </c>
      <c r="BK416" t="s">
        <v>669</v>
      </c>
      <c r="BL416">
        <f>HYPERLINK("http://exon.niaid.nih.gov/transcriptome/Anopheles_sialome/links/cluster-b/anopheline-sialome-cds-pep-larger-orf25-50SimCLU10.txt", 10)</f>
        <v>10</v>
      </c>
      <c r="BM416">
        <f>HYPERLINK("http://exon.niaid.nih.gov/transcriptome/Anopheles_sialome/links/cluster-b/anopheline-sialome-cds-pep-larger-orf25-50SimCLTL10.txt", 19)</f>
        <v>19</v>
      </c>
      <c r="BN416">
        <f>HYPERLINK("http://exon.niaid.nih.gov/transcriptome/Anopheles_sialome/links/cluster-b/anopheline-sialome-cds-pep-larger-orf30-50SimCLU9.txt", 9)</f>
        <v>9</v>
      </c>
      <c r="BO416">
        <f>HYPERLINK("http://exon.niaid.nih.gov/transcriptome/Anopheles_sialome/links/cluster-b/anopheline-sialome-cds-pep-larger-orf30-50SimCLTL9.txt", 19)</f>
        <v>19</v>
      </c>
      <c r="BP416">
        <f>HYPERLINK("http://exon.niaid.nih.gov/transcriptome/Anopheles_sialome/links/cluster-b/anopheline-sialome-cds-pep-larger-orf35-50SimCLU11.txt", 11)</f>
        <v>11</v>
      </c>
      <c r="BQ416">
        <f>HYPERLINK("http://exon.niaid.nih.gov/transcriptome/Anopheles_sialome/links/cluster-b/anopheline-sialome-cds-pep-larger-orf35-50SimCLTL11.txt", 19)</f>
        <v>19</v>
      </c>
      <c r="BR416">
        <f>HYPERLINK("http://exon.niaid.nih.gov/transcriptome/Anopheles_sialome/links/cluster-b/anopheline-sialome-cds-pep-larger-orf40-50SimCLU12.txt", 12)</f>
        <v>12</v>
      </c>
      <c r="BS416">
        <f>HYPERLINK("http://exon.niaid.nih.gov/transcriptome/Anopheles_sialome/links/cluster-b/anopheline-sialome-cds-pep-larger-orf40-50SimCLTL12.txt", 19)</f>
        <v>19</v>
      </c>
      <c r="BT416">
        <f>HYPERLINK("http://exon.niaid.nih.gov/transcriptome/Anopheles_sialome/links/cluster-b/anopheline-sialome-cds-pep-larger-orf45-50SimCLU12.txt", 12)</f>
        <v>12</v>
      </c>
      <c r="BU416">
        <f>HYPERLINK("http://exon.niaid.nih.gov/transcriptome/Anopheles_sialome/links/cluster-b/anopheline-sialome-cds-pep-larger-orf45-50SimCLTL12.txt", 19)</f>
        <v>19</v>
      </c>
      <c r="BV416">
        <f>HYPERLINK("http://exon.niaid.nih.gov/transcriptome/Anopheles_sialome/links/cluster-b/anopheline-sialome-cds-pep-larger-orf50-50SimCLU12.txt", 12)</f>
        <v>12</v>
      </c>
      <c r="BW416">
        <f>HYPERLINK("http://exon.niaid.nih.gov/transcriptome/Anopheles_sialome/links/cluster-b/anopheline-sialome-cds-pep-larger-orf50-50SimCLTL12.txt", 19)</f>
        <v>19</v>
      </c>
      <c r="BX416">
        <f>HYPERLINK("http://exon.niaid.nih.gov/transcriptome/Anopheles_sialome/links/cluster-b/anopheline-sialome-cds-pep-larger-orf55-50SimCLU13.txt", 13)</f>
        <v>13</v>
      </c>
      <c r="BY416">
        <f>HYPERLINK("http://exon.niaid.nih.gov/transcriptome/Anopheles_sialome/links/cluster-b/anopheline-sialome-cds-pep-larger-orf55-50SimCLTL13.txt", 19)</f>
        <v>19</v>
      </c>
      <c r="BZ416">
        <f>HYPERLINK("http://exon.niaid.nih.gov/transcriptome/Anopheles_sialome/links/cluster-b/anopheline-sialome-cds-pep-larger-orf60-50SimCLU11.txt", 11)</f>
        <v>11</v>
      </c>
      <c r="CA416">
        <f>HYPERLINK("http://exon.niaid.nih.gov/transcriptome/Anopheles_sialome/links/cluster-b/anopheline-sialome-cds-pep-larger-orf60-50SimCLTL11.txt", 19)</f>
        <v>19</v>
      </c>
      <c r="CB416">
        <f>HYPERLINK("http://exon.niaid.nih.gov/transcriptome/Anopheles_sialome/links/cluster-b/anopheline-sialome-cds-pep-larger-orf65-50SimCLU8.txt", 8)</f>
        <v>8</v>
      </c>
      <c r="CC416">
        <f>HYPERLINK("http://exon.niaid.nih.gov/transcriptome/Anopheles_sialome/links/cluster-b/anopheline-sialome-cds-pep-larger-orf65-50SimCLTL8.txt", 19)</f>
        <v>19</v>
      </c>
      <c r="CD416">
        <f>HYPERLINK("http://exon.niaid.nih.gov/transcriptome/Anopheles_sialome/links/cluster-b/anopheline-sialome-cds-pep-larger-orf70-50SimCLU7.txt", 7)</f>
        <v>7</v>
      </c>
      <c r="CE416">
        <f>HYPERLINK("http://exon.niaid.nih.gov/transcriptome/Anopheles_sialome/links/cluster-b/anopheline-sialome-cds-pep-larger-orf70-50SimCLTL7.txt", 19)</f>
        <v>19</v>
      </c>
      <c r="CF416">
        <f>HYPERLINK("http://exon.niaid.nih.gov/transcriptome/Anopheles_sialome/links/cluster-b/anopheline-sialome-cds-pep-larger-orf75-50SimCLU16.txt", 16)</f>
        <v>16</v>
      </c>
      <c r="CG416">
        <f>HYPERLINK("http://exon.niaid.nih.gov/transcriptome/Anopheles_sialome/links/cluster-b/anopheline-sialome-cds-pep-larger-orf75-50SimCLTL16.txt", 16)</f>
        <v>16</v>
      </c>
      <c r="CH416">
        <f>HYPERLINK("http://exon.niaid.nih.gov/transcriptome/Anopheles_sialome/links/cluster-b/anopheline-sialome-cds-pep-larger-orf80-50SimCLU16.txt", 16)</f>
        <v>16</v>
      </c>
      <c r="CI416">
        <f>HYPERLINK("http://exon.niaid.nih.gov/transcriptome/Anopheles_sialome/links/cluster-b/anopheline-sialome-cds-pep-larger-orf80-50SimCLTL16.txt", 13)</f>
        <v>13</v>
      </c>
      <c r="CJ416">
        <v>111</v>
      </c>
      <c r="CK416">
        <v>1</v>
      </c>
      <c r="CL416">
        <v>99</v>
      </c>
      <c r="CM416">
        <v>1</v>
      </c>
      <c r="CN416">
        <v>73</v>
      </c>
      <c r="CO416">
        <v>1</v>
      </c>
    </row>
    <row r="417" spans="1:93">
      <c r="A417" s="2" t="str">
        <f>HYPERLINK("http://exon.niaid.nih.gov/transcriptome/Anopheles_sialome/links/cds/anocul_30kDa-cds.txt","anocul_30kDa")</f>
        <v>anocul_30kDa</v>
      </c>
      <c r="B417">
        <v>765</v>
      </c>
      <c r="C417" t="s">
        <v>16</v>
      </c>
      <c r="D417" t="s">
        <v>4</v>
      </c>
      <c r="E417" t="s">
        <v>5</v>
      </c>
      <c r="F417" t="s">
        <v>1</v>
      </c>
      <c r="G417" t="str">
        <f>HYPERLINK("http://exon.niaid.nih.gov/transcriptome/Anopheles_sialome/links/pep/anocul_30kDa-pep.txt","anocul_30kDa")</f>
        <v>anocul_30kDa</v>
      </c>
      <c r="H417">
        <v>254</v>
      </c>
      <c r="I417">
        <v>0</v>
      </c>
      <c r="J417" s="3" t="str">
        <f>HYPERLINK("http://exon.niaid.nih.gov/transcriptome/Anopheles_sialome/links/Sigp/anocul_30kDa-SigP.txt","SIG")</f>
        <v>SIG</v>
      </c>
      <c r="K417" t="s">
        <v>652</v>
      </c>
      <c r="L417">
        <v>27.768000000000001</v>
      </c>
      <c r="M417">
        <v>4.2300000000000004</v>
      </c>
      <c r="N417">
        <v>25.815000000000001</v>
      </c>
      <c r="O417">
        <v>4.2</v>
      </c>
      <c r="P417" t="s">
        <v>672</v>
      </c>
      <c r="Q417" s="3">
        <v>0</v>
      </c>
      <c r="R417" t="s">
        <v>128</v>
      </c>
      <c r="S417" t="s">
        <v>128</v>
      </c>
      <c r="T417" t="s">
        <v>128</v>
      </c>
      <c r="U417" t="s">
        <v>128</v>
      </c>
      <c r="V417" t="s">
        <v>128</v>
      </c>
      <c r="W417" s="3" t="str">
        <f>HYPERLINK("http://exon.niaid.nih.gov/transcriptome/Anopheles_sialome/links/netoglyc/anocul_30kDa-netoglyc.txt","10")</f>
        <v>10</v>
      </c>
      <c r="X417">
        <v>15.7</v>
      </c>
      <c r="Y417">
        <v>9.1</v>
      </c>
      <c r="Z417">
        <v>1.6</v>
      </c>
      <c r="AA417" t="s">
        <v>654</v>
      </c>
      <c r="AB417" t="s">
        <v>128</v>
      </c>
      <c r="AC417" s="2" t="str">
        <f>HYPERLINK("http://exon.niaid.nih.gov/transcriptome/Anopheles_sialome/links/DIPTERA/anocul_30kDa-DIPTERA.txt","30 kDa salivary antigen family protein")</f>
        <v>30 kDa salivary antigen family protein</v>
      </c>
      <c r="AD417" t="str">
        <f>HYPERLINK("http://www.ncbi.nlm.nih.gov/sutils/blink.cgi?pid=114864639","2E-087")</f>
        <v>2E-087</v>
      </c>
      <c r="AE417" t="str">
        <f>HYPERLINK("http://www.ncbi.nlm.nih.gov/protein/114864639","gi|114864639")</f>
        <v>gi|114864639</v>
      </c>
      <c r="AF417">
        <v>66</v>
      </c>
      <c r="AG417">
        <v>80</v>
      </c>
      <c r="AH417">
        <v>102</v>
      </c>
      <c r="AI417" t="s">
        <v>2266</v>
      </c>
      <c r="AJ417" s="2" t="str">
        <f>HYPERLINK("http://exon.niaid.nih.gov/transcriptome/Anopheles_sialome/links/CULICOMORPHA/anocul_30kDa-CULICOMORPHA.txt","30 kDa salivary antigen family protein")</f>
        <v>30 kDa salivary antigen family protein</v>
      </c>
      <c r="AK417" t="str">
        <f>HYPERLINK("http://www.ncbi.nlm.nih.gov/sutils/blink.cgi?pid=114864639","3E-088")</f>
        <v>3E-088</v>
      </c>
      <c r="AL417" t="str">
        <f>HYPERLINK("http://www.ncbi.nlm.nih.gov/protein/114864639","gi|114864639")</f>
        <v>gi|114864639</v>
      </c>
      <c r="AM417">
        <v>66</v>
      </c>
      <c r="AN417">
        <v>80</v>
      </c>
      <c r="AO417">
        <v>102</v>
      </c>
      <c r="AP417" t="s">
        <v>2266</v>
      </c>
      <c r="AQ417" s="2" t="str">
        <f>HYPERLINK("http://exon.niaid.nih.gov/transcriptome/Anopheles_sialome/links/NR-LIGHT/anocul_30kDa-NR-LIGHT.txt","30 kDa salivary antigen family protein")</f>
        <v>30 kDa salivary antigen family protein</v>
      </c>
      <c r="AR417" t="str">
        <f>HYPERLINK("http://www.ncbi.nlm.nih.gov/sutils/blink.cgi?pid=114864639","4E-087")</f>
        <v>4E-087</v>
      </c>
      <c r="AS417" t="str">
        <f>HYPERLINK("http://www.ncbi.nlm.nih.gov/protein/114864639","gi|114864639")</f>
        <v>gi|114864639</v>
      </c>
      <c r="AT417">
        <v>66</v>
      </c>
      <c r="AU417">
        <v>80</v>
      </c>
      <c r="AV417">
        <v>102</v>
      </c>
      <c r="AW417" t="s">
        <v>2266</v>
      </c>
      <c r="AX417" s="2" t="str">
        <f>HYPERLINK("http://exon.niaid.nih.gov/transcriptome/Anopheles_sialome/links/CDD/anocul_30kDa-CDD.txt","retinal_rod")</f>
        <v>retinal_rod</v>
      </c>
      <c r="AY417" t="str">
        <f>HYPERLINK("http://www.ncbi.nlm.nih.gov/Structure/cdd/cddsrv.cgi?uid=TIGR00927&amp;version=v4.0","6E-007")</f>
        <v>6E-007</v>
      </c>
      <c r="AZ417" t="s">
        <v>2270</v>
      </c>
      <c r="BA417" s="2" t="str">
        <f>HYPERLINK("http://exon.niaid.nih.gov/transcriptome/Anopheles_sialome/links/KOG/anocul_30kDa-KOG.txt","HIV-1 Vpr-binding protein")</f>
        <v>HIV-1 Vpr-binding protein</v>
      </c>
      <c r="BB417" t="str">
        <f>HYPERLINK("http://www.ncbi.nlm.nih.gov/Structure/cdd/cddsrv.cgi?uid=KOG1832","6E-006")</f>
        <v>6E-006</v>
      </c>
      <c r="BC417" t="s">
        <v>2256</v>
      </c>
      <c r="BD417" t="str">
        <f>HYPERLINK("http://exon.niaid.nih.gov/transcriptome/Anopheles_sialome/links/KOG/anocul_30kDa-KOG.txt","KOG1832")</f>
        <v>KOG1832</v>
      </c>
      <c r="BE417" t="str">
        <f>HYPERLINK("http://exon.niaid.nih.gov/transcriptome/Anopheles_sialome/links/PFAM/anocul_30kDa-PFAM.txt","Nop14")</f>
        <v>Nop14</v>
      </c>
      <c r="BF417" t="str">
        <f>HYPERLINK("http://pfam.sanger.ac.uk/family?acc=PF04147","4E-004")</f>
        <v>4E-004</v>
      </c>
      <c r="BG417" s="2" t="str">
        <f>HYPERLINK("http://exon.niaid.nih.gov/transcriptome/Anopheles_sialome/links/SMART/anocul_30kDa-SMART.txt","ALBUMIN")</f>
        <v>ALBUMIN</v>
      </c>
      <c r="BH417" t="str">
        <f>HYPERLINK("http://smart.embl-heidelberg.de/smart/do_annotation.pl?DOMAIN=ALBUMIN&amp;BLAST=DUMMY","1.6")</f>
        <v>1.6</v>
      </c>
      <c r="BI417" t="str">
        <f>HYPERLINK("http://exon.niaid.nih.gov/transcriptome/Anopheles_sialome/links/TICK-BLOCKS/anocul_30kDa-TICK-BLOCKS.txt","Aegyptin_stringent_pattern |Aegyptin_mosquito |Aegyptin_mosquito_stringent_pattern |Aegyptin_coxy |")</f>
        <v>Aegyptin_stringent_pattern |Aegyptin_mosquito |Aegyptin_mosquito_stringent_pattern |Aegyptin_coxy |</v>
      </c>
      <c r="BJ417" s="2" t="s">
        <v>2257</v>
      </c>
      <c r="BK417" t="s">
        <v>671</v>
      </c>
      <c r="BL417">
        <f>HYPERLINK("http://exon.niaid.nih.gov/transcriptome/Anopheles_sialome/links/cluster-b/anopheline-sialome-cds-pep-larger-orf25-50SimCLU10.txt", 10)</f>
        <v>10</v>
      </c>
      <c r="BM417">
        <f>HYPERLINK("http://exon.niaid.nih.gov/transcriptome/Anopheles_sialome/links/cluster-b/anopheline-sialome-cds-pep-larger-orf25-50SimCLTL10.txt", 19)</f>
        <v>19</v>
      </c>
      <c r="BN417">
        <f>HYPERLINK("http://exon.niaid.nih.gov/transcriptome/Anopheles_sialome/links/cluster-b/anopheline-sialome-cds-pep-larger-orf30-50SimCLU9.txt", 9)</f>
        <v>9</v>
      </c>
      <c r="BO417">
        <f>HYPERLINK("http://exon.niaid.nih.gov/transcriptome/Anopheles_sialome/links/cluster-b/anopheline-sialome-cds-pep-larger-orf30-50SimCLTL9.txt", 19)</f>
        <v>19</v>
      </c>
      <c r="BP417">
        <f>HYPERLINK("http://exon.niaid.nih.gov/transcriptome/Anopheles_sialome/links/cluster-b/anopheline-sialome-cds-pep-larger-orf35-50SimCLU11.txt", 11)</f>
        <v>11</v>
      </c>
      <c r="BQ417">
        <f>HYPERLINK("http://exon.niaid.nih.gov/transcriptome/Anopheles_sialome/links/cluster-b/anopheline-sialome-cds-pep-larger-orf35-50SimCLTL11.txt", 19)</f>
        <v>19</v>
      </c>
      <c r="BR417">
        <f>HYPERLINK("http://exon.niaid.nih.gov/transcriptome/Anopheles_sialome/links/cluster-b/anopheline-sialome-cds-pep-larger-orf40-50SimCLU12.txt", 12)</f>
        <v>12</v>
      </c>
      <c r="BS417">
        <f>HYPERLINK("http://exon.niaid.nih.gov/transcriptome/Anopheles_sialome/links/cluster-b/anopheline-sialome-cds-pep-larger-orf40-50SimCLTL12.txt", 19)</f>
        <v>19</v>
      </c>
      <c r="BT417">
        <f>HYPERLINK("http://exon.niaid.nih.gov/transcriptome/Anopheles_sialome/links/cluster-b/anopheline-sialome-cds-pep-larger-orf45-50SimCLU12.txt", 12)</f>
        <v>12</v>
      </c>
      <c r="BU417">
        <f>HYPERLINK("http://exon.niaid.nih.gov/transcriptome/Anopheles_sialome/links/cluster-b/anopheline-sialome-cds-pep-larger-orf45-50SimCLTL12.txt", 19)</f>
        <v>19</v>
      </c>
      <c r="BV417">
        <f>HYPERLINK("http://exon.niaid.nih.gov/transcriptome/Anopheles_sialome/links/cluster-b/anopheline-sialome-cds-pep-larger-orf50-50SimCLU12.txt", 12)</f>
        <v>12</v>
      </c>
      <c r="BW417">
        <f>HYPERLINK("http://exon.niaid.nih.gov/transcriptome/Anopheles_sialome/links/cluster-b/anopheline-sialome-cds-pep-larger-orf50-50SimCLTL12.txt", 19)</f>
        <v>19</v>
      </c>
      <c r="BX417">
        <f>HYPERLINK("http://exon.niaid.nih.gov/transcriptome/Anopheles_sialome/links/cluster-b/anopheline-sialome-cds-pep-larger-orf55-50SimCLU13.txt", 13)</f>
        <v>13</v>
      </c>
      <c r="BY417">
        <f>HYPERLINK("http://exon.niaid.nih.gov/transcriptome/Anopheles_sialome/links/cluster-b/anopheline-sialome-cds-pep-larger-orf55-50SimCLTL13.txt", 19)</f>
        <v>19</v>
      </c>
      <c r="BZ417">
        <f>HYPERLINK("http://exon.niaid.nih.gov/transcriptome/Anopheles_sialome/links/cluster-b/anopheline-sialome-cds-pep-larger-orf60-50SimCLU11.txt", 11)</f>
        <v>11</v>
      </c>
      <c r="CA417">
        <f>HYPERLINK("http://exon.niaid.nih.gov/transcriptome/Anopheles_sialome/links/cluster-b/anopheline-sialome-cds-pep-larger-orf60-50SimCLTL11.txt", 19)</f>
        <v>19</v>
      </c>
      <c r="CB417">
        <f>HYPERLINK("http://exon.niaid.nih.gov/transcriptome/Anopheles_sialome/links/cluster-b/anopheline-sialome-cds-pep-larger-orf65-50SimCLU8.txt", 8)</f>
        <v>8</v>
      </c>
      <c r="CC417">
        <f>HYPERLINK("http://exon.niaid.nih.gov/transcriptome/Anopheles_sialome/links/cluster-b/anopheline-sialome-cds-pep-larger-orf65-50SimCLTL8.txt", 19)</f>
        <v>19</v>
      </c>
      <c r="CD417">
        <f>HYPERLINK("http://exon.niaid.nih.gov/transcriptome/Anopheles_sialome/links/cluster-b/anopheline-sialome-cds-pep-larger-orf70-50SimCLU7.txt", 7)</f>
        <v>7</v>
      </c>
      <c r="CE417">
        <f>HYPERLINK("http://exon.niaid.nih.gov/transcriptome/Anopheles_sialome/links/cluster-b/anopheline-sialome-cds-pep-larger-orf70-50SimCLTL7.txt", 19)</f>
        <v>19</v>
      </c>
      <c r="CF417">
        <f>HYPERLINK("http://exon.niaid.nih.gov/transcriptome/Anopheles_sialome/links/cluster-b/anopheline-sialome-cds-pep-larger-orf75-50SimCLU16.txt", 16)</f>
        <v>16</v>
      </c>
      <c r="CG417">
        <f>HYPERLINK("http://exon.niaid.nih.gov/transcriptome/Anopheles_sialome/links/cluster-b/anopheline-sialome-cds-pep-larger-orf75-50SimCLTL16.txt", 16)</f>
        <v>16</v>
      </c>
      <c r="CH417">
        <f>HYPERLINK("http://exon.niaid.nih.gov/transcriptome/Anopheles_sialome/links/cluster-b/anopheline-sialome-cds-pep-larger-orf80-50SimCLU16.txt", 16)</f>
        <v>16</v>
      </c>
      <c r="CI417">
        <f>HYPERLINK("http://exon.niaid.nih.gov/transcriptome/Anopheles_sialome/links/cluster-b/anopheline-sialome-cds-pep-larger-orf80-50SimCLTL16.txt", 13)</f>
        <v>13</v>
      </c>
      <c r="CJ417">
        <v>112</v>
      </c>
      <c r="CK417">
        <v>1</v>
      </c>
      <c r="CL417">
        <v>100</v>
      </c>
      <c r="CM417">
        <v>1</v>
      </c>
      <c r="CN417">
        <v>74</v>
      </c>
      <c r="CO417">
        <v>1</v>
      </c>
    </row>
    <row r="418" spans="1:93">
      <c r="A418" s="2" t="str">
        <f>HYPERLINK("http://exon.niaid.nih.gov/transcriptome/Anopheles_sialome/links/cds/anoste_30kDa-cds.txt","anoste_30kDa")</f>
        <v>anoste_30kDa</v>
      </c>
      <c r="B418">
        <v>774</v>
      </c>
      <c r="C418" t="s">
        <v>17</v>
      </c>
      <c r="D418" t="s">
        <v>4</v>
      </c>
      <c r="E418" t="s">
        <v>5</v>
      </c>
      <c r="F418" t="s">
        <v>1</v>
      </c>
      <c r="G418" t="str">
        <f>HYPERLINK("http://exon.niaid.nih.gov/transcriptome/Anopheles_sialome/links/pep/anoste_30kDa-pep.txt","anoste_30kDa")</f>
        <v>anoste_30kDa</v>
      </c>
      <c r="H418">
        <v>257</v>
      </c>
      <c r="I418">
        <v>0</v>
      </c>
      <c r="J418" s="3" t="str">
        <f>HYPERLINK("http://exon.niaid.nih.gov/transcriptome/Anopheles_sialome/links/Sigp/anoste_30kDa-SigP.txt","SIG")</f>
        <v>SIG</v>
      </c>
      <c r="K418" t="s">
        <v>652</v>
      </c>
      <c r="L418">
        <v>27.326000000000001</v>
      </c>
      <c r="M418">
        <v>4.0599999999999996</v>
      </c>
      <c r="N418">
        <v>25.361000000000001</v>
      </c>
      <c r="O418">
        <v>4.03</v>
      </c>
      <c r="P418" t="s">
        <v>674</v>
      </c>
      <c r="Q418" s="3">
        <v>0</v>
      </c>
      <c r="R418" t="s">
        <v>128</v>
      </c>
      <c r="S418" t="s">
        <v>128</v>
      </c>
      <c r="T418" t="s">
        <v>128</v>
      </c>
      <c r="U418" t="s">
        <v>128</v>
      </c>
      <c r="V418" t="s">
        <v>128</v>
      </c>
      <c r="W418" s="3" t="str">
        <f>HYPERLINK("http://exon.niaid.nih.gov/transcriptome/Anopheles_sialome/links/netoglyc/anoste_30kDa-netoglyc.txt","18")</f>
        <v>18</v>
      </c>
      <c r="X418">
        <v>16.3</v>
      </c>
      <c r="Y418">
        <v>12.5</v>
      </c>
      <c r="Z418">
        <v>1.6</v>
      </c>
      <c r="AA418" t="s">
        <v>654</v>
      </c>
      <c r="AB418" t="s">
        <v>128</v>
      </c>
      <c r="AC418" s="2" t="str">
        <f>HYPERLINK("http://exon.niaid.nih.gov/transcriptome/Anopheles_sialome/links/DIPTERA/anoste_30kDa-DIPTERA.txt","GE rich salivary gland protein")</f>
        <v>GE rich salivary gland protein</v>
      </c>
      <c r="AD418" t="str">
        <f>HYPERLINK("http://www.ncbi.nlm.nih.gov/sutils/blink.cgi?pid=37201975","1E-137")</f>
        <v>1E-137</v>
      </c>
      <c r="AE418" t="str">
        <f>HYPERLINK("http://www.ncbi.nlm.nih.gov/protein/37201975","gi|37201975")</f>
        <v>gi|37201975</v>
      </c>
      <c r="AF418">
        <v>93</v>
      </c>
      <c r="AG418">
        <v>94</v>
      </c>
      <c r="AH418">
        <v>100</v>
      </c>
      <c r="AI418" t="s">
        <v>2271</v>
      </c>
      <c r="AJ418" s="2" t="str">
        <f>HYPERLINK("http://exon.niaid.nih.gov/transcriptome/Anopheles_sialome/links/CULICOMORPHA/anoste_30kDa-CULICOMORPHA.txt","GE rich salivary gland protein")</f>
        <v>GE rich salivary gland protein</v>
      </c>
      <c r="AK418" t="str">
        <f>HYPERLINK("http://www.ncbi.nlm.nih.gov/sutils/blink.cgi?pid=37201975","1E-138")</f>
        <v>1E-138</v>
      </c>
      <c r="AL418" t="str">
        <f>HYPERLINK("http://www.ncbi.nlm.nih.gov/protein/37201975","gi|37201975")</f>
        <v>gi|37201975</v>
      </c>
      <c r="AM418">
        <v>93</v>
      </c>
      <c r="AN418">
        <v>94</v>
      </c>
      <c r="AO418">
        <v>100</v>
      </c>
      <c r="AP418" t="s">
        <v>2271</v>
      </c>
      <c r="AQ418" s="2" t="str">
        <f>HYPERLINK("http://exon.niaid.nih.gov/transcriptome/Anopheles_sialome/links/NR-LIGHT/anoste_30kDa-NR-LIGHT.txt","GE rich salivary gland protein")</f>
        <v>GE rich salivary gland protein</v>
      </c>
      <c r="AR418" t="str">
        <f>HYPERLINK("http://www.ncbi.nlm.nih.gov/sutils/blink.cgi?pid=37201975","1E-137")</f>
        <v>1E-137</v>
      </c>
      <c r="AS418" t="str">
        <f>HYPERLINK("http://www.ncbi.nlm.nih.gov/protein/37201975","gi|37201975")</f>
        <v>gi|37201975</v>
      </c>
      <c r="AT418">
        <v>93</v>
      </c>
      <c r="AU418">
        <v>94</v>
      </c>
      <c r="AV418">
        <v>100</v>
      </c>
      <c r="AW418" t="s">
        <v>2271</v>
      </c>
      <c r="AX418" s="2" t="str">
        <f>HYPERLINK("http://exon.niaid.nih.gov/transcriptome/Anopheles_sialome/links/CDD/anoste_30kDa-CDD.txt","PHA03169")</f>
        <v>PHA03169</v>
      </c>
      <c r="AY418" t="str">
        <f>HYPERLINK("http://www.ncbi.nlm.nih.gov/Structure/cdd/cddsrv.cgi?uid=PHA03169&amp;version=v4.0","2E-006")</f>
        <v>2E-006</v>
      </c>
      <c r="AZ418" t="s">
        <v>2272</v>
      </c>
      <c r="BA418" s="2" t="str">
        <f>HYPERLINK("http://exon.niaid.nih.gov/transcriptome/Anopheles_sialome/links/KOG/anoste_30kDa-KOG.txt","HIV-1 Vpr-binding protein")</f>
        <v>HIV-1 Vpr-binding protein</v>
      </c>
      <c r="BB418" t="str">
        <f>HYPERLINK("http://www.ncbi.nlm.nih.gov/Structure/cdd/cddsrv.cgi?uid=KOG1832","1E-006")</f>
        <v>1E-006</v>
      </c>
      <c r="BC418" t="s">
        <v>2256</v>
      </c>
      <c r="BD418" t="str">
        <f>HYPERLINK("http://exon.niaid.nih.gov/transcriptome/Anopheles_sialome/links/KOG/anoste_30kDa-KOG.txt","KOG1832")</f>
        <v>KOG1832</v>
      </c>
      <c r="BE418" t="str">
        <f>HYPERLINK("http://exon.niaid.nih.gov/transcriptome/Anopheles_sialome/links/PFAM/anoste_30kDa-PFAM.txt","Collagen")</f>
        <v>Collagen</v>
      </c>
      <c r="BF418" t="str">
        <f>HYPERLINK("http://pfam.sanger.ac.uk/family?acc=PF01391","6E-007")</f>
        <v>6E-007</v>
      </c>
      <c r="BG418" s="2" t="str">
        <f>HYPERLINK("http://exon.niaid.nih.gov/transcriptome/Anopheles_sialome/links/SMART/anoste_30kDa-SMART.txt","BRO1")</f>
        <v>BRO1</v>
      </c>
      <c r="BH418" t="str">
        <f>HYPERLINK("http://smart.embl-heidelberg.de/smart/do_annotation.pl?DOMAIN=BRO1&amp;BLAST=DUMMY","0.017")</f>
        <v>0.017</v>
      </c>
      <c r="BI418" t="str">
        <f>HYPERLINK("http://exon.niaid.nih.gov/transcriptome/Anopheles_sialome/links/TICK-BLOCKS/anoste_30kDa-TICK-BLOCKS.txt","Aegyptin_stringent_pattern |Aegyptin_mosquito |Aegyptin_mosquito_stringent_pattern |Aegyptin_coxy |")</f>
        <v>Aegyptin_stringent_pattern |Aegyptin_mosquito |Aegyptin_mosquito_stringent_pattern |Aegyptin_coxy |</v>
      </c>
      <c r="BJ418" s="2" t="s">
        <v>2257</v>
      </c>
      <c r="BK418" t="s">
        <v>673</v>
      </c>
      <c r="BL418">
        <f>HYPERLINK("http://exon.niaid.nih.gov/transcriptome/Anopheles_sialome/links/cluster-b/anopheline-sialome-cds-pep-larger-orf25-50SimCLU10.txt", 10)</f>
        <v>10</v>
      </c>
      <c r="BM418">
        <f>HYPERLINK("http://exon.niaid.nih.gov/transcriptome/Anopheles_sialome/links/cluster-b/anopheline-sialome-cds-pep-larger-orf25-50SimCLTL10.txt", 19)</f>
        <v>19</v>
      </c>
      <c r="BN418">
        <f>HYPERLINK("http://exon.niaid.nih.gov/transcriptome/Anopheles_sialome/links/cluster-b/anopheline-sialome-cds-pep-larger-orf30-50SimCLU9.txt", 9)</f>
        <v>9</v>
      </c>
      <c r="BO418">
        <f>HYPERLINK("http://exon.niaid.nih.gov/transcriptome/Anopheles_sialome/links/cluster-b/anopheline-sialome-cds-pep-larger-orf30-50SimCLTL9.txt", 19)</f>
        <v>19</v>
      </c>
      <c r="BP418">
        <f>HYPERLINK("http://exon.niaid.nih.gov/transcriptome/Anopheles_sialome/links/cluster-b/anopheline-sialome-cds-pep-larger-orf35-50SimCLU11.txt", 11)</f>
        <v>11</v>
      </c>
      <c r="BQ418">
        <f>HYPERLINK("http://exon.niaid.nih.gov/transcriptome/Anopheles_sialome/links/cluster-b/anopheline-sialome-cds-pep-larger-orf35-50SimCLTL11.txt", 19)</f>
        <v>19</v>
      </c>
      <c r="BR418">
        <f>HYPERLINK("http://exon.niaid.nih.gov/transcriptome/Anopheles_sialome/links/cluster-b/anopheline-sialome-cds-pep-larger-orf40-50SimCLU12.txt", 12)</f>
        <v>12</v>
      </c>
      <c r="BS418">
        <f>HYPERLINK("http://exon.niaid.nih.gov/transcriptome/Anopheles_sialome/links/cluster-b/anopheline-sialome-cds-pep-larger-orf40-50SimCLTL12.txt", 19)</f>
        <v>19</v>
      </c>
      <c r="BT418">
        <f>HYPERLINK("http://exon.niaid.nih.gov/transcriptome/Anopheles_sialome/links/cluster-b/anopheline-sialome-cds-pep-larger-orf45-50SimCLU12.txt", 12)</f>
        <v>12</v>
      </c>
      <c r="BU418">
        <f>HYPERLINK("http://exon.niaid.nih.gov/transcriptome/Anopheles_sialome/links/cluster-b/anopheline-sialome-cds-pep-larger-orf45-50SimCLTL12.txt", 19)</f>
        <v>19</v>
      </c>
      <c r="BV418">
        <f>HYPERLINK("http://exon.niaid.nih.gov/transcriptome/Anopheles_sialome/links/cluster-b/anopheline-sialome-cds-pep-larger-orf50-50SimCLU12.txt", 12)</f>
        <v>12</v>
      </c>
      <c r="BW418">
        <f>HYPERLINK("http://exon.niaid.nih.gov/transcriptome/Anopheles_sialome/links/cluster-b/anopheline-sialome-cds-pep-larger-orf50-50SimCLTL12.txt", 19)</f>
        <v>19</v>
      </c>
      <c r="BX418">
        <f>HYPERLINK("http://exon.niaid.nih.gov/transcriptome/Anopheles_sialome/links/cluster-b/anopheline-sialome-cds-pep-larger-orf55-50SimCLU13.txt", 13)</f>
        <v>13</v>
      </c>
      <c r="BY418">
        <f>HYPERLINK("http://exon.niaid.nih.gov/transcriptome/Anopheles_sialome/links/cluster-b/anopheline-sialome-cds-pep-larger-orf55-50SimCLTL13.txt", 19)</f>
        <v>19</v>
      </c>
      <c r="BZ418">
        <f>HYPERLINK("http://exon.niaid.nih.gov/transcriptome/Anopheles_sialome/links/cluster-b/anopheline-sialome-cds-pep-larger-orf60-50SimCLU11.txt", 11)</f>
        <v>11</v>
      </c>
      <c r="CA418">
        <f>HYPERLINK("http://exon.niaid.nih.gov/transcriptome/Anopheles_sialome/links/cluster-b/anopheline-sialome-cds-pep-larger-orf60-50SimCLTL11.txt", 19)</f>
        <v>19</v>
      </c>
      <c r="CB418">
        <f>HYPERLINK("http://exon.niaid.nih.gov/transcriptome/Anopheles_sialome/links/cluster-b/anopheline-sialome-cds-pep-larger-orf65-50SimCLU8.txt", 8)</f>
        <v>8</v>
      </c>
      <c r="CC418">
        <f>HYPERLINK("http://exon.niaid.nih.gov/transcriptome/Anopheles_sialome/links/cluster-b/anopheline-sialome-cds-pep-larger-orf65-50SimCLTL8.txt", 19)</f>
        <v>19</v>
      </c>
      <c r="CD418">
        <f>HYPERLINK("http://exon.niaid.nih.gov/transcriptome/Anopheles_sialome/links/cluster-b/anopheline-sialome-cds-pep-larger-orf70-50SimCLU7.txt", 7)</f>
        <v>7</v>
      </c>
      <c r="CE418">
        <f>HYPERLINK("http://exon.niaid.nih.gov/transcriptome/Anopheles_sialome/links/cluster-b/anopheline-sialome-cds-pep-larger-orf70-50SimCLTL7.txt", 19)</f>
        <v>19</v>
      </c>
      <c r="CF418">
        <f>HYPERLINK("http://exon.niaid.nih.gov/transcriptome/Anopheles_sialome/links/cluster-b/anopheline-sialome-cds-pep-larger-orf75-50SimCLU16.txt", 16)</f>
        <v>16</v>
      </c>
      <c r="CG418">
        <f>HYPERLINK("http://exon.niaid.nih.gov/transcriptome/Anopheles_sialome/links/cluster-b/anopheline-sialome-cds-pep-larger-orf75-50SimCLTL16.txt", 16)</f>
        <v>16</v>
      </c>
      <c r="CH418">
        <f>HYPERLINK("http://exon.niaid.nih.gov/transcriptome/Anopheles_sialome/links/cluster-b/anopheline-sialome-cds-pep-larger-orf80-50SimCLU16.txt", 16)</f>
        <v>16</v>
      </c>
      <c r="CI418">
        <f>HYPERLINK("http://exon.niaid.nih.gov/transcriptome/Anopheles_sialome/links/cluster-b/anopheline-sialome-cds-pep-larger-orf80-50SimCLTL16.txt", 13)</f>
        <v>13</v>
      </c>
      <c r="CJ418">
        <f>HYPERLINK("http://exon.niaid.nih.gov/transcriptome/Anopheles_sialome/links/cluster-b/anopheline-sialome-cds-pep-larger-orf85-50SimCLU56.txt", 56)</f>
        <v>56</v>
      </c>
      <c r="CK418">
        <f>HYPERLINK("http://exon.niaid.nih.gov/transcriptome/Anopheles_sialome/links/cluster-b/anopheline-sialome-cds-pep-larger-orf85-50SimCLTL56.txt", 2)</f>
        <v>2</v>
      </c>
      <c r="CL418">
        <v>101</v>
      </c>
      <c r="CM418">
        <v>1</v>
      </c>
      <c r="CN418">
        <v>75</v>
      </c>
      <c r="CO418">
        <v>1</v>
      </c>
    </row>
    <row r="419" spans="1:93">
      <c r="A419" s="2" t="str">
        <f>HYPERLINK("http://exon.niaid.nih.gov/transcriptome/Anopheles_sialome/links/cds/anomac_30kDa-cds.txt","anomac_30kDa")</f>
        <v>anomac_30kDa</v>
      </c>
      <c r="B419">
        <v>774</v>
      </c>
      <c r="C419" t="s">
        <v>18</v>
      </c>
      <c r="D419" t="s">
        <v>4</v>
      </c>
      <c r="E419" t="s">
        <v>5</v>
      </c>
      <c r="F419" t="s">
        <v>1</v>
      </c>
      <c r="G419" t="str">
        <f>HYPERLINK("http://exon.niaid.nih.gov/transcriptome/Anopheles_sialome/links/pep/anomac_30kDa-pep.txt","anomac_30kDa")</f>
        <v>anomac_30kDa</v>
      </c>
      <c r="H419">
        <v>257</v>
      </c>
      <c r="I419">
        <v>0</v>
      </c>
      <c r="J419" s="3" t="str">
        <f>HYPERLINK("http://exon.niaid.nih.gov/transcriptome/Anopheles_sialome/links/Sigp/anomac_30kDa-SigP.txt","SIG")</f>
        <v>SIG</v>
      </c>
      <c r="K419" t="s">
        <v>652</v>
      </c>
      <c r="L419">
        <v>27.161000000000001</v>
      </c>
      <c r="M419">
        <v>4.04</v>
      </c>
      <c r="N419">
        <v>25.222000000000001</v>
      </c>
      <c r="O419">
        <v>4.01</v>
      </c>
      <c r="P419" t="s">
        <v>676</v>
      </c>
      <c r="Q419" s="3">
        <v>0</v>
      </c>
      <c r="R419" t="s">
        <v>128</v>
      </c>
      <c r="S419" t="s">
        <v>128</v>
      </c>
      <c r="T419" t="s">
        <v>128</v>
      </c>
      <c r="U419" t="s">
        <v>128</v>
      </c>
      <c r="V419" t="s">
        <v>128</v>
      </c>
      <c r="W419" s="3" t="str">
        <f>HYPERLINK("http://exon.niaid.nih.gov/transcriptome/Anopheles_sialome/links/netoglyc/anomac_30kDa-netoglyc.txt","18")</f>
        <v>18</v>
      </c>
      <c r="X419">
        <v>18.7</v>
      </c>
      <c r="Y419">
        <v>12.1</v>
      </c>
      <c r="Z419">
        <v>1.6</v>
      </c>
      <c r="AA419" t="s">
        <v>654</v>
      </c>
      <c r="AB419" t="s">
        <v>128</v>
      </c>
      <c r="AC419" s="2" t="str">
        <f>HYPERLINK("http://exon.niaid.nih.gov/transcriptome/Anopheles_sialome/links/DIPTERA/anomac_30kDa-DIPTERA.txt","GE rich salivary gland protein")</f>
        <v>GE rich salivary gland protein</v>
      </c>
      <c r="AD419" t="str">
        <f>HYPERLINK("http://www.ncbi.nlm.nih.gov/sutils/blink.cgi?pid=37201975","1E-108")</f>
        <v>1E-108</v>
      </c>
      <c r="AE419" t="str">
        <f>HYPERLINK("http://www.ncbi.nlm.nih.gov/protein/37201975","gi|37201975")</f>
        <v>gi|37201975</v>
      </c>
      <c r="AF419">
        <v>75</v>
      </c>
      <c r="AG419">
        <v>83</v>
      </c>
      <c r="AH419">
        <v>100</v>
      </c>
      <c r="AI419" t="s">
        <v>2271</v>
      </c>
      <c r="AJ419" s="2" t="str">
        <f>HYPERLINK("http://exon.niaid.nih.gov/transcriptome/Anopheles_sialome/links/CULICOMORPHA/anomac_30kDa-CULICOMORPHA.txt","GE rich salivary gland protein")</f>
        <v>GE rich salivary gland protein</v>
      </c>
      <c r="AK419" t="str">
        <f>HYPERLINK("http://www.ncbi.nlm.nih.gov/sutils/blink.cgi?pid=37201975","1E-109")</f>
        <v>1E-109</v>
      </c>
      <c r="AL419" t="str">
        <f>HYPERLINK("http://www.ncbi.nlm.nih.gov/protein/37201975","gi|37201975")</f>
        <v>gi|37201975</v>
      </c>
      <c r="AM419">
        <v>75</v>
      </c>
      <c r="AN419">
        <v>83</v>
      </c>
      <c r="AO419">
        <v>100</v>
      </c>
      <c r="AP419" t="s">
        <v>2271</v>
      </c>
      <c r="AQ419" s="2" t="str">
        <f>HYPERLINK("http://exon.niaid.nih.gov/transcriptome/Anopheles_sialome/links/NR-LIGHT/anomac_30kDa-NR-LIGHT.txt","GE rich salivary gland protein")</f>
        <v>GE rich salivary gland protein</v>
      </c>
      <c r="AR419" t="str">
        <f>HYPERLINK("http://www.ncbi.nlm.nih.gov/sutils/blink.cgi?pid=37201975","1E-107")</f>
        <v>1E-107</v>
      </c>
      <c r="AS419" t="str">
        <f>HYPERLINK("http://www.ncbi.nlm.nih.gov/protein/37201975","gi|37201975")</f>
        <v>gi|37201975</v>
      </c>
      <c r="AT419">
        <v>75</v>
      </c>
      <c r="AU419">
        <v>83</v>
      </c>
      <c r="AV419">
        <v>100</v>
      </c>
      <c r="AW419" t="s">
        <v>2271</v>
      </c>
      <c r="AX419" s="2" t="str">
        <f>HYPERLINK("http://exon.niaid.nih.gov/transcriptome/Anopheles_sialome/links/CDD/anomac_30kDa-CDD.txt","retinal_rod")</f>
        <v>retinal_rod</v>
      </c>
      <c r="AY419" t="str">
        <f>HYPERLINK("http://www.ncbi.nlm.nih.gov/Structure/cdd/cddsrv.cgi?uid=TIGR00927&amp;version=v4.0","4E-006")</f>
        <v>4E-006</v>
      </c>
      <c r="AZ419" t="s">
        <v>2273</v>
      </c>
      <c r="BA419" s="2" t="str">
        <f>HYPERLINK("http://exon.niaid.nih.gov/transcriptome/Anopheles_sialome/links/KOG/anomac_30kDa-KOG.txt","HIV-1 Vpr-binding protein")</f>
        <v>HIV-1 Vpr-binding protein</v>
      </c>
      <c r="BB419" t="str">
        <f>HYPERLINK("http://www.ncbi.nlm.nih.gov/Structure/cdd/cddsrv.cgi?uid=KOG1832","1E-006")</f>
        <v>1E-006</v>
      </c>
      <c r="BC419" t="s">
        <v>2256</v>
      </c>
      <c r="BD419" t="str">
        <f>HYPERLINK("http://exon.niaid.nih.gov/transcriptome/Anopheles_sialome/links/KOG/anomac_30kDa-KOG.txt","KOG1832")</f>
        <v>KOG1832</v>
      </c>
      <c r="BE419" t="str">
        <f>HYPERLINK("http://exon.niaid.nih.gov/transcriptome/Anopheles_sialome/links/PFAM/anomac_30kDa-PFAM.txt","Collagen")</f>
        <v>Collagen</v>
      </c>
      <c r="BF419" t="str">
        <f>HYPERLINK("http://pfam.sanger.ac.uk/family?acc=PF01391","2E-005")</f>
        <v>2E-005</v>
      </c>
      <c r="BG419" s="2" t="str">
        <f>HYPERLINK("http://exon.niaid.nih.gov/transcriptome/Anopheles_sialome/links/SMART/anomac_30kDa-SMART.txt","BRO1")</f>
        <v>BRO1</v>
      </c>
      <c r="BH419" t="str">
        <f>HYPERLINK("http://smart.embl-heidelberg.de/smart/do_annotation.pl?DOMAIN=BRO1&amp;BLAST=DUMMY","0.97")</f>
        <v>0.97</v>
      </c>
      <c r="BI419" t="str">
        <f>HYPERLINK("http://exon.niaid.nih.gov/transcriptome/Anopheles_sialome/links/TICK-BLOCKS/anomac_30kDa-TICK-BLOCKS.txt","Aegyptin_stringent_pattern |Aegyptin_mosquito |Aegyptin_mosquito_stringent_pattern |Aegyptin_coxy |")</f>
        <v>Aegyptin_stringent_pattern |Aegyptin_mosquito |Aegyptin_mosquito_stringent_pattern |Aegyptin_coxy |</v>
      </c>
      <c r="BJ419" s="2" t="s">
        <v>2257</v>
      </c>
      <c r="BK419" t="s">
        <v>675</v>
      </c>
      <c r="BL419">
        <f>HYPERLINK("http://exon.niaid.nih.gov/transcriptome/Anopheles_sialome/links/cluster-b/anopheline-sialome-cds-pep-larger-orf25-50SimCLU10.txt", 10)</f>
        <v>10</v>
      </c>
      <c r="BM419">
        <f>HYPERLINK("http://exon.niaid.nih.gov/transcriptome/Anopheles_sialome/links/cluster-b/anopheline-sialome-cds-pep-larger-orf25-50SimCLTL10.txt", 19)</f>
        <v>19</v>
      </c>
      <c r="BN419">
        <f>HYPERLINK("http://exon.niaid.nih.gov/transcriptome/Anopheles_sialome/links/cluster-b/anopheline-sialome-cds-pep-larger-orf30-50SimCLU9.txt", 9)</f>
        <v>9</v>
      </c>
      <c r="BO419">
        <f>HYPERLINK("http://exon.niaid.nih.gov/transcriptome/Anopheles_sialome/links/cluster-b/anopheline-sialome-cds-pep-larger-orf30-50SimCLTL9.txt", 19)</f>
        <v>19</v>
      </c>
      <c r="BP419">
        <f>HYPERLINK("http://exon.niaid.nih.gov/transcriptome/Anopheles_sialome/links/cluster-b/anopheline-sialome-cds-pep-larger-orf35-50SimCLU11.txt", 11)</f>
        <v>11</v>
      </c>
      <c r="BQ419">
        <f>HYPERLINK("http://exon.niaid.nih.gov/transcriptome/Anopheles_sialome/links/cluster-b/anopheline-sialome-cds-pep-larger-orf35-50SimCLTL11.txt", 19)</f>
        <v>19</v>
      </c>
      <c r="BR419">
        <f>HYPERLINK("http://exon.niaid.nih.gov/transcriptome/Anopheles_sialome/links/cluster-b/anopheline-sialome-cds-pep-larger-orf40-50SimCLU12.txt", 12)</f>
        <v>12</v>
      </c>
      <c r="BS419">
        <f>HYPERLINK("http://exon.niaid.nih.gov/transcriptome/Anopheles_sialome/links/cluster-b/anopheline-sialome-cds-pep-larger-orf40-50SimCLTL12.txt", 19)</f>
        <v>19</v>
      </c>
      <c r="BT419">
        <f>HYPERLINK("http://exon.niaid.nih.gov/transcriptome/Anopheles_sialome/links/cluster-b/anopheline-sialome-cds-pep-larger-orf45-50SimCLU12.txt", 12)</f>
        <v>12</v>
      </c>
      <c r="BU419">
        <f>HYPERLINK("http://exon.niaid.nih.gov/transcriptome/Anopheles_sialome/links/cluster-b/anopheline-sialome-cds-pep-larger-orf45-50SimCLTL12.txt", 19)</f>
        <v>19</v>
      </c>
      <c r="BV419">
        <f>HYPERLINK("http://exon.niaid.nih.gov/transcriptome/Anopheles_sialome/links/cluster-b/anopheline-sialome-cds-pep-larger-orf50-50SimCLU12.txt", 12)</f>
        <v>12</v>
      </c>
      <c r="BW419">
        <f>HYPERLINK("http://exon.niaid.nih.gov/transcriptome/Anopheles_sialome/links/cluster-b/anopheline-sialome-cds-pep-larger-orf50-50SimCLTL12.txt", 19)</f>
        <v>19</v>
      </c>
      <c r="BX419">
        <f>HYPERLINK("http://exon.niaid.nih.gov/transcriptome/Anopheles_sialome/links/cluster-b/anopheline-sialome-cds-pep-larger-orf55-50SimCLU13.txt", 13)</f>
        <v>13</v>
      </c>
      <c r="BY419">
        <f>HYPERLINK("http://exon.niaid.nih.gov/transcriptome/Anopheles_sialome/links/cluster-b/anopheline-sialome-cds-pep-larger-orf55-50SimCLTL13.txt", 19)</f>
        <v>19</v>
      </c>
      <c r="BZ419">
        <f>HYPERLINK("http://exon.niaid.nih.gov/transcriptome/Anopheles_sialome/links/cluster-b/anopheline-sialome-cds-pep-larger-orf60-50SimCLU11.txt", 11)</f>
        <v>11</v>
      </c>
      <c r="CA419">
        <f>HYPERLINK("http://exon.niaid.nih.gov/transcriptome/Anopheles_sialome/links/cluster-b/anopheline-sialome-cds-pep-larger-orf60-50SimCLTL11.txt", 19)</f>
        <v>19</v>
      </c>
      <c r="CB419">
        <f>HYPERLINK("http://exon.niaid.nih.gov/transcriptome/Anopheles_sialome/links/cluster-b/anopheline-sialome-cds-pep-larger-orf65-50SimCLU8.txt", 8)</f>
        <v>8</v>
      </c>
      <c r="CC419">
        <f>HYPERLINK("http://exon.niaid.nih.gov/transcriptome/Anopheles_sialome/links/cluster-b/anopheline-sialome-cds-pep-larger-orf65-50SimCLTL8.txt", 19)</f>
        <v>19</v>
      </c>
      <c r="CD419">
        <f>HYPERLINK("http://exon.niaid.nih.gov/transcriptome/Anopheles_sialome/links/cluster-b/anopheline-sialome-cds-pep-larger-orf70-50SimCLU7.txt", 7)</f>
        <v>7</v>
      </c>
      <c r="CE419">
        <f>HYPERLINK("http://exon.niaid.nih.gov/transcriptome/Anopheles_sialome/links/cluster-b/anopheline-sialome-cds-pep-larger-orf70-50SimCLTL7.txt", 19)</f>
        <v>19</v>
      </c>
      <c r="CF419">
        <f>HYPERLINK("http://exon.niaid.nih.gov/transcriptome/Anopheles_sialome/links/cluster-b/anopheline-sialome-cds-pep-larger-orf75-50SimCLU16.txt", 16)</f>
        <v>16</v>
      </c>
      <c r="CG419">
        <f>HYPERLINK("http://exon.niaid.nih.gov/transcriptome/Anopheles_sialome/links/cluster-b/anopheline-sialome-cds-pep-larger-orf75-50SimCLTL16.txt", 16)</f>
        <v>16</v>
      </c>
      <c r="CH419">
        <f>HYPERLINK("http://exon.niaid.nih.gov/transcriptome/Anopheles_sialome/links/cluster-b/anopheline-sialome-cds-pep-larger-orf80-50SimCLU16.txt", 16)</f>
        <v>16</v>
      </c>
      <c r="CI419">
        <f>HYPERLINK("http://exon.niaid.nih.gov/transcriptome/Anopheles_sialome/links/cluster-b/anopheline-sialome-cds-pep-larger-orf80-50SimCLTL16.txt", 13)</f>
        <v>13</v>
      </c>
      <c r="CJ419">
        <f>HYPERLINK("http://exon.niaid.nih.gov/transcriptome/Anopheles_sialome/links/cluster-b/anopheline-sialome-cds-pep-larger-orf85-50SimCLU56.txt", 56)</f>
        <v>56</v>
      </c>
      <c r="CK419">
        <f>HYPERLINK("http://exon.niaid.nih.gov/transcriptome/Anopheles_sialome/links/cluster-b/anopheline-sialome-cds-pep-larger-orf85-50SimCLTL56.txt", 2)</f>
        <v>2</v>
      </c>
      <c r="CL419">
        <v>102</v>
      </c>
      <c r="CM419">
        <v>1</v>
      </c>
      <c r="CN419">
        <v>76</v>
      </c>
      <c r="CO419">
        <v>1</v>
      </c>
    </row>
    <row r="420" spans="1:93">
      <c r="A420" s="2" t="str">
        <f>HYPERLINK("http://exon.niaid.nih.gov/transcriptome/Anopheles_sialome/links/cds/anofar_30kDa-cds.txt","anofar_30kDa")</f>
        <v>anofar_30kDa</v>
      </c>
      <c r="B420">
        <v>873</v>
      </c>
      <c r="C420" t="s">
        <v>19</v>
      </c>
      <c r="D420" t="s">
        <v>4</v>
      </c>
      <c r="E420" t="s">
        <v>5</v>
      </c>
      <c r="F420" t="s">
        <v>1</v>
      </c>
      <c r="G420" t="str">
        <f>HYPERLINK("http://exon.niaid.nih.gov/transcriptome/Anopheles_sialome/links/pep/anofar_30kDa-pep.txt","anofar_30kDa")</f>
        <v>anofar_30kDa</v>
      </c>
      <c r="H420">
        <v>290</v>
      </c>
      <c r="I420">
        <v>0</v>
      </c>
      <c r="J420" s="3" t="str">
        <f>HYPERLINK("http://exon.niaid.nih.gov/transcriptome/Anopheles_sialome/links/Sigp/anofar_30kDa-SigP.txt","SIG")</f>
        <v>SIG</v>
      </c>
      <c r="K420" t="s">
        <v>652</v>
      </c>
      <c r="L420">
        <v>29.646000000000001</v>
      </c>
      <c r="M420">
        <v>3.97</v>
      </c>
      <c r="N420">
        <v>27.713999999999999</v>
      </c>
      <c r="O420">
        <v>3.94</v>
      </c>
      <c r="P420" t="s">
        <v>678</v>
      </c>
      <c r="Q420" s="3">
        <v>0</v>
      </c>
      <c r="R420" t="s">
        <v>128</v>
      </c>
      <c r="S420" t="s">
        <v>128</v>
      </c>
      <c r="T420" t="s">
        <v>128</v>
      </c>
      <c r="U420" t="s">
        <v>128</v>
      </c>
      <c r="V420" t="s">
        <v>128</v>
      </c>
      <c r="W420" s="3" t="str">
        <f>HYPERLINK("http://exon.niaid.nih.gov/transcriptome/Anopheles_sialome/links/netoglyc/anofar_30kDa-netoglyc.txt","2")</f>
        <v>2</v>
      </c>
      <c r="X420">
        <v>12.8</v>
      </c>
      <c r="Y420">
        <v>16.899999999999999</v>
      </c>
      <c r="Z420">
        <v>0.7</v>
      </c>
      <c r="AA420" t="s">
        <v>654</v>
      </c>
      <c r="AB420" t="s">
        <v>128</v>
      </c>
      <c r="AC420" s="2" t="str">
        <f>HYPERLINK("http://exon.niaid.nih.gov/transcriptome/Anopheles_sialome/links/DIPTERA/anofar_30kDa-DIPTERA.txt","GE rich salivary gland protein")</f>
        <v>GE rich salivary gland protein</v>
      </c>
      <c r="AD420" t="str">
        <f>HYPERLINK("http://www.ncbi.nlm.nih.gov/sutils/blink.cgi?pid=31982968","3E-089")</f>
        <v>3E-089</v>
      </c>
      <c r="AE420" t="str">
        <f>HYPERLINK("http://www.ncbi.nlm.nih.gov/protein/31982968","gi|31982968")</f>
        <v>gi|31982968</v>
      </c>
      <c r="AF420">
        <v>63</v>
      </c>
      <c r="AG420">
        <v>72</v>
      </c>
      <c r="AH420">
        <v>113</v>
      </c>
      <c r="AI420" t="s">
        <v>2274</v>
      </c>
      <c r="AJ420" s="2" t="str">
        <f>HYPERLINK("http://exon.niaid.nih.gov/transcriptome/Anopheles_sialome/links/CULICOMORPHA/anofar_30kDa-CULICOMORPHA.txt","GE rich salivary gland protein")</f>
        <v>GE rich salivary gland protein</v>
      </c>
      <c r="AK420" t="str">
        <f>HYPERLINK("http://www.ncbi.nlm.nih.gov/sutils/blink.cgi?pid=31982968","5E-090")</f>
        <v>5E-090</v>
      </c>
      <c r="AL420" t="str">
        <f>HYPERLINK("http://www.ncbi.nlm.nih.gov/protein/31982968","gi|31982968")</f>
        <v>gi|31982968</v>
      </c>
      <c r="AM420">
        <v>63</v>
      </c>
      <c r="AN420">
        <v>72</v>
      </c>
      <c r="AO420">
        <v>113</v>
      </c>
      <c r="AP420" t="s">
        <v>2274</v>
      </c>
      <c r="AQ420" s="2" t="str">
        <f>HYPERLINK("http://exon.niaid.nih.gov/transcriptome/Anopheles_sialome/links/NR-LIGHT/anofar_30kDa-NR-LIGHT.txt","GE rich salivary gland protein")</f>
        <v>GE rich salivary gland protein</v>
      </c>
      <c r="AR420" t="str">
        <f>HYPERLINK("http://www.ncbi.nlm.nih.gov/sutils/blink.cgi?pid=31982968","8E-089")</f>
        <v>8E-089</v>
      </c>
      <c r="AS420" t="str">
        <f>HYPERLINK("http://www.ncbi.nlm.nih.gov/protein/31982968","gi|31982968")</f>
        <v>gi|31982968</v>
      </c>
      <c r="AT420">
        <v>63</v>
      </c>
      <c r="AU420">
        <v>72</v>
      </c>
      <c r="AV420">
        <v>113</v>
      </c>
      <c r="AW420" t="s">
        <v>2274</v>
      </c>
      <c r="AX420" s="2" t="str">
        <f>HYPERLINK("http://exon.niaid.nih.gov/transcriptome/Anopheles_sialome/links/CDD/anofar_30kDa-CDD.txt","retinal_rod")</f>
        <v>retinal_rod</v>
      </c>
      <c r="AY420" t="str">
        <f>HYPERLINK("http://www.ncbi.nlm.nih.gov/Structure/cdd/cddsrv.cgi?uid=TIGR00927&amp;version=v4.0","2E-010")</f>
        <v>2E-010</v>
      </c>
      <c r="AZ420" t="s">
        <v>2275</v>
      </c>
      <c r="BA420" s="2" t="str">
        <f>HYPERLINK("http://exon.niaid.nih.gov/transcriptome/Anopheles_sialome/links/KOG/anofar_30kDa-KOG.txt","HIV-1 Vpr-binding protein")</f>
        <v>HIV-1 Vpr-binding protein</v>
      </c>
      <c r="BB420" t="str">
        <f>HYPERLINK("http://www.ncbi.nlm.nih.gov/Structure/cdd/cddsrv.cgi?uid=KOG1832","6E-008")</f>
        <v>6E-008</v>
      </c>
      <c r="BC420" t="s">
        <v>2256</v>
      </c>
      <c r="BD420" t="str">
        <f>HYPERLINK("http://exon.niaid.nih.gov/transcriptome/Anopheles_sialome/links/KOG/anofar_30kDa-KOG.txt","KOG1832")</f>
        <v>KOG1832</v>
      </c>
      <c r="BE420" t="str">
        <f>HYPERLINK("http://exon.niaid.nih.gov/transcriptome/Anopheles_sialome/links/PFAM/anofar_30kDa-PFAM.txt","Nop14")</f>
        <v>Nop14</v>
      </c>
      <c r="BF420" t="str">
        <f>HYPERLINK("http://pfam.sanger.ac.uk/family?acc=PF04147","5E-004")</f>
        <v>5E-004</v>
      </c>
      <c r="BG420" s="2" t="str">
        <f>HYPERLINK("http://exon.niaid.nih.gov/transcriptome/Anopheles_sialome/links/SMART/anofar_30kDa-SMART.txt","PRP")</f>
        <v>PRP</v>
      </c>
      <c r="BH420" t="str">
        <f>HYPERLINK("http://smart.embl-heidelberg.de/smart/do_annotation.pl?DOMAIN=PRP&amp;BLAST=DUMMY","0.22")</f>
        <v>0.22</v>
      </c>
      <c r="BI420" t="str">
        <f>HYPERLINK("http://exon.niaid.nih.gov/transcriptome/Anopheles_sialome/links/TICK-BLOCKS/anofar_30kDa-TICK-BLOCKS.txt","Aegyptin_stringent_pattern |Aegyptin_mosquito |Aegyptin_mosquito_stringent_pattern |Aegyptin_coxy |")</f>
        <v>Aegyptin_stringent_pattern |Aegyptin_mosquito |Aegyptin_mosquito_stringent_pattern |Aegyptin_coxy |</v>
      </c>
      <c r="BJ420" s="2" t="s">
        <v>2257</v>
      </c>
      <c r="BK420" t="s">
        <v>677</v>
      </c>
      <c r="BL420">
        <f>HYPERLINK("http://exon.niaid.nih.gov/transcriptome/Anopheles_sialome/links/cluster-b/anopheline-sialome-cds-pep-larger-orf25-50SimCLU10.txt", 10)</f>
        <v>10</v>
      </c>
      <c r="BM420">
        <f>HYPERLINK("http://exon.niaid.nih.gov/transcriptome/Anopheles_sialome/links/cluster-b/anopheline-sialome-cds-pep-larger-orf25-50SimCLTL10.txt", 19)</f>
        <v>19</v>
      </c>
      <c r="BN420">
        <f>HYPERLINK("http://exon.niaid.nih.gov/transcriptome/Anopheles_sialome/links/cluster-b/anopheline-sialome-cds-pep-larger-orf30-50SimCLU9.txt", 9)</f>
        <v>9</v>
      </c>
      <c r="BO420">
        <f>HYPERLINK("http://exon.niaid.nih.gov/transcriptome/Anopheles_sialome/links/cluster-b/anopheline-sialome-cds-pep-larger-orf30-50SimCLTL9.txt", 19)</f>
        <v>19</v>
      </c>
      <c r="BP420">
        <f>HYPERLINK("http://exon.niaid.nih.gov/transcriptome/Anopheles_sialome/links/cluster-b/anopheline-sialome-cds-pep-larger-orf35-50SimCLU11.txt", 11)</f>
        <v>11</v>
      </c>
      <c r="BQ420">
        <f>HYPERLINK("http://exon.niaid.nih.gov/transcriptome/Anopheles_sialome/links/cluster-b/anopheline-sialome-cds-pep-larger-orf35-50SimCLTL11.txt", 19)</f>
        <v>19</v>
      </c>
      <c r="BR420">
        <f>HYPERLINK("http://exon.niaid.nih.gov/transcriptome/Anopheles_sialome/links/cluster-b/anopheline-sialome-cds-pep-larger-orf40-50SimCLU12.txt", 12)</f>
        <v>12</v>
      </c>
      <c r="BS420">
        <f>HYPERLINK("http://exon.niaid.nih.gov/transcriptome/Anopheles_sialome/links/cluster-b/anopheline-sialome-cds-pep-larger-orf40-50SimCLTL12.txt", 19)</f>
        <v>19</v>
      </c>
      <c r="BT420">
        <f>HYPERLINK("http://exon.niaid.nih.gov/transcriptome/Anopheles_sialome/links/cluster-b/anopheline-sialome-cds-pep-larger-orf45-50SimCLU12.txt", 12)</f>
        <v>12</v>
      </c>
      <c r="BU420">
        <f>HYPERLINK("http://exon.niaid.nih.gov/transcriptome/Anopheles_sialome/links/cluster-b/anopheline-sialome-cds-pep-larger-orf45-50SimCLTL12.txt", 19)</f>
        <v>19</v>
      </c>
      <c r="BV420">
        <f>HYPERLINK("http://exon.niaid.nih.gov/transcriptome/Anopheles_sialome/links/cluster-b/anopheline-sialome-cds-pep-larger-orf50-50SimCLU12.txt", 12)</f>
        <v>12</v>
      </c>
      <c r="BW420">
        <f>HYPERLINK("http://exon.niaid.nih.gov/transcriptome/Anopheles_sialome/links/cluster-b/anopheline-sialome-cds-pep-larger-orf50-50SimCLTL12.txt", 19)</f>
        <v>19</v>
      </c>
      <c r="BX420">
        <f>HYPERLINK("http://exon.niaid.nih.gov/transcriptome/Anopheles_sialome/links/cluster-b/anopheline-sialome-cds-pep-larger-orf55-50SimCLU13.txt", 13)</f>
        <v>13</v>
      </c>
      <c r="BY420">
        <f>HYPERLINK("http://exon.niaid.nih.gov/transcriptome/Anopheles_sialome/links/cluster-b/anopheline-sialome-cds-pep-larger-orf55-50SimCLTL13.txt", 19)</f>
        <v>19</v>
      </c>
      <c r="BZ420">
        <f>HYPERLINK("http://exon.niaid.nih.gov/transcriptome/Anopheles_sialome/links/cluster-b/anopheline-sialome-cds-pep-larger-orf60-50SimCLU11.txt", 11)</f>
        <v>11</v>
      </c>
      <c r="CA420">
        <f>HYPERLINK("http://exon.niaid.nih.gov/transcriptome/Anopheles_sialome/links/cluster-b/anopheline-sialome-cds-pep-larger-orf60-50SimCLTL11.txt", 19)</f>
        <v>19</v>
      </c>
      <c r="CB420">
        <f>HYPERLINK("http://exon.niaid.nih.gov/transcriptome/Anopheles_sialome/links/cluster-b/anopheline-sialome-cds-pep-larger-orf65-50SimCLU8.txt", 8)</f>
        <v>8</v>
      </c>
      <c r="CC420">
        <f>HYPERLINK("http://exon.niaid.nih.gov/transcriptome/Anopheles_sialome/links/cluster-b/anopheline-sialome-cds-pep-larger-orf65-50SimCLTL8.txt", 19)</f>
        <v>19</v>
      </c>
      <c r="CD420">
        <f>HYPERLINK("http://exon.niaid.nih.gov/transcriptome/Anopheles_sialome/links/cluster-b/anopheline-sialome-cds-pep-larger-orf70-50SimCLU7.txt", 7)</f>
        <v>7</v>
      </c>
      <c r="CE420">
        <f>HYPERLINK("http://exon.niaid.nih.gov/transcriptome/Anopheles_sialome/links/cluster-b/anopheline-sialome-cds-pep-larger-orf70-50SimCLTL7.txt", 19)</f>
        <v>19</v>
      </c>
      <c r="CF420">
        <v>92</v>
      </c>
      <c r="CG420">
        <v>1</v>
      </c>
      <c r="CH420">
        <v>112</v>
      </c>
      <c r="CI420">
        <v>1</v>
      </c>
      <c r="CJ420">
        <v>113</v>
      </c>
      <c r="CK420">
        <v>1</v>
      </c>
      <c r="CL420">
        <v>103</v>
      </c>
      <c r="CM420">
        <v>1</v>
      </c>
      <c r="CN420">
        <v>77</v>
      </c>
      <c r="CO420">
        <v>1</v>
      </c>
    </row>
    <row r="421" spans="1:93">
      <c r="A421" s="2" t="str">
        <f>HYPERLINK("http://exon.niaid.nih.gov/transcriptome/Anopheles_sialome/links/cds/anodir_30kDa-cds.txt","anodir_30kDa")</f>
        <v>anodir_30kDa</v>
      </c>
      <c r="B421">
        <v>768</v>
      </c>
      <c r="C421" t="s">
        <v>20</v>
      </c>
      <c r="D421" t="s">
        <v>4</v>
      </c>
      <c r="E421" t="s">
        <v>5</v>
      </c>
      <c r="F421" t="s">
        <v>1</v>
      </c>
      <c r="G421" t="str">
        <f>HYPERLINK("http://exon.niaid.nih.gov/transcriptome/Anopheles_sialome/links/pep/anodir_30kDa-pep.txt","anodir_30kDa")</f>
        <v>anodir_30kDa</v>
      </c>
      <c r="H421">
        <v>255</v>
      </c>
      <c r="I421">
        <v>1</v>
      </c>
      <c r="J421" s="3" t="str">
        <f>HYPERLINK("http://exon.niaid.nih.gov/transcriptome/Anopheles_sialome/links/Sigp/anodir_30kDa-SigP.txt","SIG")</f>
        <v>SIG</v>
      </c>
      <c r="K421" t="s">
        <v>652</v>
      </c>
      <c r="L421">
        <v>27.28</v>
      </c>
      <c r="M421">
        <v>4.12</v>
      </c>
      <c r="N421">
        <v>25.295000000000002</v>
      </c>
      <c r="O421">
        <v>4.09</v>
      </c>
      <c r="P421" t="s">
        <v>680</v>
      </c>
      <c r="Q421" s="3">
        <v>0</v>
      </c>
      <c r="R421" t="s">
        <v>128</v>
      </c>
      <c r="S421" t="s">
        <v>128</v>
      </c>
      <c r="T421" t="s">
        <v>128</v>
      </c>
      <c r="U421" t="s">
        <v>128</v>
      </c>
      <c r="V421" t="s">
        <v>128</v>
      </c>
      <c r="W421" s="3" t="str">
        <f>HYPERLINK("http://exon.niaid.nih.gov/transcriptome/Anopheles_sialome/links/netoglyc/anodir_30kDa-netoglyc.txt","9")</f>
        <v>9</v>
      </c>
      <c r="X421">
        <v>14.9</v>
      </c>
      <c r="Y421">
        <v>12.2</v>
      </c>
      <c r="Z421">
        <v>2</v>
      </c>
      <c r="AA421" t="s">
        <v>654</v>
      </c>
      <c r="AB421" t="s">
        <v>128</v>
      </c>
      <c r="AC421" s="2" t="str">
        <f>HYPERLINK("http://exon.niaid.nih.gov/transcriptome/Anopheles_sialome/links/DIPTERA/anodir_30kDa-DIPTERA.txt","GE rich salivary gland protein")</f>
        <v>GE rich salivary gland protein</v>
      </c>
      <c r="AD421" t="str">
        <f>HYPERLINK("http://www.ncbi.nlm.nih.gov/sutils/blink.cgi?pid=31982968","1E-136")</f>
        <v>1E-136</v>
      </c>
      <c r="AE421" t="str">
        <f>HYPERLINK("http://www.ncbi.nlm.nih.gov/protein/31982968","gi|31982968")</f>
        <v>gi|31982968</v>
      </c>
      <c r="AF421">
        <v>95</v>
      </c>
      <c r="AG421">
        <v>96</v>
      </c>
      <c r="AH421">
        <v>100</v>
      </c>
      <c r="AI421" t="s">
        <v>2274</v>
      </c>
      <c r="AJ421" s="2" t="str">
        <f>HYPERLINK("http://exon.niaid.nih.gov/transcriptome/Anopheles_sialome/links/CULICOMORPHA/anodir_30kDa-CULICOMORPHA.txt","GE rich salivary gland protein")</f>
        <v>GE rich salivary gland protein</v>
      </c>
      <c r="AK421" t="str">
        <f>HYPERLINK("http://www.ncbi.nlm.nih.gov/sutils/blink.cgi?pid=31982968","1E-136")</f>
        <v>1E-136</v>
      </c>
      <c r="AL421" t="str">
        <f>HYPERLINK("http://www.ncbi.nlm.nih.gov/protein/31982968","gi|31982968")</f>
        <v>gi|31982968</v>
      </c>
      <c r="AM421">
        <v>95</v>
      </c>
      <c r="AN421">
        <v>96</v>
      </c>
      <c r="AO421">
        <v>100</v>
      </c>
      <c r="AP421" t="s">
        <v>2274</v>
      </c>
      <c r="AQ421" s="2" t="str">
        <f>HYPERLINK("http://exon.niaid.nih.gov/transcriptome/Anopheles_sialome/links/NR-LIGHT/anodir_30kDa-NR-LIGHT.txt","GE rich salivary gland protein")</f>
        <v>GE rich salivary gland protein</v>
      </c>
      <c r="AR421" t="str">
        <f>HYPERLINK("http://www.ncbi.nlm.nih.gov/sutils/blink.cgi?pid=31982968","1E-135")</f>
        <v>1E-135</v>
      </c>
      <c r="AS421" t="str">
        <f>HYPERLINK("http://www.ncbi.nlm.nih.gov/protein/31982968","gi|31982968")</f>
        <v>gi|31982968</v>
      </c>
      <c r="AT421">
        <v>95</v>
      </c>
      <c r="AU421">
        <v>96</v>
      </c>
      <c r="AV421">
        <v>100</v>
      </c>
      <c r="AW421" t="s">
        <v>2274</v>
      </c>
      <c r="AX421" s="2" t="str">
        <f>HYPERLINK("http://exon.niaid.nih.gov/transcriptome/Anopheles_sialome/links/CDD/anodir_30kDa-CDD.txt","PHA03169")</f>
        <v>PHA03169</v>
      </c>
      <c r="AY421" t="str">
        <f>HYPERLINK("http://www.ncbi.nlm.nih.gov/Structure/cdd/cddsrv.cgi?uid=PHA03169&amp;version=v4.0","3E-008")</f>
        <v>3E-008</v>
      </c>
      <c r="AZ421" t="s">
        <v>2276</v>
      </c>
      <c r="BA421" s="2" t="str">
        <f>HYPERLINK("http://exon.niaid.nih.gov/transcriptome/Anopheles_sialome/links/KOG/anodir_30kDa-KOG.txt","HIV-1 Vpr-binding protein")</f>
        <v>HIV-1 Vpr-binding protein</v>
      </c>
      <c r="BB421" t="str">
        <f>HYPERLINK("http://www.ncbi.nlm.nih.gov/Structure/cdd/cddsrv.cgi?uid=KOG1832","2E-008")</f>
        <v>2E-008</v>
      </c>
      <c r="BC421" t="s">
        <v>2256</v>
      </c>
      <c r="BD421" t="str">
        <f>HYPERLINK("http://exon.niaid.nih.gov/transcriptome/Anopheles_sialome/links/KOG/anodir_30kDa-KOG.txt","KOG1832")</f>
        <v>KOG1832</v>
      </c>
      <c r="BE421" t="str">
        <f>HYPERLINK("http://exon.niaid.nih.gov/transcriptome/Anopheles_sialome/links/PFAM/anodir_30kDa-PFAM.txt","Nop14")</f>
        <v>Nop14</v>
      </c>
      <c r="BF421" t="str">
        <f>HYPERLINK("http://pfam.sanger.ac.uk/family?acc=PF04147","3E-006")</f>
        <v>3E-006</v>
      </c>
      <c r="BG421" s="2" t="str">
        <f>HYPERLINK("http://exon.niaid.nih.gov/transcriptome/Anopheles_sialome/links/SMART/anodir_30kDa-SMART.txt","IL2")</f>
        <v>IL2</v>
      </c>
      <c r="BH421" t="str">
        <f>HYPERLINK("http://smart.embl-heidelberg.de/smart/do_annotation.pl?DOMAIN=IL2&amp;BLAST=DUMMY","0.86")</f>
        <v>0.86</v>
      </c>
      <c r="BI421" t="str">
        <f>HYPERLINK("http://exon.niaid.nih.gov/transcriptome/Anopheles_sialome/links/TICK-BLOCKS/anodir_30kDa-TICK-BLOCKS.txt","Aegyptin_stringent_pattern |Aegyptin_mosquito |Aegyptin_mosquito_stringent_pattern |Aegyptin_coxy |")</f>
        <v>Aegyptin_stringent_pattern |Aegyptin_mosquito |Aegyptin_mosquito_stringent_pattern |Aegyptin_coxy |</v>
      </c>
      <c r="BJ421" s="2" t="s">
        <v>2257</v>
      </c>
      <c r="BK421" t="s">
        <v>679</v>
      </c>
      <c r="BL421">
        <f>HYPERLINK("http://exon.niaid.nih.gov/transcriptome/Anopheles_sialome/links/cluster-b/anopheline-sialome-cds-pep-larger-orf25-50SimCLU10.txt", 10)</f>
        <v>10</v>
      </c>
      <c r="BM421">
        <f>HYPERLINK("http://exon.niaid.nih.gov/transcriptome/Anopheles_sialome/links/cluster-b/anopheline-sialome-cds-pep-larger-orf25-50SimCLTL10.txt", 19)</f>
        <v>19</v>
      </c>
      <c r="BN421">
        <f>HYPERLINK("http://exon.niaid.nih.gov/transcriptome/Anopheles_sialome/links/cluster-b/anopheline-sialome-cds-pep-larger-orf30-50SimCLU9.txt", 9)</f>
        <v>9</v>
      </c>
      <c r="BO421">
        <f>HYPERLINK("http://exon.niaid.nih.gov/transcriptome/Anopheles_sialome/links/cluster-b/anopheline-sialome-cds-pep-larger-orf30-50SimCLTL9.txt", 19)</f>
        <v>19</v>
      </c>
      <c r="BP421">
        <f>HYPERLINK("http://exon.niaid.nih.gov/transcriptome/Anopheles_sialome/links/cluster-b/anopheline-sialome-cds-pep-larger-orf35-50SimCLU11.txt", 11)</f>
        <v>11</v>
      </c>
      <c r="BQ421">
        <f>HYPERLINK("http://exon.niaid.nih.gov/transcriptome/Anopheles_sialome/links/cluster-b/anopheline-sialome-cds-pep-larger-orf35-50SimCLTL11.txt", 19)</f>
        <v>19</v>
      </c>
      <c r="BR421">
        <f>HYPERLINK("http://exon.niaid.nih.gov/transcriptome/Anopheles_sialome/links/cluster-b/anopheline-sialome-cds-pep-larger-orf40-50SimCLU12.txt", 12)</f>
        <v>12</v>
      </c>
      <c r="BS421">
        <f>HYPERLINK("http://exon.niaid.nih.gov/transcriptome/Anopheles_sialome/links/cluster-b/anopheline-sialome-cds-pep-larger-orf40-50SimCLTL12.txt", 19)</f>
        <v>19</v>
      </c>
      <c r="BT421">
        <f>HYPERLINK("http://exon.niaid.nih.gov/transcriptome/Anopheles_sialome/links/cluster-b/anopheline-sialome-cds-pep-larger-orf45-50SimCLU12.txt", 12)</f>
        <v>12</v>
      </c>
      <c r="BU421">
        <f>HYPERLINK("http://exon.niaid.nih.gov/transcriptome/Anopheles_sialome/links/cluster-b/anopheline-sialome-cds-pep-larger-orf45-50SimCLTL12.txt", 19)</f>
        <v>19</v>
      </c>
      <c r="BV421">
        <f>HYPERLINK("http://exon.niaid.nih.gov/transcriptome/Anopheles_sialome/links/cluster-b/anopheline-sialome-cds-pep-larger-orf50-50SimCLU12.txt", 12)</f>
        <v>12</v>
      </c>
      <c r="BW421">
        <f>HYPERLINK("http://exon.niaid.nih.gov/transcriptome/Anopheles_sialome/links/cluster-b/anopheline-sialome-cds-pep-larger-orf50-50SimCLTL12.txt", 19)</f>
        <v>19</v>
      </c>
      <c r="BX421">
        <f>HYPERLINK("http://exon.niaid.nih.gov/transcriptome/Anopheles_sialome/links/cluster-b/anopheline-sialome-cds-pep-larger-orf55-50SimCLU13.txt", 13)</f>
        <v>13</v>
      </c>
      <c r="BY421">
        <f>HYPERLINK("http://exon.niaid.nih.gov/transcriptome/Anopheles_sialome/links/cluster-b/anopheline-sialome-cds-pep-larger-orf55-50SimCLTL13.txt", 19)</f>
        <v>19</v>
      </c>
      <c r="BZ421">
        <f>HYPERLINK("http://exon.niaid.nih.gov/transcriptome/Anopheles_sialome/links/cluster-b/anopheline-sialome-cds-pep-larger-orf60-50SimCLU11.txt", 11)</f>
        <v>11</v>
      </c>
      <c r="CA421">
        <f>HYPERLINK("http://exon.niaid.nih.gov/transcriptome/Anopheles_sialome/links/cluster-b/anopheline-sialome-cds-pep-larger-orf60-50SimCLTL11.txt", 19)</f>
        <v>19</v>
      </c>
      <c r="CB421">
        <f>HYPERLINK("http://exon.niaid.nih.gov/transcriptome/Anopheles_sialome/links/cluster-b/anopheline-sialome-cds-pep-larger-orf65-50SimCLU8.txt", 8)</f>
        <v>8</v>
      </c>
      <c r="CC421">
        <f>HYPERLINK("http://exon.niaid.nih.gov/transcriptome/Anopheles_sialome/links/cluster-b/anopheline-sialome-cds-pep-larger-orf65-50SimCLTL8.txt", 19)</f>
        <v>19</v>
      </c>
      <c r="CD421">
        <f>HYPERLINK("http://exon.niaid.nih.gov/transcriptome/Anopheles_sialome/links/cluster-b/anopheline-sialome-cds-pep-larger-orf70-50SimCLU7.txt", 7)</f>
        <v>7</v>
      </c>
      <c r="CE421">
        <f>HYPERLINK("http://exon.niaid.nih.gov/transcriptome/Anopheles_sialome/links/cluster-b/anopheline-sialome-cds-pep-larger-orf70-50SimCLTL7.txt", 19)</f>
        <v>19</v>
      </c>
      <c r="CF421">
        <f>HYPERLINK("http://exon.niaid.nih.gov/transcriptome/Anopheles_sialome/links/cluster-b/anopheline-sialome-cds-pep-larger-orf75-50SimCLU16.txt", 16)</f>
        <v>16</v>
      </c>
      <c r="CG421">
        <f>HYPERLINK("http://exon.niaid.nih.gov/transcriptome/Anopheles_sialome/links/cluster-b/anopheline-sialome-cds-pep-larger-orf75-50SimCLTL16.txt", 16)</f>
        <v>16</v>
      </c>
      <c r="CH421">
        <v>113</v>
      </c>
      <c r="CI421">
        <v>1</v>
      </c>
      <c r="CJ421">
        <v>114</v>
      </c>
      <c r="CK421">
        <v>1</v>
      </c>
      <c r="CL421">
        <v>104</v>
      </c>
      <c r="CM421">
        <v>1</v>
      </c>
      <c r="CN421">
        <v>78</v>
      </c>
      <c r="CO421">
        <v>1</v>
      </c>
    </row>
    <row r="422" spans="1:93">
      <c r="A422" s="2" t="str">
        <f>HYPERLINK("http://exon.niaid.nih.gov/transcriptome/Anopheles_sialome/links/cds/anoatro_30kDa-cds.txt","anoatro_30kDa")</f>
        <v>anoatro_30kDa</v>
      </c>
      <c r="B422">
        <v>762</v>
      </c>
      <c r="C422" t="s">
        <v>21</v>
      </c>
      <c r="D422" t="s">
        <v>4</v>
      </c>
      <c r="E422" t="s">
        <v>5</v>
      </c>
      <c r="F422" t="s">
        <v>1</v>
      </c>
      <c r="G422" t="str">
        <f>HYPERLINK("http://exon.niaid.nih.gov/transcriptome/Anopheles_sialome/links/pep/anoatro_30kDa-pep.txt","anoatro_30kDa")</f>
        <v>anoatro_30kDa</v>
      </c>
      <c r="H422">
        <v>253</v>
      </c>
      <c r="I422">
        <v>0</v>
      </c>
      <c r="J422" s="3" t="str">
        <f>HYPERLINK("http://exon.niaid.nih.gov/transcriptome/Anopheles_sialome/links/Sigp/anoatro_30kDa-SigP.txt","SIG")</f>
        <v>SIG</v>
      </c>
      <c r="K422" t="s">
        <v>652</v>
      </c>
      <c r="L422">
        <v>26.805</v>
      </c>
      <c r="M422">
        <v>4.12</v>
      </c>
      <c r="N422">
        <v>24.864000000000001</v>
      </c>
      <c r="O422">
        <v>4.0999999999999996</v>
      </c>
      <c r="P422" t="s">
        <v>680</v>
      </c>
      <c r="Q422" s="3">
        <v>0</v>
      </c>
      <c r="R422" t="s">
        <v>128</v>
      </c>
      <c r="S422" t="s">
        <v>128</v>
      </c>
      <c r="T422" t="s">
        <v>128</v>
      </c>
      <c r="U422" t="s">
        <v>128</v>
      </c>
      <c r="V422" t="s">
        <v>128</v>
      </c>
      <c r="W422" s="3" t="str">
        <f>HYPERLINK("http://exon.niaid.nih.gov/transcriptome/Anopheles_sialome/links/netoglyc/anoatro_30kDa-netoglyc.txt","15")</f>
        <v>15</v>
      </c>
      <c r="X422">
        <v>12.3</v>
      </c>
      <c r="Y422">
        <v>13.4</v>
      </c>
      <c r="Z422">
        <v>1.6</v>
      </c>
      <c r="AA422" t="s">
        <v>654</v>
      </c>
      <c r="AB422" t="s">
        <v>128</v>
      </c>
      <c r="AC422" s="2" t="str">
        <f>HYPERLINK("http://exon.niaid.nih.gov/transcriptome/Anopheles_sialome/links/DIPTERA/anoatro_30kDa-DIPTERA.txt","anti-platelet protein")</f>
        <v>anti-platelet protein</v>
      </c>
      <c r="AD422" t="str">
        <f>HYPERLINK("http://www.ncbi.nlm.nih.gov/sutils/blink.cgi?pid=668452053","1E-098")</f>
        <v>1E-098</v>
      </c>
      <c r="AE422" t="str">
        <f>HYPERLINK("http://www.ncbi.nlm.nih.gov/protein/668452053","gi|668452053")</f>
        <v>gi|668452053</v>
      </c>
      <c r="AF422">
        <v>73</v>
      </c>
      <c r="AG422">
        <v>79</v>
      </c>
      <c r="AH422">
        <v>103</v>
      </c>
      <c r="AI422" t="s">
        <v>2277</v>
      </c>
      <c r="AJ422" s="2" t="str">
        <f>HYPERLINK("http://exon.niaid.nih.gov/transcriptome/Anopheles_sialome/links/CULICOMORPHA/anoatro_30kDa-CULICOMORPHA.txt","anti-platelet protein")</f>
        <v>anti-platelet protein</v>
      </c>
      <c r="AK422" t="str">
        <f>HYPERLINK("http://www.ncbi.nlm.nih.gov/sutils/blink.cgi?pid=668452053","2E-099")</f>
        <v>2E-099</v>
      </c>
      <c r="AL422" t="str">
        <f>HYPERLINK("http://www.ncbi.nlm.nih.gov/protein/668452053","gi|668452053")</f>
        <v>gi|668452053</v>
      </c>
      <c r="AM422">
        <v>73</v>
      </c>
      <c r="AN422">
        <v>79</v>
      </c>
      <c r="AO422">
        <v>103</v>
      </c>
      <c r="AP422" t="s">
        <v>2277</v>
      </c>
      <c r="AQ422" s="2" t="str">
        <f>HYPERLINK("http://exon.niaid.nih.gov/transcriptome/Anopheles_sialome/links/NR-LIGHT/anoatro_30kDa-NR-LIGHT.txt","anti-platelet protein")</f>
        <v>anti-platelet protein</v>
      </c>
      <c r="AR422" t="str">
        <f>HYPERLINK("http://www.ncbi.nlm.nih.gov/sutils/blink.cgi?pid=668452053","2E-098")</f>
        <v>2E-098</v>
      </c>
      <c r="AS422" t="str">
        <f>HYPERLINK("http://www.ncbi.nlm.nih.gov/protein/668452053","gi|668452053")</f>
        <v>gi|668452053</v>
      </c>
      <c r="AT422">
        <v>73</v>
      </c>
      <c r="AU422">
        <v>79</v>
      </c>
      <c r="AV422">
        <v>103</v>
      </c>
      <c r="AW422" t="s">
        <v>2277</v>
      </c>
      <c r="AX422" s="2" t="str">
        <f>HYPERLINK("http://exon.niaid.nih.gov/transcriptome/Anopheles_sialome/links/CDD/anoatro_30kDa-CDD.txt","retinal_rod")</f>
        <v>retinal_rod</v>
      </c>
      <c r="AY422" t="str">
        <f>HYPERLINK("http://www.ncbi.nlm.nih.gov/Structure/cdd/cddsrv.cgi?uid=TIGR00927&amp;version=v4.0","3E-005")</f>
        <v>3E-005</v>
      </c>
      <c r="AZ422" t="s">
        <v>2278</v>
      </c>
      <c r="BA422" s="2" t="str">
        <f>HYPERLINK("http://exon.niaid.nih.gov/transcriptome/Anopheles_sialome/links/KOG/anoatro_30kDa-KOG.txt","HIV-1 Vpr-binding protein")</f>
        <v>HIV-1 Vpr-binding protein</v>
      </c>
      <c r="BB422" t="str">
        <f>HYPERLINK("http://www.ncbi.nlm.nih.gov/Structure/cdd/cddsrv.cgi?uid=KOG1832","4E-005")</f>
        <v>4E-005</v>
      </c>
      <c r="BC422" t="s">
        <v>2256</v>
      </c>
      <c r="BD422" t="str">
        <f>HYPERLINK("http://exon.niaid.nih.gov/transcriptome/Anopheles_sialome/links/KOG/anoatro_30kDa-KOG.txt","KOG1832")</f>
        <v>KOG1832</v>
      </c>
      <c r="BE422" t="str">
        <f>HYPERLINK("http://exon.niaid.nih.gov/transcriptome/Anopheles_sialome/links/PFAM/anoatro_30kDa-PFAM.txt","Herpes_LMP1")</f>
        <v>Herpes_LMP1</v>
      </c>
      <c r="BF422" t="str">
        <f>HYPERLINK("http://pfam.sanger.ac.uk/family?acc=PF05297","0.001")</f>
        <v>0.001</v>
      </c>
      <c r="BG422" s="2" t="str">
        <f>HYPERLINK("http://exon.niaid.nih.gov/transcriptome/Anopheles_sialome/links/SMART/anoatro_30kDa-SMART.txt","BRO1")</f>
        <v>BRO1</v>
      </c>
      <c r="BH422" t="str">
        <f>HYPERLINK("http://smart.embl-heidelberg.de/smart/do_annotation.pl?DOMAIN=BRO1&amp;BLAST=DUMMY","0.021")</f>
        <v>0.021</v>
      </c>
      <c r="BI422" t="str">
        <f>HYPERLINK("http://exon.niaid.nih.gov/transcriptome/Anopheles_sialome/links/TICK-BLOCKS/anoatro_30kDa-TICK-BLOCKS.txt","Aegyptin_stringent_pattern |Aegyptin_mosquito_stringent_pattern |Aegyptin_coxy |")</f>
        <v>Aegyptin_stringent_pattern |Aegyptin_mosquito_stringent_pattern |Aegyptin_coxy |</v>
      </c>
      <c r="BJ422" s="2" t="s">
        <v>2279</v>
      </c>
      <c r="BK422" t="s">
        <v>681</v>
      </c>
      <c r="BL422">
        <f>HYPERLINK("http://exon.niaid.nih.gov/transcriptome/Anopheles_sialome/links/cluster-b/anopheline-sialome-cds-pep-larger-orf25-50SimCLU10.txt", 10)</f>
        <v>10</v>
      </c>
      <c r="BM422">
        <f>HYPERLINK("http://exon.niaid.nih.gov/transcriptome/Anopheles_sialome/links/cluster-b/anopheline-sialome-cds-pep-larger-orf25-50SimCLTL10.txt", 19)</f>
        <v>19</v>
      </c>
      <c r="BN422">
        <f>HYPERLINK("http://exon.niaid.nih.gov/transcriptome/Anopheles_sialome/links/cluster-b/anopheline-sialome-cds-pep-larger-orf30-50SimCLU9.txt", 9)</f>
        <v>9</v>
      </c>
      <c r="BO422">
        <f>HYPERLINK("http://exon.niaid.nih.gov/transcriptome/Anopheles_sialome/links/cluster-b/anopheline-sialome-cds-pep-larger-orf30-50SimCLTL9.txt", 19)</f>
        <v>19</v>
      </c>
      <c r="BP422">
        <f>HYPERLINK("http://exon.niaid.nih.gov/transcriptome/Anopheles_sialome/links/cluster-b/anopheline-sialome-cds-pep-larger-orf35-50SimCLU11.txt", 11)</f>
        <v>11</v>
      </c>
      <c r="BQ422">
        <f>HYPERLINK("http://exon.niaid.nih.gov/transcriptome/Anopheles_sialome/links/cluster-b/anopheline-sialome-cds-pep-larger-orf35-50SimCLTL11.txt", 19)</f>
        <v>19</v>
      </c>
      <c r="BR422">
        <f>HYPERLINK("http://exon.niaid.nih.gov/transcriptome/Anopheles_sialome/links/cluster-b/anopheline-sialome-cds-pep-larger-orf40-50SimCLU12.txt", 12)</f>
        <v>12</v>
      </c>
      <c r="BS422">
        <f>HYPERLINK("http://exon.niaid.nih.gov/transcriptome/Anopheles_sialome/links/cluster-b/anopheline-sialome-cds-pep-larger-orf40-50SimCLTL12.txt", 19)</f>
        <v>19</v>
      </c>
      <c r="BT422">
        <f>HYPERLINK("http://exon.niaid.nih.gov/transcriptome/Anopheles_sialome/links/cluster-b/anopheline-sialome-cds-pep-larger-orf45-50SimCLU12.txt", 12)</f>
        <v>12</v>
      </c>
      <c r="BU422">
        <f>HYPERLINK("http://exon.niaid.nih.gov/transcriptome/Anopheles_sialome/links/cluster-b/anopheline-sialome-cds-pep-larger-orf45-50SimCLTL12.txt", 19)</f>
        <v>19</v>
      </c>
      <c r="BV422">
        <f>HYPERLINK("http://exon.niaid.nih.gov/transcriptome/Anopheles_sialome/links/cluster-b/anopheline-sialome-cds-pep-larger-orf50-50SimCLU12.txt", 12)</f>
        <v>12</v>
      </c>
      <c r="BW422">
        <f>HYPERLINK("http://exon.niaid.nih.gov/transcriptome/Anopheles_sialome/links/cluster-b/anopheline-sialome-cds-pep-larger-orf50-50SimCLTL12.txt", 19)</f>
        <v>19</v>
      </c>
      <c r="BX422">
        <f>HYPERLINK("http://exon.niaid.nih.gov/transcriptome/Anopheles_sialome/links/cluster-b/anopheline-sialome-cds-pep-larger-orf55-50SimCLU13.txt", 13)</f>
        <v>13</v>
      </c>
      <c r="BY422">
        <f>HYPERLINK("http://exon.niaid.nih.gov/transcriptome/Anopheles_sialome/links/cluster-b/anopheline-sialome-cds-pep-larger-orf55-50SimCLTL13.txt", 19)</f>
        <v>19</v>
      </c>
      <c r="BZ422">
        <f>HYPERLINK("http://exon.niaid.nih.gov/transcriptome/Anopheles_sialome/links/cluster-b/anopheline-sialome-cds-pep-larger-orf60-50SimCLU11.txt", 11)</f>
        <v>11</v>
      </c>
      <c r="CA422">
        <f>HYPERLINK("http://exon.niaid.nih.gov/transcriptome/Anopheles_sialome/links/cluster-b/anopheline-sialome-cds-pep-larger-orf60-50SimCLTL11.txt", 19)</f>
        <v>19</v>
      </c>
      <c r="CB422">
        <f>HYPERLINK("http://exon.niaid.nih.gov/transcriptome/Anopheles_sialome/links/cluster-b/anopheline-sialome-cds-pep-larger-orf65-50SimCLU8.txt", 8)</f>
        <v>8</v>
      </c>
      <c r="CC422">
        <f>HYPERLINK("http://exon.niaid.nih.gov/transcriptome/Anopheles_sialome/links/cluster-b/anopheline-sialome-cds-pep-larger-orf65-50SimCLTL8.txt", 19)</f>
        <v>19</v>
      </c>
      <c r="CD422">
        <f>HYPERLINK("http://exon.niaid.nih.gov/transcriptome/Anopheles_sialome/links/cluster-b/anopheline-sialome-cds-pep-larger-orf70-50SimCLU7.txt", 7)</f>
        <v>7</v>
      </c>
      <c r="CE422">
        <f>HYPERLINK("http://exon.niaid.nih.gov/transcriptome/Anopheles_sialome/links/cluster-b/anopheline-sialome-cds-pep-larger-orf70-50SimCLTL7.txt", 19)</f>
        <v>19</v>
      </c>
      <c r="CF422">
        <f>HYPERLINK("http://exon.niaid.nih.gov/transcriptome/Anopheles_sialome/links/cluster-b/anopheline-sialome-cds-pep-larger-orf75-50SimCLU16.txt", 16)</f>
        <v>16</v>
      </c>
      <c r="CG422">
        <f>HYPERLINK("http://exon.niaid.nih.gov/transcriptome/Anopheles_sialome/links/cluster-b/anopheline-sialome-cds-pep-larger-orf75-50SimCLTL16.txt", 16)</f>
        <v>16</v>
      </c>
      <c r="CH422">
        <f>HYPERLINK("http://exon.niaid.nih.gov/transcriptome/Anopheles_sialome/links/cluster-b/anopheline-sialome-cds-pep-larger-orf80-50SimCLU60.txt", 60)</f>
        <v>60</v>
      </c>
      <c r="CI422">
        <f>HYPERLINK("http://exon.niaid.nih.gov/transcriptome/Anopheles_sialome/links/cluster-b/anopheline-sialome-cds-pep-larger-orf80-50SimCLTL60.txt", 2)</f>
        <v>2</v>
      </c>
      <c r="CJ422">
        <v>115</v>
      </c>
      <c r="CK422">
        <v>1</v>
      </c>
      <c r="CL422">
        <v>105</v>
      </c>
      <c r="CM422">
        <v>1</v>
      </c>
      <c r="CN422">
        <v>79</v>
      </c>
      <c r="CO422">
        <v>1</v>
      </c>
    </row>
    <row r="423" spans="1:93">
      <c r="A423" s="2" t="str">
        <f>HYPERLINK("http://exon.niaid.nih.gov/transcriptome/Anopheles_sialome/links/cds/anosin_30kDa-cds.txt","anosin_30kDa")</f>
        <v>anosin_30kDa</v>
      </c>
      <c r="B423">
        <v>765</v>
      </c>
      <c r="C423" t="s">
        <v>22</v>
      </c>
      <c r="D423" t="s">
        <v>4</v>
      </c>
      <c r="E423" t="s">
        <v>5</v>
      </c>
      <c r="F423" t="s">
        <v>1</v>
      </c>
      <c r="G423" t="str">
        <f>HYPERLINK("http://exon.niaid.nih.gov/transcriptome/Anopheles_sialome/links/pep/anosin_30kDa-pep.txt","anosin_30kDa")</f>
        <v>anosin_30kDa</v>
      </c>
      <c r="H423">
        <v>254</v>
      </c>
      <c r="I423">
        <v>0</v>
      </c>
      <c r="J423" s="3" t="str">
        <f>HYPERLINK("http://exon.niaid.nih.gov/transcriptome/Anopheles_sialome/links/Sigp/anosin_30kDa-SigP.txt","SIG")</f>
        <v>SIG</v>
      </c>
      <c r="K423" t="s">
        <v>652</v>
      </c>
      <c r="L423">
        <v>26.431999999999999</v>
      </c>
      <c r="M423">
        <v>4.1399999999999997</v>
      </c>
      <c r="N423">
        <v>24.491</v>
      </c>
      <c r="O423">
        <v>4.1100000000000003</v>
      </c>
      <c r="P423" t="s">
        <v>683</v>
      </c>
      <c r="Q423" s="3">
        <v>0</v>
      </c>
      <c r="R423" t="s">
        <v>128</v>
      </c>
      <c r="S423" t="s">
        <v>128</v>
      </c>
      <c r="T423" t="s">
        <v>128</v>
      </c>
      <c r="U423" t="s">
        <v>128</v>
      </c>
      <c r="V423" t="s">
        <v>128</v>
      </c>
      <c r="W423" s="3" t="str">
        <f>HYPERLINK("http://exon.niaid.nih.gov/transcriptome/Anopheles_sialome/links/netoglyc/anosin_30kDa-netoglyc.txt","7")</f>
        <v>7</v>
      </c>
      <c r="X423">
        <v>10.199999999999999</v>
      </c>
      <c r="Y423">
        <v>18.100000000000001</v>
      </c>
      <c r="Z423">
        <v>0.8</v>
      </c>
      <c r="AA423" t="s">
        <v>654</v>
      </c>
      <c r="AB423" t="s">
        <v>128</v>
      </c>
      <c r="AC423" s="2" t="str">
        <f>HYPERLINK("http://exon.niaid.nih.gov/transcriptome/Anopheles_sialome/links/DIPTERA/anosin_30kDa-DIPTERA.txt","anti-platelet protein")</f>
        <v>anti-platelet protein</v>
      </c>
      <c r="AD423" t="str">
        <f>HYPERLINK("http://www.ncbi.nlm.nih.gov/sutils/blink.cgi?pid=668452053","1E-142")</f>
        <v>1E-142</v>
      </c>
      <c r="AE423" t="str">
        <f>HYPERLINK("http://www.ncbi.nlm.nih.gov/protein/668452053","gi|668452053")</f>
        <v>gi|668452053</v>
      </c>
      <c r="AF423">
        <v>98</v>
      </c>
      <c r="AG423">
        <v>98</v>
      </c>
      <c r="AH423">
        <v>100</v>
      </c>
      <c r="AI423" t="s">
        <v>2277</v>
      </c>
      <c r="AJ423" s="2" t="str">
        <f>HYPERLINK("http://exon.niaid.nih.gov/transcriptome/Anopheles_sialome/links/CULICOMORPHA/anosin_30kDa-CULICOMORPHA.txt","anti-platelet protein")</f>
        <v>anti-platelet protein</v>
      </c>
      <c r="AK423" t="str">
        <f>HYPERLINK("http://www.ncbi.nlm.nih.gov/sutils/blink.cgi?pid=668452053","1E-143")</f>
        <v>1E-143</v>
      </c>
      <c r="AL423" t="str">
        <f>HYPERLINK("http://www.ncbi.nlm.nih.gov/protein/668452053","gi|668452053")</f>
        <v>gi|668452053</v>
      </c>
      <c r="AM423">
        <v>98</v>
      </c>
      <c r="AN423">
        <v>98</v>
      </c>
      <c r="AO423">
        <v>100</v>
      </c>
      <c r="AP423" t="s">
        <v>2277</v>
      </c>
      <c r="AQ423" s="2" t="str">
        <f>HYPERLINK("http://exon.niaid.nih.gov/transcriptome/Anopheles_sialome/links/NR-LIGHT/anosin_30kDa-NR-LIGHT.txt","anti-platelet protein")</f>
        <v>anti-platelet protein</v>
      </c>
      <c r="AR423" t="str">
        <f>HYPERLINK("http://www.ncbi.nlm.nih.gov/sutils/blink.cgi?pid=668452053","1E-142")</f>
        <v>1E-142</v>
      </c>
      <c r="AS423" t="str">
        <f>HYPERLINK("http://www.ncbi.nlm.nih.gov/protein/668452053","gi|668452053")</f>
        <v>gi|668452053</v>
      </c>
      <c r="AT423">
        <v>98</v>
      </c>
      <c r="AU423">
        <v>98</v>
      </c>
      <c r="AV423">
        <v>100</v>
      </c>
      <c r="AW423" t="s">
        <v>2277</v>
      </c>
      <c r="AX423" s="2" t="str">
        <f>HYPERLINK("http://exon.niaid.nih.gov/transcriptome/Anopheles_sialome/links/CDD/anosin_30kDa-CDD.txt","PHA03169")</f>
        <v>PHA03169</v>
      </c>
      <c r="AY423" t="str">
        <f>HYPERLINK("http://www.ncbi.nlm.nih.gov/Structure/cdd/cddsrv.cgi?uid=PHA03169&amp;version=v4.0","4E-009")</f>
        <v>4E-009</v>
      </c>
      <c r="AZ423" t="s">
        <v>2280</v>
      </c>
      <c r="BA423" s="2" t="str">
        <f>HYPERLINK("http://exon.niaid.nih.gov/transcriptome/Anopheles_sialome/links/KOG/anosin_30kDa-KOG.txt","HIV-1 Vpr-binding protein")</f>
        <v>HIV-1 Vpr-binding protein</v>
      </c>
      <c r="BB423" t="str">
        <f>HYPERLINK("http://www.ncbi.nlm.nih.gov/Structure/cdd/cddsrv.cgi?uid=KOG1832","7E-007")</f>
        <v>7E-007</v>
      </c>
      <c r="BC423" t="s">
        <v>2256</v>
      </c>
      <c r="BD423" t="str">
        <f>HYPERLINK("http://exon.niaid.nih.gov/transcriptome/Anopheles_sialome/links/KOG/anosin_30kDa-KOG.txt","KOG1832")</f>
        <v>KOG1832</v>
      </c>
      <c r="BE423" t="str">
        <f>HYPERLINK("http://exon.niaid.nih.gov/transcriptome/Anopheles_sialome/links/PFAM/anosin_30kDa-PFAM.txt","COPI_C")</f>
        <v>COPI_C</v>
      </c>
      <c r="BF423" t="str">
        <f>HYPERLINK("http://pfam.sanger.ac.uk/family?acc=PF06957","0.001")</f>
        <v>0.001</v>
      </c>
      <c r="BG423" s="2" t="str">
        <f>HYPERLINK("http://exon.niaid.nih.gov/transcriptome/Anopheles_sialome/links/SMART/anosin_30kDa-SMART.txt","BRO1")</f>
        <v>BRO1</v>
      </c>
      <c r="BH423" t="str">
        <f>HYPERLINK("http://smart.embl-heidelberg.de/smart/do_annotation.pl?DOMAIN=BRO1&amp;BLAST=DUMMY","0.015")</f>
        <v>0.015</v>
      </c>
      <c r="BI423" t="str">
        <f>HYPERLINK("http://exon.niaid.nih.gov/transcriptome/Anopheles_sialome/links/TICK-BLOCKS/anosin_30kDa-TICK-BLOCKS.txt","Aegyptin_stringent_pattern |Aegyptin_mosquito_stringent_pattern |Aegyptin_coxy |")</f>
        <v>Aegyptin_stringent_pattern |Aegyptin_mosquito_stringent_pattern |Aegyptin_coxy |</v>
      </c>
      <c r="BJ423" s="2" t="s">
        <v>2279</v>
      </c>
      <c r="BK423" t="s">
        <v>682</v>
      </c>
      <c r="BL423">
        <f>HYPERLINK("http://exon.niaid.nih.gov/transcriptome/Anopheles_sialome/links/cluster-b/anopheline-sialome-cds-pep-larger-orf25-50SimCLU10.txt", 10)</f>
        <v>10</v>
      </c>
      <c r="BM423">
        <f>HYPERLINK("http://exon.niaid.nih.gov/transcriptome/Anopheles_sialome/links/cluster-b/anopheline-sialome-cds-pep-larger-orf25-50SimCLTL10.txt", 19)</f>
        <v>19</v>
      </c>
      <c r="BN423">
        <f>HYPERLINK("http://exon.niaid.nih.gov/transcriptome/Anopheles_sialome/links/cluster-b/anopheline-sialome-cds-pep-larger-orf30-50SimCLU9.txt", 9)</f>
        <v>9</v>
      </c>
      <c r="BO423">
        <f>HYPERLINK("http://exon.niaid.nih.gov/transcriptome/Anopheles_sialome/links/cluster-b/anopheline-sialome-cds-pep-larger-orf30-50SimCLTL9.txt", 19)</f>
        <v>19</v>
      </c>
      <c r="BP423">
        <f>HYPERLINK("http://exon.niaid.nih.gov/transcriptome/Anopheles_sialome/links/cluster-b/anopheline-sialome-cds-pep-larger-orf35-50SimCLU11.txt", 11)</f>
        <v>11</v>
      </c>
      <c r="BQ423">
        <f>HYPERLINK("http://exon.niaid.nih.gov/transcriptome/Anopheles_sialome/links/cluster-b/anopheline-sialome-cds-pep-larger-orf35-50SimCLTL11.txt", 19)</f>
        <v>19</v>
      </c>
      <c r="BR423">
        <f>HYPERLINK("http://exon.niaid.nih.gov/transcriptome/Anopheles_sialome/links/cluster-b/anopheline-sialome-cds-pep-larger-orf40-50SimCLU12.txt", 12)</f>
        <v>12</v>
      </c>
      <c r="BS423">
        <f>HYPERLINK("http://exon.niaid.nih.gov/transcriptome/Anopheles_sialome/links/cluster-b/anopheline-sialome-cds-pep-larger-orf40-50SimCLTL12.txt", 19)</f>
        <v>19</v>
      </c>
      <c r="BT423">
        <f>HYPERLINK("http://exon.niaid.nih.gov/transcriptome/Anopheles_sialome/links/cluster-b/anopheline-sialome-cds-pep-larger-orf45-50SimCLU12.txt", 12)</f>
        <v>12</v>
      </c>
      <c r="BU423">
        <f>HYPERLINK("http://exon.niaid.nih.gov/transcriptome/Anopheles_sialome/links/cluster-b/anopheline-sialome-cds-pep-larger-orf45-50SimCLTL12.txt", 19)</f>
        <v>19</v>
      </c>
      <c r="BV423">
        <f>HYPERLINK("http://exon.niaid.nih.gov/transcriptome/Anopheles_sialome/links/cluster-b/anopheline-sialome-cds-pep-larger-orf50-50SimCLU12.txt", 12)</f>
        <v>12</v>
      </c>
      <c r="BW423">
        <f>HYPERLINK("http://exon.niaid.nih.gov/transcriptome/Anopheles_sialome/links/cluster-b/anopheline-sialome-cds-pep-larger-orf50-50SimCLTL12.txt", 19)</f>
        <v>19</v>
      </c>
      <c r="BX423">
        <f>HYPERLINK("http://exon.niaid.nih.gov/transcriptome/Anopheles_sialome/links/cluster-b/anopheline-sialome-cds-pep-larger-orf55-50SimCLU13.txt", 13)</f>
        <v>13</v>
      </c>
      <c r="BY423">
        <f>HYPERLINK("http://exon.niaid.nih.gov/transcriptome/Anopheles_sialome/links/cluster-b/anopheline-sialome-cds-pep-larger-orf55-50SimCLTL13.txt", 19)</f>
        <v>19</v>
      </c>
      <c r="BZ423">
        <f>HYPERLINK("http://exon.niaid.nih.gov/transcriptome/Anopheles_sialome/links/cluster-b/anopheline-sialome-cds-pep-larger-orf60-50SimCLU11.txt", 11)</f>
        <v>11</v>
      </c>
      <c r="CA423">
        <f>HYPERLINK("http://exon.niaid.nih.gov/transcriptome/Anopheles_sialome/links/cluster-b/anopheline-sialome-cds-pep-larger-orf60-50SimCLTL11.txt", 19)</f>
        <v>19</v>
      </c>
      <c r="CB423">
        <f>HYPERLINK("http://exon.niaid.nih.gov/transcriptome/Anopheles_sialome/links/cluster-b/anopheline-sialome-cds-pep-larger-orf65-50SimCLU8.txt", 8)</f>
        <v>8</v>
      </c>
      <c r="CC423">
        <f>HYPERLINK("http://exon.niaid.nih.gov/transcriptome/Anopheles_sialome/links/cluster-b/anopheline-sialome-cds-pep-larger-orf65-50SimCLTL8.txt", 19)</f>
        <v>19</v>
      </c>
      <c r="CD423">
        <f>HYPERLINK("http://exon.niaid.nih.gov/transcriptome/Anopheles_sialome/links/cluster-b/anopheline-sialome-cds-pep-larger-orf70-50SimCLU7.txt", 7)</f>
        <v>7</v>
      </c>
      <c r="CE423">
        <f>HYPERLINK("http://exon.niaid.nih.gov/transcriptome/Anopheles_sialome/links/cluster-b/anopheline-sialome-cds-pep-larger-orf70-50SimCLTL7.txt", 19)</f>
        <v>19</v>
      </c>
      <c r="CF423">
        <f>HYPERLINK("http://exon.niaid.nih.gov/transcriptome/Anopheles_sialome/links/cluster-b/anopheline-sialome-cds-pep-larger-orf75-50SimCLU16.txt", 16)</f>
        <v>16</v>
      </c>
      <c r="CG423">
        <f>HYPERLINK("http://exon.niaid.nih.gov/transcriptome/Anopheles_sialome/links/cluster-b/anopheline-sialome-cds-pep-larger-orf75-50SimCLTL16.txt", 16)</f>
        <v>16</v>
      </c>
      <c r="CH423">
        <f>HYPERLINK("http://exon.niaid.nih.gov/transcriptome/Anopheles_sialome/links/cluster-b/anopheline-sialome-cds-pep-larger-orf80-50SimCLU60.txt", 60)</f>
        <v>60</v>
      </c>
      <c r="CI423">
        <f>HYPERLINK("http://exon.niaid.nih.gov/transcriptome/Anopheles_sialome/links/cluster-b/anopheline-sialome-cds-pep-larger-orf80-50SimCLTL60.txt", 2)</f>
        <v>2</v>
      </c>
      <c r="CJ423">
        <v>116</v>
      </c>
      <c r="CK423">
        <v>1</v>
      </c>
      <c r="CL423">
        <v>106</v>
      </c>
      <c r="CM423">
        <v>1</v>
      </c>
      <c r="CN423">
        <v>80</v>
      </c>
      <c r="CO423">
        <v>1</v>
      </c>
    </row>
    <row r="424" spans="1:93">
      <c r="A424" s="2" t="str">
        <f>HYPERLINK("http://exon.niaid.nih.gov/transcriptome/Anopheles_sialome/links/cds/anoalb_30kDa-cds.txt","anoalb_30kDa")</f>
        <v>anoalb_30kDa</v>
      </c>
      <c r="B424">
        <v>723</v>
      </c>
      <c r="C424" t="s">
        <v>23</v>
      </c>
      <c r="D424" t="s">
        <v>4</v>
      </c>
      <c r="E424" t="s">
        <v>5</v>
      </c>
      <c r="F424" t="s">
        <v>1</v>
      </c>
      <c r="G424" t="str">
        <f>HYPERLINK("http://exon.niaid.nih.gov/transcriptome/Anopheles_sialome/links/pep/anoalb_30kDa-pep.txt","anoalb_30kDa")</f>
        <v>anoalb_30kDa</v>
      </c>
      <c r="H424">
        <v>240</v>
      </c>
      <c r="I424">
        <v>0</v>
      </c>
      <c r="J424" s="3" t="str">
        <f>HYPERLINK("http://exon.niaid.nih.gov/transcriptome/Anopheles_sialome/links/Sigp/anoalb_30kDa-SigP.txt","SIG")</f>
        <v>SIG</v>
      </c>
      <c r="K424" t="s">
        <v>652</v>
      </c>
      <c r="L424">
        <v>26.058</v>
      </c>
      <c r="M424">
        <v>4.26</v>
      </c>
      <c r="N424">
        <v>24.029</v>
      </c>
      <c r="O424">
        <v>4.2300000000000004</v>
      </c>
      <c r="P424" t="s">
        <v>685</v>
      </c>
      <c r="Q424" s="3">
        <v>0</v>
      </c>
      <c r="R424" t="s">
        <v>128</v>
      </c>
      <c r="S424" t="s">
        <v>128</v>
      </c>
      <c r="T424" t="s">
        <v>128</v>
      </c>
      <c r="U424" t="s">
        <v>128</v>
      </c>
      <c r="V424" t="s">
        <v>128</v>
      </c>
      <c r="W424" s="3" t="str">
        <f>HYPERLINK("http://exon.niaid.nih.gov/transcriptome/Anopheles_sialome/links/netoglyc/anoalb_30kDa-netoglyc.txt","9")</f>
        <v>9</v>
      </c>
      <c r="X424">
        <v>16.3</v>
      </c>
      <c r="Y424">
        <v>8.8000000000000007</v>
      </c>
      <c r="Z424">
        <v>2.1</v>
      </c>
      <c r="AA424" t="s">
        <v>654</v>
      </c>
      <c r="AB424" t="s">
        <v>128</v>
      </c>
      <c r="AC424" s="2" t="str">
        <f>HYPERLINK("http://exon.niaid.nih.gov/transcriptome/Anopheles_sialome/links/DIPTERA/anoalb_30kDa-DIPTERA.txt","salivary gland protein")</f>
        <v>salivary gland protein</v>
      </c>
      <c r="AD424" t="str">
        <f>HYPERLINK("http://www.ncbi.nlm.nih.gov/sutils/blink.cgi?pid=71389021","1E-134")</f>
        <v>1E-134</v>
      </c>
      <c r="AE424" t="str">
        <f>HYPERLINK("http://www.ncbi.nlm.nih.gov/protein/71389021","gi|71389021")</f>
        <v>gi|71389021</v>
      </c>
      <c r="AF424">
        <v>100</v>
      </c>
      <c r="AG424">
        <v>100</v>
      </c>
      <c r="AH424">
        <v>100</v>
      </c>
      <c r="AI424" t="s">
        <v>2281</v>
      </c>
      <c r="AJ424" s="2" t="str">
        <f>HYPERLINK("http://exon.niaid.nih.gov/transcriptome/Anopheles_sialome/links/CULICOMORPHA/anoalb_30kDa-CULICOMORPHA.txt","salivary gland protein")</f>
        <v>salivary gland protein</v>
      </c>
      <c r="AK424" t="str">
        <f>HYPERLINK("http://www.ncbi.nlm.nih.gov/sutils/blink.cgi?pid=71389021","1E-135")</f>
        <v>1E-135</v>
      </c>
      <c r="AL424" t="str">
        <f>HYPERLINK("http://www.ncbi.nlm.nih.gov/protein/71389021","gi|71389021")</f>
        <v>gi|71389021</v>
      </c>
      <c r="AM424">
        <v>100</v>
      </c>
      <c r="AN424">
        <v>100</v>
      </c>
      <c r="AO424">
        <v>100</v>
      </c>
      <c r="AP424" t="s">
        <v>2281</v>
      </c>
      <c r="AQ424" s="2" t="str">
        <f>HYPERLINK("http://exon.niaid.nih.gov/transcriptome/Anopheles_sialome/links/NR-LIGHT/anoalb_30kDa-NR-LIGHT.txt","salivary gland protein")</f>
        <v>salivary gland protein</v>
      </c>
      <c r="AR424" t="str">
        <f>HYPERLINK("http://www.ncbi.nlm.nih.gov/sutils/blink.cgi?pid=71389021","1E-134")</f>
        <v>1E-134</v>
      </c>
      <c r="AS424" t="str">
        <f>HYPERLINK("http://www.ncbi.nlm.nih.gov/protein/71389021","gi|71389021")</f>
        <v>gi|71389021</v>
      </c>
      <c r="AT424">
        <v>100</v>
      </c>
      <c r="AU424">
        <v>100</v>
      </c>
      <c r="AV424">
        <v>100</v>
      </c>
      <c r="AW424" t="s">
        <v>2281</v>
      </c>
      <c r="AX424" s="2" t="str">
        <f>HYPERLINK("http://exon.niaid.nih.gov/transcriptome/Anopheles_sialome/links/CDD/anoalb_30kDa-CDD.txt","PHA02664")</f>
        <v>PHA02664</v>
      </c>
      <c r="AY424" t="str">
        <f>HYPERLINK("http://www.ncbi.nlm.nih.gov/Structure/cdd/cddsrv.cgi?uid=PHA02664&amp;version=v4.0","2E-004")</f>
        <v>2E-004</v>
      </c>
      <c r="AZ424" t="s">
        <v>2282</v>
      </c>
      <c r="BA424" s="2" t="str">
        <f>HYPERLINK("http://exon.niaid.nih.gov/transcriptome/Anopheles_sialome/links/KOG/anoalb_30kDa-KOG.txt","HIV-1 Vpr-binding protein")</f>
        <v>HIV-1 Vpr-binding protein</v>
      </c>
      <c r="BB424" t="str">
        <f>HYPERLINK("http://www.ncbi.nlm.nih.gov/Structure/cdd/cddsrv.cgi?uid=KOG1832","0.002")</f>
        <v>0.002</v>
      </c>
      <c r="BC424" t="s">
        <v>2256</v>
      </c>
      <c r="BD424" t="str">
        <f>HYPERLINK("http://exon.niaid.nih.gov/transcriptome/Anopheles_sialome/links/KOG/anoalb_30kDa-KOG.txt","KOG1832")</f>
        <v>KOG1832</v>
      </c>
      <c r="BE424" t="str">
        <f>HYPERLINK("http://exon.niaid.nih.gov/transcriptome/Anopheles_sialome/links/PFAM/anoalb_30kDa-PFAM.txt","Herpes_LMP1")</f>
        <v>Herpes_LMP1</v>
      </c>
      <c r="BF424" t="str">
        <f>HYPERLINK("http://pfam.sanger.ac.uk/family?acc=PF05297","0.004")</f>
        <v>0.004</v>
      </c>
      <c r="BG424" s="2" t="str">
        <f>HYPERLINK("http://exon.niaid.nih.gov/transcriptome/Anopheles_sialome/links/SMART/anoalb_30kDa-SMART.txt","DNaseIc")</f>
        <v>DNaseIc</v>
      </c>
      <c r="BH424" t="str">
        <f>HYPERLINK("http://smart.embl-heidelberg.de/smart/do_annotation.pl?DOMAIN=DNaseIc&amp;BLAST=DUMMY","1.7")</f>
        <v>1.7</v>
      </c>
      <c r="BI424" t="str">
        <f>HYPERLINK("http://exon.niaid.nih.gov/transcriptome/Anopheles_sialome/links/TICK-BLOCKS/anoalb_30kDa-TICK-BLOCKS.txt","Aegyptin_stringent_pattern |Aegyptin_mosquito |Aegyptin_mosquito_stringent_pattern |Aegyptin_coxy |")</f>
        <v>Aegyptin_stringent_pattern |Aegyptin_mosquito |Aegyptin_mosquito_stringent_pattern |Aegyptin_coxy |</v>
      </c>
      <c r="BJ424" s="2" t="s">
        <v>2257</v>
      </c>
      <c r="BK424" t="s">
        <v>684</v>
      </c>
      <c r="BL424">
        <f>HYPERLINK("http://exon.niaid.nih.gov/transcriptome/Anopheles_sialome/links/cluster-b/anopheline-sialome-cds-pep-larger-orf25-50SimCLU10.txt", 10)</f>
        <v>10</v>
      </c>
      <c r="BM424">
        <f>HYPERLINK("http://exon.niaid.nih.gov/transcriptome/Anopheles_sialome/links/cluster-b/anopheline-sialome-cds-pep-larger-orf25-50SimCLTL10.txt", 19)</f>
        <v>19</v>
      </c>
      <c r="BN424">
        <f>HYPERLINK("http://exon.niaid.nih.gov/transcriptome/Anopheles_sialome/links/cluster-b/anopheline-sialome-cds-pep-larger-orf30-50SimCLU9.txt", 9)</f>
        <v>9</v>
      </c>
      <c r="BO424">
        <f>HYPERLINK("http://exon.niaid.nih.gov/transcriptome/Anopheles_sialome/links/cluster-b/anopheline-sialome-cds-pep-larger-orf30-50SimCLTL9.txt", 19)</f>
        <v>19</v>
      </c>
      <c r="BP424">
        <f>HYPERLINK("http://exon.niaid.nih.gov/transcriptome/Anopheles_sialome/links/cluster-b/anopheline-sialome-cds-pep-larger-orf35-50SimCLU11.txt", 11)</f>
        <v>11</v>
      </c>
      <c r="BQ424">
        <f>HYPERLINK("http://exon.niaid.nih.gov/transcriptome/Anopheles_sialome/links/cluster-b/anopheline-sialome-cds-pep-larger-orf35-50SimCLTL11.txt", 19)</f>
        <v>19</v>
      </c>
      <c r="BR424">
        <f>HYPERLINK("http://exon.niaid.nih.gov/transcriptome/Anopheles_sialome/links/cluster-b/anopheline-sialome-cds-pep-larger-orf40-50SimCLU12.txt", 12)</f>
        <v>12</v>
      </c>
      <c r="BS424">
        <f>HYPERLINK("http://exon.niaid.nih.gov/transcriptome/Anopheles_sialome/links/cluster-b/anopheline-sialome-cds-pep-larger-orf40-50SimCLTL12.txt", 19)</f>
        <v>19</v>
      </c>
      <c r="BT424">
        <f>HYPERLINK("http://exon.niaid.nih.gov/transcriptome/Anopheles_sialome/links/cluster-b/anopheline-sialome-cds-pep-larger-orf45-50SimCLU12.txt", 12)</f>
        <v>12</v>
      </c>
      <c r="BU424">
        <f>HYPERLINK("http://exon.niaid.nih.gov/transcriptome/Anopheles_sialome/links/cluster-b/anopheline-sialome-cds-pep-larger-orf45-50SimCLTL12.txt", 19)</f>
        <v>19</v>
      </c>
      <c r="BV424">
        <f>HYPERLINK("http://exon.niaid.nih.gov/transcriptome/Anopheles_sialome/links/cluster-b/anopheline-sialome-cds-pep-larger-orf50-50SimCLU12.txt", 12)</f>
        <v>12</v>
      </c>
      <c r="BW424">
        <f>HYPERLINK("http://exon.niaid.nih.gov/transcriptome/Anopheles_sialome/links/cluster-b/anopheline-sialome-cds-pep-larger-orf50-50SimCLTL12.txt", 19)</f>
        <v>19</v>
      </c>
      <c r="BX424">
        <f>HYPERLINK("http://exon.niaid.nih.gov/transcriptome/Anopheles_sialome/links/cluster-b/anopheline-sialome-cds-pep-larger-orf55-50SimCLU13.txt", 13)</f>
        <v>13</v>
      </c>
      <c r="BY424">
        <f>HYPERLINK("http://exon.niaid.nih.gov/transcriptome/Anopheles_sialome/links/cluster-b/anopheline-sialome-cds-pep-larger-orf55-50SimCLTL13.txt", 19)</f>
        <v>19</v>
      </c>
      <c r="BZ424">
        <f>HYPERLINK("http://exon.niaid.nih.gov/transcriptome/Anopheles_sialome/links/cluster-b/anopheline-sialome-cds-pep-larger-orf60-50SimCLU11.txt", 11)</f>
        <v>11</v>
      </c>
      <c r="CA424">
        <f>HYPERLINK("http://exon.niaid.nih.gov/transcriptome/Anopheles_sialome/links/cluster-b/anopheline-sialome-cds-pep-larger-orf60-50SimCLTL11.txt", 19)</f>
        <v>19</v>
      </c>
      <c r="CB424">
        <f>HYPERLINK("http://exon.niaid.nih.gov/transcriptome/Anopheles_sialome/links/cluster-b/anopheline-sialome-cds-pep-larger-orf65-50SimCLU8.txt", 8)</f>
        <v>8</v>
      </c>
      <c r="CC424">
        <f>HYPERLINK("http://exon.niaid.nih.gov/transcriptome/Anopheles_sialome/links/cluster-b/anopheline-sialome-cds-pep-larger-orf65-50SimCLTL8.txt", 19)</f>
        <v>19</v>
      </c>
      <c r="CD424">
        <f>HYPERLINK("http://exon.niaid.nih.gov/transcriptome/Anopheles_sialome/links/cluster-b/anopheline-sialome-cds-pep-larger-orf70-50SimCLU7.txt", 7)</f>
        <v>7</v>
      </c>
      <c r="CE424">
        <f>HYPERLINK("http://exon.niaid.nih.gov/transcriptome/Anopheles_sialome/links/cluster-b/anopheline-sialome-cds-pep-larger-orf70-50SimCLTL7.txt", 19)</f>
        <v>19</v>
      </c>
      <c r="CF424">
        <f>HYPERLINK("http://exon.niaid.nih.gov/transcriptome/Anopheles_sialome/links/cluster-b/anopheline-sialome-cds-pep-larger-orf75-50SimCLU55.txt", 55)</f>
        <v>55</v>
      </c>
      <c r="CG424">
        <f>HYPERLINK("http://exon.niaid.nih.gov/transcriptome/Anopheles_sialome/links/cluster-b/anopheline-sialome-cds-pep-larger-orf75-50SimCLTL55.txt", 2)</f>
        <v>2</v>
      </c>
      <c r="CH424">
        <f>HYPERLINK("http://exon.niaid.nih.gov/transcriptome/Anopheles_sialome/links/cluster-b/anopheline-sialome-cds-pep-larger-orf80-50SimCLU61.txt", 61)</f>
        <v>61</v>
      </c>
      <c r="CI424">
        <f>HYPERLINK("http://exon.niaid.nih.gov/transcriptome/Anopheles_sialome/links/cluster-b/anopheline-sialome-cds-pep-larger-orf80-50SimCLTL61.txt", 2)</f>
        <v>2</v>
      </c>
      <c r="CJ424">
        <f>HYPERLINK("http://exon.niaid.nih.gov/transcriptome/Anopheles_sialome/links/cluster-b/anopheline-sialome-cds-pep-larger-orf85-50SimCLU57.txt", 57)</f>
        <v>57</v>
      </c>
      <c r="CK424">
        <f>HYPERLINK("http://exon.niaid.nih.gov/transcriptome/Anopheles_sialome/links/cluster-b/anopheline-sialome-cds-pep-larger-orf85-50SimCLTL57.txt", 2)</f>
        <v>2</v>
      </c>
      <c r="CL424">
        <v>107</v>
      </c>
      <c r="CM424">
        <v>1</v>
      </c>
      <c r="CN424">
        <v>81</v>
      </c>
      <c r="CO424">
        <v>1</v>
      </c>
    </row>
    <row r="425" spans="1:93">
      <c r="A425" s="2" t="str">
        <f>HYPERLINK("http://exon.niaid.nih.gov/transcriptome/Anopheles_sialome/links/cds/anodar_30kDa-cds.txt","anodar_30kDa")</f>
        <v>anodar_30kDa</v>
      </c>
      <c r="B425">
        <v>711</v>
      </c>
      <c r="C425" t="s">
        <v>24</v>
      </c>
      <c r="D425" t="s">
        <v>4</v>
      </c>
      <c r="E425" t="s">
        <v>5</v>
      </c>
      <c r="F425" t="s">
        <v>1</v>
      </c>
      <c r="G425" t="str">
        <f>HYPERLINK("http://exon.niaid.nih.gov/transcriptome/Anopheles_sialome/links/pep/anodar_30kDa-pep.txt","anodar_30kDa")</f>
        <v>anodar_30kDa</v>
      </c>
      <c r="H425">
        <v>236</v>
      </c>
      <c r="I425">
        <v>2</v>
      </c>
      <c r="J425" s="3" t="str">
        <f>HYPERLINK("http://exon.niaid.nih.gov/transcriptome/Anopheles_sialome/links/Sigp/anodar_30kDa-SigP.txt","SIG")</f>
        <v>SIG</v>
      </c>
      <c r="K425" t="s">
        <v>652</v>
      </c>
      <c r="L425">
        <v>25.635999999999999</v>
      </c>
      <c r="M425">
        <v>4.3499999999999996</v>
      </c>
      <c r="N425">
        <v>23.57</v>
      </c>
      <c r="O425">
        <v>4.32</v>
      </c>
      <c r="P425" t="s">
        <v>687</v>
      </c>
      <c r="Q425" s="3">
        <v>0</v>
      </c>
      <c r="R425" t="s">
        <v>128</v>
      </c>
      <c r="S425" t="s">
        <v>128</v>
      </c>
      <c r="T425" t="s">
        <v>128</v>
      </c>
      <c r="U425" t="s">
        <v>128</v>
      </c>
      <c r="V425" t="s">
        <v>128</v>
      </c>
      <c r="W425" s="3" t="str">
        <f>HYPERLINK("http://exon.niaid.nih.gov/transcriptome/Anopheles_sialome/links/netoglyc/anodar_30kDa-netoglyc.txt","10")</f>
        <v>10</v>
      </c>
      <c r="X425">
        <v>16.100000000000001</v>
      </c>
      <c r="Y425">
        <v>11</v>
      </c>
      <c r="Z425">
        <v>2.1</v>
      </c>
      <c r="AA425" t="s">
        <v>654</v>
      </c>
      <c r="AB425" t="s">
        <v>128</v>
      </c>
      <c r="AC425" s="2" t="str">
        <f>HYPERLINK("http://exon.niaid.nih.gov/transcriptome/Anopheles_sialome/links/DIPTERA/anodar_30kDa-DIPTERA.txt","hypothetical protein AND_001757")</f>
        <v>hypothetical protein AND_001757</v>
      </c>
      <c r="AD425" t="str">
        <f>HYPERLINK("http://www.ncbi.nlm.nih.gov/sutils/blink.cgi?pid=568258311","1E-134")</f>
        <v>1E-134</v>
      </c>
      <c r="AE425" t="str">
        <f>HYPERLINK("http://www.ncbi.nlm.nih.gov/protein/568258311","gi|568258311")</f>
        <v>gi|568258311</v>
      </c>
      <c r="AF425">
        <v>100</v>
      </c>
      <c r="AG425">
        <v>100</v>
      </c>
      <c r="AH425">
        <v>100</v>
      </c>
      <c r="AI425" t="s">
        <v>2283</v>
      </c>
      <c r="AJ425" s="2" t="str">
        <f>HYPERLINK("http://exon.niaid.nih.gov/transcriptome/Anopheles_sialome/links/CULICOMORPHA/anodar_30kDa-CULICOMORPHA.txt","hypothetical protein AND_001757")</f>
        <v>hypothetical protein AND_001757</v>
      </c>
      <c r="AK425" t="str">
        <f>HYPERLINK("http://www.ncbi.nlm.nih.gov/sutils/blink.cgi?pid=568258311","1E-134")</f>
        <v>1E-134</v>
      </c>
      <c r="AL425" t="str">
        <f>HYPERLINK("http://www.ncbi.nlm.nih.gov/protein/568258311","gi|568258311")</f>
        <v>gi|568258311</v>
      </c>
      <c r="AM425">
        <v>100</v>
      </c>
      <c r="AN425">
        <v>100</v>
      </c>
      <c r="AO425">
        <v>100</v>
      </c>
      <c r="AP425" t="s">
        <v>2283</v>
      </c>
      <c r="AQ425" s="2" t="str">
        <f>HYPERLINK("http://exon.niaid.nih.gov/transcriptome/Anopheles_sialome/links/NR-LIGHT/anodar_30kDa-NR-LIGHT.txt","hypothetical protein AND_001757")</f>
        <v>hypothetical protein AND_001757</v>
      </c>
      <c r="AR425" t="str">
        <f>HYPERLINK("http://www.ncbi.nlm.nih.gov/sutils/blink.cgi?pid=568258311","1E-133")</f>
        <v>1E-133</v>
      </c>
      <c r="AS425" t="str">
        <f>HYPERLINK("http://www.ncbi.nlm.nih.gov/protein/568258311","gi|568258311")</f>
        <v>gi|568258311</v>
      </c>
      <c r="AT425">
        <v>100</v>
      </c>
      <c r="AU425">
        <v>100</v>
      </c>
      <c r="AV425">
        <v>100</v>
      </c>
      <c r="AW425" t="s">
        <v>2283</v>
      </c>
      <c r="AX425" s="2" t="str">
        <f>HYPERLINK("http://exon.niaid.nih.gov/transcriptome/Anopheles_sialome/links/CDD/anodar_30kDa-CDD.txt","PHA02664")</f>
        <v>PHA02664</v>
      </c>
      <c r="AY425" t="str">
        <f>HYPERLINK("http://www.ncbi.nlm.nih.gov/Structure/cdd/cddsrv.cgi?uid=PHA02664&amp;version=v4.0","0.002")</f>
        <v>0.002</v>
      </c>
      <c r="AZ425" t="s">
        <v>2284</v>
      </c>
      <c r="BA425" s="2" t="str">
        <f>HYPERLINK("http://exon.niaid.nih.gov/transcriptome/Anopheles_sialome/links/KOG/anodar_30kDa-KOG.txt","HIV-1 Vpr-binding protein")</f>
        <v>HIV-1 Vpr-binding protein</v>
      </c>
      <c r="BB425" t="str">
        <f>HYPERLINK("http://www.ncbi.nlm.nih.gov/Structure/cdd/cddsrv.cgi?uid=KOG1832","6E-005")</f>
        <v>6E-005</v>
      </c>
      <c r="BC425" t="s">
        <v>2256</v>
      </c>
      <c r="BD425" t="str">
        <f>HYPERLINK("http://exon.niaid.nih.gov/transcriptome/Anopheles_sialome/links/KOG/anodar_30kDa-KOG.txt","KOG1832")</f>
        <v>KOG1832</v>
      </c>
      <c r="BE425" t="str">
        <f>HYPERLINK("http://exon.niaid.nih.gov/transcriptome/Anopheles_sialome/links/PFAM/anodar_30kDa-PFAM.txt","Herpes_LMP1")</f>
        <v>Herpes_LMP1</v>
      </c>
      <c r="BF425" t="str">
        <f>HYPERLINK("http://pfam.sanger.ac.uk/family?acc=PF05297","0.057")</f>
        <v>0.057</v>
      </c>
      <c r="BG425" s="2" t="str">
        <f>HYPERLINK("http://exon.niaid.nih.gov/transcriptome/Anopheles_sialome/links/SMART/anodar_30kDa-SMART.txt","BRO1")</f>
        <v>BRO1</v>
      </c>
      <c r="BH425" t="str">
        <f>HYPERLINK("http://smart.embl-heidelberg.de/smart/do_annotation.pl?DOMAIN=BRO1&amp;BLAST=DUMMY","1.1")</f>
        <v>1.1</v>
      </c>
      <c r="BI425" t="str">
        <f>HYPERLINK("http://exon.niaid.nih.gov/transcriptome/Anopheles_sialome/links/TICK-BLOCKS/anodar_30kDa-TICK-BLOCKS.txt","Aegyptin_stringent_pattern |Aegyptin_mosquito |Aegyptin_mosquito_stringent_pattern |Aegyptin_coxy |")</f>
        <v>Aegyptin_stringent_pattern |Aegyptin_mosquito |Aegyptin_mosquito_stringent_pattern |Aegyptin_coxy |</v>
      </c>
      <c r="BJ425" s="2" t="s">
        <v>2257</v>
      </c>
      <c r="BK425" t="s">
        <v>686</v>
      </c>
      <c r="BL425">
        <f>HYPERLINK("http://exon.niaid.nih.gov/transcriptome/Anopheles_sialome/links/cluster-b/anopheline-sialome-cds-pep-larger-orf25-50SimCLU10.txt", 10)</f>
        <v>10</v>
      </c>
      <c r="BM425">
        <f>HYPERLINK("http://exon.niaid.nih.gov/transcriptome/Anopheles_sialome/links/cluster-b/anopheline-sialome-cds-pep-larger-orf25-50SimCLTL10.txt", 19)</f>
        <v>19</v>
      </c>
      <c r="BN425">
        <f>HYPERLINK("http://exon.niaid.nih.gov/transcriptome/Anopheles_sialome/links/cluster-b/anopheline-sialome-cds-pep-larger-orf30-50SimCLU9.txt", 9)</f>
        <v>9</v>
      </c>
      <c r="BO425">
        <f>HYPERLINK("http://exon.niaid.nih.gov/transcriptome/Anopheles_sialome/links/cluster-b/anopheline-sialome-cds-pep-larger-orf30-50SimCLTL9.txt", 19)</f>
        <v>19</v>
      </c>
      <c r="BP425">
        <f>HYPERLINK("http://exon.niaid.nih.gov/transcriptome/Anopheles_sialome/links/cluster-b/anopheline-sialome-cds-pep-larger-orf35-50SimCLU11.txt", 11)</f>
        <v>11</v>
      </c>
      <c r="BQ425">
        <f>HYPERLINK("http://exon.niaid.nih.gov/transcriptome/Anopheles_sialome/links/cluster-b/anopheline-sialome-cds-pep-larger-orf35-50SimCLTL11.txt", 19)</f>
        <v>19</v>
      </c>
      <c r="BR425">
        <f>HYPERLINK("http://exon.niaid.nih.gov/transcriptome/Anopheles_sialome/links/cluster-b/anopheline-sialome-cds-pep-larger-orf40-50SimCLU12.txt", 12)</f>
        <v>12</v>
      </c>
      <c r="BS425">
        <f>HYPERLINK("http://exon.niaid.nih.gov/transcriptome/Anopheles_sialome/links/cluster-b/anopheline-sialome-cds-pep-larger-orf40-50SimCLTL12.txt", 19)</f>
        <v>19</v>
      </c>
      <c r="BT425">
        <f>HYPERLINK("http://exon.niaid.nih.gov/transcriptome/Anopheles_sialome/links/cluster-b/anopheline-sialome-cds-pep-larger-orf45-50SimCLU12.txt", 12)</f>
        <v>12</v>
      </c>
      <c r="BU425">
        <f>HYPERLINK("http://exon.niaid.nih.gov/transcriptome/Anopheles_sialome/links/cluster-b/anopheline-sialome-cds-pep-larger-orf45-50SimCLTL12.txt", 19)</f>
        <v>19</v>
      </c>
      <c r="BV425">
        <f>HYPERLINK("http://exon.niaid.nih.gov/transcriptome/Anopheles_sialome/links/cluster-b/anopheline-sialome-cds-pep-larger-orf50-50SimCLU12.txt", 12)</f>
        <v>12</v>
      </c>
      <c r="BW425">
        <f>HYPERLINK("http://exon.niaid.nih.gov/transcriptome/Anopheles_sialome/links/cluster-b/anopheline-sialome-cds-pep-larger-orf50-50SimCLTL12.txt", 19)</f>
        <v>19</v>
      </c>
      <c r="BX425">
        <f>HYPERLINK("http://exon.niaid.nih.gov/transcriptome/Anopheles_sialome/links/cluster-b/anopheline-sialome-cds-pep-larger-orf55-50SimCLU13.txt", 13)</f>
        <v>13</v>
      </c>
      <c r="BY425">
        <f>HYPERLINK("http://exon.niaid.nih.gov/transcriptome/Anopheles_sialome/links/cluster-b/anopheline-sialome-cds-pep-larger-orf55-50SimCLTL13.txt", 19)</f>
        <v>19</v>
      </c>
      <c r="BZ425">
        <f>HYPERLINK("http://exon.niaid.nih.gov/transcriptome/Anopheles_sialome/links/cluster-b/anopheline-sialome-cds-pep-larger-orf60-50SimCLU11.txt", 11)</f>
        <v>11</v>
      </c>
      <c r="CA425">
        <f>HYPERLINK("http://exon.niaid.nih.gov/transcriptome/Anopheles_sialome/links/cluster-b/anopheline-sialome-cds-pep-larger-orf60-50SimCLTL11.txt", 19)</f>
        <v>19</v>
      </c>
      <c r="CB425">
        <f>HYPERLINK("http://exon.niaid.nih.gov/transcriptome/Anopheles_sialome/links/cluster-b/anopheline-sialome-cds-pep-larger-orf65-50SimCLU8.txt", 8)</f>
        <v>8</v>
      </c>
      <c r="CC425">
        <f>HYPERLINK("http://exon.niaid.nih.gov/transcriptome/Anopheles_sialome/links/cluster-b/anopheline-sialome-cds-pep-larger-orf65-50SimCLTL8.txt", 19)</f>
        <v>19</v>
      </c>
      <c r="CD425">
        <f>HYPERLINK("http://exon.niaid.nih.gov/transcriptome/Anopheles_sialome/links/cluster-b/anopheline-sialome-cds-pep-larger-orf70-50SimCLU7.txt", 7)</f>
        <v>7</v>
      </c>
      <c r="CE425">
        <f>HYPERLINK("http://exon.niaid.nih.gov/transcriptome/Anopheles_sialome/links/cluster-b/anopheline-sialome-cds-pep-larger-orf70-50SimCLTL7.txt", 19)</f>
        <v>19</v>
      </c>
      <c r="CF425">
        <f>HYPERLINK("http://exon.niaid.nih.gov/transcriptome/Anopheles_sialome/links/cluster-b/anopheline-sialome-cds-pep-larger-orf75-50SimCLU55.txt", 55)</f>
        <v>55</v>
      </c>
      <c r="CG425">
        <f>HYPERLINK("http://exon.niaid.nih.gov/transcriptome/Anopheles_sialome/links/cluster-b/anopheline-sialome-cds-pep-larger-orf75-50SimCLTL55.txt", 2)</f>
        <v>2</v>
      </c>
      <c r="CH425">
        <f>HYPERLINK("http://exon.niaid.nih.gov/transcriptome/Anopheles_sialome/links/cluster-b/anopheline-sialome-cds-pep-larger-orf80-50SimCLU61.txt", 61)</f>
        <v>61</v>
      </c>
      <c r="CI425">
        <f>HYPERLINK("http://exon.niaid.nih.gov/transcriptome/Anopheles_sialome/links/cluster-b/anopheline-sialome-cds-pep-larger-orf80-50SimCLTL61.txt", 2)</f>
        <v>2</v>
      </c>
      <c r="CJ425">
        <f>HYPERLINK("http://exon.niaid.nih.gov/transcriptome/Anopheles_sialome/links/cluster-b/anopheline-sialome-cds-pep-larger-orf85-50SimCLU57.txt", 57)</f>
        <v>57</v>
      </c>
      <c r="CK425">
        <f>HYPERLINK("http://exon.niaid.nih.gov/transcriptome/Anopheles_sialome/links/cluster-b/anopheline-sialome-cds-pep-larger-orf85-50SimCLTL57.txt", 2)</f>
        <v>2</v>
      </c>
      <c r="CL425">
        <v>108</v>
      </c>
      <c r="CM425">
        <v>1</v>
      </c>
      <c r="CN425">
        <v>82</v>
      </c>
      <c r="CO425">
        <v>1</v>
      </c>
    </row>
    <row r="426" spans="1:93">
      <c r="A426" s="11" t="s">
        <v>3180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</row>
    <row r="427" spans="1:93">
      <c r="A427" s="15" t="s">
        <v>3149</v>
      </c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</row>
    <row r="428" spans="1:93">
      <c r="A428" s="6" t="s">
        <v>3206</v>
      </c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</row>
    <row r="429" spans="1:93">
      <c r="A429" s="2" t="str">
        <f>HYPERLINK("http://exon.niaid.nih.gov/transcriptome/Anopheles_sialome/links/cds/anoga_hyp37.7-cds.txt","anoga_hyp37.7")</f>
        <v>anoga_hyp37.7</v>
      </c>
      <c r="B429">
        <v>804</v>
      </c>
      <c r="C429" t="s">
        <v>297</v>
      </c>
      <c r="D429" t="s">
        <v>4</v>
      </c>
      <c r="E429" t="s">
        <v>5</v>
      </c>
      <c r="F429" t="s">
        <v>1</v>
      </c>
      <c r="G429" t="str">
        <f>HYPERLINK("http://exon.niaid.nih.gov/transcriptome/Anopheles_sialome/links/pep/anoga_hyp37.7-pep.txt","anoga_hyp37.7")</f>
        <v>anoga_hyp37.7</v>
      </c>
      <c r="H429">
        <v>267</v>
      </c>
      <c r="I429">
        <v>2</v>
      </c>
      <c r="J429" s="3" t="str">
        <f>HYPERLINK("http://exon.niaid.nih.gov/transcriptome/Anopheles_sialome/links/Sigp/anoga_hyp37.7-SigP.txt","SIG")</f>
        <v>SIG</v>
      </c>
      <c r="K429" t="s">
        <v>708</v>
      </c>
      <c r="L429">
        <v>29.338000000000001</v>
      </c>
      <c r="M429">
        <v>9.73</v>
      </c>
      <c r="N429">
        <v>26.661000000000001</v>
      </c>
      <c r="O429">
        <v>9.65</v>
      </c>
      <c r="P429" t="s">
        <v>1447</v>
      </c>
      <c r="Q429" s="3" t="str">
        <f>HYPERLINK("http://exon.niaid.nih.gov/transcriptome/Anopheles_sialome/links/tmhmm/anoga_hyp37.7-tmhmm.txt","1")</f>
        <v>1</v>
      </c>
      <c r="R429">
        <v>6.4</v>
      </c>
      <c r="S429">
        <v>91</v>
      </c>
      <c r="T429">
        <v>2.6</v>
      </c>
      <c r="U429" t="s">
        <v>128</v>
      </c>
      <c r="V429">
        <v>243</v>
      </c>
      <c r="W429" s="3" t="str">
        <f>HYPERLINK("http://exon.niaid.nih.gov/transcriptome/Anopheles_sialome/links/netoglyc/anoga_hyp37.7-netoglyc.txt","1")</f>
        <v>1</v>
      </c>
      <c r="X429">
        <v>13.9</v>
      </c>
      <c r="Y429">
        <v>7.9</v>
      </c>
      <c r="Z429">
        <v>4.0999999999999996</v>
      </c>
      <c r="AA429" t="s">
        <v>654</v>
      </c>
      <c r="AB429" t="s">
        <v>128</v>
      </c>
      <c r="AC429" s="2" t="str">
        <f>HYPERLINK("http://exon.niaid.nih.gov/transcriptome/Anopheles_sialome/links/DIPTERA/anoga_hyp37.7-DIPTERA.txt","hyp37.7-like precursor")</f>
        <v>hyp37.7-like precursor</v>
      </c>
      <c r="AD429" t="str">
        <f>HYPERLINK("http://www.ncbi.nlm.nih.gov/sutils/blink.cgi?pid=62546221","1E-151")</f>
        <v>1E-151</v>
      </c>
      <c r="AE429" t="str">
        <f t="shared" ref="AE429:AE436" si="153">HYPERLINK("http://www.ncbi.nlm.nih.gov/protein/62546221","gi|62546221")</f>
        <v>gi|62546221</v>
      </c>
      <c r="AF429">
        <v>100</v>
      </c>
      <c r="AG429">
        <v>100</v>
      </c>
      <c r="AH429">
        <v>100</v>
      </c>
      <c r="AI429" t="s">
        <v>2254</v>
      </c>
      <c r="AJ429" s="2" t="str">
        <f>HYPERLINK("http://exon.niaid.nih.gov/transcriptome/Anopheles_sialome/links/CULICOMORPHA/anoga_hyp37.7-CULICOMORPHA.txt","hyp37.7-like precursor")</f>
        <v>hyp37.7-like precursor</v>
      </c>
      <c r="AK429" t="str">
        <f>HYPERLINK("http://www.ncbi.nlm.nih.gov/sutils/blink.cgi?pid=62546221","1E-152")</f>
        <v>1E-152</v>
      </c>
      <c r="AL429" t="str">
        <f t="shared" ref="AL429:AL436" si="154">HYPERLINK("http://www.ncbi.nlm.nih.gov/protein/62546221","gi|62546221")</f>
        <v>gi|62546221</v>
      </c>
      <c r="AM429">
        <v>100</v>
      </c>
      <c r="AN429">
        <v>100</v>
      </c>
      <c r="AO429">
        <v>100</v>
      </c>
      <c r="AP429" t="s">
        <v>2254</v>
      </c>
      <c r="AQ429" s="2" t="str">
        <f>HYPERLINK("http://exon.niaid.nih.gov/transcriptome/Anopheles_sialome/links/NR-LIGHT/anoga_hyp37.7-NR-LIGHT.txt","hyp37.7-like precursor")</f>
        <v>hyp37.7-like precursor</v>
      </c>
      <c r="AR429" t="str">
        <f>HYPERLINK("http://www.ncbi.nlm.nih.gov/sutils/blink.cgi?pid=62546221","1E-151")</f>
        <v>1E-151</v>
      </c>
      <c r="AS429" t="str">
        <f t="shared" ref="AS429:AS436" si="155">HYPERLINK("http://www.ncbi.nlm.nih.gov/protein/62546221","gi|62546221")</f>
        <v>gi|62546221</v>
      </c>
      <c r="AT429">
        <v>100</v>
      </c>
      <c r="AU429">
        <v>100</v>
      </c>
      <c r="AV429">
        <v>100</v>
      </c>
      <c r="AW429" t="s">
        <v>2254</v>
      </c>
      <c r="AX429" s="2" t="str">
        <f>HYPERLINK("http://exon.niaid.nih.gov/transcriptome/Anopheles_sialome/links/CDD/anoga_hyp37.7-CDD.txt","NrdF")</f>
        <v>NrdF</v>
      </c>
      <c r="AY429" t="str">
        <f>HYPERLINK("http://www.ncbi.nlm.nih.gov/Structure/cdd/cddsrv.cgi?uid=COG0208&amp;version=v4.0","0.056")</f>
        <v>0.056</v>
      </c>
      <c r="AZ429" t="s">
        <v>2711</v>
      </c>
      <c r="BA429" s="2" t="str">
        <f>HYPERLINK("http://exon.niaid.nih.gov/transcriptome/Anopheles_sialome/links/KOG/anoga_hyp37.7-KOG.txt","Predicted serine hydroxymethyltransferase SLA/LP (autoimmune hepatitis marker in humans)")</f>
        <v>Predicted serine hydroxymethyltransferase SLA/LP (autoimmune hepatitis marker in humans)</v>
      </c>
      <c r="BB429" t="str">
        <f>HYPERLINK("http://www.ncbi.nlm.nih.gov/Structure/cdd/cddsrv.cgi?uid=KOG3843","1.5")</f>
        <v>1.5</v>
      </c>
      <c r="BC429" t="s">
        <v>2260</v>
      </c>
      <c r="BD429" t="str">
        <f>HYPERLINK("http://exon.niaid.nih.gov/transcriptome/Anopheles_sialome/links/KOG/anoga_hyp37.7-KOG.txt","KOG3843")</f>
        <v>KOG3843</v>
      </c>
      <c r="BE429" t="str">
        <f>HYPERLINK("http://exon.niaid.nih.gov/transcriptome/Anopheles_sialome/links/PFAM/anoga_hyp37.7-PFAM.txt","FhuF")</f>
        <v>FhuF</v>
      </c>
      <c r="BF429" t="str">
        <f>HYPERLINK("http://pfam.sanger.ac.uk/family?acc=PF06276","0.097")</f>
        <v>0.097</v>
      </c>
      <c r="BG429" s="2" t="str">
        <f>HYPERLINK("http://exon.niaid.nih.gov/transcriptome/Anopheles_sialome/links/SMART/anoga_hyp37.7-SMART.txt","TR_THY")</f>
        <v>TR_THY</v>
      </c>
      <c r="BH429" t="str">
        <f>HYPERLINK("http://smart.embl-heidelberg.de/smart/do_annotation.pl?DOMAIN=TR_THY&amp;BLAST=DUMMY","2.3")</f>
        <v>2.3</v>
      </c>
      <c r="BI429" t="str">
        <f>HYPERLINK("http://exon.niaid.nih.gov/transcriptome/Anopheles_sialome/links/TICK-BLOCKS/anoga_hyp37.7-TICK-BLOCKS.txt","Hyp37 |Hyp37_stringent_pattern |")</f>
        <v>Hyp37 |Hyp37_stringent_pattern |</v>
      </c>
      <c r="BJ429" s="2" t="s">
        <v>2712</v>
      </c>
      <c r="BK429" t="s">
        <v>1446</v>
      </c>
      <c r="BL429">
        <f>HYPERLINK("http://exon.niaid.nih.gov/transcriptome/Anopheles_sialome/links/cluster-b/anopheline-sialome-cds-pep-larger-orf25-50SimCLU7.txt", 7)</f>
        <v>7</v>
      </c>
      <c r="BM429">
        <f>HYPERLINK("http://exon.niaid.nih.gov/transcriptome/Anopheles_sialome/links/cluster-b/anopheline-sialome-cds-pep-larger-orf25-50SimCLTL7.txt", 40)</f>
        <v>40</v>
      </c>
      <c r="BN429">
        <f>HYPERLINK("http://exon.niaid.nih.gov/transcriptome/Anopheles_sialome/links/cluster-b/anopheline-sialome-cds-pep-larger-orf30-50SimCLU6.txt", 6)</f>
        <v>6</v>
      </c>
      <c r="BO429">
        <f>HYPERLINK("http://exon.niaid.nih.gov/transcriptome/Anopheles_sialome/links/cluster-b/anopheline-sialome-cds-pep-larger-orf30-50SimCLTL6.txt", 40)</f>
        <v>40</v>
      </c>
      <c r="BP429">
        <f>HYPERLINK("http://exon.niaid.nih.gov/transcriptome/Anopheles_sialome/links/cluster-b/anopheline-sialome-cds-pep-larger-orf35-50SimCLU7.txt", 7)</f>
        <v>7</v>
      </c>
      <c r="BQ429">
        <f>HYPERLINK("http://exon.niaid.nih.gov/transcriptome/Anopheles_sialome/links/cluster-b/anopheline-sialome-cds-pep-larger-orf35-50SimCLTL7.txt", 40)</f>
        <v>40</v>
      </c>
      <c r="BR429">
        <f>HYPERLINK("http://exon.niaid.nih.gov/transcriptome/Anopheles_sialome/links/cluster-b/anopheline-sialome-cds-pep-larger-orf40-50SimCLU6.txt", 6)</f>
        <v>6</v>
      </c>
      <c r="BS429">
        <f>HYPERLINK("http://exon.niaid.nih.gov/transcriptome/Anopheles_sialome/links/cluster-b/anopheline-sialome-cds-pep-larger-orf40-50SimCLTL6.txt", 39)</f>
        <v>39</v>
      </c>
      <c r="BT429">
        <f>HYPERLINK("http://exon.niaid.nih.gov/transcriptome/Anopheles_sialome/links/cluster-b/anopheline-sialome-cds-pep-larger-orf45-50SimCLU5.txt", 5)</f>
        <v>5</v>
      </c>
      <c r="BU429">
        <f>HYPERLINK("http://exon.niaid.nih.gov/transcriptome/Anopheles_sialome/links/cluster-b/anopheline-sialome-cds-pep-larger-orf45-50SimCLTL5.txt", 39)</f>
        <v>39</v>
      </c>
      <c r="BV429">
        <f>HYPERLINK("http://exon.niaid.nih.gov/transcriptome/Anopheles_sialome/links/cluster-b/anopheline-sialome-cds-pep-larger-orf50-50SimCLU5.txt", 5)</f>
        <v>5</v>
      </c>
      <c r="BW429">
        <f>HYPERLINK("http://exon.niaid.nih.gov/transcriptome/Anopheles_sialome/links/cluster-b/anopheline-sialome-cds-pep-larger-orf50-50SimCLTL5.txt", 39)</f>
        <v>39</v>
      </c>
      <c r="BX429">
        <f>HYPERLINK("http://exon.niaid.nih.gov/transcriptome/Anopheles_sialome/links/cluster-b/anopheline-sialome-cds-pep-larger-orf55-50SimCLU6.txt", 6)</f>
        <v>6</v>
      </c>
      <c r="BY429">
        <f>HYPERLINK("http://exon.niaid.nih.gov/transcriptome/Anopheles_sialome/links/cluster-b/anopheline-sialome-cds-pep-larger-orf55-50SimCLTL6.txt", 36)</f>
        <v>36</v>
      </c>
      <c r="BZ429">
        <f>HYPERLINK("http://exon.niaid.nih.gov/transcriptome/Anopheles_sialome/links/cluster-b/anopheline-sialome-cds-pep-larger-orf60-50SimCLU37.txt", 37)</f>
        <v>37</v>
      </c>
      <c r="CA429">
        <f>HYPERLINK("http://exon.niaid.nih.gov/transcriptome/Anopheles_sialome/links/cluster-b/anopheline-sialome-cds-pep-larger-orf60-50SimCLTL37.txt", 8)</f>
        <v>8</v>
      </c>
      <c r="CB429">
        <f>HYPERLINK("http://exon.niaid.nih.gov/transcriptome/Anopheles_sialome/links/cluster-b/anopheline-sialome-cds-pep-larger-orf65-50SimCLU40.txt", 40)</f>
        <v>40</v>
      </c>
      <c r="CC429">
        <f>HYPERLINK("http://exon.niaid.nih.gov/transcriptome/Anopheles_sialome/links/cluster-b/anopheline-sialome-cds-pep-larger-orf65-50SimCLTL40.txt", 8)</f>
        <v>8</v>
      </c>
      <c r="CD429">
        <f>HYPERLINK("http://exon.niaid.nih.gov/transcriptome/Anopheles_sialome/links/cluster-b/anopheline-sialome-cds-pep-larger-orf70-50SimCLU44.txt", 44)</f>
        <v>44</v>
      </c>
      <c r="CE429">
        <f>HYPERLINK("http://exon.niaid.nih.gov/transcriptome/Anopheles_sialome/links/cluster-b/anopheline-sialome-cds-pep-larger-orf70-50SimCLTL44.txt", 7)</f>
        <v>7</v>
      </c>
      <c r="CF429">
        <f>HYPERLINK("http://exon.niaid.nih.gov/transcriptome/Anopheles_sialome/links/cluster-b/anopheline-sialome-cds-pep-larger-orf75-50SimCLU43.txt", 43)</f>
        <v>43</v>
      </c>
      <c r="CG429">
        <f>HYPERLINK("http://exon.niaid.nih.gov/transcriptome/Anopheles_sialome/links/cluster-b/anopheline-sialome-cds-pep-larger-orf75-50SimCLTL43.txt", 6)</f>
        <v>6</v>
      </c>
      <c r="CH429">
        <f>HYPERLINK("http://exon.niaid.nih.gov/transcriptome/Anopheles_sialome/links/cluster-b/anopheline-sialome-cds-pep-larger-orf80-50SimCLU41.txt", 41)</f>
        <v>41</v>
      </c>
      <c r="CI429">
        <f>HYPERLINK("http://exon.niaid.nih.gov/transcriptome/Anopheles_sialome/links/cluster-b/anopheline-sialome-cds-pep-larger-orf80-50SimCLTL41.txt", 6)</f>
        <v>6</v>
      </c>
      <c r="CJ429">
        <f>HYPERLINK("http://exon.niaid.nih.gov/transcriptome/Anopheles_sialome/links/cluster-b/anopheline-sialome-cds-pep-larger-orf85-50SimCLU38.txt", 38)</f>
        <v>38</v>
      </c>
      <c r="CK429">
        <f>HYPERLINK("http://exon.niaid.nih.gov/transcriptome/Anopheles_sialome/links/cluster-b/anopheline-sialome-cds-pep-larger-orf85-50SimCLTL38.txt", 6)</f>
        <v>6</v>
      </c>
      <c r="CL429">
        <f>HYPERLINK("http://exon.niaid.nih.gov/transcriptome/Anopheles_sialome/links/cluster-b/anopheline-sialome-cds-pep-larger-orf90-50SimCLU30.txt", 30)</f>
        <v>30</v>
      </c>
      <c r="CM429">
        <f>HYPERLINK("http://exon.niaid.nih.gov/transcriptome/Anopheles_sialome/links/cluster-b/anopheline-sialome-cds-pep-larger-orf90-50SimCLTL30.txt", 6)</f>
        <v>6</v>
      </c>
      <c r="CN429">
        <f>HYPERLINK("http://exon.niaid.nih.gov/transcriptome/Anopheles_sialome/links/cluster-b/anopheline-sialome-cds-pep-larger-orf95-50SimCLU19.txt", 19)</f>
        <v>19</v>
      </c>
      <c r="CO429">
        <f>HYPERLINK("http://exon.niaid.nih.gov/transcriptome/Anopheles_sialome/links/cluster-b/anopheline-sialome-cds-pep-larger-orf95-50SimCLTL19.txt", 6)</f>
        <v>6</v>
      </c>
    </row>
    <row r="430" spans="1:93">
      <c r="A430" s="2" t="str">
        <f>HYPERLINK("http://exon.niaid.nih.gov/transcriptome/Anopheles_sialome/links/cds/anocol_hyp37.7-cds.txt","anocol_hyp37.7")</f>
        <v>anocol_hyp37.7</v>
      </c>
      <c r="B430">
        <v>804</v>
      </c>
      <c r="C430" t="s">
        <v>298</v>
      </c>
      <c r="D430" t="s">
        <v>4</v>
      </c>
      <c r="E430" t="s">
        <v>5</v>
      </c>
      <c r="F430" t="s">
        <v>1</v>
      </c>
      <c r="G430" t="str">
        <f>HYPERLINK("http://exon.niaid.nih.gov/transcriptome/Anopheles_sialome/links/pep/anocol_hyp37.7-pep.txt","anocol_hyp37.7")</f>
        <v>anocol_hyp37.7</v>
      </c>
      <c r="H430">
        <v>267</v>
      </c>
      <c r="I430">
        <v>2</v>
      </c>
      <c r="J430" s="3" t="str">
        <f>HYPERLINK("http://exon.niaid.nih.gov/transcriptome/Anopheles_sialome/links/Sigp/anocol_hyp37.7-SigP.txt","SIG")</f>
        <v>SIG</v>
      </c>
      <c r="K430" t="s">
        <v>787</v>
      </c>
      <c r="L430">
        <v>29.433</v>
      </c>
      <c r="M430">
        <v>9.81</v>
      </c>
      <c r="N430">
        <v>26.591999999999999</v>
      </c>
      <c r="O430">
        <v>9.73</v>
      </c>
      <c r="P430" t="s">
        <v>1449</v>
      </c>
      <c r="Q430" s="3" t="str">
        <f>HYPERLINK("http://exon.niaid.nih.gov/transcriptome/Anopheles_sialome/links/tmhmm/anocol_hyp37.7-tmhmm.txt","1")</f>
        <v>1</v>
      </c>
      <c r="R430">
        <v>6.4</v>
      </c>
      <c r="S430">
        <v>91</v>
      </c>
      <c r="T430">
        <v>2.6</v>
      </c>
      <c r="U430" t="s">
        <v>128</v>
      </c>
      <c r="V430">
        <v>243</v>
      </c>
      <c r="W430" s="3" t="str">
        <f>HYPERLINK("http://exon.niaid.nih.gov/transcriptome/Anopheles_sialome/links/netoglyc/anocol_hyp37.7-netoglyc.txt","1")</f>
        <v>1</v>
      </c>
      <c r="X430">
        <v>14.6</v>
      </c>
      <c r="Y430">
        <v>7.9</v>
      </c>
      <c r="Z430">
        <v>4.0999999999999996</v>
      </c>
      <c r="AA430" t="s">
        <v>654</v>
      </c>
      <c r="AB430" t="s">
        <v>128</v>
      </c>
      <c r="AC430" s="2" t="str">
        <f>HYPERLINK("http://exon.niaid.nih.gov/transcriptome/Anopheles_sialome/links/DIPTERA/anocol_hyp37.7-DIPTERA.txt","hyp37.7-like precursor")</f>
        <v>hyp37.7-like precursor</v>
      </c>
      <c r="AD430" t="str">
        <f>HYPERLINK("http://www.ncbi.nlm.nih.gov/sutils/blink.cgi?pid=62546221","1E-146")</f>
        <v>1E-146</v>
      </c>
      <c r="AE430" t="str">
        <f t="shared" si="153"/>
        <v>gi|62546221</v>
      </c>
      <c r="AF430">
        <v>96</v>
      </c>
      <c r="AG430">
        <v>97</v>
      </c>
      <c r="AH430">
        <v>100</v>
      </c>
      <c r="AI430" t="s">
        <v>2254</v>
      </c>
      <c r="AJ430" s="2" t="str">
        <f>HYPERLINK("http://exon.niaid.nih.gov/transcriptome/Anopheles_sialome/links/CULICOMORPHA/anocol_hyp37.7-CULICOMORPHA.txt","hyp37.7-like precursor")</f>
        <v>hyp37.7-like precursor</v>
      </c>
      <c r="AK430" t="str">
        <f>HYPERLINK("http://www.ncbi.nlm.nih.gov/sutils/blink.cgi?pid=62546221","1E-147")</f>
        <v>1E-147</v>
      </c>
      <c r="AL430" t="str">
        <f t="shared" si="154"/>
        <v>gi|62546221</v>
      </c>
      <c r="AM430">
        <v>96</v>
      </c>
      <c r="AN430">
        <v>97</v>
      </c>
      <c r="AO430">
        <v>100</v>
      </c>
      <c r="AP430" t="s">
        <v>2254</v>
      </c>
      <c r="AQ430" s="2" t="str">
        <f>HYPERLINK("http://exon.niaid.nih.gov/transcriptome/Anopheles_sialome/links/NR-LIGHT/anocol_hyp37.7-NR-LIGHT.txt","hyp37.7-like precursor")</f>
        <v>hyp37.7-like precursor</v>
      </c>
      <c r="AR430" t="str">
        <f>HYPERLINK("http://www.ncbi.nlm.nih.gov/sutils/blink.cgi?pid=62546221","1E-146")</f>
        <v>1E-146</v>
      </c>
      <c r="AS430" t="str">
        <f t="shared" si="155"/>
        <v>gi|62546221</v>
      </c>
      <c r="AT430">
        <v>96</v>
      </c>
      <c r="AU430">
        <v>97</v>
      </c>
      <c r="AV430">
        <v>100</v>
      </c>
      <c r="AW430" t="s">
        <v>2254</v>
      </c>
      <c r="AX430" s="2" t="str">
        <f>HYPERLINK("http://exon.niaid.nih.gov/transcriptome/Anopheles_sialome/links/CDD/anocol_hyp37.7-CDD.txt","NrdF")</f>
        <v>NrdF</v>
      </c>
      <c r="AY430" t="str">
        <f>HYPERLINK("http://www.ncbi.nlm.nih.gov/Structure/cdd/cddsrv.cgi?uid=COG0208&amp;version=v4.0","0.21")</f>
        <v>0.21</v>
      </c>
      <c r="AZ430" t="s">
        <v>2713</v>
      </c>
      <c r="BA430" s="2" t="str">
        <f>HYPERLINK("http://exon.niaid.nih.gov/transcriptome/Anopheles_sialome/links/KOG/anocol_hyp37.7-KOG.txt","Predicted polypeptide N-acetylgalactosaminyltransferase")</f>
        <v>Predicted polypeptide N-acetylgalactosaminyltransferase</v>
      </c>
      <c r="BB430" t="str">
        <f>HYPERLINK("http://www.ncbi.nlm.nih.gov/Structure/cdd/cddsrv.cgi?uid=KOG3737","0.68")</f>
        <v>0.68</v>
      </c>
      <c r="BC430" t="s">
        <v>2296</v>
      </c>
      <c r="BD430" t="str">
        <f>HYPERLINK("http://exon.niaid.nih.gov/transcriptome/Anopheles_sialome/links/KOG/anocol_hyp37.7-KOG.txt","KOG3737")</f>
        <v>KOG3737</v>
      </c>
      <c r="BE430" t="str">
        <f>HYPERLINK("http://exon.niaid.nih.gov/transcriptome/Anopheles_sialome/links/PFAM/anocol_hyp37.7-PFAM.txt","FhuF")</f>
        <v>FhuF</v>
      </c>
      <c r="BF430" t="str">
        <f>HYPERLINK("http://pfam.sanger.ac.uk/family?acc=PF06276","0.061")</f>
        <v>0.061</v>
      </c>
      <c r="BG430" s="2" t="str">
        <f>HYPERLINK("http://exon.niaid.nih.gov/transcriptome/Anopheles_sialome/links/SMART/anocol_hyp37.7-SMART.txt","ARF")</f>
        <v>ARF</v>
      </c>
      <c r="BH430" t="str">
        <f>HYPERLINK("http://smart.embl-heidelberg.de/smart/do_annotation.pl?DOMAIN=ARF&amp;BLAST=DUMMY","2.6")</f>
        <v>2.6</v>
      </c>
      <c r="BI430" t="str">
        <f>HYPERLINK("http://exon.niaid.nih.gov/transcriptome/Anopheles_sialome/links/TICK-BLOCKS/anocol_hyp37.7-TICK-BLOCKS.txt","Hyp37 |Hyp37_stringent_pattern |")</f>
        <v>Hyp37 |Hyp37_stringent_pattern |</v>
      </c>
      <c r="BJ430" s="2" t="s">
        <v>2712</v>
      </c>
      <c r="BK430" t="s">
        <v>1448</v>
      </c>
      <c r="BL430">
        <f>HYPERLINK("http://exon.niaid.nih.gov/transcriptome/Anopheles_sialome/links/cluster-b/anopheline-sialome-cds-pep-larger-orf25-50SimCLU7.txt", 7)</f>
        <v>7</v>
      </c>
      <c r="BM430">
        <f>HYPERLINK("http://exon.niaid.nih.gov/transcriptome/Anopheles_sialome/links/cluster-b/anopheline-sialome-cds-pep-larger-orf25-50SimCLTL7.txt", 40)</f>
        <v>40</v>
      </c>
      <c r="BN430">
        <f>HYPERLINK("http://exon.niaid.nih.gov/transcriptome/Anopheles_sialome/links/cluster-b/anopheline-sialome-cds-pep-larger-orf30-50SimCLU6.txt", 6)</f>
        <v>6</v>
      </c>
      <c r="BO430">
        <f>HYPERLINK("http://exon.niaid.nih.gov/transcriptome/Anopheles_sialome/links/cluster-b/anopheline-sialome-cds-pep-larger-orf30-50SimCLTL6.txt", 40)</f>
        <v>40</v>
      </c>
      <c r="BP430">
        <f>HYPERLINK("http://exon.niaid.nih.gov/transcriptome/Anopheles_sialome/links/cluster-b/anopheline-sialome-cds-pep-larger-orf35-50SimCLU7.txt", 7)</f>
        <v>7</v>
      </c>
      <c r="BQ430">
        <f>HYPERLINK("http://exon.niaid.nih.gov/transcriptome/Anopheles_sialome/links/cluster-b/anopheline-sialome-cds-pep-larger-orf35-50SimCLTL7.txt", 40)</f>
        <v>40</v>
      </c>
      <c r="BR430">
        <f>HYPERLINK("http://exon.niaid.nih.gov/transcriptome/Anopheles_sialome/links/cluster-b/anopheline-sialome-cds-pep-larger-orf40-50SimCLU6.txt", 6)</f>
        <v>6</v>
      </c>
      <c r="BS430">
        <f>HYPERLINK("http://exon.niaid.nih.gov/transcriptome/Anopheles_sialome/links/cluster-b/anopheline-sialome-cds-pep-larger-orf40-50SimCLTL6.txt", 39)</f>
        <v>39</v>
      </c>
      <c r="BT430">
        <f>HYPERLINK("http://exon.niaid.nih.gov/transcriptome/Anopheles_sialome/links/cluster-b/anopheline-sialome-cds-pep-larger-orf45-50SimCLU5.txt", 5)</f>
        <v>5</v>
      </c>
      <c r="BU430">
        <f>HYPERLINK("http://exon.niaid.nih.gov/transcriptome/Anopheles_sialome/links/cluster-b/anopheline-sialome-cds-pep-larger-orf45-50SimCLTL5.txt", 39)</f>
        <v>39</v>
      </c>
      <c r="BV430">
        <f>HYPERLINK("http://exon.niaid.nih.gov/transcriptome/Anopheles_sialome/links/cluster-b/anopheline-sialome-cds-pep-larger-orf50-50SimCLU5.txt", 5)</f>
        <v>5</v>
      </c>
      <c r="BW430">
        <f>HYPERLINK("http://exon.niaid.nih.gov/transcriptome/Anopheles_sialome/links/cluster-b/anopheline-sialome-cds-pep-larger-orf50-50SimCLTL5.txt", 39)</f>
        <v>39</v>
      </c>
      <c r="BX430">
        <f>HYPERLINK("http://exon.niaid.nih.gov/transcriptome/Anopheles_sialome/links/cluster-b/anopheline-sialome-cds-pep-larger-orf55-50SimCLU6.txt", 6)</f>
        <v>6</v>
      </c>
      <c r="BY430">
        <f>HYPERLINK("http://exon.niaid.nih.gov/transcriptome/Anopheles_sialome/links/cluster-b/anopheline-sialome-cds-pep-larger-orf55-50SimCLTL6.txt", 36)</f>
        <v>36</v>
      </c>
      <c r="BZ430">
        <f>HYPERLINK("http://exon.niaid.nih.gov/transcriptome/Anopheles_sialome/links/cluster-b/anopheline-sialome-cds-pep-larger-orf60-50SimCLU37.txt", 37)</f>
        <v>37</v>
      </c>
      <c r="CA430">
        <f>HYPERLINK("http://exon.niaid.nih.gov/transcriptome/Anopheles_sialome/links/cluster-b/anopheline-sialome-cds-pep-larger-orf60-50SimCLTL37.txt", 8)</f>
        <v>8</v>
      </c>
      <c r="CB430">
        <f>HYPERLINK("http://exon.niaid.nih.gov/transcriptome/Anopheles_sialome/links/cluster-b/anopheline-sialome-cds-pep-larger-orf65-50SimCLU40.txt", 40)</f>
        <v>40</v>
      </c>
      <c r="CC430">
        <f>HYPERLINK("http://exon.niaid.nih.gov/transcriptome/Anopheles_sialome/links/cluster-b/anopheline-sialome-cds-pep-larger-orf65-50SimCLTL40.txt", 8)</f>
        <v>8</v>
      </c>
      <c r="CD430">
        <f>HYPERLINK("http://exon.niaid.nih.gov/transcriptome/Anopheles_sialome/links/cluster-b/anopheline-sialome-cds-pep-larger-orf70-50SimCLU44.txt", 44)</f>
        <v>44</v>
      </c>
      <c r="CE430">
        <f>HYPERLINK("http://exon.niaid.nih.gov/transcriptome/Anopheles_sialome/links/cluster-b/anopheline-sialome-cds-pep-larger-orf70-50SimCLTL44.txt", 7)</f>
        <v>7</v>
      </c>
      <c r="CF430">
        <f>HYPERLINK("http://exon.niaid.nih.gov/transcriptome/Anopheles_sialome/links/cluster-b/anopheline-sialome-cds-pep-larger-orf75-50SimCLU43.txt", 43)</f>
        <v>43</v>
      </c>
      <c r="CG430">
        <f>HYPERLINK("http://exon.niaid.nih.gov/transcriptome/Anopheles_sialome/links/cluster-b/anopheline-sialome-cds-pep-larger-orf75-50SimCLTL43.txt", 6)</f>
        <v>6</v>
      </c>
      <c r="CH430">
        <f>HYPERLINK("http://exon.niaid.nih.gov/transcriptome/Anopheles_sialome/links/cluster-b/anopheline-sialome-cds-pep-larger-orf80-50SimCLU41.txt", 41)</f>
        <v>41</v>
      </c>
      <c r="CI430">
        <f>HYPERLINK("http://exon.niaid.nih.gov/transcriptome/Anopheles_sialome/links/cluster-b/anopheline-sialome-cds-pep-larger-orf80-50SimCLTL41.txt", 6)</f>
        <v>6</v>
      </c>
      <c r="CJ430">
        <f>HYPERLINK("http://exon.niaid.nih.gov/transcriptome/Anopheles_sialome/links/cluster-b/anopheline-sialome-cds-pep-larger-orf85-50SimCLU38.txt", 38)</f>
        <v>38</v>
      </c>
      <c r="CK430">
        <f>HYPERLINK("http://exon.niaid.nih.gov/transcriptome/Anopheles_sialome/links/cluster-b/anopheline-sialome-cds-pep-larger-orf85-50SimCLTL38.txt", 6)</f>
        <v>6</v>
      </c>
      <c r="CL430">
        <f>HYPERLINK("http://exon.niaid.nih.gov/transcriptome/Anopheles_sialome/links/cluster-b/anopheline-sialome-cds-pep-larger-orf90-50SimCLU30.txt", 30)</f>
        <v>30</v>
      </c>
      <c r="CM430">
        <f>HYPERLINK("http://exon.niaid.nih.gov/transcriptome/Anopheles_sialome/links/cluster-b/anopheline-sialome-cds-pep-larger-orf90-50SimCLTL30.txt", 6)</f>
        <v>6</v>
      </c>
      <c r="CN430">
        <f>HYPERLINK("http://exon.niaid.nih.gov/transcriptome/Anopheles_sialome/links/cluster-b/anopheline-sialome-cds-pep-larger-orf95-50SimCLU19.txt", 19)</f>
        <v>19</v>
      </c>
      <c r="CO430">
        <f>HYPERLINK("http://exon.niaid.nih.gov/transcriptome/Anopheles_sialome/links/cluster-b/anopheline-sialome-cds-pep-larger-orf95-50SimCLTL19.txt", 6)</f>
        <v>6</v>
      </c>
    </row>
    <row r="431" spans="1:93">
      <c r="A431" s="2" t="str">
        <f>HYPERLINK("http://exon.niaid.nih.gov/transcriptome/Anopheles_sialome/links/cds/anoara_hyp37.7-cds.txt","anoara_hyp37.7")</f>
        <v>anoara_hyp37.7</v>
      </c>
      <c r="B431">
        <v>804</v>
      </c>
      <c r="C431" t="s">
        <v>299</v>
      </c>
      <c r="D431" t="s">
        <v>7</v>
      </c>
      <c r="E431" t="s">
        <v>5</v>
      </c>
      <c r="F431" t="s">
        <v>1</v>
      </c>
      <c r="G431" t="str">
        <f>HYPERLINK("http://exon.niaid.nih.gov/transcriptome/Anopheles_sialome/links/pep/anoara_hyp37.7-pep.txt","anoara_hyp37.7")</f>
        <v>anoara_hyp37.7</v>
      </c>
      <c r="H431">
        <v>267</v>
      </c>
      <c r="I431">
        <v>2</v>
      </c>
      <c r="J431" s="3" t="str">
        <f>HYPERLINK("http://exon.niaid.nih.gov/transcriptome/Anopheles_sialome/links/Sigp/anoara_hyp37.7-SigP.txt","SIG")</f>
        <v>SIG</v>
      </c>
      <c r="K431" t="s">
        <v>708</v>
      </c>
      <c r="L431">
        <v>29.454000000000001</v>
      </c>
      <c r="M431">
        <v>9.81</v>
      </c>
      <c r="N431">
        <v>26.756</v>
      </c>
      <c r="O431">
        <v>9.73</v>
      </c>
      <c r="P431" t="s">
        <v>1451</v>
      </c>
      <c r="Q431" s="3" t="str">
        <f>HYPERLINK("http://exon.niaid.nih.gov/transcriptome/Anopheles_sialome/links/tmhmm/anoara_hyp37.7-tmhmm.txt","1")</f>
        <v>1</v>
      </c>
      <c r="R431">
        <v>6.4</v>
      </c>
      <c r="S431">
        <v>91</v>
      </c>
      <c r="T431">
        <v>2.6</v>
      </c>
      <c r="U431" t="s">
        <v>128</v>
      </c>
      <c r="V431">
        <v>243</v>
      </c>
      <c r="W431" s="3" t="str">
        <f>HYPERLINK("http://exon.niaid.nih.gov/transcriptome/Anopheles_sialome/links/netoglyc/anoara_hyp37.7-netoglyc.txt","1")</f>
        <v>1</v>
      </c>
      <c r="X431">
        <v>14.2</v>
      </c>
      <c r="Y431">
        <v>7.5</v>
      </c>
      <c r="Z431">
        <v>4.0999999999999996</v>
      </c>
      <c r="AA431" t="s">
        <v>654</v>
      </c>
      <c r="AB431" t="s">
        <v>128</v>
      </c>
      <c r="AC431" s="2" t="str">
        <f>HYPERLINK("http://exon.niaid.nih.gov/transcriptome/Anopheles_sialome/links/DIPTERA/anoara_hyp37.7-DIPTERA.txt","hyp37.7-like precursor")</f>
        <v>hyp37.7-like precursor</v>
      </c>
      <c r="AD431" t="str">
        <f>HYPERLINK("http://www.ncbi.nlm.nih.gov/sutils/blink.cgi?pid=62546221","1E-147")</f>
        <v>1E-147</v>
      </c>
      <c r="AE431" t="str">
        <f t="shared" si="153"/>
        <v>gi|62546221</v>
      </c>
      <c r="AF431">
        <v>97</v>
      </c>
      <c r="AG431">
        <v>97</v>
      </c>
      <c r="AH431">
        <v>100</v>
      </c>
      <c r="AI431" t="s">
        <v>2254</v>
      </c>
      <c r="AJ431" s="2" t="str">
        <f>HYPERLINK("http://exon.niaid.nih.gov/transcriptome/Anopheles_sialome/links/CULICOMORPHA/anoara_hyp37.7-CULICOMORPHA.txt","hyp37.7-like precursor")</f>
        <v>hyp37.7-like precursor</v>
      </c>
      <c r="AK431" t="str">
        <f>HYPERLINK("http://www.ncbi.nlm.nih.gov/sutils/blink.cgi?pid=62546221","1E-148")</f>
        <v>1E-148</v>
      </c>
      <c r="AL431" t="str">
        <f t="shared" si="154"/>
        <v>gi|62546221</v>
      </c>
      <c r="AM431">
        <v>97</v>
      </c>
      <c r="AN431">
        <v>97</v>
      </c>
      <c r="AO431">
        <v>100</v>
      </c>
      <c r="AP431" t="s">
        <v>2254</v>
      </c>
      <c r="AQ431" s="2" t="str">
        <f>HYPERLINK("http://exon.niaid.nih.gov/transcriptome/Anopheles_sialome/links/NR-LIGHT/anoara_hyp37.7-NR-LIGHT.txt","hyp37.7-like precursor")</f>
        <v>hyp37.7-like precursor</v>
      </c>
      <c r="AR431" t="str">
        <f>HYPERLINK("http://www.ncbi.nlm.nih.gov/sutils/blink.cgi?pid=62546221","1E-147")</f>
        <v>1E-147</v>
      </c>
      <c r="AS431" t="str">
        <f t="shared" si="155"/>
        <v>gi|62546221</v>
      </c>
      <c r="AT431">
        <v>97</v>
      </c>
      <c r="AU431">
        <v>97</v>
      </c>
      <c r="AV431">
        <v>100</v>
      </c>
      <c r="AW431" t="s">
        <v>2254</v>
      </c>
      <c r="AX431" s="2" t="str">
        <f>HYPERLINK("http://exon.niaid.nih.gov/transcriptome/Anopheles_sialome/links/CDD/anoara_hyp37.7-CDD.txt","NrdF")</f>
        <v>NrdF</v>
      </c>
      <c r="AY431" t="str">
        <f>HYPERLINK("http://www.ncbi.nlm.nih.gov/Structure/cdd/cddsrv.cgi?uid=COG0208&amp;version=v4.0","0.16")</f>
        <v>0.16</v>
      </c>
      <c r="AZ431" t="s">
        <v>2714</v>
      </c>
      <c r="BA431" s="2" t="str">
        <f>HYPERLINK("http://exon.niaid.nih.gov/transcriptome/Anopheles_sialome/links/KOG/anoara_hyp37.7-KOG.txt","Predicted polypeptide N-acetylgalactosaminyltransferase")</f>
        <v>Predicted polypeptide N-acetylgalactosaminyltransferase</v>
      </c>
      <c r="BB431" t="str">
        <f>HYPERLINK("http://www.ncbi.nlm.nih.gov/Structure/cdd/cddsrv.cgi?uid=KOG3737","0.41")</f>
        <v>0.41</v>
      </c>
      <c r="BC431" t="s">
        <v>2296</v>
      </c>
      <c r="BD431" t="str">
        <f>HYPERLINK("http://exon.niaid.nih.gov/transcriptome/Anopheles_sialome/links/KOG/anoara_hyp37.7-KOG.txt","KOG3737")</f>
        <v>KOG3737</v>
      </c>
      <c r="BE431" t="str">
        <f>HYPERLINK("http://exon.niaid.nih.gov/transcriptome/Anopheles_sialome/links/PFAM/anoara_hyp37.7-PFAM.txt","Cas_Csx8")</f>
        <v>Cas_Csx8</v>
      </c>
      <c r="BF431" t="str">
        <f>HYPERLINK("http://pfam.sanger.ac.uk/family?acc=PF09657","0.27")</f>
        <v>0.27</v>
      </c>
      <c r="BG431" s="2" t="str">
        <f>HYPERLINK("http://exon.niaid.nih.gov/transcriptome/Anopheles_sialome/links/SMART/anoara_hyp37.7-SMART.txt","TR_THY")</f>
        <v>TR_THY</v>
      </c>
      <c r="BH431" t="str">
        <f>HYPERLINK("http://smart.embl-heidelberg.de/smart/do_annotation.pl?DOMAIN=TR_THY&amp;BLAST=DUMMY","2.2")</f>
        <v>2.2</v>
      </c>
      <c r="BI431" t="str">
        <f>HYPERLINK("http://exon.niaid.nih.gov/transcriptome/Anopheles_sialome/links/TICK-BLOCKS/anoara_hyp37.7-TICK-BLOCKS.txt","Hyp37 |Hyp37_stringent_pattern |")</f>
        <v>Hyp37 |Hyp37_stringent_pattern |</v>
      </c>
      <c r="BJ431" s="2" t="s">
        <v>2712</v>
      </c>
      <c r="BK431" t="s">
        <v>1450</v>
      </c>
      <c r="BL431">
        <f>HYPERLINK("http://exon.niaid.nih.gov/transcriptome/Anopheles_sialome/links/cluster-b/anopheline-sialome-cds-pep-larger-orf25-50SimCLU7.txt", 7)</f>
        <v>7</v>
      </c>
      <c r="BM431">
        <f>HYPERLINK("http://exon.niaid.nih.gov/transcriptome/Anopheles_sialome/links/cluster-b/anopheline-sialome-cds-pep-larger-orf25-50SimCLTL7.txt", 40)</f>
        <v>40</v>
      </c>
      <c r="BN431">
        <f>HYPERLINK("http://exon.niaid.nih.gov/transcriptome/Anopheles_sialome/links/cluster-b/anopheline-sialome-cds-pep-larger-orf30-50SimCLU6.txt", 6)</f>
        <v>6</v>
      </c>
      <c r="BO431">
        <f>HYPERLINK("http://exon.niaid.nih.gov/transcriptome/Anopheles_sialome/links/cluster-b/anopheline-sialome-cds-pep-larger-orf30-50SimCLTL6.txt", 40)</f>
        <v>40</v>
      </c>
      <c r="BP431">
        <f>HYPERLINK("http://exon.niaid.nih.gov/transcriptome/Anopheles_sialome/links/cluster-b/anopheline-sialome-cds-pep-larger-orf35-50SimCLU7.txt", 7)</f>
        <v>7</v>
      </c>
      <c r="BQ431">
        <f>HYPERLINK("http://exon.niaid.nih.gov/transcriptome/Anopheles_sialome/links/cluster-b/anopheline-sialome-cds-pep-larger-orf35-50SimCLTL7.txt", 40)</f>
        <v>40</v>
      </c>
      <c r="BR431">
        <f>HYPERLINK("http://exon.niaid.nih.gov/transcriptome/Anopheles_sialome/links/cluster-b/anopheline-sialome-cds-pep-larger-orf40-50SimCLU6.txt", 6)</f>
        <v>6</v>
      </c>
      <c r="BS431">
        <f>HYPERLINK("http://exon.niaid.nih.gov/transcriptome/Anopheles_sialome/links/cluster-b/anopheline-sialome-cds-pep-larger-orf40-50SimCLTL6.txt", 39)</f>
        <v>39</v>
      </c>
      <c r="BT431">
        <f>HYPERLINK("http://exon.niaid.nih.gov/transcriptome/Anopheles_sialome/links/cluster-b/anopheline-sialome-cds-pep-larger-orf45-50SimCLU5.txt", 5)</f>
        <v>5</v>
      </c>
      <c r="BU431">
        <f>HYPERLINK("http://exon.niaid.nih.gov/transcriptome/Anopheles_sialome/links/cluster-b/anopheline-sialome-cds-pep-larger-orf45-50SimCLTL5.txt", 39)</f>
        <v>39</v>
      </c>
      <c r="BV431">
        <f>HYPERLINK("http://exon.niaid.nih.gov/transcriptome/Anopheles_sialome/links/cluster-b/anopheline-sialome-cds-pep-larger-orf50-50SimCLU5.txt", 5)</f>
        <v>5</v>
      </c>
      <c r="BW431">
        <f>HYPERLINK("http://exon.niaid.nih.gov/transcriptome/Anopheles_sialome/links/cluster-b/anopheline-sialome-cds-pep-larger-orf50-50SimCLTL5.txt", 39)</f>
        <v>39</v>
      </c>
      <c r="BX431">
        <f>HYPERLINK("http://exon.niaid.nih.gov/transcriptome/Anopheles_sialome/links/cluster-b/anopheline-sialome-cds-pep-larger-orf55-50SimCLU6.txt", 6)</f>
        <v>6</v>
      </c>
      <c r="BY431">
        <f>HYPERLINK("http://exon.niaid.nih.gov/transcriptome/Anopheles_sialome/links/cluster-b/anopheline-sialome-cds-pep-larger-orf55-50SimCLTL6.txt", 36)</f>
        <v>36</v>
      </c>
      <c r="BZ431">
        <f>HYPERLINK("http://exon.niaid.nih.gov/transcriptome/Anopheles_sialome/links/cluster-b/anopheline-sialome-cds-pep-larger-orf60-50SimCLU37.txt", 37)</f>
        <v>37</v>
      </c>
      <c r="CA431">
        <f>HYPERLINK("http://exon.niaid.nih.gov/transcriptome/Anopheles_sialome/links/cluster-b/anopheline-sialome-cds-pep-larger-orf60-50SimCLTL37.txt", 8)</f>
        <v>8</v>
      </c>
      <c r="CB431">
        <f>HYPERLINK("http://exon.niaid.nih.gov/transcriptome/Anopheles_sialome/links/cluster-b/anopheline-sialome-cds-pep-larger-orf65-50SimCLU40.txt", 40)</f>
        <v>40</v>
      </c>
      <c r="CC431">
        <f>HYPERLINK("http://exon.niaid.nih.gov/transcriptome/Anopheles_sialome/links/cluster-b/anopheline-sialome-cds-pep-larger-orf65-50SimCLTL40.txt", 8)</f>
        <v>8</v>
      </c>
      <c r="CD431">
        <f>HYPERLINK("http://exon.niaid.nih.gov/transcriptome/Anopheles_sialome/links/cluster-b/anopheline-sialome-cds-pep-larger-orf70-50SimCLU44.txt", 44)</f>
        <v>44</v>
      </c>
      <c r="CE431">
        <f>HYPERLINK("http://exon.niaid.nih.gov/transcriptome/Anopheles_sialome/links/cluster-b/anopheline-sialome-cds-pep-larger-orf70-50SimCLTL44.txt", 7)</f>
        <v>7</v>
      </c>
      <c r="CF431">
        <f>HYPERLINK("http://exon.niaid.nih.gov/transcriptome/Anopheles_sialome/links/cluster-b/anopheline-sialome-cds-pep-larger-orf75-50SimCLU43.txt", 43)</f>
        <v>43</v>
      </c>
      <c r="CG431">
        <f>HYPERLINK("http://exon.niaid.nih.gov/transcriptome/Anopheles_sialome/links/cluster-b/anopheline-sialome-cds-pep-larger-orf75-50SimCLTL43.txt", 6)</f>
        <v>6</v>
      </c>
      <c r="CH431">
        <f>HYPERLINK("http://exon.niaid.nih.gov/transcriptome/Anopheles_sialome/links/cluster-b/anopheline-sialome-cds-pep-larger-orf80-50SimCLU41.txt", 41)</f>
        <v>41</v>
      </c>
      <c r="CI431">
        <f>HYPERLINK("http://exon.niaid.nih.gov/transcriptome/Anopheles_sialome/links/cluster-b/anopheline-sialome-cds-pep-larger-orf80-50SimCLTL41.txt", 6)</f>
        <v>6</v>
      </c>
      <c r="CJ431">
        <f>HYPERLINK("http://exon.niaid.nih.gov/transcriptome/Anopheles_sialome/links/cluster-b/anopheline-sialome-cds-pep-larger-orf85-50SimCLU38.txt", 38)</f>
        <v>38</v>
      </c>
      <c r="CK431">
        <f>HYPERLINK("http://exon.niaid.nih.gov/transcriptome/Anopheles_sialome/links/cluster-b/anopheline-sialome-cds-pep-larger-orf85-50SimCLTL38.txt", 6)</f>
        <v>6</v>
      </c>
      <c r="CL431">
        <f>HYPERLINK("http://exon.niaid.nih.gov/transcriptome/Anopheles_sialome/links/cluster-b/anopheline-sialome-cds-pep-larger-orf90-50SimCLU30.txt", 30)</f>
        <v>30</v>
      </c>
      <c r="CM431">
        <f>HYPERLINK("http://exon.niaid.nih.gov/transcriptome/Anopheles_sialome/links/cluster-b/anopheline-sialome-cds-pep-larger-orf90-50SimCLTL30.txt", 6)</f>
        <v>6</v>
      </c>
      <c r="CN431">
        <f>HYPERLINK("http://exon.niaid.nih.gov/transcriptome/Anopheles_sialome/links/cluster-b/anopheline-sialome-cds-pep-larger-orf95-50SimCLU19.txt", 19)</f>
        <v>19</v>
      </c>
      <c r="CO431">
        <f>HYPERLINK("http://exon.niaid.nih.gov/transcriptome/Anopheles_sialome/links/cluster-b/anopheline-sialome-cds-pep-larger-orf95-50SimCLTL19.txt", 6)</f>
        <v>6</v>
      </c>
    </row>
    <row r="432" spans="1:93">
      <c r="A432" s="2" t="str">
        <f>HYPERLINK("http://exon.niaid.nih.gov/transcriptome/Anopheles_sialome/links/cds/anoqua_hyp37.7-cds.txt","anoqua_hyp37.7")</f>
        <v>anoqua_hyp37.7</v>
      </c>
      <c r="B432">
        <v>801</v>
      </c>
      <c r="C432" t="s">
        <v>300</v>
      </c>
      <c r="D432" t="s">
        <v>7</v>
      </c>
      <c r="E432" t="s">
        <v>5</v>
      </c>
      <c r="F432" t="s">
        <v>1</v>
      </c>
      <c r="G432" t="str">
        <f>HYPERLINK("http://exon.niaid.nih.gov/transcriptome/Anopheles_sialome/links/pep/anoqua_hyp37.7-pep.txt","anoqua_hyp37.7")</f>
        <v>anoqua_hyp37.7</v>
      </c>
      <c r="H432">
        <v>266</v>
      </c>
      <c r="I432">
        <v>2</v>
      </c>
      <c r="J432" s="3" t="str">
        <f>HYPERLINK("http://exon.niaid.nih.gov/transcriptome/Anopheles_sialome/links/Sigp/anoqua_hyp37.7-SigP.txt","SIG")</f>
        <v>SIG</v>
      </c>
      <c r="K432" t="s">
        <v>708</v>
      </c>
      <c r="L432">
        <v>29.155999999999999</v>
      </c>
      <c r="M432">
        <v>9.77</v>
      </c>
      <c r="N432">
        <v>26.591000000000001</v>
      </c>
      <c r="O432">
        <v>9.76</v>
      </c>
      <c r="P432" t="s">
        <v>1453</v>
      </c>
      <c r="Q432" s="3">
        <v>0</v>
      </c>
      <c r="R432" t="s">
        <v>128</v>
      </c>
      <c r="S432" t="s">
        <v>128</v>
      </c>
      <c r="T432" t="s">
        <v>128</v>
      </c>
      <c r="U432" t="s">
        <v>128</v>
      </c>
      <c r="V432" t="s">
        <v>128</v>
      </c>
      <c r="W432" s="3" t="str">
        <f>HYPERLINK("http://exon.niaid.nih.gov/transcriptome/Anopheles_sialome/links/netoglyc/anoqua_hyp37.7-netoglyc.txt","1")</f>
        <v>1</v>
      </c>
      <c r="X432">
        <v>12.8</v>
      </c>
      <c r="Y432">
        <v>8.3000000000000007</v>
      </c>
      <c r="Z432">
        <v>4.0999999999999996</v>
      </c>
      <c r="AA432" t="s">
        <v>654</v>
      </c>
      <c r="AB432" t="s">
        <v>128</v>
      </c>
      <c r="AC432" s="2" t="str">
        <f>HYPERLINK("http://exon.niaid.nih.gov/transcriptome/Anopheles_sialome/links/DIPTERA/anoqua_hyp37.7-DIPTERA.txt","hyp37.7-like precursor")</f>
        <v>hyp37.7-like precursor</v>
      </c>
      <c r="AD432" t="str">
        <f>HYPERLINK("http://www.ncbi.nlm.nih.gov/sutils/blink.cgi?pid=62546221","1E-143")</f>
        <v>1E-143</v>
      </c>
      <c r="AE432" t="str">
        <f t="shared" si="153"/>
        <v>gi|62546221</v>
      </c>
      <c r="AF432">
        <v>96</v>
      </c>
      <c r="AG432">
        <v>97</v>
      </c>
      <c r="AH432">
        <v>100</v>
      </c>
      <c r="AI432" t="s">
        <v>2254</v>
      </c>
      <c r="AJ432" s="2" t="str">
        <f>HYPERLINK("http://exon.niaid.nih.gov/transcriptome/Anopheles_sialome/links/CULICOMORPHA/anoqua_hyp37.7-CULICOMORPHA.txt","hyp37.7-like precursor")</f>
        <v>hyp37.7-like precursor</v>
      </c>
      <c r="AK432" t="str">
        <f>HYPERLINK("http://www.ncbi.nlm.nih.gov/sutils/blink.cgi?pid=62546221","1E-144")</f>
        <v>1E-144</v>
      </c>
      <c r="AL432" t="str">
        <f t="shared" si="154"/>
        <v>gi|62546221</v>
      </c>
      <c r="AM432">
        <v>96</v>
      </c>
      <c r="AN432">
        <v>97</v>
      </c>
      <c r="AO432">
        <v>100</v>
      </c>
      <c r="AP432" t="s">
        <v>2254</v>
      </c>
      <c r="AQ432" s="2" t="str">
        <f>HYPERLINK("http://exon.niaid.nih.gov/transcriptome/Anopheles_sialome/links/NR-LIGHT/anoqua_hyp37.7-NR-LIGHT.txt","hyp37.7-like precursor")</f>
        <v>hyp37.7-like precursor</v>
      </c>
      <c r="AR432" t="str">
        <f>HYPERLINK("http://www.ncbi.nlm.nih.gov/sutils/blink.cgi?pid=62546221","1E-143")</f>
        <v>1E-143</v>
      </c>
      <c r="AS432" t="str">
        <f t="shared" si="155"/>
        <v>gi|62546221</v>
      </c>
      <c r="AT432">
        <v>96</v>
      </c>
      <c r="AU432">
        <v>97</v>
      </c>
      <c r="AV432">
        <v>100</v>
      </c>
      <c r="AW432" t="s">
        <v>2254</v>
      </c>
      <c r="AX432" s="2" t="str">
        <f>HYPERLINK("http://exon.niaid.nih.gov/transcriptome/Anopheles_sialome/links/CDD/anoqua_hyp37.7-CDD.txt","NrdF")</f>
        <v>NrdF</v>
      </c>
      <c r="AY432" t="str">
        <f>HYPERLINK("http://www.ncbi.nlm.nih.gov/Structure/cdd/cddsrv.cgi?uid=COG0208&amp;version=v4.0","0.28")</f>
        <v>0.28</v>
      </c>
      <c r="AZ432" t="s">
        <v>2715</v>
      </c>
      <c r="BA432" s="2" t="str">
        <f>HYPERLINK("http://exon.niaid.nih.gov/transcriptome/Anopheles_sialome/links/KOG/anoqua_hyp37.7-KOG.txt","Predicted polypeptide N-acetylgalactosaminyltransferase")</f>
        <v>Predicted polypeptide N-acetylgalactosaminyltransferase</v>
      </c>
      <c r="BB432" t="str">
        <f>HYPERLINK("http://www.ncbi.nlm.nih.gov/Structure/cdd/cddsrv.cgi?uid=KOG3737","1.0")</f>
        <v>1.0</v>
      </c>
      <c r="BC432" t="s">
        <v>2296</v>
      </c>
      <c r="BD432" t="str">
        <f>HYPERLINK("http://exon.niaid.nih.gov/transcriptome/Anopheles_sialome/links/KOG/anoqua_hyp37.7-KOG.txt","KOG3737")</f>
        <v>KOG3737</v>
      </c>
      <c r="BE432" t="str">
        <f>HYPERLINK("http://exon.niaid.nih.gov/transcriptome/Anopheles_sialome/links/PFAM/anoqua_hyp37.7-PFAM.txt","FhuF")</f>
        <v>FhuF</v>
      </c>
      <c r="BF432" t="str">
        <f>HYPERLINK("http://pfam.sanger.ac.uk/family?acc=PF06276","0.17")</f>
        <v>0.17</v>
      </c>
      <c r="BG432" s="2" t="str">
        <f>HYPERLINK("http://exon.niaid.nih.gov/transcriptome/Anopheles_sialome/links/SMART/anoqua_hyp37.7-SMART.txt","DZF")</f>
        <v>DZF</v>
      </c>
      <c r="BH432" t="str">
        <f>HYPERLINK("http://smart.embl-heidelberg.de/smart/do_annotation.pl?DOMAIN=DZF&amp;BLAST=DUMMY","0.98")</f>
        <v>0.98</v>
      </c>
      <c r="BI432" t="str">
        <f>HYPERLINK("http://exon.niaid.nih.gov/transcriptome/Anopheles_sialome/links/TICK-BLOCKS/anoqua_hyp37.7-TICK-BLOCKS.txt","Hyp37 |Hyp37_stringent_pattern |")</f>
        <v>Hyp37 |Hyp37_stringent_pattern |</v>
      </c>
      <c r="BJ432" s="2" t="s">
        <v>2712</v>
      </c>
      <c r="BK432" t="s">
        <v>1452</v>
      </c>
      <c r="BL432">
        <f>HYPERLINK("http://exon.niaid.nih.gov/transcriptome/Anopheles_sialome/links/cluster-b/anopheline-sialome-cds-pep-larger-orf25-50SimCLU7.txt", 7)</f>
        <v>7</v>
      </c>
      <c r="BM432">
        <f>HYPERLINK("http://exon.niaid.nih.gov/transcriptome/Anopheles_sialome/links/cluster-b/anopheline-sialome-cds-pep-larger-orf25-50SimCLTL7.txt", 40)</f>
        <v>40</v>
      </c>
      <c r="BN432">
        <f>HYPERLINK("http://exon.niaid.nih.gov/transcriptome/Anopheles_sialome/links/cluster-b/anopheline-sialome-cds-pep-larger-orf30-50SimCLU6.txt", 6)</f>
        <v>6</v>
      </c>
      <c r="BO432">
        <f>HYPERLINK("http://exon.niaid.nih.gov/transcriptome/Anopheles_sialome/links/cluster-b/anopheline-sialome-cds-pep-larger-orf30-50SimCLTL6.txt", 40)</f>
        <v>40</v>
      </c>
      <c r="BP432">
        <f>HYPERLINK("http://exon.niaid.nih.gov/transcriptome/Anopheles_sialome/links/cluster-b/anopheline-sialome-cds-pep-larger-orf35-50SimCLU7.txt", 7)</f>
        <v>7</v>
      </c>
      <c r="BQ432">
        <f>HYPERLINK("http://exon.niaid.nih.gov/transcriptome/Anopheles_sialome/links/cluster-b/anopheline-sialome-cds-pep-larger-orf35-50SimCLTL7.txt", 40)</f>
        <v>40</v>
      </c>
      <c r="BR432">
        <f>HYPERLINK("http://exon.niaid.nih.gov/transcriptome/Anopheles_sialome/links/cluster-b/anopheline-sialome-cds-pep-larger-orf40-50SimCLU6.txt", 6)</f>
        <v>6</v>
      </c>
      <c r="BS432">
        <f>HYPERLINK("http://exon.niaid.nih.gov/transcriptome/Anopheles_sialome/links/cluster-b/anopheline-sialome-cds-pep-larger-orf40-50SimCLTL6.txt", 39)</f>
        <v>39</v>
      </c>
      <c r="BT432">
        <f>HYPERLINK("http://exon.niaid.nih.gov/transcriptome/Anopheles_sialome/links/cluster-b/anopheline-sialome-cds-pep-larger-orf45-50SimCLU5.txt", 5)</f>
        <v>5</v>
      </c>
      <c r="BU432">
        <f>HYPERLINK("http://exon.niaid.nih.gov/transcriptome/Anopheles_sialome/links/cluster-b/anopheline-sialome-cds-pep-larger-orf45-50SimCLTL5.txt", 39)</f>
        <v>39</v>
      </c>
      <c r="BV432">
        <f>HYPERLINK("http://exon.niaid.nih.gov/transcriptome/Anopheles_sialome/links/cluster-b/anopheline-sialome-cds-pep-larger-orf50-50SimCLU5.txt", 5)</f>
        <v>5</v>
      </c>
      <c r="BW432">
        <f>HYPERLINK("http://exon.niaid.nih.gov/transcriptome/Anopheles_sialome/links/cluster-b/anopheline-sialome-cds-pep-larger-orf50-50SimCLTL5.txt", 39)</f>
        <v>39</v>
      </c>
      <c r="BX432">
        <f>HYPERLINK("http://exon.niaid.nih.gov/transcriptome/Anopheles_sialome/links/cluster-b/anopheline-sialome-cds-pep-larger-orf55-50SimCLU6.txt", 6)</f>
        <v>6</v>
      </c>
      <c r="BY432">
        <f>HYPERLINK("http://exon.niaid.nih.gov/transcriptome/Anopheles_sialome/links/cluster-b/anopheline-sialome-cds-pep-larger-orf55-50SimCLTL6.txt", 36)</f>
        <v>36</v>
      </c>
      <c r="BZ432">
        <f>HYPERLINK("http://exon.niaid.nih.gov/transcriptome/Anopheles_sialome/links/cluster-b/anopheline-sialome-cds-pep-larger-orf60-50SimCLU37.txt", 37)</f>
        <v>37</v>
      </c>
      <c r="CA432">
        <f>HYPERLINK("http://exon.niaid.nih.gov/transcriptome/Anopheles_sialome/links/cluster-b/anopheline-sialome-cds-pep-larger-orf60-50SimCLTL37.txt", 8)</f>
        <v>8</v>
      </c>
      <c r="CB432">
        <f>HYPERLINK("http://exon.niaid.nih.gov/transcriptome/Anopheles_sialome/links/cluster-b/anopheline-sialome-cds-pep-larger-orf65-50SimCLU40.txt", 40)</f>
        <v>40</v>
      </c>
      <c r="CC432">
        <f>HYPERLINK("http://exon.niaid.nih.gov/transcriptome/Anopheles_sialome/links/cluster-b/anopheline-sialome-cds-pep-larger-orf65-50SimCLTL40.txt", 8)</f>
        <v>8</v>
      </c>
      <c r="CD432">
        <f>HYPERLINK("http://exon.niaid.nih.gov/transcriptome/Anopheles_sialome/links/cluster-b/anopheline-sialome-cds-pep-larger-orf70-50SimCLU44.txt", 44)</f>
        <v>44</v>
      </c>
      <c r="CE432">
        <f>HYPERLINK("http://exon.niaid.nih.gov/transcriptome/Anopheles_sialome/links/cluster-b/anopheline-sialome-cds-pep-larger-orf70-50SimCLTL44.txt", 7)</f>
        <v>7</v>
      </c>
      <c r="CF432">
        <f>HYPERLINK("http://exon.niaid.nih.gov/transcriptome/Anopheles_sialome/links/cluster-b/anopheline-sialome-cds-pep-larger-orf75-50SimCLU43.txt", 43)</f>
        <v>43</v>
      </c>
      <c r="CG432">
        <f>HYPERLINK("http://exon.niaid.nih.gov/transcriptome/Anopheles_sialome/links/cluster-b/anopheline-sialome-cds-pep-larger-orf75-50SimCLTL43.txt", 6)</f>
        <v>6</v>
      </c>
      <c r="CH432">
        <f>HYPERLINK("http://exon.niaid.nih.gov/transcriptome/Anopheles_sialome/links/cluster-b/anopheline-sialome-cds-pep-larger-orf80-50SimCLU41.txt", 41)</f>
        <v>41</v>
      </c>
      <c r="CI432">
        <f>HYPERLINK("http://exon.niaid.nih.gov/transcriptome/Anopheles_sialome/links/cluster-b/anopheline-sialome-cds-pep-larger-orf80-50SimCLTL41.txt", 6)</f>
        <v>6</v>
      </c>
      <c r="CJ432">
        <f>HYPERLINK("http://exon.niaid.nih.gov/transcriptome/Anopheles_sialome/links/cluster-b/anopheline-sialome-cds-pep-larger-orf85-50SimCLU38.txt", 38)</f>
        <v>38</v>
      </c>
      <c r="CK432">
        <f>HYPERLINK("http://exon.niaid.nih.gov/transcriptome/Anopheles_sialome/links/cluster-b/anopheline-sialome-cds-pep-larger-orf85-50SimCLTL38.txt", 6)</f>
        <v>6</v>
      </c>
      <c r="CL432">
        <f>HYPERLINK("http://exon.niaid.nih.gov/transcriptome/Anopheles_sialome/links/cluster-b/anopheline-sialome-cds-pep-larger-orf90-50SimCLU30.txt", 30)</f>
        <v>30</v>
      </c>
      <c r="CM432">
        <f>HYPERLINK("http://exon.niaid.nih.gov/transcriptome/Anopheles_sialome/links/cluster-b/anopheline-sialome-cds-pep-larger-orf90-50SimCLTL30.txt", 6)</f>
        <v>6</v>
      </c>
      <c r="CN432">
        <f>HYPERLINK("http://exon.niaid.nih.gov/transcriptome/Anopheles_sialome/links/cluster-b/anopheline-sialome-cds-pep-larger-orf95-50SimCLU19.txt", 19)</f>
        <v>19</v>
      </c>
      <c r="CO432">
        <f>HYPERLINK("http://exon.niaid.nih.gov/transcriptome/Anopheles_sialome/links/cluster-b/anopheline-sialome-cds-pep-larger-orf95-50SimCLTL19.txt", 6)</f>
        <v>6</v>
      </c>
    </row>
    <row r="433" spans="1:93">
      <c r="A433" s="2" t="str">
        <f>HYPERLINK("http://exon.niaid.nih.gov/transcriptome/Anopheles_sialome/links/cds/anomer_hyp37.7-cds.txt","anomer_hyp37.7")</f>
        <v>anomer_hyp37.7</v>
      </c>
      <c r="B433">
        <v>801</v>
      </c>
      <c r="C433" t="s">
        <v>301</v>
      </c>
      <c r="D433" t="s">
        <v>7</v>
      </c>
      <c r="E433" t="s">
        <v>5</v>
      </c>
      <c r="F433" t="s">
        <v>1</v>
      </c>
      <c r="G433" t="str">
        <f>HYPERLINK("http://exon.niaid.nih.gov/transcriptome/Anopheles_sialome/links/pep/anomer_hyp37.7-pep.txt","anomer_hyp37.7")</f>
        <v>anomer_hyp37.7</v>
      </c>
      <c r="H433">
        <v>266</v>
      </c>
      <c r="I433">
        <v>2</v>
      </c>
      <c r="J433" s="3" t="str">
        <f>HYPERLINK("http://exon.niaid.nih.gov/transcriptome/Anopheles_sialome/links/Sigp/anomer_hyp37.7-SigP.txt","SIG")</f>
        <v>SIG</v>
      </c>
      <c r="K433" t="s">
        <v>718</v>
      </c>
      <c r="L433">
        <v>29.298999999999999</v>
      </c>
      <c r="M433">
        <v>9.57</v>
      </c>
      <c r="N433">
        <v>27.491</v>
      </c>
      <c r="O433">
        <v>9.7100000000000009</v>
      </c>
      <c r="P433" t="s">
        <v>1455</v>
      </c>
      <c r="Q433" s="3">
        <v>0</v>
      </c>
      <c r="R433" t="s">
        <v>128</v>
      </c>
      <c r="S433" t="s">
        <v>128</v>
      </c>
      <c r="T433" t="s">
        <v>128</v>
      </c>
      <c r="U433" t="s">
        <v>128</v>
      </c>
      <c r="V433" t="s">
        <v>128</v>
      </c>
      <c r="W433" s="3" t="str">
        <f>HYPERLINK("http://exon.niaid.nih.gov/transcriptome/Anopheles_sialome/links/netoglyc/anomer_hyp37.7-netoglyc.txt","2")</f>
        <v>2</v>
      </c>
      <c r="X433">
        <v>14.3</v>
      </c>
      <c r="Y433">
        <v>7.5</v>
      </c>
      <c r="Z433">
        <v>4.5</v>
      </c>
      <c r="AA433" t="s">
        <v>654</v>
      </c>
      <c r="AB433" t="s">
        <v>128</v>
      </c>
      <c r="AC433" s="2" t="str">
        <f>HYPERLINK("http://exon.niaid.nih.gov/transcriptome/Anopheles_sialome/links/DIPTERA/anomer_hyp37.7-DIPTERA.txt","hyp37.7-like precursor")</f>
        <v>hyp37.7-like precursor</v>
      </c>
      <c r="AD433" t="str">
        <f>HYPERLINK("http://www.ncbi.nlm.nih.gov/sutils/blink.cgi?pid=62546221","1E-139")</f>
        <v>1E-139</v>
      </c>
      <c r="AE433" t="str">
        <f t="shared" si="153"/>
        <v>gi|62546221</v>
      </c>
      <c r="AF433">
        <v>94</v>
      </c>
      <c r="AG433">
        <v>94</v>
      </c>
      <c r="AH433">
        <v>100</v>
      </c>
      <c r="AI433" t="s">
        <v>2254</v>
      </c>
      <c r="AJ433" s="2" t="str">
        <f>HYPERLINK("http://exon.niaid.nih.gov/transcriptome/Anopheles_sialome/links/CULICOMORPHA/anomer_hyp37.7-CULICOMORPHA.txt","hyp37.7-like precursor")</f>
        <v>hyp37.7-like precursor</v>
      </c>
      <c r="AK433" t="str">
        <f>HYPERLINK("http://www.ncbi.nlm.nih.gov/sutils/blink.cgi?pid=62546221","1E-140")</f>
        <v>1E-140</v>
      </c>
      <c r="AL433" t="str">
        <f t="shared" si="154"/>
        <v>gi|62546221</v>
      </c>
      <c r="AM433">
        <v>94</v>
      </c>
      <c r="AN433">
        <v>94</v>
      </c>
      <c r="AO433">
        <v>100</v>
      </c>
      <c r="AP433" t="s">
        <v>2254</v>
      </c>
      <c r="AQ433" s="2" t="str">
        <f>HYPERLINK("http://exon.niaid.nih.gov/transcriptome/Anopheles_sialome/links/NR-LIGHT/anomer_hyp37.7-NR-LIGHT.txt","hyp37.7-like precursor")</f>
        <v>hyp37.7-like precursor</v>
      </c>
      <c r="AR433" t="str">
        <f>HYPERLINK("http://www.ncbi.nlm.nih.gov/sutils/blink.cgi?pid=62546221","1E-139")</f>
        <v>1E-139</v>
      </c>
      <c r="AS433" t="str">
        <f t="shared" si="155"/>
        <v>gi|62546221</v>
      </c>
      <c r="AT433">
        <v>94</v>
      </c>
      <c r="AU433">
        <v>94</v>
      </c>
      <c r="AV433">
        <v>100</v>
      </c>
      <c r="AW433" t="s">
        <v>2254</v>
      </c>
      <c r="AX433" s="2" t="str">
        <f>HYPERLINK("http://exon.niaid.nih.gov/transcriptome/Anopheles_sialome/links/CDD/anomer_hyp37.7-CDD.txt","NrdF")</f>
        <v>NrdF</v>
      </c>
      <c r="AY433" t="str">
        <f>HYPERLINK("http://www.ncbi.nlm.nih.gov/Structure/cdd/cddsrv.cgi?uid=COG0208&amp;version=v4.0","0.15")</f>
        <v>0.15</v>
      </c>
      <c r="AZ433" t="s">
        <v>2716</v>
      </c>
      <c r="BA433" s="2" t="str">
        <f>HYPERLINK("http://exon.niaid.nih.gov/transcriptome/Anopheles_sialome/links/KOG/anomer_hyp37.7-KOG.txt","Pyridoxal/pyridoxine/pyridoxamine kinase")</f>
        <v>Pyridoxal/pyridoxine/pyridoxamine kinase</v>
      </c>
      <c r="BB433" t="str">
        <f>HYPERLINK("http://www.ncbi.nlm.nih.gov/Structure/cdd/cddsrv.cgi?uid=KOG2599","1.1")</f>
        <v>1.1</v>
      </c>
      <c r="BC433" t="s">
        <v>2491</v>
      </c>
      <c r="BD433" t="str">
        <f>HYPERLINK("http://exon.niaid.nih.gov/transcriptome/Anopheles_sialome/links/KOG/anomer_hyp37.7-KOG.txt","KOG2599")</f>
        <v>KOG2599</v>
      </c>
      <c r="BE433" t="str">
        <f>HYPERLINK("http://exon.niaid.nih.gov/transcriptome/Anopheles_sialome/links/PFAM/anomer_hyp37.7-PFAM.txt","FhuF")</f>
        <v>FhuF</v>
      </c>
      <c r="BF433" t="str">
        <f>HYPERLINK("http://pfam.sanger.ac.uk/family?acc=PF06276","0.15")</f>
        <v>0.15</v>
      </c>
      <c r="BG433" s="2" t="str">
        <f>HYPERLINK("http://exon.niaid.nih.gov/transcriptome/Anopheles_sialome/links/SMART/anomer_hyp37.7-SMART.txt","DZF")</f>
        <v>DZF</v>
      </c>
      <c r="BH433" t="str">
        <f>HYPERLINK("http://smart.embl-heidelberg.de/smart/do_annotation.pl?DOMAIN=DZF&amp;BLAST=DUMMY","0.26")</f>
        <v>0.26</v>
      </c>
      <c r="BI433" t="str">
        <f>HYPERLINK("http://exon.niaid.nih.gov/transcriptome/Anopheles_sialome/links/TICK-BLOCKS/anomer_hyp37.7-TICK-BLOCKS.txt","Hyp37 |Hyp37_stringent_pattern |")</f>
        <v>Hyp37 |Hyp37_stringent_pattern |</v>
      </c>
      <c r="BJ433" s="2" t="s">
        <v>2712</v>
      </c>
      <c r="BK433" t="s">
        <v>1454</v>
      </c>
      <c r="BL433">
        <f>HYPERLINK("http://exon.niaid.nih.gov/transcriptome/Anopheles_sialome/links/cluster-b/anopheline-sialome-cds-pep-larger-orf25-50SimCLU7.txt", 7)</f>
        <v>7</v>
      </c>
      <c r="BM433">
        <f>HYPERLINK("http://exon.niaid.nih.gov/transcriptome/Anopheles_sialome/links/cluster-b/anopheline-sialome-cds-pep-larger-orf25-50SimCLTL7.txt", 40)</f>
        <v>40</v>
      </c>
      <c r="BN433">
        <f>HYPERLINK("http://exon.niaid.nih.gov/transcriptome/Anopheles_sialome/links/cluster-b/anopheline-sialome-cds-pep-larger-orf30-50SimCLU6.txt", 6)</f>
        <v>6</v>
      </c>
      <c r="BO433">
        <f>HYPERLINK("http://exon.niaid.nih.gov/transcriptome/Anopheles_sialome/links/cluster-b/anopheline-sialome-cds-pep-larger-orf30-50SimCLTL6.txt", 40)</f>
        <v>40</v>
      </c>
      <c r="BP433">
        <f>HYPERLINK("http://exon.niaid.nih.gov/transcriptome/Anopheles_sialome/links/cluster-b/anopheline-sialome-cds-pep-larger-orf35-50SimCLU7.txt", 7)</f>
        <v>7</v>
      </c>
      <c r="BQ433">
        <f>HYPERLINK("http://exon.niaid.nih.gov/transcriptome/Anopheles_sialome/links/cluster-b/anopheline-sialome-cds-pep-larger-orf35-50SimCLTL7.txt", 40)</f>
        <v>40</v>
      </c>
      <c r="BR433">
        <f>HYPERLINK("http://exon.niaid.nih.gov/transcriptome/Anopheles_sialome/links/cluster-b/anopheline-sialome-cds-pep-larger-orf40-50SimCLU6.txt", 6)</f>
        <v>6</v>
      </c>
      <c r="BS433">
        <f>HYPERLINK("http://exon.niaid.nih.gov/transcriptome/Anopheles_sialome/links/cluster-b/anopheline-sialome-cds-pep-larger-orf40-50SimCLTL6.txt", 39)</f>
        <v>39</v>
      </c>
      <c r="BT433">
        <f>HYPERLINK("http://exon.niaid.nih.gov/transcriptome/Anopheles_sialome/links/cluster-b/anopheline-sialome-cds-pep-larger-orf45-50SimCLU5.txt", 5)</f>
        <v>5</v>
      </c>
      <c r="BU433">
        <f>HYPERLINK("http://exon.niaid.nih.gov/transcriptome/Anopheles_sialome/links/cluster-b/anopheline-sialome-cds-pep-larger-orf45-50SimCLTL5.txt", 39)</f>
        <v>39</v>
      </c>
      <c r="BV433">
        <f>HYPERLINK("http://exon.niaid.nih.gov/transcriptome/Anopheles_sialome/links/cluster-b/anopheline-sialome-cds-pep-larger-orf50-50SimCLU5.txt", 5)</f>
        <v>5</v>
      </c>
      <c r="BW433">
        <f>HYPERLINK("http://exon.niaid.nih.gov/transcriptome/Anopheles_sialome/links/cluster-b/anopheline-sialome-cds-pep-larger-orf50-50SimCLTL5.txt", 39)</f>
        <v>39</v>
      </c>
      <c r="BX433">
        <f>HYPERLINK("http://exon.niaid.nih.gov/transcriptome/Anopheles_sialome/links/cluster-b/anopheline-sialome-cds-pep-larger-orf55-50SimCLU6.txt", 6)</f>
        <v>6</v>
      </c>
      <c r="BY433">
        <f>HYPERLINK("http://exon.niaid.nih.gov/transcriptome/Anopheles_sialome/links/cluster-b/anopheline-sialome-cds-pep-larger-orf55-50SimCLTL6.txt", 36)</f>
        <v>36</v>
      </c>
      <c r="BZ433">
        <f>HYPERLINK("http://exon.niaid.nih.gov/transcriptome/Anopheles_sialome/links/cluster-b/anopheline-sialome-cds-pep-larger-orf60-50SimCLU37.txt", 37)</f>
        <v>37</v>
      </c>
      <c r="CA433">
        <f>HYPERLINK("http://exon.niaid.nih.gov/transcriptome/Anopheles_sialome/links/cluster-b/anopheline-sialome-cds-pep-larger-orf60-50SimCLTL37.txt", 8)</f>
        <v>8</v>
      </c>
      <c r="CB433">
        <f>HYPERLINK("http://exon.niaid.nih.gov/transcriptome/Anopheles_sialome/links/cluster-b/anopheline-sialome-cds-pep-larger-orf65-50SimCLU40.txt", 40)</f>
        <v>40</v>
      </c>
      <c r="CC433">
        <f>HYPERLINK("http://exon.niaid.nih.gov/transcriptome/Anopheles_sialome/links/cluster-b/anopheline-sialome-cds-pep-larger-orf65-50SimCLTL40.txt", 8)</f>
        <v>8</v>
      </c>
      <c r="CD433">
        <f>HYPERLINK("http://exon.niaid.nih.gov/transcriptome/Anopheles_sialome/links/cluster-b/anopheline-sialome-cds-pep-larger-orf70-50SimCLU44.txt", 44)</f>
        <v>44</v>
      </c>
      <c r="CE433">
        <f>HYPERLINK("http://exon.niaid.nih.gov/transcriptome/Anopheles_sialome/links/cluster-b/anopheline-sialome-cds-pep-larger-orf70-50SimCLTL44.txt", 7)</f>
        <v>7</v>
      </c>
      <c r="CF433">
        <f>HYPERLINK("http://exon.niaid.nih.gov/transcriptome/Anopheles_sialome/links/cluster-b/anopheline-sialome-cds-pep-larger-orf75-50SimCLU43.txt", 43)</f>
        <v>43</v>
      </c>
      <c r="CG433">
        <f>HYPERLINK("http://exon.niaid.nih.gov/transcriptome/Anopheles_sialome/links/cluster-b/anopheline-sialome-cds-pep-larger-orf75-50SimCLTL43.txt", 6)</f>
        <v>6</v>
      </c>
      <c r="CH433">
        <f>HYPERLINK("http://exon.niaid.nih.gov/transcriptome/Anopheles_sialome/links/cluster-b/anopheline-sialome-cds-pep-larger-orf80-50SimCLU41.txt", 41)</f>
        <v>41</v>
      </c>
      <c r="CI433">
        <f>HYPERLINK("http://exon.niaid.nih.gov/transcriptome/Anopheles_sialome/links/cluster-b/anopheline-sialome-cds-pep-larger-orf80-50SimCLTL41.txt", 6)</f>
        <v>6</v>
      </c>
      <c r="CJ433">
        <f>HYPERLINK("http://exon.niaid.nih.gov/transcriptome/Anopheles_sialome/links/cluster-b/anopheline-sialome-cds-pep-larger-orf85-50SimCLU38.txt", 38)</f>
        <v>38</v>
      </c>
      <c r="CK433">
        <f>HYPERLINK("http://exon.niaid.nih.gov/transcriptome/Anopheles_sialome/links/cluster-b/anopheline-sialome-cds-pep-larger-orf85-50SimCLTL38.txt", 6)</f>
        <v>6</v>
      </c>
      <c r="CL433">
        <f>HYPERLINK("http://exon.niaid.nih.gov/transcriptome/Anopheles_sialome/links/cluster-b/anopheline-sialome-cds-pep-larger-orf90-50SimCLU30.txt", 30)</f>
        <v>30</v>
      </c>
      <c r="CM433">
        <f>HYPERLINK("http://exon.niaid.nih.gov/transcriptome/Anopheles_sialome/links/cluster-b/anopheline-sialome-cds-pep-larger-orf90-50SimCLTL30.txt", 6)</f>
        <v>6</v>
      </c>
      <c r="CN433">
        <f>HYPERLINK("http://exon.niaid.nih.gov/transcriptome/Anopheles_sialome/links/cluster-b/anopheline-sialome-cds-pep-larger-orf95-50SimCLU19.txt", 19)</f>
        <v>19</v>
      </c>
      <c r="CO433">
        <f>HYPERLINK("http://exon.niaid.nih.gov/transcriptome/Anopheles_sialome/links/cluster-b/anopheline-sialome-cds-pep-larger-orf95-50SimCLTL19.txt", 6)</f>
        <v>6</v>
      </c>
    </row>
    <row r="434" spans="1:93">
      <c r="A434" s="2" t="str">
        <f>HYPERLINK("http://exon.niaid.nih.gov/transcriptome/Anopheles_sialome/links/cds/anomel_hyp37.7-cds.txt","anomel_hyp37.7")</f>
        <v>anomel_hyp37.7</v>
      </c>
      <c r="B434">
        <v>801</v>
      </c>
      <c r="C434" t="s">
        <v>4</v>
      </c>
      <c r="D434" s="8" t="s">
        <v>3178</v>
      </c>
      <c r="E434" t="s">
        <v>5</v>
      </c>
      <c r="F434" t="s">
        <v>1</v>
      </c>
      <c r="G434" t="str">
        <f>HYPERLINK("http://exon.niaid.nih.gov/transcriptome/Anopheles_sialome/links/pep/anomel_hyp37.7-pep.txt","anomel_hyp37.7")</f>
        <v>anomel_hyp37.7</v>
      </c>
      <c r="H434">
        <v>266</v>
      </c>
      <c r="I434">
        <v>2</v>
      </c>
      <c r="J434" s="3" t="str">
        <f>HYPERLINK("http://exon.niaid.nih.gov/transcriptome/Anopheles_sialome/links/Sigp/anomel_hyp37.7-SigP.txt","SIG")</f>
        <v>SIG</v>
      </c>
      <c r="K434" t="s">
        <v>695</v>
      </c>
      <c r="L434">
        <v>29.181999999999999</v>
      </c>
      <c r="M434">
        <v>9.56</v>
      </c>
      <c r="N434">
        <v>26.666</v>
      </c>
      <c r="O434">
        <v>9.5399999999999991</v>
      </c>
      <c r="P434" t="s">
        <v>1457</v>
      </c>
      <c r="Q434" s="3" t="str">
        <f>HYPERLINK("http://exon.niaid.nih.gov/transcriptome/Anopheles_sialome/links/tmhmm/anomel_hyp37.7-tmhmm.txt","1")</f>
        <v>1</v>
      </c>
      <c r="R434">
        <v>6.4</v>
      </c>
      <c r="S434">
        <v>91</v>
      </c>
      <c r="T434">
        <v>2.6</v>
      </c>
      <c r="U434" t="s">
        <v>128</v>
      </c>
      <c r="V434">
        <v>242</v>
      </c>
      <c r="W434" s="3" t="str">
        <f>HYPERLINK("http://exon.niaid.nih.gov/transcriptome/Anopheles_sialome/links/netoglyc/anomel_hyp37.7-netoglyc.txt","1")</f>
        <v>1</v>
      </c>
      <c r="X434">
        <v>14.7</v>
      </c>
      <c r="Y434">
        <v>7.5</v>
      </c>
      <c r="Z434">
        <v>4.0999999999999996</v>
      </c>
      <c r="AA434" t="s">
        <v>654</v>
      </c>
      <c r="AB434" t="s">
        <v>128</v>
      </c>
      <c r="AC434" s="2" t="str">
        <f>HYPERLINK("http://exon.niaid.nih.gov/transcriptome/Anopheles_sialome/links/DIPTERA/anomel_hyp37.7-DIPTERA.txt","hyp37.7-like precursor")</f>
        <v>hyp37.7-like precursor</v>
      </c>
      <c r="AD434" t="str">
        <f>HYPERLINK("http://www.ncbi.nlm.nih.gov/sutils/blink.cgi?pid=62546221","1E-138")</f>
        <v>1E-138</v>
      </c>
      <c r="AE434" t="str">
        <f t="shared" si="153"/>
        <v>gi|62546221</v>
      </c>
      <c r="AF434">
        <v>93</v>
      </c>
      <c r="AG434">
        <v>94</v>
      </c>
      <c r="AH434">
        <v>100</v>
      </c>
      <c r="AI434" t="s">
        <v>2254</v>
      </c>
      <c r="AJ434" s="2" t="str">
        <f>HYPERLINK("http://exon.niaid.nih.gov/transcriptome/Anopheles_sialome/links/CULICOMORPHA/anomel_hyp37.7-CULICOMORPHA.txt","hyp37.7-like precursor")</f>
        <v>hyp37.7-like precursor</v>
      </c>
      <c r="AK434" t="str">
        <f>HYPERLINK("http://www.ncbi.nlm.nih.gov/sutils/blink.cgi?pid=62546221","1E-139")</f>
        <v>1E-139</v>
      </c>
      <c r="AL434" t="str">
        <f t="shared" si="154"/>
        <v>gi|62546221</v>
      </c>
      <c r="AM434">
        <v>93</v>
      </c>
      <c r="AN434">
        <v>94</v>
      </c>
      <c r="AO434">
        <v>100</v>
      </c>
      <c r="AP434" t="s">
        <v>2254</v>
      </c>
      <c r="AQ434" s="2" t="str">
        <f>HYPERLINK("http://exon.niaid.nih.gov/transcriptome/Anopheles_sialome/links/NR-LIGHT/anomel_hyp37.7-NR-LIGHT.txt","hyp37.7-like precursor")</f>
        <v>hyp37.7-like precursor</v>
      </c>
      <c r="AR434" t="str">
        <f>HYPERLINK("http://www.ncbi.nlm.nih.gov/sutils/blink.cgi?pid=62546221","1E-138")</f>
        <v>1E-138</v>
      </c>
      <c r="AS434" t="str">
        <f t="shared" si="155"/>
        <v>gi|62546221</v>
      </c>
      <c r="AT434">
        <v>93</v>
      </c>
      <c r="AU434">
        <v>94</v>
      </c>
      <c r="AV434">
        <v>100</v>
      </c>
      <c r="AW434" t="s">
        <v>2254</v>
      </c>
      <c r="AX434" s="2" t="str">
        <f>HYPERLINK("http://exon.niaid.nih.gov/transcriptome/Anopheles_sialome/links/CDD/anomel_hyp37.7-CDD.txt","NrdF")</f>
        <v>NrdF</v>
      </c>
      <c r="AY434" t="str">
        <f>HYPERLINK("http://www.ncbi.nlm.nih.gov/Structure/cdd/cddsrv.cgi?uid=COG0208&amp;version=v4.0","0.76")</f>
        <v>0.76</v>
      </c>
      <c r="AZ434" t="s">
        <v>2717</v>
      </c>
      <c r="BA434" s="2" t="str">
        <f>HYPERLINK("http://exon.niaid.nih.gov/transcriptome/Anopheles_sialome/links/KOG/anomel_hyp37.7-KOG.txt","Predicted polypeptide N-acetylgalactosaminyltransferase")</f>
        <v>Predicted polypeptide N-acetylgalactosaminyltransferase</v>
      </c>
      <c r="BB434" t="str">
        <f>HYPERLINK("http://www.ncbi.nlm.nih.gov/Structure/cdd/cddsrv.cgi?uid=KOG3737","0.21")</f>
        <v>0.21</v>
      </c>
      <c r="BC434" t="s">
        <v>2296</v>
      </c>
      <c r="BD434" t="str">
        <f>HYPERLINK("http://exon.niaid.nih.gov/transcriptome/Anopheles_sialome/links/KOG/anomel_hyp37.7-KOG.txt","KOG3737")</f>
        <v>KOG3737</v>
      </c>
      <c r="BE434" t="str">
        <f>HYPERLINK("http://exon.niaid.nih.gov/transcriptome/Anopheles_sialome/links/PFAM/anomel_hyp37.7-PFAM.txt","Cas_Csx8")</f>
        <v>Cas_Csx8</v>
      </c>
      <c r="BF434" t="str">
        <f>HYPERLINK("http://pfam.sanger.ac.uk/family?acc=PF09657","0.43")</f>
        <v>0.43</v>
      </c>
      <c r="BG434" s="2" t="str">
        <f>HYPERLINK("http://exon.niaid.nih.gov/transcriptome/Anopheles_sialome/links/SMART/anomel_hyp37.7-SMART.txt","TR_THY")</f>
        <v>TR_THY</v>
      </c>
      <c r="BH434" t="str">
        <f>HYPERLINK("http://smart.embl-heidelberg.de/smart/do_annotation.pl?DOMAIN=TR_THY&amp;BLAST=DUMMY","0.37")</f>
        <v>0.37</v>
      </c>
      <c r="BI434" t="str">
        <f>HYPERLINK("http://exon.niaid.nih.gov/transcriptome/Anopheles_sialome/links/TICK-BLOCKS/anomel_hyp37.7-TICK-BLOCKS.txt","Hyp37 |Hyp37_stringent_pattern |")</f>
        <v>Hyp37 |Hyp37_stringent_pattern |</v>
      </c>
      <c r="BJ434" s="2" t="s">
        <v>2712</v>
      </c>
      <c r="BK434" t="s">
        <v>1456</v>
      </c>
      <c r="BL434">
        <f>HYPERLINK("http://exon.niaid.nih.gov/transcriptome/Anopheles_sialome/links/cluster-b/anopheline-sialome-cds-pep-larger-orf25-50SimCLU7.txt", 7)</f>
        <v>7</v>
      </c>
      <c r="BM434">
        <f>HYPERLINK("http://exon.niaid.nih.gov/transcriptome/Anopheles_sialome/links/cluster-b/anopheline-sialome-cds-pep-larger-orf25-50SimCLTL7.txt", 40)</f>
        <v>40</v>
      </c>
      <c r="BN434">
        <f>HYPERLINK("http://exon.niaid.nih.gov/transcriptome/Anopheles_sialome/links/cluster-b/anopheline-sialome-cds-pep-larger-orf30-50SimCLU6.txt", 6)</f>
        <v>6</v>
      </c>
      <c r="BO434">
        <f>HYPERLINK("http://exon.niaid.nih.gov/transcriptome/Anopheles_sialome/links/cluster-b/anopheline-sialome-cds-pep-larger-orf30-50SimCLTL6.txt", 40)</f>
        <v>40</v>
      </c>
      <c r="BP434">
        <f>HYPERLINK("http://exon.niaid.nih.gov/transcriptome/Anopheles_sialome/links/cluster-b/anopheline-sialome-cds-pep-larger-orf35-50SimCLU7.txt", 7)</f>
        <v>7</v>
      </c>
      <c r="BQ434">
        <f>HYPERLINK("http://exon.niaid.nih.gov/transcriptome/Anopheles_sialome/links/cluster-b/anopheline-sialome-cds-pep-larger-orf35-50SimCLTL7.txt", 40)</f>
        <v>40</v>
      </c>
      <c r="BR434">
        <f>HYPERLINK("http://exon.niaid.nih.gov/transcriptome/Anopheles_sialome/links/cluster-b/anopheline-sialome-cds-pep-larger-orf40-50SimCLU6.txt", 6)</f>
        <v>6</v>
      </c>
      <c r="BS434">
        <f>HYPERLINK("http://exon.niaid.nih.gov/transcriptome/Anopheles_sialome/links/cluster-b/anopheline-sialome-cds-pep-larger-orf40-50SimCLTL6.txt", 39)</f>
        <v>39</v>
      </c>
      <c r="BT434">
        <f>HYPERLINK("http://exon.niaid.nih.gov/transcriptome/Anopheles_sialome/links/cluster-b/anopheline-sialome-cds-pep-larger-orf45-50SimCLU5.txt", 5)</f>
        <v>5</v>
      </c>
      <c r="BU434">
        <f>HYPERLINK("http://exon.niaid.nih.gov/transcriptome/Anopheles_sialome/links/cluster-b/anopheline-sialome-cds-pep-larger-orf45-50SimCLTL5.txt", 39)</f>
        <v>39</v>
      </c>
      <c r="BV434">
        <f>HYPERLINK("http://exon.niaid.nih.gov/transcriptome/Anopheles_sialome/links/cluster-b/anopheline-sialome-cds-pep-larger-orf50-50SimCLU5.txt", 5)</f>
        <v>5</v>
      </c>
      <c r="BW434">
        <f>HYPERLINK("http://exon.niaid.nih.gov/transcriptome/Anopheles_sialome/links/cluster-b/anopheline-sialome-cds-pep-larger-orf50-50SimCLTL5.txt", 39)</f>
        <v>39</v>
      </c>
      <c r="BX434">
        <f>HYPERLINK("http://exon.niaid.nih.gov/transcriptome/Anopheles_sialome/links/cluster-b/anopheline-sialome-cds-pep-larger-orf55-50SimCLU6.txt", 6)</f>
        <v>6</v>
      </c>
      <c r="BY434">
        <f>HYPERLINK("http://exon.niaid.nih.gov/transcriptome/Anopheles_sialome/links/cluster-b/anopheline-sialome-cds-pep-larger-orf55-50SimCLTL6.txt", 36)</f>
        <v>36</v>
      </c>
      <c r="BZ434">
        <f>HYPERLINK("http://exon.niaid.nih.gov/transcriptome/Anopheles_sialome/links/cluster-b/anopheline-sialome-cds-pep-larger-orf60-50SimCLU37.txt", 37)</f>
        <v>37</v>
      </c>
      <c r="CA434">
        <f>HYPERLINK("http://exon.niaid.nih.gov/transcriptome/Anopheles_sialome/links/cluster-b/anopheline-sialome-cds-pep-larger-orf60-50SimCLTL37.txt", 8)</f>
        <v>8</v>
      </c>
      <c r="CB434">
        <f>HYPERLINK("http://exon.niaid.nih.gov/transcriptome/Anopheles_sialome/links/cluster-b/anopheline-sialome-cds-pep-larger-orf65-50SimCLU40.txt", 40)</f>
        <v>40</v>
      </c>
      <c r="CC434">
        <f>HYPERLINK("http://exon.niaid.nih.gov/transcriptome/Anopheles_sialome/links/cluster-b/anopheline-sialome-cds-pep-larger-orf65-50SimCLTL40.txt", 8)</f>
        <v>8</v>
      </c>
      <c r="CD434">
        <f>HYPERLINK("http://exon.niaid.nih.gov/transcriptome/Anopheles_sialome/links/cluster-b/anopheline-sialome-cds-pep-larger-orf70-50SimCLU44.txt", 44)</f>
        <v>44</v>
      </c>
      <c r="CE434">
        <f>HYPERLINK("http://exon.niaid.nih.gov/transcriptome/Anopheles_sialome/links/cluster-b/anopheline-sialome-cds-pep-larger-orf70-50SimCLTL44.txt", 7)</f>
        <v>7</v>
      </c>
      <c r="CF434">
        <f>HYPERLINK("http://exon.niaid.nih.gov/transcriptome/Anopheles_sialome/links/cluster-b/anopheline-sialome-cds-pep-larger-orf75-50SimCLU43.txt", 43)</f>
        <v>43</v>
      </c>
      <c r="CG434">
        <f>HYPERLINK("http://exon.niaid.nih.gov/transcriptome/Anopheles_sialome/links/cluster-b/anopheline-sialome-cds-pep-larger-orf75-50SimCLTL43.txt", 6)</f>
        <v>6</v>
      </c>
      <c r="CH434">
        <f>HYPERLINK("http://exon.niaid.nih.gov/transcriptome/Anopheles_sialome/links/cluster-b/anopheline-sialome-cds-pep-larger-orf80-50SimCLU41.txt", 41)</f>
        <v>41</v>
      </c>
      <c r="CI434">
        <f>HYPERLINK("http://exon.niaid.nih.gov/transcriptome/Anopheles_sialome/links/cluster-b/anopheline-sialome-cds-pep-larger-orf80-50SimCLTL41.txt", 6)</f>
        <v>6</v>
      </c>
      <c r="CJ434">
        <f>HYPERLINK("http://exon.niaid.nih.gov/transcriptome/Anopheles_sialome/links/cluster-b/anopheline-sialome-cds-pep-larger-orf85-50SimCLU38.txt", 38)</f>
        <v>38</v>
      </c>
      <c r="CK434">
        <f>HYPERLINK("http://exon.niaid.nih.gov/transcriptome/Anopheles_sialome/links/cluster-b/anopheline-sialome-cds-pep-larger-orf85-50SimCLTL38.txt", 6)</f>
        <v>6</v>
      </c>
      <c r="CL434">
        <f>HYPERLINK("http://exon.niaid.nih.gov/transcriptome/Anopheles_sialome/links/cluster-b/anopheline-sialome-cds-pep-larger-orf90-50SimCLU30.txt", 30)</f>
        <v>30</v>
      </c>
      <c r="CM434">
        <f>HYPERLINK("http://exon.niaid.nih.gov/transcriptome/Anopheles_sialome/links/cluster-b/anopheline-sialome-cds-pep-larger-orf90-50SimCLTL30.txt", 6)</f>
        <v>6</v>
      </c>
      <c r="CN434">
        <f>HYPERLINK("http://exon.niaid.nih.gov/transcriptome/Anopheles_sialome/links/cluster-b/anopheline-sialome-cds-pep-larger-orf95-50SimCLU19.txt", 19)</f>
        <v>19</v>
      </c>
      <c r="CO434">
        <f>HYPERLINK("http://exon.niaid.nih.gov/transcriptome/Anopheles_sialome/links/cluster-b/anopheline-sialome-cds-pep-larger-orf95-50SimCLTL19.txt", 6)</f>
        <v>6</v>
      </c>
    </row>
    <row r="435" spans="1:93">
      <c r="A435" s="2" t="str">
        <f>HYPERLINK("http://exon.niaid.nih.gov/transcriptome/Anopheles_sialome/links/cds/anochris_hyp37.7-cds.txt","anochris_hyp37.7")</f>
        <v>anochris_hyp37.7</v>
      </c>
      <c r="B435">
        <v>837</v>
      </c>
      <c r="C435" t="s">
        <v>4</v>
      </c>
      <c r="D435" s="8" t="s">
        <v>3178</v>
      </c>
      <c r="E435" t="s">
        <v>5</v>
      </c>
      <c r="F435" t="s">
        <v>1</v>
      </c>
      <c r="G435" t="str">
        <f>HYPERLINK("http://exon.niaid.nih.gov/transcriptome/Anopheles_sialome/links/pep/anochris_hyp37.7-pep.txt","anochris_hyp37.7")</f>
        <v>anochris_hyp37.7</v>
      </c>
      <c r="H435">
        <v>278</v>
      </c>
      <c r="I435">
        <v>3</v>
      </c>
      <c r="J435" s="3" t="str">
        <f>HYPERLINK("http://exon.niaid.nih.gov/transcriptome/Anopheles_sialome/links/Sigp/anochris_hyp37.7-SigP.txt","SIG")</f>
        <v>SIG</v>
      </c>
      <c r="K435" t="s">
        <v>692</v>
      </c>
      <c r="L435">
        <v>31.18</v>
      </c>
      <c r="M435">
        <v>9.9700000000000006</v>
      </c>
      <c r="N435">
        <v>28.882999999999999</v>
      </c>
      <c r="O435">
        <v>10.039999999999999</v>
      </c>
      <c r="P435" t="s">
        <v>1459</v>
      </c>
      <c r="Q435" s="3" t="str">
        <f>HYPERLINK("http://exon.niaid.nih.gov/transcriptome/Anopheles_sialome/links/tmhmm/anochris_hyp37.7-tmhmm.txt","1")</f>
        <v>1</v>
      </c>
      <c r="R435">
        <v>7.9</v>
      </c>
      <c r="S435">
        <v>89.6</v>
      </c>
      <c r="T435">
        <v>2.5</v>
      </c>
      <c r="U435" t="s">
        <v>128</v>
      </c>
      <c r="V435">
        <v>249</v>
      </c>
      <c r="W435" s="3" t="str">
        <f>HYPERLINK("http://exon.niaid.nih.gov/transcriptome/Anopheles_sialome/links/netoglyc/anochris_hyp37.7-netoglyc.txt","3")</f>
        <v>3</v>
      </c>
      <c r="X435">
        <v>14</v>
      </c>
      <c r="Y435">
        <v>6.1</v>
      </c>
      <c r="Z435">
        <v>3.2</v>
      </c>
      <c r="AA435" t="s">
        <v>654</v>
      </c>
      <c r="AB435" t="s">
        <v>128</v>
      </c>
      <c r="AC435" s="2" t="str">
        <f>HYPERLINK("http://exon.niaid.nih.gov/transcriptome/Anopheles_sialome/links/DIPTERA/anochris_hyp37.7-DIPTERA.txt","hyp37.7-like precursor")</f>
        <v>hyp37.7-like precursor</v>
      </c>
      <c r="AD435" t="str">
        <f>HYPERLINK("http://www.ncbi.nlm.nih.gov/sutils/blink.cgi?pid=62546221","1E-084")</f>
        <v>1E-084</v>
      </c>
      <c r="AE435" t="str">
        <f t="shared" si="153"/>
        <v>gi|62546221</v>
      </c>
      <c r="AF435">
        <v>61</v>
      </c>
      <c r="AG435">
        <v>72</v>
      </c>
      <c r="AH435">
        <v>101</v>
      </c>
      <c r="AI435" t="s">
        <v>2254</v>
      </c>
      <c r="AJ435" s="2" t="str">
        <f>HYPERLINK("http://exon.niaid.nih.gov/transcriptome/Anopheles_sialome/links/CULICOMORPHA/anochris_hyp37.7-CULICOMORPHA.txt","hyp37.7-like precursor")</f>
        <v>hyp37.7-like precursor</v>
      </c>
      <c r="AK435" t="str">
        <f>HYPERLINK("http://www.ncbi.nlm.nih.gov/sutils/blink.cgi?pid=62546221","2E-085")</f>
        <v>2E-085</v>
      </c>
      <c r="AL435" t="str">
        <f t="shared" si="154"/>
        <v>gi|62546221</v>
      </c>
      <c r="AM435">
        <v>61</v>
      </c>
      <c r="AN435">
        <v>72</v>
      </c>
      <c r="AO435">
        <v>101</v>
      </c>
      <c r="AP435" t="s">
        <v>2254</v>
      </c>
      <c r="AQ435" s="2" t="str">
        <f>HYPERLINK("http://exon.niaid.nih.gov/transcriptome/Anopheles_sialome/links/NR-LIGHT/anochris_hyp37.7-NR-LIGHT.txt","hyp37.7-like precursor")</f>
        <v>hyp37.7-like precursor</v>
      </c>
      <c r="AR435" t="str">
        <f>HYPERLINK("http://www.ncbi.nlm.nih.gov/sutils/blink.cgi?pid=62546221","3E-084")</f>
        <v>3E-084</v>
      </c>
      <c r="AS435" t="str">
        <f t="shared" si="155"/>
        <v>gi|62546221</v>
      </c>
      <c r="AT435">
        <v>61</v>
      </c>
      <c r="AU435">
        <v>72</v>
      </c>
      <c r="AV435">
        <v>101</v>
      </c>
      <c r="AW435" t="s">
        <v>2254</v>
      </c>
      <c r="AX435" s="2" t="str">
        <f>HYPERLINK("http://exon.niaid.nih.gov/transcriptome/Anopheles_sialome/links/CDD/anochris_hyp37.7-CDD.txt","SPG48")</f>
        <v>SPG48</v>
      </c>
      <c r="AY435" t="str">
        <f>HYPERLINK("http://www.ncbi.nlm.nih.gov/Structure/cdd/cddsrv.cgi?uid=pfam14764&amp;version=v4.0","3.6")</f>
        <v>3.6</v>
      </c>
      <c r="AZ435" t="s">
        <v>2718</v>
      </c>
      <c r="BA435" s="2" t="str">
        <f>HYPERLINK("http://exon.niaid.nih.gov/transcriptome/Anopheles_sialome/links/KOG/anochris_hyp37.7-KOG.txt","Serine-threonine phosphatase 2B, catalytic subunit")</f>
        <v>Serine-threonine phosphatase 2B, catalytic subunit</v>
      </c>
      <c r="BB435" t="str">
        <f>HYPERLINK("http://www.ncbi.nlm.nih.gov/Structure/cdd/cddsrv.cgi?uid=KOG0375","1.1")</f>
        <v>1.1</v>
      </c>
      <c r="BC435" t="s">
        <v>2310</v>
      </c>
      <c r="BD435" t="str">
        <f>HYPERLINK("http://exon.niaid.nih.gov/transcriptome/Anopheles_sialome/links/KOG/anochris_hyp37.7-KOG.txt","KOG0375")</f>
        <v>KOG0375</v>
      </c>
      <c r="BE435" t="str">
        <f>HYPERLINK("http://exon.niaid.nih.gov/transcriptome/Anopheles_sialome/links/PFAM/anochris_hyp37.7-PFAM.txt","SPG48")</f>
        <v>SPG48</v>
      </c>
      <c r="BF435" t="str">
        <f>HYPERLINK("http://pfam.sanger.ac.uk/family?acc=PF14764","0.73")</f>
        <v>0.73</v>
      </c>
      <c r="BG435" s="2" t="str">
        <f>HYPERLINK("http://exon.niaid.nih.gov/transcriptome/Anopheles_sialome/links/SMART/anochris_hyp37.7-SMART.txt","PDGF")</f>
        <v>PDGF</v>
      </c>
      <c r="BH435" t="str">
        <f>HYPERLINK("http://smart.embl-heidelberg.de/smart/do_annotation.pl?DOMAIN=PDGF&amp;BLAST=DUMMY","2.4")</f>
        <v>2.4</v>
      </c>
      <c r="BI435" t="str">
        <f>HYPERLINK("http://exon.niaid.nih.gov/transcriptome/Anopheles_sialome/links/TICK-BLOCKS/anochris_hyp37.7-TICK-BLOCKS.txt","Hyp37 |Hyp37_stringent_pattern |")</f>
        <v>Hyp37 |Hyp37_stringent_pattern |</v>
      </c>
      <c r="BJ435" s="2" t="s">
        <v>2712</v>
      </c>
      <c r="BK435" t="s">
        <v>1458</v>
      </c>
      <c r="BL435">
        <f>HYPERLINK("http://exon.niaid.nih.gov/transcriptome/Anopheles_sialome/links/cluster-b/anopheline-sialome-cds-pep-larger-orf25-50SimCLU7.txt", 7)</f>
        <v>7</v>
      </c>
      <c r="BM435">
        <f>HYPERLINK("http://exon.niaid.nih.gov/transcriptome/Anopheles_sialome/links/cluster-b/anopheline-sialome-cds-pep-larger-orf25-50SimCLTL7.txt", 40)</f>
        <v>40</v>
      </c>
      <c r="BN435">
        <f>HYPERLINK("http://exon.niaid.nih.gov/transcriptome/Anopheles_sialome/links/cluster-b/anopheline-sialome-cds-pep-larger-orf30-50SimCLU6.txt", 6)</f>
        <v>6</v>
      </c>
      <c r="BO435">
        <f>HYPERLINK("http://exon.niaid.nih.gov/transcriptome/Anopheles_sialome/links/cluster-b/anopheline-sialome-cds-pep-larger-orf30-50SimCLTL6.txt", 40)</f>
        <v>40</v>
      </c>
      <c r="BP435">
        <f>HYPERLINK("http://exon.niaid.nih.gov/transcriptome/Anopheles_sialome/links/cluster-b/anopheline-sialome-cds-pep-larger-orf35-50SimCLU7.txt", 7)</f>
        <v>7</v>
      </c>
      <c r="BQ435">
        <f>HYPERLINK("http://exon.niaid.nih.gov/transcriptome/Anopheles_sialome/links/cluster-b/anopheline-sialome-cds-pep-larger-orf35-50SimCLTL7.txt", 40)</f>
        <v>40</v>
      </c>
      <c r="BR435">
        <f>HYPERLINK("http://exon.niaid.nih.gov/transcriptome/Anopheles_sialome/links/cluster-b/anopheline-sialome-cds-pep-larger-orf40-50SimCLU6.txt", 6)</f>
        <v>6</v>
      </c>
      <c r="BS435">
        <f>HYPERLINK("http://exon.niaid.nih.gov/transcriptome/Anopheles_sialome/links/cluster-b/anopheline-sialome-cds-pep-larger-orf40-50SimCLTL6.txt", 39)</f>
        <v>39</v>
      </c>
      <c r="BT435">
        <f>HYPERLINK("http://exon.niaid.nih.gov/transcriptome/Anopheles_sialome/links/cluster-b/anopheline-sialome-cds-pep-larger-orf45-50SimCLU5.txt", 5)</f>
        <v>5</v>
      </c>
      <c r="BU435">
        <f>HYPERLINK("http://exon.niaid.nih.gov/transcriptome/Anopheles_sialome/links/cluster-b/anopheline-sialome-cds-pep-larger-orf45-50SimCLTL5.txt", 39)</f>
        <v>39</v>
      </c>
      <c r="BV435">
        <f>HYPERLINK("http://exon.niaid.nih.gov/transcriptome/Anopheles_sialome/links/cluster-b/anopheline-sialome-cds-pep-larger-orf50-50SimCLU5.txt", 5)</f>
        <v>5</v>
      </c>
      <c r="BW435">
        <f>HYPERLINK("http://exon.niaid.nih.gov/transcriptome/Anopheles_sialome/links/cluster-b/anopheline-sialome-cds-pep-larger-orf50-50SimCLTL5.txt", 39)</f>
        <v>39</v>
      </c>
      <c r="BX435">
        <f>HYPERLINK("http://exon.niaid.nih.gov/transcriptome/Anopheles_sialome/links/cluster-b/anopheline-sialome-cds-pep-larger-orf55-50SimCLU6.txt", 6)</f>
        <v>6</v>
      </c>
      <c r="BY435">
        <f>HYPERLINK("http://exon.niaid.nih.gov/transcriptome/Anopheles_sialome/links/cluster-b/anopheline-sialome-cds-pep-larger-orf55-50SimCLTL6.txt", 36)</f>
        <v>36</v>
      </c>
      <c r="BZ435">
        <f>HYPERLINK("http://exon.niaid.nih.gov/transcriptome/Anopheles_sialome/links/cluster-b/anopheline-sialome-cds-pep-larger-orf60-50SimCLU37.txt", 37)</f>
        <v>37</v>
      </c>
      <c r="CA435">
        <f>HYPERLINK("http://exon.niaid.nih.gov/transcriptome/Anopheles_sialome/links/cluster-b/anopheline-sialome-cds-pep-larger-orf60-50SimCLTL37.txt", 8)</f>
        <v>8</v>
      </c>
      <c r="CB435">
        <f>HYPERLINK("http://exon.niaid.nih.gov/transcriptome/Anopheles_sialome/links/cluster-b/anopheline-sialome-cds-pep-larger-orf65-50SimCLU40.txt", 40)</f>
        <v>40</v>
      </c>
      <c r="CC435">
        <f>HYPERLINK("http://exon.niaid.nih.gov/transcriptome/Anopheles_sialome/links/cluster-b/anopheline-sialome-cds-pep-larger-orf65-50SimCLTL40.txt", 8)</f>
        <v>8</v>
      </c>
      <c r="CD435">
        <f>HYPERLINK("http://exon.niaid.nih.gov/transcriptome/Anopheles_sialome/links/cluster-b/anopheline-sialome-cds-pep-larger-orf70-50SimCLU44.txt", 44)</f>
        <v>44</v>
      </c>
      <c r="CE435">
        <f>HYPERLINK("http://exon.niaid.nih.gov/transcriptome/Anopheles_sialome/links/cluster-b/anopheline-sialome-cds-pep-larger-orf70-50SimCLTL44.txt", 7)</f>
        <v>7</v>
      </c>
      <c r="CF435">
        <v>129</v>
      </c>
      <c r="CG435">
        <v>1</v>
      </c>
      <c r="CH435">
        <v>173</v>
      </c>
      <c r="CI435">
        <v>1</v>
      </c>
      <c r="CJ435">
        <v>222</v>
      </c>
      <c r="CK435">
        <v>1</v>
      </c>
      <c r="CL435">
        <v>270</v>
      </c>
      <c r="CM435">
        <v>1</v>
      </c>
      <c r="CN435">
        <v>301</v>
      </c>
      <c r="CO435">
        <v>1</v>
      </c>
    </row>
    <row r="436" spans="1:93">
      <c r="A436" s="2" t="str">
        <f>HYPERLINK("http://exon.niaid.nih.gov/transcriptome/Anopheles_sialome/links/cds/anoepi_hyp37.7-cds.txt","anoepi_hyp37.7")</f>
        <v>anoepi_hyp37.7</v>
      </c>
      <c r="B436">
        <v>807</v>
      </c>
      <c r="C436" t="s">
        <v>302</v>
      </c>
      <c r="D436" t="s">
        <v>7</v>
      </c>
      <c r="E436" t="s">
        <v>5</v>
      </c>
      <c r="F436" t="s">
        <v>1</v>
      </c>
      <c r="G436" t="str">
        <f>HYPERLINK("http://exon.niaid.nih.gov/transcriptome/Anopheles_sialome/links/pep/anoepi_hyp37.7-pep.txt","anoepi_hyp37.7")</f>
        <v>anoepi_hyp37.7</v>
      </c>
      <c r="H436">
        <v>268</v>
      </c>
      <c r="I436">
        <v>1</v>
      </c>
      <c r="J436" s="3" t="str">
        <f>HYPERLINK("http://exon.niaid.nih.gov/transcriptome/Anopheles_sialome/links/Sigp/anoepi_hyp37.7-SigP.txt","SIG")</f>
        <v>SIG</v>
      </c>
      <c r="K436" t="s">
        <v>834</v>
      </c>
      <c r="L436">
        <v>30.245999999999999</v>
      </c>
      <c r="M436">
        <v>9.6</v>
      </c>
      <c r="N436">
        <v>27.283000000000001</v>
      </c>
      <c r="O436">
        <v>9.61</v>
      </c>
      <c r="P436" t="s">
        <v>1461</v>
      </c>
      <c r="Q436" s="3">
        <v>0</v>
      </c>
      <c r="R436" t="s">
        <v>128</v>
      </c>
      <c r="S436" t="s">
        <v>128</v>
      </c>
      <c r="T436" t="s">
        <v>128</v>
      </c>
      <c r="U436" t="s">
        <v>128</v>
      </c>
      <c r="V436" t="s">
        <v>128</v>
      </c>
      <c r="W436" s="3" t="str">
        <f>HYPERLINK("http://exon.niaid.nih.gov/transcriptome/Anopheles_sialome/links/netoglyc/anoepi_hyp37.7-netoglyc.txt","0")</f>
        <v>0</v>
      </c>
      <c r="X436">
        <v>11.9</v>
      </c>
      <c r="Y436">
        <v>6.3</v>
      </c>
      <c r="Z436">
        <v>3.4</v>
      </c>
      <c r="AA436" t="s">
        <v>654</v>
      </c>
      <c r="AB436" t="s">
        <v>128</v>
      </c>
      <c r="AC436" s="2" t="str">
        <f>HYPERLINK("http://exon.niaid.nih.gov/transcriptome/Anopheles_sialome/links/DIPTERA/anoepi_hyp37.7-DIPTERA.txt","hyp37.7-like precursor")</f>
        <v>hyp37.7-like precursor</v>
      </c>
      <c r="AD436" t="str">
        <f>HYPERLINK("http://www.ncbi.nlm.nih.gov/sutils/blink.cgi?pid=62546221","2E-065")</f>
        <v>2E-065</v>
      </c>
      <c r="AE436" t="str">
        <f t="shared" si="153"/>
        <v>gi|62546221</v>
      </c>
      <c r="AF436">
        <v>50</v>
      </c>
      <c r="AG436">
        <v>66</v>
      </c>
      <c r="AH436">
        <v>100</v>
      </c>
      <c r="AI436" t="s">
        <v>2254</v>
      </c>
      <c r="AJ436" s="2" t="str">
        <f>HYPERLINK("http://exon.niaid.nih.gov/transcriptome/Anopheles_sialome/links/CULICOMORPHA/anoepi_hyp37.7-CULICOMORPHA.txt","hyp37.7-like precursor")</f>
        <v>hyp37.7-like precursor</v>
      </c>
      <c r="AK436" t="str">
        <f>HYPERLINK("http://www.ncbi.nlm.nih.gov/sutils/blink.cgi?pid=62546221","4E-066")</f>
        <v>4E-066</v>
      </c>
      <c r="AL436" t="str">
        <f t="shared" si="154"/>
        <v>gi|62546221</v>
      </c>
      <c r="AM436">
        <v>50</v>
      </c>
      <c r="AN436">
        <v>66</v>
      </c>
      <c r="AO436">
        <v>100</v>
      </c>
      <c r="AP436" t="s">
        <v>2254</v>
      </c>
      <c r="AQ436" s="2" t="str">
        <f>HYPERLINK("http://exon.niaid.nih.gov/transcriptome/Anopheles_sialome/links/NR-LIGHT/anoepi_hyp37.7-NR-LIGHT.txt","hyp37.7-like precursor")</f>
        <v>hyp37.7-like precursor</v>
      </c>
      <c r="AR436" t="str">
        <f>HYPERLINK("http://www.ncbi.nlm.nih.gov/sutils/blink.cgi?pid=62546221","5E-065")</f>
        <v>5E-065</v>
      </c>
      <c r="AS436" t="str">
        <f t="shared" si="155"/>
        <v>gi|62546221</v>
      </c>
      <c r="AT436">
        <v>50</v>
      </c>
      <c r="AU436">
        <v>66</v>
      </c>
      <c r="AV436">
        <v>100</v>
      </c>
      <c r="AW436" t="s">
        <v>2254</v>
      </c>
      <c r="AX436" s="2" t="str">
        <f>HYPERLINK("http://exon.niaid.nih.gov/transcriptome/Anopheles_sialome/links/CDD/anoepi_hyp37.7-CDD.txt","PRK14277")</f>
        <v>PRK14277</v>
      </c>
      <c r="AY436" t="str">
        <f>HYPERLINK("http://www.ncbi.nlm.nih.gov/Structure/cdd/cddsrv.cgi?uid=PRK14277&amp;version=v4.0","2.1")</f>
        <v>2.1</v>
      </c>
      <c r="AZ436" t="s">
        <v>2719</v>
      </c>
      <c r="BA436" s="2" t="str">
        <f>HYPERLINK("http://exon.niaid.nih.gov/transcriptome/Anopheles_sialome/links/KOG/anoepi_hyp37.7-KOG.txt","Creatine kinases")</f>
        <v>Creatine kinases</v>
      </c>
      <c r="BB436" t="str">
        <f>HYPERLINK("http://www.ncbi.nlm.nih.gov/Structure/cdd/cddsrv.cgi?uid=KOG3581","1.2")</f>
        <v>1.2</v>
      </c>
      <c r="BC436" t="s">
        <v>2516</v>
      </c>
      <c r="BD436" t="str">
        <f>HYPERLINK("http://exon.niaid.nih.gov/transcriptome/Anopheles_sialome/links/KOG/anoepi_hyp37.7-KOG.txt","KOG3581")</f>
        <v>KOG3581</v>
      </c>
      <c r="BE436" t="str">
        <f>HYPERLINK("http://exon.niaid.nih.gov/transcriptome/Anopheles_sialome/links/PFAM/anoepi_hyp37.7-PFAM.txt","Strumpellin")</f>
        <v>Strumpellin</v>
      </c>
      <c r="BF436" t="str">
        <f>HYPERLINK("http://pfam.sanger.ac.uk/family?acc=PF10266","0.94")</f>
        <v>0.94</v>
      </c>
      <c r="BG436" s="2" t="str">
        <f>HYPERLINK("http://exon.niaid.nih.gov/transcriptome/Anopheles_sialome/links/SMART/anoepi_hyp37.7-SMART.txt","RPR")</f>
        <v>RPR</v>
      </c>
      <c r="BH436" t="str">
        <f>HYPERLINK("http://smart.embl-heidelberg.de/smart/do_annotation.pl?DOMAIN=RPR&amp;BLAST=DUMMY","0.26")</f>
        <v>0.26</v>
      </c>
      <c r="BI436" t="str">
        <f>HYPERLINK("http://exon.niaid.nih.gov/transcriptome/Anopheles_sialome/links/TICK-BLOCKS/anoepi_hyp37.7-TICK-BLOCKS.txt","Hyp37_stringent_pattern |")</f>
        <v>Hyp37_stringent_pattern |</v>
      </c>
      <c r="BJ436" s="2" t="s">
        <v>128</v>
      </c>
      <c r="BK436" t="s">
        <v>1460</v>
      </c>
      <c r="BL436">
        <f>HYPERLINK("http://exon.niaid.nih.gov/transcriptome/Anopheles_sialome/links/cluster-b/anopheline-sialome-cds-pep-larger-orf25-50SimCLU7.txt", 7)</f>
        <v>7</v>
      </c>
      <c r="BM436">
        <f>HYPERLINK("http://exon.niaid.nih.gov/transcriptome/Anopheles_sialome/links/cluster-b/anopheline-sialome-cds-pep-larger-orf25-50SimCLTL7.txt", 40)</f>
        <v>40</v>
      </c>
      <c r="BN436">
        <f>HYPERLINK("http://exon.niaid.nih.gov/transcriptome/Anopheles_sialome/links/cluster-b/anopheline-sialome-cds-pep-larger-orf30-50SimCLU6.txt", 6)</f>
        <v>6</v>
      </c>
      <c r="BO436">
        <f>HYPERLINK("http://exon.niaid.nih.gov/transcriptome/Anopheles_sialome/links/cluster-b/anopheline-sialome-cds-pep-larger-orf30-50SimCLTL6.txt", 40)</f>
        <v>40</v>
      </c>
      <c r="BP436">
        <f>HYPERLINK("http://exon.niaid.nih.gov/transcriptome/Anopheles_sialome/links/cluster-b/anopheline-sialome-cds-pep-larger-orf35-50SimCLU7.txt", 7)</f>
        <v>7</v>
      </c>
      <c r="BQ436">
        <f>HYPERLINK("http://exon.niaid.nih.gov/transcriptome/Anopheles_sialome/links/cluster-b/anopheline-sialome-cds-pep-larger-orf35-50SimCLTL7.txt", 40)</f>
        <v>40</v>
      </c>
      <c r="BR436">
        <f>HYPERLINK("http://exon.niaid.nih.gov/transcriptome/Anopheles_sialome/links/cluster-b/anopheline-sialome-cds-pep-larger-orf40-50SimCLU6.txt", 6)</f>
        <v>6</v>
      </c>
      <c r="BS436">
        <f>HYPERLINK("http://exon.niaid.nih.gov/transcriptome/Anopheles_sialome/links/cluster-b/anopheline-sialome-cds-pep-larger-orf40-50SimCLTL6.txt", 39)</f>
        <v>39</v>
      </c>
      <c r="BT436">
        <f>HYPERLINK("http://exon.niaid.nih.gov/transcriptome/Anopheles_sialome/links/cluster-b/anopheline-sialome-cds-pep-larger-orf45-50SimCLU5.txt", 5)</f>
        <v>5</v>
      </c>
      <c r="BU436">
        <f>HYPERLINK("http://exon.niaid.nih.gov/transcriptome/Anopheles_sialome/links/cluster-b/anopheline-sialome-cds-pep-larger-orf45-50SimCLTL5.txt", 39)</f>
        <v>39</v>
      </c>
      <c r="BV436">
        <f>HYPERLINK("http://exon.niaid.nih.gov/transcriptome/Anopheles_sialome/links/cluster-b/anopheline-sialome-cds-pep-larger-orf50-50SimCLU5.txt", 5)</f>
        <v>5</v>
      </c>
      <c r="BW436">
        <f>HYPERLINK("http://exon.niaid.nih.gov/transcriptome/Anopheles_sialome/links/cluster-b/anopheline-sialome-cds-pep-larger-orf50-50SimCLTL5.txt", 39)</f>
        <v>39</v>
      </c>
      <c r="BX436">
        <f>HYPERLINK("http://exon.niaid.nih.gov/transcriptome/Anopheles_sialome/links/cluster-b/anopheline-sialome-cds-pep-larger-orf55-50SimCLU6.txt", 6)</f>
        <v>6</v>
      </c>
      <c r="BY436">
        <f>HYPERLINK("http://exon.niaid.nih.gov/transcriptome/Anopheles_sialome/links/cluster-b/anopheline-sialome-cds-pep-larger-orf55-50SimCLTL6.txt", 36)</f>
        <v>36</v>
      </c>
      <c r="BZ436">
        <f>HYPERLINK("http://exon.niaid.nih.gov/transcriptome/Anopheles_sialome/links/cluster-b/anopheline-sialome-cds-pep-larger-orf60-50SimCLU37.txt", 37)</f>
        <v>37</v>
      </c>
      <c r="CA436">
        <f>HYPERLINK("http://exon.niaid.nih.gov/transcriptome/Anopheles_sialome/links/cluster-b/anopheline-sialome-cds-pep-larger-orf60-50SimCLTL37.txt", 8)</f>
        <v>8</v>
      </c>
      <c r="CB436">
        <f>HYPERLINK("http://exon.niaid.nih.gov/transcriptome/Anopheles_sialome/links/cluster-b/anopheline-sialome-cds-pep-larger-orf65-50SimCLU40.txt", 40)</f>
        <v>40</v>
      </c>
      <c r="CC436">
        <f>HYPERLINK("http://exon.niaid.nih.gov/transcriptome/Anopheles_sialome/links/cluster-b/anopheline-sialome-cds-pep-larger-orf65-50SimCLTL40.txt", 8)</f>
        <v>8</v>
      </c>
      <c r="CD436">
        <v>95</v>
      </c>
      <c r="CE436">
        <v>1</v>
      </c>
      <c r="CF436">
        <v>130</v>
      </c>
      <c r="CG436">
        <v>1</v>
      </c>
      <c r="CH436">
        <v>174</v>
      </c>
      <c r="CI436">
        <v>1</v>
      </c>
      <c r="CJ436">
        <v>223</v>
      </c>
      <c r="CK436">
        <v>1</v>
      </c>
      <c r="CL436">
        <v>271</v>
      </c>
      <c r="CM436">
        <v>1</v>
      </c>
      <c r="CN436">
        <v>302</v>
      </c>
      <c r="CO436">
        <v>1</v>
      </c>
    </row>
    <row r="437" spans="1:93">
      <c r="A437" s="2" t="str">
        <f>HYPERLINK("http://exon.niaid.nih.gov/transcriptome/Anopheles_sialome/links/cds/anofun_hyp37.7-cds.txt","anofun_hyp37.7")</f>
        <v>anofun_hyp37.7</v>
      </c>
      <c r="B437">
        <v>786</v>
      </c>
      <c r="C437" t="s">
        <v>303</v>
      </c>
      <c r="D437" t="s">
        <v>7</v>
      </c>
      <c r="E437" t="s">
        <v>5</v>
      </c>
      <c r="F437" t="s">
        <v>1</v>
      </c>
      <c r="G437" t="str">
        <f>HYPERLINK("http://exon.niaid.nih.gov/transcriptome/Anopheles_sialome/links/pep/anofun_hyp37.7-pep.txt","anofun_hyp37.7")</f>
        <v>anofun_hyp37.7</v>
      </c>
      <c r="H437">
        <v>261</v>
      </c>
      <c r="I437">
        <v>1</v>
      </c>
      <c r="J437" s="3" t="str">
        <f>HYPERLINK("http://exon.niaid.nih.gov/transcriptome/Anopheles_sialome/links/Sigp/anofun_hyp37.7-SigP.txt","SIG")</f>
        <v>SIG</v>
      </c>
      <c r="K437" t="s">
        <v>695</v>
      </c>
      <c r="L437">
        <v>29.76</v>
      </c>
      <c r="M437">
        <v>9.44</v>
      </c>
      <c r="N437">
        <v>27.212</v>
      </c>
      <c r="O437">
        <v>9.6300000000000008</v>
      </c>
      <c r="P437" t="s">
        <v>1463</v>
      </c>
      <c r="Q437" s="3">
        <v>0</v>
      </c>
      <c r="R437" t="s">
        <v>128</v>
      </c>
      <c r="S437" t="s">
        <v>128</v>
      </c>
      <c r="T437" t="s">
        <v>128</v>
      </c>
      <c r="U437" t="s">
        <v>128</v>
      </c>
      <c r="V437" t="s">
        <v>128</v>
      </c>
      <c r="W437" s="3" t="str">
        <f>HYPERLINK("http://exon.niaid.nih.gov/transcriptome/Anopheles_sialome/links/netoglyc/anofun_hyp37.7-netoglyc.txt","0")</f>
        <v>0</v>
      </c>
      <c r="X437">
        <v>15.3</v>
      </c>
      <c r="Y437">
        <v>6.5</v>
      </c>
      <c r="Z437">
        <v>0.4</v>
      </c>
      <c r="AA437" t="s">
        <v>654</v>
      </c>
      <c r="AB437" t="s">
        <v>128</v>
      </c>
      <c r="AC437" s="2" t="str">
        <f>HYPERLINK("http://exon.niaid.nih.gov/transcriptome/Anopheles_sialome/links/DIPTERA/anofun_hyp37.7-DIPTERA.txt","hyp37.3 putative secreted salivary gland protein")</f>
        <v>hyp37.3 putative secreted salivary gland protein</v>
      </c>
      <c r="AD437" t="str">
        <f>HYPERLINK("http://www.ncbi.nlm.nih.gov/sutils/blink.cgi?pid=29501532","3E-069")</f>
        <v>3E-069</v>
      </c>
      <c r="AE437" t="str">
        <f>HYPERLINK("http://www.ncbi.nlm.nih.gov/protein/29501532","gi|29501532")</f>
        <v>gi|29501532</v>
      </c>
      <c r="AF437">
        <v>54</v>
      </c>
      <c r="AG437">
        <v>71</v>
      </c>
      <c r="AH437">
        <v>73</v>
      </c>
      <c r="AI437" t="s">
        <v>2271</v>
      </c>
      <c r="AJ437" s="2" t="str">
        <f>HYPERLINK("http://exon.niaid.nih.gov/transcriptome/Anopheles_sialome/links/CULICOMORPHA/anofun_hyp37.7-CULICOMORPHA.txt","hyp37.3 putative secreted salivary gland protein")</f>
        <v>hyp37.3 putative secreted salivary gland protein</v>
      </c>
      <c r="AK437" t="str">
        <f>HYPERLINK("http://www.ncbi.nlm.nih.gov/sutils/blink.cgi?pid=29501532","5E-070")</f>
        <v>5E-070</v>
      </c>
      <c r="AL437" t="str">
        <f>HYPERLINK("http://www.ncbi.nlm.nih.gov/protein/29501532","gi|29501532")</f>
        <v>gi|29501532</v>
      </c>
      <c r="AM437">
        <v>54</v>
      </c>
      <c r="AN437">
        <v>71</v>
      </c>
      <c r="AO437">
        <v>73</v>
      </c>
      <c r="AP437" t="s">
        <v>2271</v>
      </c>
      <c r="AQ437" s="2" t="str">
        <f>HYPERLINK("http://exon.niaid.nih.gov/transcriptome/Anopheles_sialome/links/NR-LIGHT/anofun_hyp37.7-NR-LIGHT.txt","hyp37.3 putative secreted salivary gland protein")</f>
        <v>hyp37.3 putative secreted salivary gland protein</v>
      </c>
      <c r="AR437" t="str">
        <f>HYPERLINK("http://www.ncbi.nlm.nih.gov/sutils/blink.cgi?pid=29501532","8E-069")</f>
        <v>8E-069</v>
      </c>
      <c r="AS437" t="str">
        <f>HYPERLINK("http://www.ncbi.nlm.nih.gov/protein/29501532","gi|29501532")</f>
        <v>gi|29501532</v>
      </c>
      <c r="AT437">
        <v>54</v>
      </c>
      <c r="AU437">
        <v>71</v>
      </c>
      <c r="AV437">
        <v>73</v>
      </c>
      <c r="AW437" t="s">
        <v>2271</v>
      </c>
      <c r="AX437" s="2" t="str">
        <f>HYPERLINK("http://exon.niaid.nih.gov/transcriptome/Anopheles_sialome/links/CDD/anofun_hyp37.7-CDD.txt","Gph")</f>
        <v>Gph</v>
      </c>
      <c r="AY437" t="str">
        <f>HYPERLINK("http://www.ncbi.nlm.nih.gov/Structure/cdd/cddsrv.cgi?uid=COG0546&amp;version=v4.0","1.6")</f>
        <v>1.6</v>
      </c>
      <c r="AZ437" t="s">
        <v>2720</v>
      </c>
      <c r="BA437" s="2" t="str">
        <f>HYPERLINK("http://exon.niaid.nih.gov/transcriptome/Anopheles_sialome/links/KOG/anofun_hyp37.7-KOG.txt","Uncharacterized conserved protein, contains DM14 and C2 domains")</f>
        <v>Uncharacterized conserved protein, contains DM14 and C2 domains</v>
      </c>
      <c r="BB437" t="str">
        <f>HYPERLINK("http://www.ncbi.nlm.nih.gov/Structure/cdd/cddsrv.cgi?uid=KOG3837","0.18")</f>
        <v>0.18</v>
      </c>
      <c r="BC437" t="s">
        <v>2310</v>
      </c>
      <c r="BD437" t="str">
        <f>HYPERLINK("http://exon.niaid.nih.gov/transcriptome/Anopheles_sialome/links/KOG/anofun_hyp37.7-KOG.txt","KOG3837")</f>
        <v>KOG3837</v>
      </c>
      <c r="BE437" t="str">
        <f>HYPERLINK("http://exon.niaid.nih.gov/transcriptome/Anopheles_sialome/links/PFAM/anofun_hyp37.7-PFAM.txt","DUF2240")</f>
        <v>DUF2240</v>
      </c>
      <c r="BF437" t="str">
        <f>HYPERLINK("http://pfam.sanger.ac.uk/family?acc=PF09999","0.67")</f>
        <v>0.67</v>
      </c>
      <c r="BG437" s="2" t="str">
        <f>HYPERLINK("http://exon.niaid.nih.gov/transcriptome/Anopheles_sialome/links/SMART/anofun_hyp37.7-SMART.txt","CULLIN")</f>
        <v>CULLIN</v>
      </c>
      <c r="BH437" t="str">
        <f>HYPERLINK("http://smart.embl-heidelberg.de/smart/do_annotation.pl?DOMAIN=CULLIN&amp;BLAST=DUMMY","1.6")</f>
        <v>1.6</v>
      </c>
      <c r="BI437" t="str">
        <f>HYPERLINK("http://exon.niaid.nih.gov/transcriptome/Anopheles_sialome/links/TICK-BLOCKS/anofun_hyp37.7-TICK-BLOCKS.txt","Hyp37_stringent_pattern |")</f>
        <v>Hyp37_stringent_pattern |</v>
      </c>
      <c r="BJ437" s="2" t="s">
        <v>128</v>
      </c>
      <c r="BK437" t="s">
        <v>1462</v>
      </c>
      <c r="BL437">
        <f>HYPERLINK("http://exon.niaid.nih.gov/transcriptome/Anopheles_sialome/links/cluster-b/anopheline-sialome-cds-pep-larger-orf25-50SimCLU7.txt", 7)</f>
        <v>7</v>
      </c>
      <c r="BM437">
        <f>HYPERLINK("http://exon.niaid.nih.gov/transcriptome/Anopheles_sialome/links/cluster-b/anopheline-sialome-cds-pep-larger-orf25-50SimCLTL7.txt", 40)</f>
        <v>40</v>
      </c>
      <c r="BN437">
        <f>HYPERLINK("http://exon.niaid.nih.gov/transcriptome/Anopheles_sialome/links/cluster-b/anopheline-sialome-cds-pep-larger-orf30-50SimCLU6.txt", 6)</f>
        <v>6</v>
      </c>
      <c r="BO437">
        <f>HYPERLINK("http://exon.niaid.nih.gov/transcriptome/Anopheles_sialome/links/cluster-b/anopheline-sialome-cds-pep-larger-orf30-50SimCLTL6.txt", 40)</f>
        <v>40</v>
      </c>
      <c r="BP437">
        <f>HYPERLINK("http://exon.niaid.nih.gov/transcriptome/Anopheles_sialome/links/cluster-b/anopheline-sialome-cds-pep-larger-orf35-50SimCLU7.txt", 7)</f>
        <v>7</v>
      </c>
      <c r="BQ437">
        <f>HYPERLINK("http://exon.niaid.nih.gov/transcriptome/Anopheles_sialome/links/cluster-b/anopheline-sialome-cds-pep-larger-orf35-50SimCLTL7.txt", 40)</f>
        <v>40</v>
      </c>
      <c r="BR437">
        <f>HYPERLINK("http://exon.niaid.nih.gov/transcriptome/Anopheles_sialome/links/cluster-b/anopheline-sialome-cds-pep-larger-orf40-50SimCLU6.txt", 6)</f>
        <v>6</v>
      </c>
      <c r="BS437">
        <f>HYPERLINK("http://exon.niaid.nih.gov/transcriptome/Anopheles_sialome/links/cluster-b/anopheline-sialome-cds-pep-larger-orf40-50SimCLTL6.txt", 39)</f>
        <v>39</v>
      </c>
      <c r="BT437">
        <f>HYPERLINK("http://exon.niaid.nih.gov/transcriptome/Anopheles_sialome/links/cluster-b/anopheline-sialome-cds-pep-larger-orf45-50SimCLU5.txt", 5)</f>
        <v>5</v>
      </c>
      <c r="BU437">
        <f>HYPERLINK("http://exon.niaid.nih.gov/transcriptome/Anopheles_sialome/links/cluster-b/anopheline-sialome-cds-pep-larger-orf45-50SimCLTL5.txt", 39)</f>
        <v>39</v>
      </c>
      <c r="BV437">
        <f>HYPERLINK("http://exon.niaid.nih.gov/transcriptome/Anopheles_sialome/links/cluster-b/anopheline-sialome-cds-pep-larger-orf50-50SimCLU5.txt", 5)</f>
        <v>5</v>
      </c>
      <c r="BW437">
        <f>HYPERLINK("http://exon.niaid.nih.gov/transcriptome/Anopheles_sialome/links/cluster-b/anopheline-sialome-cds-pep-larger-orf50-50SimCLTL5.txt", 39)</f>
        <v>39</v>
      </c>
      <c r="BX437">
        <f>HYPERLINK("http://exon.niaid.nih.gov/transcriptome/Anopheles_sialome/links/cluster-b/anopheline-sialome-cds-pep-larger-orf55-50SimCLU6.txt", 6)</f>
        <v>6</v>
      </c>
      <c r="BY437">
        <f>HYPERLINK("http://exon.niaid.nih.gov/transcriptome/Anopheles_sialome/links/cluster-b/anopheline-sialome-cds-pep-larger-orf55-50SimCLTL6.txt", 36)</f>
        <v>36</v>
      </c>
      <c r="BZ437">
        <f>HYPERLINK("http://exon.niaid.nih.gov/transcriptome/Anopheles_sialome/links/cluster-b/anopheline-sialome-cds-pep-larger-orf60-50SimCLU9.txt", 9)</f>
        <v>9</v>
      </c>
      <c r="CA437">
        <f>HYPERLINK("http://exon.niaid.nih.gov/transcriptome/Anopheles_sialome/links/cluster-b/anopheline-sialome-cds-pep-larger-orf60-50SimCLTL9.txt", 26)</f>
        <v>26</v>
      </c>
      <c r="CB437">
        <f>HYPERLINK("http://exon.niaid.nih.gov/transcriptome/Anopheles_sialome/links/cluster-b/anopheline-sialome-cds-pep-larger-orf65-50SimCLU6.txt", 6)</f>
        <v>6</v>
      </c>
      <c r="CC437">
        <f>HYPERLINK("http://exon.niaid.nih.gov/transcriptome/Anopheles_sialome/links/cluster-b/anopheline-sialome-cds-pep-larger-orf65-50SimCLTL6.txt", 26)</f>
        <v>26</v>
      </c>
      <c r="CD437">
        <f>HYPERLINK("http://exon.niaid.nih.gov/transcriptome/Anopheles_sialome/links/cluster-b/anopheline-sialome-cds-pep-larger-orf70-50SimCLU5.txt", 5)</f>
        <v>5</v>
      </c>
      <c r="CE437">
        <f>HYPERLINK("http://exon.niaid.nih.gov/transcriptome/Anopheles_sialome/links/cluster-b/anopheline-sialome-cds-pep-larger-orf70-50SimCLTL5.txt", 24)</f>
        <v>24</v>
      </c>
      <c r="CF437">
        <v>131</v>
      </c>
      <c r="CG437">
        <v>1</v>
      </c>
      <c r="CH437">
        <v>175</v>
      </c>
      <c r="CI437">
        <v>1</v>
      </c>
      <c r="CJ437">
        <v>224</v>
      </c>
      <c r="CK437">
        <v>1</v>
      </c>
      <c r="CL437">
        <v>272</v>
      </c>
      <c r="CM437">
        <v>1</v>
      </c>
      <c r="CN437">
        <v>303</v>
      </c>
      <c r="CO437">
        <v>1</v>
      </c>
    </row>
    <row r="438" spans="1:93">
      <c r="A438" s="2" t="str">
        <f>HYPERLINK("http://exon.niaid.nih.gov/transcriptome/Anopheles_sialome/links/cds/anomin_hyp37.7-cds.txt","anomin_hyp37.7")</f>
        <v>anomin_hyp37.7</v>
      </c>
      <c r="B438">
        <v>783</v>
      </c>
      <c r="C438" t="s">
        <v>304</v>
      </c>
      <c r="D438" t="s">
        <v>7</v>
      </c>
      <c r="E438" t="s">
        <v>5</v>
      </c>
      <c r="F438" t="s">
        <v>1</v>
      </c>
      <c r="G438" t="str">
        <f>HYPERLINK("http://exon.niaid.nih.gov/transcriptome/Anopheles_sialome/links/pep/anomin_hyp37.7-pep.txt","anomin_hyp37.7")</f>
        <v>anomin_hyp37.7</v>
      </c>
      <c r="H438">
        <v>260</v>
      </c>
      <c r="I438">
        <v>0</v>
      </c>
      <c r="J438" s="3" t="str">
        <f>HYPERLINK("http://exon.niaid.nih.gov/transcriptome/Anopheles_sialome/links/Sigp/anomin_hyp37.7-SigP.txt","SIG")</f>
        <v>SIG</v>
      </c>
      <c r="K438" t="s">
        <v>695</v>
      </c>
      <c r="L438">
        <v>29.396999999999998</v>
      </c>
      <c r="M438">
        <v>9.3000000000000007</v>
      </c>
      <c r="N438">
        <v>26.794</v>
      </c>
      <c r="O438">
        <v>9.19</v>
      </c>
      <c r="P438" t="s">
        <v>1465</v>
      </c>
      <c r="Q438" s="3">
        <v>0</v>
      </c>
      <c r="R438" t="s">
        <v>128</v>
      </c>
      <c r="S438" t="s">
        <v>128</v>
      </c>
      <c r="T438" t="s">
        <v>128</v>
      </c>
      <c r="U438" t="s">
        <v>128</v>
      </c>
      <c r="V438" t="s">
        <v>128</v>
      </c>
      <c r="W438" s="3" t="str">
        <f>HYPERLINK("http://exon.niaid.nih.gov/transcriptome/Anopheles_sialome/links/netoglyc/anomin_hyp37.7-netoglyc.txt","0")</f>
        <v>0</v>
      </c>
      <c r="X438">
        <v>10.8</v>
      </c>
      <c r="Y438">
        <v>7.3</v>
      </c>
      <c r="Z438">
        <v>1.2</v>
      </c>
      <c r="AA438" t="s">
        <v>654</v>
      </c>
      <c r="AB438" t="s">
        <v>128</v>
      </c>
      <c r="AC438" s="2" t="str">
        <f>HYPERLINK("http://exon.niaid.nih.gov/transcriptome/Anopheles_sialome/links/DIPTERA/anomin_hyp37.7-DIPTERA.txt","hyp37.3 putative secreted salivary gland protein")</f>
        <v>hyp37.3 putative secreted salivary gland protein</v>
      </c>
      <c r="AD438" t="str">
        <f>HYPERLINK("http://www.ncbi.nlm.nih.gov/sutils/blink.cgi?pid=29501532","5E-069")</f>
        <v>5E-069</v>
      </c>
      <c r="AE438" t="str">
        <f>HYPERLINK("http://www.ncbi.nlm.nih.gov/protein/29501532","gi|29501532")</f>
        <v>gi|29501532</v>
      </c>
      <c r="AF438">
        <v>53</v>
      </c>
      <c r="AG438">
        <v>70</v>
      </c>
      <c r="AH438">
        <v>73</v>
      </c>
      <c r="AI438" t="s">
        <v>2271</v>
      </c>
      <c r="AJ438" s="2" t="str">
        <f>HYPERLINK("http://exon.niaid.nih.gov/transcriptome/Anopheles_sialome/links/CULICOMORPHA/anomin_hyp37.7-CULICOMORPHA.txt","hyp37.3 putative secreted salivary gland protein")</f>
        <v>hyp37.3 putative secreted salivary gland protein</v>
      </c>
      <c r="AK438" t="str">
        <f>HYPERLINK("http://www.ncbi.nlm.nih.gov/sutils/blink.cgi?pid=29501532","9E-070")</f>
        <v>9E-070</v>
      </c>
      <c r="AL438" t="str">
        <f>HYPERLINK("http://www.ncbi.nlm.nih.gov/protein/29501532","gi|29501532")</f>
        <v>gi|29501532</v>
      </c>
      <c r="AM438">
        <v>53</v>
      </c>
      <c r="AN438">
        <v>70</v>
      </c>
      <c r="AO438">
        <v>73</v>
      </c>
      <c r="AP438" t="s">
        <v>2271</v>
      </c>
      <c r="AQ438" s="2" t="str">
        <f>HYPERLINK("http://exon.niaid.nih.gov/transcriptome/Anopheles_sialome/links/NR-LIGHT/anomin_hyp37.7-NR-LIGHT.txt","hyp37.3 putative secreted salivary gland protein")</f>
        <v>hyp37.3 putative secreted salivary gland protein</v>
      </c>
      <c r="AR438" t="str">
        <f>HYPERLINK("http://www.ncbi.nlm.nih.gov/sutils/blink.cgi?pid=29501532","1E-068")</f>
        <v>1E-068</v>
      </c>
      <c r="AS438" t="str">
        <f>HYPERLINK("http://www.ncbi.nlm.nih.gov/protein/29501532","gi|29501532")</f>
        <v>gi|29501532</v>
      </c>
      <c r="AT438">
        <v>53</v>
      </c>
      <c r="AU438">
        <v>70</v>
      </c>
      <c r="AV438">
        <v>73</v>
      </c>
      <c r="AW438" t="s">
        <v>2271</v>
      </c>
      <c r="AX438" s="2" t="str">
        <f>HYPERLINK("http://exon.niaid.nih.gov/transcriptome/Anopheles_sialome/links/CDD/anomin_hyp37.7-CDD.txt","PLN02727")</f>
        <v>PLN02727</v>
      </c>
      <c r="AY438" t="str">
        <f>HYPERLINK("http://www.ncbi.nlm.nih.gov/Structure/cdd/cddsrv.cgi?uid=PLN02727&amp;version=v4.0","0.30")</f>
        <v>0.30</v>
      </c>
      <c r="AZ438" t="s">
        <v>2721</v>
      </c>
      <c r="BA438" s="2" t="str">
        <f>HYPERLINK("http://exon.niaid.nih.gov/transcriptome/Anopheles_sialome/links/KOG/anomin_hyp37.7-KOG.txt","Tyrosyl-tRNA synthetase")</f>
        <v>Tyrosyl-tRNA synthetase</v>
      </c>
      <c r="BB438" t="str">
        <f>HYPERLINK("http://www.ncbi.nlm.nih.gov/Structure/cdd/cddsrv.cgi?uid=KOG2623","4.2")</f>
        <v>4.2</v>
      </c>
      <c r="BC438" t="s">
        <v>2260</v>
      </c>
      <c r="BD438" t="str">
        <f>HYPERLINK("http://exon.niaid.nih.gov/transcriptome/Anopheles_sialome/links/KOG/anomin_hyp37.7-KOG.txt","KOG2623")</f>
        <v>KOG2623</v>
      </c>
      <c r="BE438" t="str">
        <f>HYPERLINK("http://exon.niaid.nih.gov/transcriptome/Anopheles_sialome/links/PFAM/anomin_hyp37.7-PFAM.txt","SPX")</f>
        <v>SPX</v>
      </c>
      <c r="BF438" t="str">
        <f>HYPERLINK("http://pfam.sanger.ac.uk/family?acc=PF03105","1.2")</f>
        <v>1.2</v>
      </c>
      <c r="BG438" s="2" t="str">
        <f>HYPERLINK("http://exon.niaid.nih.gov/transcriptome/Anopheles_sialome/links/SMART/anomin_hyp37.7-SMART.txt","PSN")</f>
        <v>PSN</v>
      </c>
      <c r="BH438" t="str">
        <f>HYPERLINK("http://smart.embl-heidelberg.de/smart/do_annotation.pl?DOMAIN=PSN&amp;BLAST=DUMMY","0.94")</f>
        <v>0.94</v>
      </c>
      <c r="BI438" t="str">
        <f>HYPERLINK("http://exon.niaid.nih.gov/transcriptome/Anopheles_sialome/links/TICK-BLOCKS/anomin_hyp37.7-TICK-BLOCKS.txt","Hyp37 |Hyp37_stringent_pattern |")</f>
        <v>Hyp37 |Hyp37_stringent_pattern |</v>
      </c>
      <c r="BJ438" s="2" t="s">
        <v>2712</v>
      </c>
      <c r="BK438" t="s">
        <v>1464</v>
      </c>
      <c r="BL438">
        <f>HYPERLINK("http://exon.niaid.nih.gov/transcriptome/Anopheles_sialome/links/cluster-b/anopheline-sialome-cds-pep-larger-orf25-50SimCLU7.txt", 7)</f>
        <v>7</v>
      </c>
      <c r="BM438">
        <f>HYPERLINK("http://exon.niaid.nih.gov/transcriptome/Anopheles_sialome/links/cluster-b/anopheline-sialome-cds-pep-larger-orf25-50SimCLTL7.txt", 40)</f>
        <v>40</v>
      </c>
      <c r="BN438">
        <f>HYPERLINK("http://exon.niaid.nih.gov/transcriptome/Anopheles_sialome/links/cluster-b/anopheline-sialome-cds-pep-larger-orf30-50SimCLU6.txt", 6)</f>
        <v>6</v>
      </c>
      <c r="BO438">
        <f>HYPERLINK("http://exon.niaid.nih.gov/transcriptome/Anopheles_sialome/links/cluster-b/anopheline-sialome-cds-pep-larger-orf30-50SimCLTL6.txt", 40)</f>
        <v>40</v>
      </c>
      <c r="BP438">
        <f>HYPERLINK("http://exon.niaid.nih.gov/transcriptome/Anopheles_sialome/links/cluster-b/anopheline-sialome-cds-pep-larger-orf35-50SimCLU7.txt", 7)</f>
        <v>7</v>
      </c>
      <c r="BQ438">
        <f>HYPERLINK("http://exon.niaid.nih.gov/transcriptome/Anopheles_sialome/links/cluster-b/anopheline-sialome-cds-pep-larger-orf35-50SimCLTL7.txt", 40)</f>
        <v>40</v>
      </c>
      <c r="BR438">
        <f>HYPERLINK("http://exon.niaid.nih.gov/transcriptome/Anopheles_sialome/links/cluster-b/anopheline-sialome-cds-pep-larger-orf40-50SimCLU6.txt", 6)</f>
        <v>6</v>
      </c>
      <c r="BS438">
        <f>HYPERLINK("http://exon.niaid.nih.gov/transcriptome/Anopheles_sialome/links/cluster-b/anopheline-sialome-cds-pep-larger-orf40-50SimCLTL6.txt", 39)</f>
        <v>39</v>
      </c>
      <c r="BT438">
        <f>HYPERLINK("http://exon.niaid.nih.gov/transcriptome/Anopheles_sialome/links/cluster-b/anopheline-sialome-cds-pep-larger-orf45-50SimCLU5.txt", 5)</f>
        <v>5</v>
      </c>
      <c r="BU438">
        <f>HYPERLINK("http://exon.niaid.nih.gov/transcriptome/Anopheles_sialome/links/cluster-b/anopheline-sialome-cds-pep-larger-orf45-50SimCLTL5.txt", 39)</f>
        <v>39</v>
      </c>
      <c r="BV438">
        <f>HYPERLINK("http://exon.niaid.nih.gov/transcriptome/Anopheles_sialome/links/cluster-b/anopheline-sialome-cds-pep-larger-orf50-50SimCLU5.txt", 5)</f>
        <v>5</v>
      </c>
      <c r="BW438">
        <f>HYPERLINK("http://exon.niaid.nih.gov/transcriptome/Anopheles_sialome/links/cluster-b/anopheline-sialome-cds-pep-larger-orf50-50SimCLTL5.txt", 39)</f>
        <v>39</v>
      </c>
      <c r="BX438">
        <f>HYPERLINK("http://exon.niaid.nih.gov/transcriptome/Anopheles_sialome/links/cluster-b/anopheline-sialome-cds-pep-larger-orf55-50SimCLU6.txt", 6)</f>
        <v>6</v>
      </c>
      <c r="BY438">
        <f>HYPERLINK("http://exon.niaid.nih.gov/transcriptome/Anopheles_sialome/links/cluster-b/anopheline-sialome-cds-pep-larger-orf55-50SimCLTL6.txt", 36)</f>
        <v>36</v>
      </c>
      <c r="BZ438">
        <f>HYPERLINK("http://exon.niaid.nih.gov/transcriptome/Anopheles_sialome/links/cluster-b/anopheline-sialome-cds-pep-larger-orf60-50SimCLU9.txt", 9)</f>
        <v>9</v>
      </c>
      <c r="CA438">
        <f>HYPERLINK("http://exon.niaid.nih.gov/transcriptome/Anopheles_sialome/links/cluster-b/anopheline-sialome-cds-pep-larger-orf60-50SimCLTL9.txt", 26)</f>
        <v>26</v>
      </c>
      <c r="CB438">
        <f>HYPERLINK("http://exon.niaid.nih.gov/transcriptome/Anopheles_sialome/links/cluster-b/anopheline-sialome-cds-pep-larger-orf65-50SimCLU6.txt", 6)</f>
        <v>6</v>
      </c>
      <c r="CC438">
        <f>HYPERLINK("http://exon.niaid.nih.gov/transcriptome/Anopheles_sialome/links/cluster-b/anopheline-sialome-cds-pep-larger-orf65-50SimCLTL6.txt", 26)</f>
        <v>26</v>
      </c>
      <c r="CD438">
        <f>HYPERLINK("http://exon.niaid.nih.gov/transcriptome/Anopheles_sialome/links/cluster-b/anopheline-sialome-cds-pep-larger-orf70-50SimCLU5.txt", 5)</f>
        <v>5</v>
      </c>
      <c r="CE438">
        <f>HYPERLINK("http://exon.niaid.nih.gov/transcriptome/Anopheles_sialome/links/cluster-b/anopheline-sialome-cds-pep-larger-orf70-50SimCLTL5.txt", 24)</f>
        <v>24</v>
      </c>
      <c r="CF438">
        <f>HYPERLINK("http://exon.niaid.nih.gov/transcriptome/Anopheles_sialome/links/cluster-b/anopheline-sialome-cds-pep-larger-orf75-50SimCLU70.txt", 70)</f>
        <v>70</v>
      </c>
      <c r="CG438">
        <f>HYPERLINK("http://exon.niaid.nih.gov/transcriptome/Anopheles_sialome/links/cluster-b/anopheline-sialome-cds-pep-larger-orf75-50SimCLTL70.txt", 2)</f>
        <v>2</v>
      </c>
      <c r="CH438">
        <v>176</v>
      </c>
      <c r="CI438">
        <v>1</v>
      </c>
      <c r="CJ438">
        <v>225</v>
      </c>
      <c r="CK438">
        <v>1</v>
      </c>
      <c r="CL438">
        <v>273</v>
      </c>
      <c r="CM438">
        <v>1</v>
      </c>
      <c r="CN438">
        <v>304</v>
      </c>
      <c r="CO438">
        <v>1</v>
      </c>
    </row>
    <row r="439" spans="1:93">
      <c r="A439" s="2" t="str">
        <f>HYPERLINK("http://exon.niaid.nih.gov/transcriptome/Anopheles_sialome/links/cds/anocul_hyp37.7-cds.txt","anocul_hyp37.7")</f>
        <v>anocul_hyp37.7</v>
      </c>
      <c r="B439">
        <v>765</v>
      </c>
      <c r="C439" t="s">
        <v>305</v>
      </c>
      <c r="D439" t="s">
        <v>7</v>
      </c>
      <c r="E439" t="s">
        <v>5</v>
      </c>
      <c r="F439" t="s">
        <v>1</v>
      </c>
      <c r="G439" t="str">
        <f>HYPERLINK("http://exon.niaid.nih.gov/transcriptome/Anopheles_sialome/links/pep/anocul_hyp37.7-pep.txt","anocul_hyp37.7")</f>
        <v>anocul_hyp37.7</v>
      </c>
      <c r="H439">
        <v>254</v>
      </c>
      <c r="I439">
        <v>0</v>
      </c>
      <c r="J439" s="3" t="str">
        <f>HYPERLINK("http://exon.niaid.nih.gov/transcriptome/Anopheles_sialome/links/Sigp/anocul_hyp37.7-SigP.txt","SIG")</f>
        <v>SIG</v>
      </c>
      <c r="K439" t="s">
        <v>652</v>
      </c>
      <c r="L439">
        <v>28.651</v>
      </c>
      <c r="M439">
        <v>9.0399999999999991</v>
      </c>
      <c r="N439">
        <v>26.361999999999998</v>
      </c>
      <c r="O439">
        <v>9.01</v>
      </c>
      <c r="P439" t="s">
        <v>1467</v>
      </c>
      <c r="Q439" s="3">
        <v>0</v>
      </c>
      <c r="R439" t="s">
        <v>128</v>
      </c>
      <c r="S439" t="s">
        <v>128</v>
      </c>
      <c r="T439" t="s">
        <v>128</v>
      </c>
      <c r="U439" t="s">
        <v>128</v>
      </c>
      <c r="V439" t="s">
        <v>128</v>
      </c>
      <c r="W439" s="3" t="str">
        <f>HYPERLINK("http://exon.niaid.nih.gov/transcriptome/Anopheles_sialome/links/netoglyc/anocul_hyp37.7-netoglyc.txt","0")</f>
        <v>0</v>
      </c>
      <c r="X439">
        <v>14.2</v>
      </c>
      <c r="Y439">
        <v>7.5</v>
      </c>
      <c r="Z439">
        <v>1.2</v>
      </c>
      <c r="AA439" t="s">
        <v>654</v>
      </c>
      <c r="AB439" t="s">
        <v>128</v>
      </c>
      <c r="AC439" s="2" t="str">
        <f>HYPERLINK("http://exon.niaid.nih.gov/transcriptome/Anopheles_sialome/links/DIPTERA/anocul_hyp37.7-DIPTERA.txt","hyp37.3 putative secreted salivary gland protein")</f>
        <v>hyp37.3 putative secreted salivary gland protein</v>
      </c>
      <c r="AD439" t="str">
        <f>HYPERLINK("http://www.ncbi.nlm.nih.gov/sutils/blink.cgi?pid=29501532","4E-076")</f>
        <v>4E-076</v>
      </c>
      <c r="AE439" t="str">
        <f>HYPERLINK("http://www.ncbi.nlm.nih.gov/protein/29501532","gi|29501532")</f>
        <v>gi|29501532</v>
      </c>
      <c r="AF439">
        <v>60</v>
      </c>
      <c r="AG439">
        <v>74</v>
      </c>
      <c r="AH439">
        <v>70</v>
      </c>
      <c r="AI439" t="s">
        <v>2271</v>
      </c>
      <c r="AJ439" s="2" t="str">
        <f>HYPERLINK("http://exon.niaid.nih.gov/transcriptome/Anopheles_sialome/links/CULICOMORPHA/anocul_hyp37.7-CULICOMORPHA.txt","hyp37.3 putative secreted salivary gland protein")</f>
        <v>hyp37.3 putative secreted salivary gland protein</v>
      </c>
      <c r="AK439" t="str">
        <f>HYPERLINK("http://www.ncbi.nlm.nih.gov/sutils/blink.cgi?pid=29501532","7E-077")</f>
        <v>7E-077</v>
      </c>
      <c r="AL439" t="str">
        <f>HYPERLINK("http://www.ncbi.nlm.nih.gov/protein/29501532","gi|29501532")</f>
        <v>gi|29501532</v>
      </c>
      <c r="AM439">
        <v>60</v>
      </c>
      <c r="AN439">
        <v>74</v>
      </c>
      <c r="AO439">
        <v>70</v>
      </c>
      <c r="AP439" t="s">
        <v>2271</v>
      </c>
      <c r="AQ439" s="2" t="str">
        <f>HYPERLINK("http://exon.niaid.nih.gov/transcriptome/Anopheles_sialome/links/NR-LIGHT/anocul_hyp37.7-NR-LIGHT.txt","hyp37.3 putative secreted salivary gland protein")</f>
        <v>hyp37.3 putative secreted salivary gland protein</v>
      </c>
      <c r="AR439" t="str">
        <f>HYPERLINK("http://www.ncbi.nlm.nih.gov/sutils/blink.cgi?pid=29501532","1E-075")</f>
        <v>1E-075</v>
      </c>
      <c r="AS439" t="str">
        <f>HYPERLINK("http://www.ncbi.nlm.nih.gov/protein/29501532","gi|29501532")</f>
        <v>gi|29501532</v>
      </c>
      <c r="AT439">
        <v>60</v>
      </c>
      <c r="AU439">
        <v>74</v>
      </c>
      <c r="AV439">
        <v>70</v>
      </c>
      <c r="AW439" t="s">
        <v>2271</v>
      </c>
      <c r="AX439" s="2" t="str">
        <f>HYPERLINK("http://exon.niaid.nih.gov/transcriptome/Anopheles_sialome/links/CDD/anocul_hyp37.7-CDD.txt","FosB")</f>
        <v>FosB</v>
      </c>
      <c r="AY439" t="str">
        <f>HYPERLINK("http://www.ncbi.nlm.nih.gov/Structure/cdd/cddsrv.cgi?uid=cd08363&amp;version=v4.0","0.051")</f>
        <v>0.051</v>
      </c>
      <c r="AZ439" t="s">
        <v>2722</v>
      </c>
      <c r="BA439" s="2" t="str">
        <f>HYPERLINK("http://exon.niaid.nih.gov/transcriptome/Anopheles_sialome/links/KOG/anocul_hyp37.7-KOG.txt","Uncharacterized membrane protein")</f>
        <v>Uncharacterized membrane protein</v>
      </c>
      <c r="BB439" t="str">
        <f>HYPERLINK("http://www.ncbi.nlm.nih.gov/Structure/cdd/cddsrv.cgi?uid=KOG0411","4.2")</f>
        <v>4.2</v>
      </c>
      <c r="BC439" t="s">
        <v>2304</v>
      </c>
      <c r="BD439" t="str">
        <f>HYPERLINK("http://exon.niaid.nih.gov/transcriptome/Anopheles_sialome/links/KOG/anocul_hyp37.7-KOG.txt","KOG0411")</f>
        <v>KOG0411</v>
      </c>
      <c r="BE439" t="str">
        <f>HYPERLINK("http://exon.niaid.nih.gov/transcriptome/Anopheles_sialome/links/PFAM/anocul_hyp37.7-PFAM.txt","Glyco_hydro_9")</f>
        <v>Glyco_hydro_9</v>
      </c>
      <c r="BF439" t="str">
        <f>HYPERLINK("http://pfam.sanger.ac.uk/family?acc=PF00759","0.31")</f>
        <v>0.31</v>
      </c>
      <c r="BG439" s="2" t="str">
        <f>HYPERLINK("http://exon.niaid.nih.gov/transcriptome/Anopheles_sialome/links/SMART/anocul_hyp37.7-SMART.txt","C4")</f>
        <v>C4</v>
      </c>
      <c r="BH439" t="str">
        <f>HYPERLINK("http://smart.embl-heidelberg.de/smart/do_annotation.pl?DOMAIN=C4&amp;BLAST=DUMMY","3.2")</f>
        <v>3.2</v>
      </c>
      <c r="BI439" t="str">
        <f>HYPERLINK("http://exon.niaid.nih.gov/transcriptome/Anopheles_sialome/links/TICK-BLOCKS/anocul_hyp37.7-TICK-BLOCKS.txt","Hyp37 |Hyp37_stringent_pattern |")</f>
        <v>Hyp37 |Hyp37_stringent_pattern |</v>
      </c>
      <c r="BJ439" s="2" t="s">
        <v>2712</v>
      </c>
      <c r="BK439" t="s">
        <v>1466</v>
      </c>
      <c r="BL439">
        <f>HYPERLINK("http://exon.niaid.nih.gov/transcriptome/Anopheles_sialome/links/cluster-b/anopheline-sialome-cds-pep-larger-orf25-50SimCLU7.txt", 7)</f>
        <v>7</v>
      </c>
      <c r="BM439">
        <f>HYPERLINK("http://exon.niaid.nih.gov/transcriptome/Anopheles_sialome/links/cluster-b/anopheline-sialome-cds-pep-larger-orf25-50SimCLTL7.txt", 40)</f>
        <v>40</v>
      </c>
      <c r="BN439">
        <f>HYPERLINK("http://exon.niaid.nih.gov/transcriptome/Anopheles_sialome/links/cluster-b/anopheline-sialome-cds-pep-larger-orf30-50SimCLU6.txt", 6)</f>
        <v>6</v>
      </c>
      <c r="BO439">
        <f>HYPERLINK("http://exon.niaid.nih.gov/transcriptome/Anopheles_sialome/links/cluster-b/anopheline-sialome-cds-pep-larger-orf30-50SimCLTL6.txt", 40)</f>
        <v>40</v>
      </c>
      <c r="BP439">
        <f>HYPERLINK("http://exon.niaid.nih.gov/transcriptome/Anopheles_sialome/links/cluster-b/anopheline-sialome-cds-pep-larger-orf35-50SimCLU7.txt", 7)</f>
        <v>7</v>
      </c>
      <c r="BQ439">
        <f>HYPERLINK("http://exon.niaid.nih.gov/transcriptome/Anopheles_sialome/links/cluster-b/anopheline-sialome-cds-pep-larger-orf35-50SimCLTL7.txt", 40)</f>
        <v>40</v>
      </c>
      <c r="BR439">
        <f>HYPERLINK("http://exon.niaid.nih.gov/transcriptome/Anopheles_sialome/links/cluster-b/anopheline-sialome-cds-pep-larger-orf40-50SimCLU6.txt", 6)</f>
        <v>6</v>
      </c>
      <c r="BS439">
        <f>HYPERLINK("http://exon.niaid.nih.gov/transcriptome/Anopheles_sialome/links/cluster-b/anopheline-sialome-cds-pep-larger-orf40-50SimCLTL6.txt", 39)</f>
        <v>39</v>
      </c>
      <c r="BT439">
        <f>HYPERLINK("http://exon.niaid.nih.gov/transcriptome/Anopheles_sialome/links/cluster-b/anopheline-sialome-cds-pep-larger-orf45-50SimCLU5.txt", 5)</f>
        <v>5</v>
      </c>
      <c r="BU439">
        <f>HYPERLINK("http://exon.niaid.nih.gov/transcriptome/Anopheles_sialome/links/cluster-b/anopheline-sialome-cds-pep-larger-orf45-50SimCLTL5.txt", 39)</f>
        <v>39</v>
      </c>
      <c r="BV439">
        <f>HYPERLINK("http://exon.niaid.nih.gov/transcriptome/Anopheles_sialome/links/cluster-b/anopheline-sialome-cds-pep-larger-orf50-50SimCLU5.txt", 5)</f>
        <v>5</v>
      </c>
      <c r="BW439">
        <f>HYPERLINK("http://exon.niaid.nih.gov/transcriptome/Anopheles_sialome/links/cluster-b/anopheline-sialome-cds-pep-larger-orf50-50SimCLTL5.txt", 39)</f>
        <v>39</v>
      </c>
      <c r="BX439">
        <f>HYPERLINK("http://exon.niaid.nih.gov/transcriptome/Anopheles_sialome/links/cluster-b/anopheline-sialome-cds-pep-larger-orf55-50SimCLU6.txt", 6)</f>
        <v>6</v>
      </c>
      <c r="BY439">
        <f>HYPERLINK("http://exon.niaid.nih.gov/transcriptome/Anopheles_sialome/links/cluster-b/anopheline-sialome-cds-pep-larger-orf55-50SimCLTL6.txt", 36)</f>
        <v>36</v>
      </c>
      <c r="BZ439">
        <f>HYPERLINK("http://exon.niaid.nih.gov/transcriptome/Anopheles_sialome/links/cluster-b/anopheline-sialome-cds-pep-larger-orf60-50SimCLU9.txt", 9)</f>
        <v>9</v>
      </c>
      <c r="CA439">
        <f>HYPERLINK("http://exon.niaid.nih.gov/transcriptome/Anopheles_sialome/links/cluster-b/anopheline-sialome-cds-pep-larger-orf60-50SimCLTL9.txt", 26)</f>
        <v>26</v>
      </c>
      <c r="CB439">
        <f>HYPERLINK("http://exon.niaid.nih.gov/transcriptome/Anopheles_sialome/links/cluster-b/anopheline-sialome-cds-pep-larger-orf65-50SimCLU6.txt", 6)</f>
        <v>6</v>
      </c>
      <c r="CC439">
        <f>HYPERLINK("http://exon.niaid.nih.gov/transcriptome/Anopheles_sialome/links/cluster-b/anopheline-sialome-cds-pep-larger-orf65-50SimCLTL6.txt", 26)</f>
        <v>26</v>
      </c>
      <c r="CD439">
        <f>HYPERLINK("http://exon.niaid.nih.gov/transcriptome/Anopheles_sialome/links/cluster-b/anopheline-sialome-cds-pep-larger-orf70-50SimCLU5.txt", 5)</f>
        <v>5</v>
      </c>
      <c r="CE439">
        <f>HYPERLINK("http://exon.niaid.nih.gov/transcriptome/Anopheles_sialome/links/cluster-b/anopheline-sialome-cds-pep-larger-orf70-50SimCLTL5.txt", 24)</f>
        <v>24</v>
      </c>
      <c r="CF439">
        <f>HYPERLINK("http://exon.niaid.nih.gov/transcriptome/Anopheles_sialome/links/cluster-b/anopheline-sialome-cds-pep-larger-orf75-50SimCLU70.txt", 70)</f>
        <v>70</v>
      </c>
      <c r="CG439">
        <f>HYPERLINK("http://exon.niaid.nih.gov/transcriptome/Anopheles_sialome/links/cluster-b/anopheline-sialome-cds-pep-larger-orf75-50SimCLTL70.txt", 2)</f>
        <v>2</v>
      </c>
      <c r="CH439">
        <v>177</v>
      </c>
      <c r="CI439">
        <v>1</v>
      </c>
      <c r="CJ439">
        <v>226</v>
      </c>
      <c r="CK439">
        <v>1</v>
      </c>
      <c r="CL439">
        <v>274</v>
      </c>
      <c r="CM439">
        <v>1</v>
      </c>
      <c r="CN439">
        <v>305</v>
      </c>
      <c r="CO439">
        <v>1</v>
      </c>
    </row>
    <row r="440" spans="1:93">
      <c r="A440" s="2" t="str">
        <f>HYPERLINK("http://exon.niaid.nih.gov/transcriptome/Anopheles_sialome/links/cds/anoste_hyp37.7-cds.txt","anoste_hyp37.7")</f>
        <v>anoste_hyp37.7</v>
      </c>
      <c r="B440">
        <v>789</v>
      </c>
      <c r="C440" t="s">
        <v>306</v>
      </c>
      <c r="D440" t="s">
        <v>7</v>
      </c>
      <c r="E440" t="s">
        <v>5</v>
      </c>
      <c r="F440" t="s">
        <v>1</v>
      </c>
      <c r="G440" t="str">
        <f>HYPERLINK("http://exon.niaid.nih.gov/transcriptome/Anopheles_sialome/links/pep/anoste_hyp37.7-pep.txt","anoste_hyp37.7")</f>
        <v>anoste_hyp37.7</v>
      </c>
      <c r="H440">
        <v>262</v>
      </c>
      <c r="I440">
        <v>1</v>
      </c>
      <c r="J440" s="3" t="str">
        <f>HYPERLINK("http://exon.niaid.nih.gov/transcriptome/Anopheles_sialome/links/Sigp/anoste_hyp37.7-SigP.txt","SIG")</f>
        <v>SIG</v>
      </c>
      <c r="K440" t="s">
        <v>718</v>
      </c>
      <c r="L440">
        <v>29.568000000000001</v>
      </c>
      <c r="M440">
        <v>9.59</v>
      </c>
      <c r="N440">
        <v>27.878</v>
      </c>
      <c r="O440">
        <v>9.52</v>
      </c>
      <c r="P440" t="s">
        <v>1469</v>
      </c>
      <c r="Q440" s="3">
        <v>0</v>
      </c>
      <c r="R440" t="s">
        <v>128</v>
      </c>
      <c r="S440" t="s">
        <v>128</v>
      </c>
      <c r="T440" t="s">
        <v>128</v>
      </c>
      <c r="U440" t="s">
        <v>128</v>
      </c>
      <c r="V440" t="s">
        <v>128</v>
      </c>
      <c r="W440" s="3" t="str">
        <f>HYPERLINK("http://exon.niaid.nih.gov/transcriptome/Anopheles_sialome/links/netoglyc/anoste_hyp37.7-netoglyc.txt","0")</f>
        <v>0</v>
      </c>
      <c r="X440">
        <v>13.4</v>
      </c>
      <c r="Y440">
        <v>8</v>
      </c>
      <c r="Z440">
        <v>1.5</v>
      </c>
      <c r="AA440" t="s">
        <v>654</v>
      </c>
      <c r="AB440" t="s">
        <v>128</v>
      </c>
      <c r="AC440" s="2" t="str">
        <f>HYPERLINK("http://exon.niaid.nih.gov/transcriptome/Anopheles_sialome/links/DIPTERA/anoste_hyp37.7-DIPTERA.txt","hyp37.3 putative secreted salivary gland protein")</f>
        <v>hyp37.3 putative secreted salivary gland protein</v>
      </c>
      <c r="AD440" t="str">
        <f>HYPERLINK("http://www.ncbi.nlm.nih.gov/sutils/blink.cgi?pid=29501532","1E-145")</f>
        <v>1E-145</v>
      </c>
      <c r="AE440" t="str">
        <f>HYPERLINK("http://www.ncbi.nlm.nih.gov/protein/29501532","gi|29501532")</f>
        <v>gi|29501532</v>
      </c>
      <c r="AF440">
        <v>99</v>
      </c>
      <c r="AG440">
        <v>99</v>
      </c>
      <c r="AH440">
        <v>74</v>
      </c>
      <c r="AI440" t="s">
        <v>2271</v>
      </c>
      <c r="AJ440" s="2" t="str">
        <f>HYPERLINK("http://exon.niaid.nih.gov/transcriptome/Anopheles_sialome/links/CULICOMORPHA/anoste_hyp37.7-CULICOMORPHA.txt","hyp37.3 putative secreted salivary gland protein")</f>
        <v>hyp37.3 putative secreted salivary gland protein</v>
      </c>
      <c r="AK440" t="str">
        <f>HYPERLINK("http://www.ncbi.nlm.nih.gov/sutils/blink.cgi?pid=29501532","1E-145")</f>
        <v>1E-145</v>
      </c>
      <c r="AL440" t="str">
        <f>HYPERLINK("http://www.ncbi.nlm.nih.gov/protein/29501532","gi|29501532")</f>
        <v>gi|29501532</v>
      </c>
      <c r="AM440">
        <v>99</v>
      </c>
      <c r="AN440">
        <v>99</v>
      </c>
      <c r="AO440">
        <v>74</v>
      </c>
      <c r="AP440" t="s">
        <v>2271</v>
      </c>
      <c r="AQ440" s="2" t="str">
        <f>HYPERLINK("http://exon.niaid.nih.gov/transcriptome/Anopheles_sialome/links/NR-LIGHT/anoste_hyp37.7-NR-LIGHT.txt","hyp37.3 putative secreted salivary gland protein")</f>
        <v>hyp37.3 putative secreted salivary gland protein</v>
      </c>
      <c r="AR440" t="str">
        <f>HYPERLINK("http://www.ncbi.nlm.nih.gov/sutils/blink.cgi?pid=29501532","1E-144")</f>
        <v>1E-144</v>
      </c>
      <c r="AS440" t="str">
        <f>HYPERLINK("http://www.ncbi.nlm.nih.gov/protein/29501532","gi|29501532")</f>
        <v>gi|29501532</v>
      </c>
      <c r="AT440">
        <v>99</v>
      </c>
      <c r="AU440">
        <v>99</v>
      </c>
      <c r="AV440">
        <v>74</v>
      </c>
      <c r="AW440" t="s">
        <v>2271</v>
      </c>
      <c r="AX440" s="2" t="str">
        <f>HYPERLINK("http://exon.niaid.nih.gov/transcriptome/Anopheles_sialome/links/CDD/anoste_hyp37.7-CDD.txt","Arena_RNA_pol")</f>
        <v>Arena_RNA_pol</v>
      </c>
      <c r="AY440" t="str">
        <f>HYPERLINK("http://www.ncbi.nlm.nih.gov/Structure/cdd/cddsrv.cgi?uid=pfam06317&amp;version=v4.0","0.24")</f>
        <v>0.24</v>
      </c>
      <c r="AZ440" t="s">
        <v>2723</v>
      </c>
      <c r="BA440" s="2" t="str">
        <f>HYPERLINK("http://exon.niaid.nih.gov/transcriptome/Anopheles_sialome/links/KOG/anoste_hyp37.7-KOG.txt","Metalloendopeptidase family - mitochondrial intermediate peptidase")</f>
        <v>Metalloendopeptidase family - mitochondrial intermediate peptidase</v>
      </c>
      <c r="BB440" t="str">
        <f>HYPERLINK("http://www.ncbi.nlm.nih.gov/Structure/cdd/cddsrv.cgi?uid=KOG2090","0.072")</f>
        <v>0.072</v>
      </c>
      <c r="BC440" t="s">
        <v>2296</v>
      </c>
      <c r="BD440" t="str">
        <f>HYPERLINK("http://exon.niaid.nih.gov/transcriptome/Anopheles_sialome/links/KOG/anoste_hyp37.7-KOG.txt","KOG2090")</f>
        <v>KOG2090</v>
      </c>
      <c r="BE440" t="str">
        <f>HYPERLINK("http://exon.niaid.nih.gov/transcriptome/Anopheles_sialome/links/PFAM/anoste_hyp37.7-PFAM.txt","Arena_RNA_pol")</f>
        <v>Arena_RNA_pol</v>
      </c>
      <c r="BF440" t="str">
        <f>HYPERLINK("http://pfam.sanger.ac.uk/family?acc=PF06317","0.049")</f>
        <v>0.049</v>
      </c>
      <c r="BG440" s="2" t="str">
        <f>HYPERLINK("http://exon.niaid.nih.gov/transcriptome/Anopheles_sialome/links/SMART/anoste_hyp37.7-SMART.txt","GatB_Yqey")</f>
        <v>GatB_Yqey</v>
      </c>
      <c r="BH440" t="str">
        <f>HYPERLINK("http://smart.embl-heidelberg.de/smart/do_annotation.pl?DOMAIN=GatB_Yqey&amp;BLAST=DUMMY","1.5")</f>
        <v>1.5</v>
      </c>
      <c r="BI440" t="str">
        <f>HYPERLINK("http://exon.niaid.nih.gov/transcriptome/Anopheles_sialome/links/TICK-BLOCKS/anoste_hyp37.7-TICK-BLOCKS.txt","Hyp37 |Hyp37_stringent_pattern |")</f>
        <v>Hyp37 |Hyp37_stringent_pattern |</v>
      </c>
      <c r="BJ440" s="2" t="s">
        <v>2712</v>
      </c>
      <c r="BK440" t="s">
        <v>1468</v>
      </c>
      <c r="BL440">
        <f>HYPERLINK("http://exon.niaid.nih.gov/transcriptome/Anopheles_sialome/links/cluster-b/anopheline-sialome-cds-pep-larger-orf25-50SimCLU7.txt", 7)</f>
        <v>7</v>
      </c>
      <c r="BM440">
        <f>HYPERLINK("http://exon.niaid.nih.gov/transcriptome/Anopheles_sialome/links/cluster-b/anopheline-sialome-cds-pep-larger-orf25-50SimCLTL7.txt", 40)</f>
        <v>40</v>
      </c>
      <c r="BN440">
        <f>HYPERLINK("http://exon.niaid.nih.gov/transcriptome/Anopheles_sialome/links/cluster-b/anopheline-sialome-cds-pep-larger-orf30-50SimCLU6.txt", 6)</f>
        <v>6</v>
      </c>
      <c r="BO440">
        <f>HYPERLINK("http://exon.niaid.nih.gov/transcriptome/Anopheles_sialome/links/cluster-b/anopheline-sialome-cds-pep-larger-orf30-50SimCLTL6.txt", 40)</f>
        <v>40</v>
      </c>
      <c r="BP440">
        <f>HYPERLINK("http://exon.niaid.nih.gov/transcriptome/Anopheles_sialome/links/cluster-b/anopheline-sialome-cds-pep-larger-orf35-50SimCLU7.txt", 7)</f>
        <v>7</v>
      </c>
      <c r="BQ440">
        <f>HYPERLINK("http://exon.niaid.nih.gov/transcriptome/Anopheles_sialome/links/cluster-b/anopheline-sialome-cds-pep-larger-orf35-50SimCLTL7.txt", 40)</f>
        <v>40</v>
      </c>
      <c r="BR440">
        <f>HYPERLINK("http://exon.niaid.nih.gov/transcriptome/Anopheles_sialome/links/cluster-b/anopheline-sialome-cds-pep-larger-orf40-50SimCLU6.txt", 6)</f>
        <v>6</v>
      </c>
      <c r="BS440">
        <f>HYPERLINK("http://exon.niaid.nih.gov/transcriptome/Anopheles_sialome/links/cluster-b/anopheline-sialome-cds-pep-larger-orf40-50SimCLTL6.txt", 39)</f>
        <v>39</v>
      </c>
      <c r="BT440">
        <f>HYPERLINK("http://exon.niaid.nih.gov/transcriptome/Anopheles_sialome/links/cluster-b/anopheline-sialome-cds-pep-larger-orf45-50SimCLU5.txt", 5)</f>
        <v>5</v>
      </c>
      <c r="BU440">
        <f>HYPERLINK("http://exon.niaid.nih.gov/transcriptome/Anopheles_sialome/links/cluster-b/anopheline-sialome-cds-pep-larger-orf45-50SimCLTL5.txt", 39)</f>
        <v>39</v>
      </c>
      <c r="BV440">
        <f>HYPERLINK("http://exon.niaid.nih.gov/transcriptome/Anopheles_sialome/links/cluster-b/anopheline-sialome-cds-pep-larger-orf50-50SimCLU5.txt", 5)</f>
        <v>5</v>
      </c>
      <c r="BW440">
        <f>HYPERLINK("http://exon.niaid.nih.gov/transcriptome/Anopheles_sialome/links/cluster-b/anopheline-sialome-cds-pep-larger-orf50-50SimCLTL5.txt", 39)</f>
        <v>39</v>
      </c>
      <c r="BX440">
        <f>HYPERLINK("http://exon.niaid.nih.gov/transcriptome/Anopheles_sialome/links/cluster-b/anopheline-sialome-cds-pep-larger-orf55-50SimCLU6.txt", 6)</f>
        <v>6</v>
      </c>
      <c r="BY440">
        <f>HYPERLINK("http://exon.niaid.nih.gov/transcriptome/Anopheles_sialome/links/cluster-b/anopheline-sialome-cds-pep-larger-orf55-50SimCLTL6.txt", 36)</f>
        <v>36</v>
      </c>
      <c r="BZ440">
        <f>HYPERLINK("http://exon.niaid.nih.gov/transcriptome/Anopheles_sialome/links/cluster-b/anopheline-sialome-cds-pep-larger-orf60-50SimCLU9.txt", 9)</f>
        <v>9</v>
      </c>
      <c r="CA440">
        <f>HYPERLINK("http://exon.niaid.nih.gov/transcriptome/Anopheles_sialome/links/cluster-b/anopheline-sialome-cds-pep-larger-orf60-50SimCLTL9.txt", 26)</f>
        <v>26</v>
      </c>
      <c r="CB440">
        <f>HYPERLINK("http://exon.niaid.nih.gov/transcriptome/Anopheles_sialome/links/cluster-b/anopheline-sialome-cds-pep-larger-orf65-50SimCLU6.txt", 6)</f>
        <v>6</v>
      </c>
      <c r="CC440">
        <f>HYPERLINK("http://exon.niaid.nih.gov/transcriptome/Anopheles_sialome/links/cluster-b/anopheline-sialome-cds-pep-larger-orf65-50SimCLTL6.txt", 26)</f>
        <v>26</v>
      </c>
      <c r="CD440">
        <f>HYPERLINK("http://exon.niaid.nih.gov/transcriptome/Anopheles_sialome/links/cluster-b/anopheline-sialome-cds-pep-larger-orf70-50SimCLU5.txt", 5)</f>
        <v>5</v>
      </c>
      <c r="CE440">
        <f>HYPERLINK("http://exon.niaid.nih.gov/transcriptome/Anopheles_sialome/links/cluster-b/anopheline-sialome-cds-pep-larger-orf70-50SimCLTL5.txt", 24)</f>
        <v>24</v>
      </c>
      <c r="CF440">
        <v>132</v>
      </c>
      <c r="CG440">
        <v>1</v>
      </c>
      <c r="CH440">
        <v>178</v>
      </c>
      <c r="CI440">
        <v>1</v>
      </c>
      <c r="CJ440">
        <v>227</v>
      </c>
      <c r="CK440">
        <v>1</v>
      </c>
      <c r="CL440">
        <v>275</v>
      </c>
      <c r="CM440">
        <v>1</v>
      </c>
      <c r="CN440">
        <v>306</v>
      </c>
      <c r="CO440">
        <v>1</v>
      </c>
    </row>
    <row r="441" spans="1:93">
      <c r="A441" s="2" t="str">
        <f>HYPERLINK("http://exon.niaid.nih.gov/transcriptome/Anopheles_sialome/links/cds/anomac_hyp37.7-cds.txt","anomac_hyp37.7")</f>
        <v>anomac_hyp37.7</v>
      </c>
      <c r="B441">
        <v>756</v>
      </c>
      <c r="C441" t="s">
        <v>307</v>
      </c>
      <c r="D441" t="s">
        <v>7</v>
      </c>
      <c r="E441" t="s">
        <v>5</v>
      </c>
      <c r="F441" t="s">
        <v>1</v>
      </c>
      <c r="G441" t="str">
        <f>HYPERLINK("http://exon.niaid.nih.gov/transcriptome/Anopheles_sialome/links/pep/anomac_hyp37.7-pep.txt","anomac_hyp37.7")</f>
        <v>anomac_hyp37.7</v>
      </c>
      <c r="H441">
        <v>251</v>
      </c>
      <c r="I441">
        <v>1</v>
      </c>
      <c r="J441" s="3" t="str">
        <f>HYPERLINK("http://exon.niaid.nih.gov/transcriptome/Anopheles_sialome/links/Sigp/anomac_hyp37.7-SigP.txt","SIG")</f>
        <v>SIG</v>
      </c>
      <c r="K441" t="s">
        <v>708</v>
      </c>
      <c r="L441">
        <v>27.841000000000001</v>
      </c>
      <c r="M441">
        <v>8.35</v>
      </c>
      <c r="N441">
        <v>25.544</v>
      </c>
      <c r="O441">
        <v>7.95</v>
      </c>
      <c r="P441" t="s">
        <v>1471</v>
      </c>
      <c r="Q441" s="3" t="str">
        <f>HYPERLINK("http://exon.niaid.nih.gov/transcriptome/Anopheles_sialome/links/tmhmm/anomac_hyp37.7-tmhmm.txt","1")</f>
        <v>1</v>
      </c>
      <c r="R441">
        <v>6.8</v>
      </c>
      <c r="S441">
        <v>90.4</v>
      </c>
      <c r="T441">
        <v>2.8</v>
      </c>
      <c r="U441" t="s">
        <v>128</v>
      </c>
      <c r="V441">
        <v>227</v>
      </c>
      <c r="W441" s="3" t="str">
        <f>HYPERLINK("http://exon.niaid.nih.gov/transcriptome/Anopheles_sialome/links/netoglyc/anomac_hyp37.7-netoglyc.txt","0")</f>
        <v>0</v>
      </c>
      <c r="X441">
        <v>13.9</v>
      </c>
      <c r="Y441">
        <v>8</v>
      </c>
      <c r="Z441">
        <v>1.2</v>
      </c>
      <c r="AA441" t="s">
        <v>654</v>
      </c>
      <c r="AB441" t="s">
        <v>128</v>
      </c>
      <c r="AC441" s="2" t="str">
        <f>HYPERLINK("http://exon.niaid.nih.gov/transcriptome/Anopheles_sialome/links/DIPTERA/anomac_hyp37.7-DIPTERA.txt","AGAP001989-PA")</f>
        <v>AGAP001989-PA</v>
      </c>
      <c r="AD441" t="str">
        <f>HYPERLINK("http://www.ncbi.nlm.nih.gov/sutils/blink.cgi?pid=116115972","1E-083")</f>
        <v>1E-083</v>
      </c>
      <c r="AE441" t="str">
        <f>HYPERLINK("http://www.ncbi.nlm.nih.gov/protein/116115972","gi|116115972")</f>
        <v>gi|116115972</v>
      </c>
      <c r="AF441">
        <v>60</v>
      </c>
      <c r="AG441">
        <v>78</v>
      </c>
      <c r="AH441">
        <v>96</v>
      </c>
      <c r="AI441" t="s">
        <v>2285</v>
      </c>
      <c r="AJ441" s="2" t="str">
        <f>HYPERLINK("http://exon.niaid.nih.gov/transcriptome/Anopheles_sialome/links/CULICOMORPHA/anomac_hyp37.7-CULICOMORPHA.txt","AGAP001989-PA")</f>
        <v>AGAP001989-PA</v>
      </c>
      <c r="AK441" t="str">
        <f>HYPERLINK("http://www.ncbi.nlm.nih.gov/sutils/blink.cgi?pid=116115972","2E-084")</f>
        <v>2E-084</v>
      </c>
      <c r="AL441" t="str">
        <f>HYPERLINK("http://www.ncbi.nlm.nih.gov/protein/116115972","gi|116115972")</f>
        <v>gi|116115972</v>
      </c>
      <c r="AM441">
        <v>60</v>
      </c>
      <c r="AN441">
        <v>78</v>
      </c>
      <c r="AO441">
        <v>96</v>
      </c>
      <c r="AP441" t="s">
        <v>2285</v>
      </c>
      <c r="AQ441" s="2" t="str">
        <f>HYPERLINK("http://exon.niaid.nih.gov/transcriptome/Anopheles_sialome/links/NR-LIGHT/anomac_hyp37.7-NR-LIGHT.txt","AGAP001989-PA")</f>
        <v>AGAP001989-PA</v>
      </c>
      <c r="AR441" t="str">
        <f>HYPERLINK("http://www.ncbi.nlm.nih.gov/sutils/blink.cgi?pid=118793773","3E-083")</f>
        <v>3E-083</v>
      </c>
      <c r="AS441" t="str">
        <f>HYPERLINK("http://www.ncbi.nlm.nih.gov/protein/118793773","gi|118793773")</f>
        <v>gi|118793773</v>
      </c>
      <c r="AT441">
        <v>60</v>
      </c>
      <c r="AU441">
        <v>78</v>
      </c>
      <c r="AV441">
        <v>96</v>
      </c>
      <c r="AW441" t="s">
        <v>2285</v>
      </c>
      <c r="AX441" s="2" t="str">
        <f>HYPERLINK("http://exon.niaid.nih.gov/transcriptome/Anopheles_sialome/links/CDD/anomac_hyp37.7-CDD.txt","PHA00657")</f>
        <v>PHA00657</v>
      </c>
      <c r="AY441" t="str">
        <f>HYPERLINK("http://www.ncbi.nlm.nih.gov/Structure/cdd/cddsrv.cgi?uid=PHA00657&amp;version=v4.0","0.25")</f>
        <v>0.25</v>
      </c>
      <c r="AZ441" t="s">
        <v>2724</v>
      </c>
      <c r="BA441" s="2" t="str">
        <f>HYPERLINK("http://exon.niaid.nih.gov/transcriptome/Anopheles_sialome/links/KOG/anomac_hyp37.7-KOG.txt","26S proteasome regulatory complex, subunit RPN3/PSMD3")</f>
        <v>26S proteasome regulatory complex, subunit RPN3/PSMD3</v>
      </c>
      <c r="BB441" t="str">
        <f>HYPERLINK("http://www.ncbi.nlm.nih.gov/Structure/cdd/cddsrv.cgi?uid=KOG2581","0.072")</f>
        <v>0.072</v>
      </c>
      <c r="BC441" t="s">
        <v>2296</v>
      </c>
      <c r="BD441" t="str">
        <f>HYPERLINK("http://exon.niaid.nih.gov/transcriptome/Anopheles_sialome/links/KOG/anomac_hyp37.7-KOG.txt","KOG2581")</f>
        <v>KOG2581</v>
      </c>
      <c r="BE441" t="str">
        <f>HYPERLINK("http://exon.niaid.nih.gov/transcriptome/Anopheles_sialome/links/PFAM/anomac_hyp37.7-PFAM.txt","COG4")</f>
        <v>COG4</v>
      </c>
      <c r="BF441" t="str">
        <f>HYPERLINK("http://pfam.sanger.ac.uk/family?acc=PF08318","0.65")</f>
        <v>0.65</v>
      </c>
      <c r="BG441" s="2" t="str">
        <f>HYPERLINK("http://exon.niaid.nih.gov/transcriptome/Anopheles_sialome/links/SMART/anomac_hyp37.7-SMART.txt","RIO")</f>
        <v>RIO</v>
      </c>
      <c r="BH441" t="str">
        <f>HYPERLINK("http://smart.embl-heidelberg.de/smart/do_annotation.pl?DOMAIN=RIO&amp;BLAST=DUMMY","0.27")</f>
        <v>0.27</v>
      </c>
      <c r="BI441" t="str">
        <f>HYPERLINK("http://exon.niaid.nih.gov/transcriptome/Anopheles_sialome/links/TICK-BLOCKS/anomac_hyp37.7-TICK-BLOCKS.txt","Hyp37 |Hyp37_stringent_pattern |")</f>
        <v>Hyp37 |Hyp37_stringent_pattern |</v>
      </c>
      <c r="BJ441" s="2" t="s">
        <v>2712</v>
      </c>
      <c r="BK441" t="s">
        <v>1470</v>
      </c>
      <c r="BL441">
        <f>HYPERLINK("http://exon.niaid.nih.gov/transcriptome/Anopheles_sialome/links/cluster-b/anopheline-sialome-cds-pep-larger-orf25-50SimCLU7.txt", 7)</f>
        <v>7</v>
      </c>
      <c r="BM441">
        <f>HYPERLINK("http://exon.niaid.nih.gov/transcriptome/Anopheles_sialome/links/cluster-b/anopheline-sialome-cds-pep-larger-orf25-50SimCLTL7.txt", 40)</f>
        <v>40</v>
      </c>
      <c r="BN441">
        <f>HYPERLINK("http://exon.niaid.nih.gov/transcriptome/Anopheles_sialome/links/cluster-b/anopheline-sialome-cds-pep-larger-orf30-50SimCLU6.txt", 6)</f>
        <v>6</v>
      </c>
      <c r="BO441">
        <f>HYPERLINK("http://exon.niaid.nih.gov/transcriptome/Anopheles_sialome/links/cluster-b/anopheline-sialome-cds-pep-larger-orf30-50SimCLTL6.txt", 40)</f>
        <v>40</v>
      </c>
      <c r="BP441">
        <f>HYPERLINK("http://exon.niaid.nih.gov/transcriptome/Anopheles_sialome/links/cluster-b/anopheline-sialome-cds-pep-larger-orf35-50SimCLU7.txt", 7)</f>
        <v>7</v>
      </c>
      <c r="BQ441">
        <f>HYPERLINK("http://exon.niaid.nih.gov/transcriptome/Anopheles_sialome/links/cluster-b/anopheline-sialome-cds-pep-larger-orf35-50SimCLTL7.txt", 40)</f>
        <v>40</v>
      </c>
      <c r="BR441">
        <f>HYPERLINK("http://exon.niaid.nih.gov/transcriptome/Anopheles_sialome/links/cluster-b/anopheline-sialome-cds-pep-larger-orf40-50SimCLU6.txt", 6)</f>
        <v>6</v>
      </c>
      <c r="BS441">
        <f>HYPERLINK("http://exon.niaid.nih.gov/transcriptome/Anopheles_sialome/links/cluster-b/anopheline-sialome-cds-pep-larger-orf40-50SimCLTL6.txt", 39)</f>
        <v>39</v>
      </c>
      <c r="BT441">
        <f>HYPERLINK("http://exon.niaid.nih.gov/transcriptome/Anopheles_sialome/links/cluster-b/anopheline-sialome-cds-pep-larger-orf45-50SimCLU5.txt", 5)</f>
        <v>5</v>
      </c>
      <c r="BU441">
        <f>HYPERLINK("http://exon.niaid.nih.gov/transcriptome/Anopheles_sialome/links/cluster-b/anopheline-sialome-cds-pep-larger-orf45-50SimCLTL5.txt", 39)</f>
        <v>39</v>
      </c>
      <c r="BV441">
        <f>HYPERLINK("http://exon.niaid.nih.gov/transcriptome/Anopheles_sialome/links/cluster-b/anopheline-sialome-cds-pep-larger-orf50-50SimCLU5.txt", 5)</f>
        <v>5</v>
      </c>
      <c r="BW441">
        <f>HYPERLINK("http://exon.niaid.nih.gov/transcriptome/Anopheles_sialome/links/cluster-b/anopheline-sialome-cds-pep-larger-orf50-50SimCLTL5.txt", 39)</f>
        <v>39</v>
      </c>
      <c r="BX441">
        <f>HYPERLINK("http://exon.niaid.nih.gov/transcriptome/Anopheles_sialome/links/cluster-b/anopheline-sialome-cds-pep-larger-orf55-50SimCLU6.txt", 6)</f>
        <v>6</v>
      </c>
      <c r="BY441">
        <f>HYPERLINK("http://exon.niaid.nih.gov/transcriptome/Anopheles_sialome/links/cluster-b/anopheline-sialome-cds-pep-larger-orf55-50SimCLTL6.txt", 36)</f>
        <v>36</v>
      </c>
      <c r="BZ441">
        <f>HYPERLINK("http://exon.niaid.nih.gov/transcriptome/Anopheles_sialome/links/cluster-b/anopheline-sialome-cds-pep-larger-orf60-50SimCLU9.txt", 9)</f>
        <v>9</v>
      </c>
      <c r="CA441">
        <f>HYPERLINK("http://exon.niaid.nih.gov/transcriptome/Anopheles_sialome/links/cluster-b/anopheline-sialome-cds-pep-larger-orf60-50SimCLTL9.txt", 26)</f>
        <v>26</v>
      </c>
      <c r="CB441">
        <f>HYPERLINK("http://exon.niaid.nih.gov/transcriptome/Anopheles_sialome/links/cluster-b/anopheline-sialome-cds-pep-larger-orf65-50SimCLU6.txt", 6)</f>
        <v>6</v>
      </c>
      <c r="CC441">
        <f>HYPERLINK("http://exon.niaid.nih.gov/transcriptome/Anopheles_sialome/links/cluster-b/anopheline-sialome-cds-pep-larger-orf65-50SimCLTL6.txt", 26)</f>
        <v>26</v>
      </c>
      <c r="CD441">
        <f>HYPERLINK("http://exon.niaid.nih.gov/transcriptome/Anopheles_sialome/links/cluster-b/anopheline-sialome-cds-pep-larger-orf70-50SimCLU5.txt", 5)</f>
        <v>5</v>
      </c>
      <c r="CE441">
        <f>HYPERLINK("http://exon.niaid.nih.gov/transcriptome/Anopheles_sialome/links/cluster-b/anopheline-sialome-cds-pep-larger-orf70-50SimCLTL5.txt", 24)</f>
        <v>24</v>
      </c>
      <c r="CF441">
        <f>HYPERLINK("http://exon.niaid.nih.gov/transcriptome/Anopheles_sialome/links/cluster-b/anopheline-sialome-cds-pep-larger-orf75-50SimCLU20.txt", 20)</f>
        <v>20</v>
      </c>
      <c r="CG441">
        <f>HYPERLINK("http://exon.niaid.nih.gov/transcriptome/Anopheles_sialome/links/cluster-b/anopheline-sialome-cds-pep-larger-orf75-50SimCLTL20.txt", 15)</f>
        <v>15</v>
      </c>
      <c r="CH441">
        <f>HYPERLINK("http://exon.niaid.nih.gov/transcriptome/Anopheles_sialome/links/cluster-b/anopheline-sialome-cds-pep-larger-orf80-50SimCLU25.txt", 25)</f>
        <v>25</v>
      </c>
      <c r="CI441">
        <f>HYPERLINK("http://exon.niaid.nih.gov/transcriptome/Anopheles_sialome/links/cluster-b/anopheline-sialome-cds-pep-larger-orf80-50SimCLTL25.txt", 11)</f>
        <v>11</v>
      </c>
      <c r="CJ441">
        <f>HYPERLINK("http://exon.niaid.nih.gov/transcriptome/Anopheles_sialome/links/cluster-b/anopheline-sialome-cds-pep-larger-orf85-50SimCLU53.txt", 53)</f>
        <v>53</v>
      </c>
      <c r="CK441">
        <f>HYPERLINK("http://exon.niaid.nih.gov/transcriptome/Anopheles_sialome/links/cluster-b/anopheline-sialome-cds-pep-larger-orf85-50SimCLTL53.txt", 4)</f>
        <v>4</v>
      </c>
      <c r="CL441">
        <f>HYPERLINK("http://exon.niaid.nih.gov/transcriptome/Anopheles_sialome/links/cluster-b/anopheline-sialome-cds-pep-larger-orf90-50SimCLU51.txt", 51)</f>
        <v>51</v>
      </c>
      <c r="CM441">
        <f>HYPERLINK("http://exon.niaid.nih.gov/transcriptome/Anopheles_sialome/links/cluster-b/anopheline-sialome-cds-pep-larger-orf90-50SimCLTL51.txt", 4)</f>
        <v>4</v>
      </c>
      <c r="CN441">
        <v>307</v>
      </c>
      <c r="CO441">
        <v>1</v>
      </c>
    </row>
    <row r="442" spans="1:93">
      <c r="A442" s="2" t="str">
        <f>HYPERLINK("http://exon.niaid.nih.gov/transcriptome/Anopheles_sialome/links/cds/anofar_hyp37.7-cds.txt","anofar_hyp37.7")</f>
        <v>anofar_hyp37.7</v>
      </c>
      <c r="B442">
        <v>825</v>
      </c>
      <c r="C442" t="s">
        <v>308</v>
      </c>
      <c r="D442" t="s">
        <v>7</v>
      </c>
      <c r="E442" t="s">
        <v>5</v>
      </c>
      <c r="F442" t="s">
        <v>1</v>
      </c>
      <c r="G442" t="str">
        <f>HYPERLINK("http://exon.niaid.nih.gov/transcriptome/Anopheles_sialome/links/pep/anofar_hyp37.7-pep.txt","anofar_hyp37.7")</f>
        <v>anofar_hyp37.7</v>
      </c>
      <c r="H442">
        <v>274</v>
      </c>
      <c r="I442">
        <v>0</v>
      </c>
      <c r="J442" s="3" t="str">
        <f>HYPERLINK("http://exon.niaid.nih.gov/transcriptome/Anopheles_sialome/links/Sigp/anofar_hyp37.7-SigP.txt","SIG")</f>
        <v>SIG</v>
      </c>
      <c r="K442" t="s">
        <v>695</v>
      </c>
      <c r="L442">
        <v>30.524999999999999</v>
      </c>
      <c r="M442">
        <v>10.51</v>
      </c>
      <c r="N442">
        <v>28.154</v>
      </c>
      <c r="O442">
        <v>10.58</v>
      </c>
      <c r="P442" t="s">
        <v>1473</v>
      </c>
      <c r="Q442" s="3" t="str">
        <f>HYPERLINK("http://exon.niaid.nih.gov/transcriptome/Anopheles_sialome/links/tmhmm/anofar_hyp37.7-tmhmm.txt","1")</f>
        <v>1</v>
      </c>
      <c r="R442">
        <v>6.2</v>
      </c>
      <c r="S442">
        <v>92</v>
      </c>
      <c r="T442">
        <v>1.8</v>
      </c>
      <c r="U442" t="s">
        <v>128</v>
      </c>
      <c r="V442">
        <v>252</v>
      </c>
      <c r="W442" s="3" t="str">
        <f>HYPERLINK("http://exon.niaid.nih.gov/transcriptome/Anopheles_sialome/links/netoglyc/anofar_hyp37.7-netoglyc.txt","0")</f>
        <v>0</v>
      </c>
      <c r="X442">
        <v>12.4</v>
      </c>
      <c r="Y442">
        <v>8.4</v>
      </c>
      <c r="Z442">
        <v>1.1000000000000001</v>
      </c>
      <c r="AA442" t="s">
        <v>654</v>
      </c>
      <c r="AB442" t="s">
        <v>128</v>
      </c>
      <c r="AC442" s="2" t="str">
        <f>HYPERLINK("http://exon.niaid.nih.gov/transcriptome/Anopheles_sialome/links/DIPTERA/anofar_hyp37.7-DIPTERA.txt","AGAP001989-PA-like protein")</f>
        <v>AGAP001989-PA-like protein</v>
      </c>
      <c r="AD442" t="str">
        <f>HYPERLINK("http://www.ncbi.nlm.nih.gov/sutils/blink.cgi?pid=668447653","2E-066")</f>
        <v>2E-066</v>
      </c>
      <c r="AE442" t="str">
        <f>HYPERLINK("http://www.ncbi.nlm.nih.gov/protein/668447653","gi|668447653")</f>
        <v>gi|668447653</v>
      </c>
      <c r="AF442">
        <v>52</v>
      </c>
      <c r="AG442">
        <v>64</v>
      </c>
      <c r="AH442">
        <v>107</v>
      </c>
      <c r="AI442" t="s">
        <v>2277</v>
      </c>
      <c r="AJ442" s="2" t="str">
        <f>HYPERLINK("http://exon.niaid.nih.gov/transcriptome/Anopheles_sialome/links/CULICOMORPHA/anofar_hyp37.7-CULICOMORPHA.txt","AGAP001989-PA-like protein")</f>
        <v>AGAP001989-PA-like protein</v>
      </c>
      <c r="AK442" t="str">
        <f>HYPERLINK("http://www.ncbi.nlm.nih.gov/sutils/blink.cgi?pid=668447653","4E-067")</f>
        <v>4E-067</v>
      </c>
      <c r="AL442" t="str">
        <f>HYPERLINK("http://www.ncbi.nlm.nih.gov/protein/668447653","gi|668447653")</f>
        <v>gi|668447653</v>
      </c>
      <c r="AM442">
        <v>52</v>
      </c>
      <c r="AN442">
        <v>64</v>
      </c>
      <c r="AO442">
        <v>107</v>
      </c>
      <c r="AP442" t="s">
        <v>2277</v>
      </c>
      <c r="AQ442" s="2" t="str">
        <f>HYPERLINK("http://exon.niaid.nih.gov/transcriptome/Anopheles_sialome/links/NR-LIGHT/anofar_hyp37.7-NR-LIGHT.txt","AGAP001989-PA-like protein")</f>
        <v>AGAP001989-PA-like protein</v>
      </c>
      <c r="AR442" t="str">
        <f>HYPERLINK("http://www.ncbi.nlm.nih.gov/sutils/blink.cgi?pid=668447653","6E-066")</f>
        <v>6E-066</v>
      </c>
      <c r="AS442" t="str">
        <f>HYPERLINK("http://www.ncbi.nlm.nih.gov/protein/668447653","gi|668447653")</f>
        <v>gi|668447653</v>
      </c>
      <c r="AT442">
        <v>52</v>
      </c>
      <c r="AU442">
        <v>64</v>
      </c>
      <c r="AV442">
        <v>107</v>
      </c>
      <c r="AW442" t="s">
        <v>2277</v>
      </c>
      <c r="AX442" s="2" t="str">
        <f>HYPERLINK("http://exon.niaid.nih.gov/transcriptome/Anopheles_sialome/links/CDD/anofar_hyp37.7-CDD.txt","FGGY_D-XK_EcXK-")</f>
        <v>FGGY_D-XK_EcXK-</v>
      </c>
      <c r="AY442" t="str">
        <f>HYPERLINK("http://www.ncbi.nlm.nih.gov/Structure/cdd/cddsrv.cgi?uid=cd07808&amp;version=v4.0","0.072")</f>
        <v>0.072</v>
      </c>
      <c r="AZ442" t="s">
        <v>2725</v>
      </c>
      <c r="BA442" s="2" t="str">
        <f>HYPERLINK("http://exon.niaid.nih.gov/transcriptome/Anopheles_sialome/links/KOG/anofar_hyp37.7-KOG.txt","Alpha-macroglobulin")</f>
        <v>Alpha-macroglobulin</v>
      </c>
      <c r="BB442" t="str">
        <f>HYPERLINK("http://www.ncbi.nlm.nih.gov/Structure/cdd/cddsrv.cgi?uid=KOG1366","0.34")</f>
        <v>0.34</v>
      </c>
      <c r="BC442" t="s">
        <v>2296</v>
      </c>
      <c r="BD442" t="str">
        <f>HYPERLINK("http://exon.niaid.nih.gov/transcriptome/Anopheles_sialome/links/KOG/anofar_hyp37.7-KOG.txt","KOG1366")</f>
        <v>KOG1366</v>
      </c>
      <c r="BE442" t="str">
        <f>HYPERLINK("http://exon.niaid.nih.gov/transcriptome/Anopheles_sialome/links/PFAM/anofar_hyp37.7-PFAM.txt","FGGY_N")</f>
        <v>FGGY_N</v>
      </c>
      <c r="BF442" t="str">
        <f>HYPERLINK("http://pfam.sanger.ac.uk/family?acc=PF00370","0.26")</f>
        <v>0.26</v>
      </c>
      <c r="BG442" s="2" t="str">
        <f>HYPERLINK("http://exon.niaid.nih.gov/transcriptome/Anopheles_sialome/links/SMART/anofar_hyp37.7-SMART.txt","PAZ")</f>
        <v>PAZ</v>
      </c>
      <c r="BH442" t="str">
        <f>HYPERLINK("http://smart.embl-heidelberg.de/smart/do_annotation.pl?DOMAIN=PAZ&amp;BLAST=DUMMY","0.35")</f>
        <v>0.35</v>
      </c>
      <c r="BI442" t="str">
        <f>HYPERLINK("http://exon.niaid.nih.gov/transcriptome/Anopheles_sialome/links/TICK-BLOCKS/anofar_hyp37.7-TICK-BLOCKS.txt","Hyp37 |Hyp37_stringent_pattern |")</f>
        <v>Hyp37 |Hyp37_stringent_pattern |</v>
      </c>
      <c r="BJ442" s="2" t="s">
        <v>2712</v>
      </c>
      <c r="BK442" t="s">
        <v>1472</v>
      </c>
      <c r="BL442">
        <f>HYPERLINK("http://exon.niaid.nih.gov/transcriptome/Anopheles_sialome/links/cluster-b/anopheline-sialome-cds-pep-larger-orf25-50SimCLU7.txt", 7)</f>
        <v>7</v>
      </c>
      <c r="BM442">
        <f>HYPERLINK("http://exon.niaid.nih.gov/transcriptome/Anopheles_sialome/links/cluster-b/anopheline-sialome-cds-pep-larger-orf25-50SimCLTL7.txt", 40)</f>
        <v>40</v>
      </c>
      <c r="BN442">
        <f>HYPERLINK("http://exon.niaid.nih.gov/transcriptome/Anopheles_sialome/links/cluster-b/anopheline-sialome-cds-pep-larger-orf30-50SimCLU6.txt", 6)</f>
        <v>6</v>
      </c>
      <c r="BO442">
        <f>HYPERLINK("http://exon.niaid.nih.gov/transcriptome/Anopheles_sialome/links/cluster-b/anopheline-sialome-cds-pep-larger-orf30-50SimCLTL6.txt", 40)</f>
        <v>40</v>
      </c>
      <c r="BP442">
        <f>HYPERLINK("http://exon.niaid.nih.gov/transcriptome/Anopheles_sialome/links/cluster-b/anopheline-sialome-cds-pep-larger-orf35-50SimCLU7.txt", 7)</f>
        <v>7</v>
      </c>
      <c r="BQ442">
        <f>HYPERLINK("http://exon.niaid.nih.gov/transcriptome/Anopheles_sialome/links/cluster-b/anopheline-sialome-cds-pep-larger-orf35-50SimCLTL7.txt", 40)</f>
        <v>40</v>
      </c>
      <c r="BR442">
        <f>HYPERLINK("http://exon.niaid.nih.gov/transcriptome/Anopheles_sialome/links/cluster-b/anopheline-sialome-cds-pep-larger-orf40-50SimCLU6.txt", 6)</f>
        <v>6</v>
      </c>
      <c r="BS442">
        <f>HYPERLINK("http://exon.niaid.nih.gov/transcriptome/Anopheles_sialome/links/cluster-b/anopheline-sialome-cds-pep-larger-orf40-50SimCLTL6.txt", 39)</f>
        <v>39</v>
      </c>
      <c r="BT442">
        <f>HYPERLINK("http://exon.niaid.nih.gov/transcriptome/Anopheles_sialome/links/cluster-b/anopheline-sialome-cds-pep-larger-orf45-50SimCLU5.txt", 5)</f>
        <v>5</v>
      </c>
      <c r="BU442">
        <f>HYPERLINK("http://exon.niaid.nih.gov/transcriptome/Anopheles_sialome/links/cluster-b/anopheline-sialome-cds-pep-larger-orf45-50SimCLTL5.txt", 39)</f>
        <v>39</v>
      </c>
      <c r="BV442">
        <f>HYPERLINK("http://exon.niaid.nih.gov/transcriptome/Anopheles_sialome/links/cluster-b/anopheline-sialome-cds-pep-larger-orf50-50SimCLU5.txt", 5)</f>
        <v>5</v>
      </c>
      <c r="BW442">
        <f>HYPERLINK("http://exon.niaid.nih.gov/transcriptome/Anopheles_sialome/links/cluster-b/anopheline-sialome-cds-pep-larger-orf50-50SimCLTL5.txt", 39)</f>
        <v>39</v>
      </c>
      <c r="BX442">
        <f>HYPERLINK("http://exon.niaid.nih.gov/transcriptome/Anopheles_sialome/links/cluster-b/anopheline-sialome-cds-pep-larger-orf55-50SimCLU6.txt", 6)</f>
        <v>6</v>
      </c>
      <c r="BY442">
        <f>HYPERLINK("http://exon.niaid.nih.gov/transcriptome/Anopheles_sialome/links/cluster-b/anopheline-sialome-cds-pep-larger-orf55-50SimCLTL6.txt", 36)</f>
        <v>36</v>
      </c>
      <c r="BZ442">
        <f>HYPERLINK("http://exon.niaid.nih.gov/transcriptome/Anopheles_sialome/links/cluster-b/anopheline-sialome-cds-pep-larger-orf60-50SimCLU9.txt", 9)</f>
        <v>9</v>
      </c>
      <c r="CA442">
        <f>HYPERLINK("http://exon.niaid.nih.gov/transcriptome/Anopheles_sialome/links/cluster-b/anopheline-sialome-cds-pep-larger-orf60-50SimCLTL9.txt", 26)</f>
        <v>26</v>
      </c>
      <c r="CB442">
        <f>HYPERLINK("http://exon.niaid.nih.gov/transcriptome/Anopheles_sialome/links/cluster-b/anopheline-sialome-cds-pep-larger-orf65-50SimCLU6.txt", 6)</f>
        <v>6</v>
      </c>
      <c r="CC442">
        <f>HYPERLINK("http://exon.niaid.nih.gov/transcriptome/Anopheles_sialome/links/cluster-b/anopheline-sialome-cds-pep-larger-orf65-50SimCLTL6.txt", 26)</f>
        <v>26</v>
      </c>
      <c r="CD442">
        <f>HYPERLINK("http://exon.niaid.nih.gov/transcriptome/Anopheles_sialome/links/cluster-b/anopheline-sialome-cds-pep-larger-orf70-50SimCLU55.txt", 55)</f>
        <v>55</v>
      </c>
      <c r="CE442">
        <f>HYPERLINK("http://exon.niaid.nih.gov/transcriptome/Anopheles_sialome/links/cluster-b/anopheline-sialome-cds-pep-larger-orf70-50SimCLTL55.txt", 2)</f>
        <v>2</v>
      </c>
      <c r="CF442">
        <f>HYPERLINK("http://exon.niaid.nih.gov/transcriptome/Anopheles_sialome/links/cluster-b/anopheline-sialome-cds-pep-larger-orf75-50SimCLU71.txt", 71)</f>
        <v>71</v>
      </c>
      <c r="CG442">
        <f>HYPERLINK("http://exon.niaid.nih.gov/transcriptome/Anopheles_sialome/links/cluster-b/anopheline-sialome-cds-pep-larger-orf75-50SimCLTL71.txt", 2)</f>
        <v>2</v>
      </c>
      <c r="CH442">
        <f>HYPERLINK("http://exon.niaid.nih.gov/transcriptome/Anopheles_sialome/links/cluster-b/anopheline-sialome-cds-pep-larger-orf80-50SimCLU84.txt", 84)</f>
        <v>84</v>
      </c>
      <c r="CI442">
        <f>HYPERLINK("http://exon.niaid.nih.gov/transcriptome/Anopheles_sialome/links/cluster-b/anopheline-sialome-cds-pep-larger-orf80-50SimCLTL84.txt", 2)</f>
        <v>2</v>
      </c>
      <c r="CJ442">
        <v>228</v>
      </c>
      <c r="CK442">
        <v>1</v>
      </c>
      <c r="CL442">
        <v>276</v>
      </c>
      <c r="CM442">
        <v>1</v>
      </c>
      <c r="CN442">
        <v>308</v>
      </c>
      <c r="CO442">
        <v>1</v>
      </c>
    </row>
    <row r="443" spans="1:93">
      <c r="A443" s="2" t="str">
        <f>HYPERLINK("http://exon.niaid.nih.gov/transcriptome/Anopheles_sialome/links/cds/anodir_hyp37.7-cds.txt","anodir_hyp37.7")</f>
        <v>anodir_hyp37.7</v>
      </c>
      <c r="B443">
        <v>819</v>
      </c>
      <c r="C443" t="s">
        <v>309</v>
      </c>
      <c r="D443" t="s">
        <v>7</v>
      </c>
      <c r="E443" t="s">
        <v>5</v>
      </c>
      <c r="F443" t="s">
        <v>1</v>
      </c>
      <c r="G443" t="str">
        <f>HYPERLINK("http://exon.niaid.nih.gov/transcriptome/Anopheles_sialome/links/pep/anodir_hyp37.7-pep.txt","anodir_hyp37.7")</f>
        <v>anodir_hyp37.7</v>
      </c>
      <c r="H443">
        <v>272</v>
      </c>
      <c r="I443">
        <v>3</v>
      </c>
      <c r="J443" s="3" t="str">
        <f>HYPERLINK("http://exon.niaid.nih.gov/transcriptome/Anopheles_sialome/links/Sigp/anodir_hyp37.7-SigP.txt","SIG")</f>
        <v>SIG</v>
      </c>
      <c r="K443" t="s">
        <v>692</v>
      </c>
      <c r="L443">
        <v>30.196000000000002</v>
      </c>
      <c r="M443">
        <v>10.029999999999999</v>
      </c>
      <c r="N443">
        <v>28.035</v>
      </c>
      <c r="O443">
        <v>10.130000000000001</v>
      </c>
      <c r="P443" t="s">
        <v>1475</v>
      </c>
      <c r="Q443" s="3">
        <v>0</v>
      </c>
      <c r="R443" t="s">
        <v>128</v>
      </c>
      <c r="S443" t="s">
        <v>128</v>
      </c>
      <c r="T443" t="s">
        <v>128</v>
      </c>
      <c r="U443" t="s">
        <v>128</v>
      </c>
      <c r="V443" t="s">
        <v>128</v>
      </c>
      <c r="W443" s="3" t="str">
        <f>HYPERLINK("http://exon.niaid.nih.gov/transcriptome/Anopheles_sialome/links/netoglyc/anodir_hyp37.7-netoglyc.txt","0")</f>
        <v>0</v>
      </c>
      <c r="X443">
        <v>12.5</v>
      </c>
      <c r="Y443">
        <v>7.4</v>
      </c>
      <c r="Z443">
        <v>3.7</v>
      </c>
      <c r="AA443" t="s">
        <v>654</v>
      </c>
      <c r="AB443" t="s">
        <v>128</v>
      </c>
      <c r="AC443" s="2" t="str">
        <f>HYPERLINK("http://exon.niaid.nih.gov/transcriptome/Anopheles_sialome/links/DIPTERA/anodir_hyp37.7-DIPTERA.txt","AGAP001989-PA-like protein")</f>
        <v>AGAP001989-PA-like protein</v>
      </c>
      <c r="AD443" t="str">
        <f>HYPERLINK("http://www.ncbi.nlm.nih.gov/sutils/blink.cgi?pid=668447653","5E-070")</f>
        <v>5E-070</v>
      </c>
      <c r="AE443" t="str">
        <f>HYPERLINK("http://www.ncbi.nlm.nih.gov/protein/668447653","gi|668447653")</f>
        <v>gi|668447653</v>
      </c>
      <c r="AF443">
        <v>52</v>
      </c>
      <c r="AG443">
        <v>64</v>
      </c>
      <c r="AH443">
        <v>105</v>
      </c>
      <c r="AI443" t="s">
        <v>2277</v>
      </c>
      <c r="AJ443" s="2" t="str">
        <f>HYPERLINK("http://exon.niaid.nih.gov/transcriptome/Anopheles_sialome/links/CULICOMORPHA/anodir_hyp37.7-CULICOMORPHA.txt","AGAP001989-PA-like protein")</f>
        <v>AGAP001989-PA-like protein</v>
      </c>
      <c r="AK443" t="str">
        <f>HYPERLINK("http://www.ncbi.nlm.nih.gov/sutils/blink.cgi?pid=668447653","8E-071")</f>
        <v>8E-071</v>
      </c>
      <c r="AL443" t="str">
        <f>HYPERLINK("http://www.ncbi.nlm.nih.gov/protein/668447653","gi|668447653")</f>
        <v>gi|668447653</v>
      </c>
      <c r="AM443">
        <v>52</v>
      </c>
      <c r="AN443">
        <v>64</v>
      </c>
      <c r="AO443">
        <v>105</v>
      </c>
      <c r="AP443" t="s">
        <v>2277</v>
      </c>
      <c r="AQ443" s="2" t="str">
        <f>HYPERLINK("http://exon.niaid.nih.gov/transcriptome/Anopheles_sialome/links/NR-LIGHT/anodir_hyp37.7-NR-LIGHT.txt","AGAP001989-PA-like protein")</f>
        <v>AGAP001989-PA-like protein</v>
      </c>
      <c r="AR443" t="str">
        <f>HYPERLINK("http://www.ncbi.nlm.nih.gov/sutils/blink.cgi?pid=668447653","1E-069")</f>
        <v>1E-069</v>
      </c>
      <c r="AS443" t="str">
        <f>HYPERLINK("http://www.ncbi.nlm.nih.gov/protein/668447653","gi|668447653")</f>
        <v>gi|668447653</v>
      </c>
      <c r="AT443">
        <v>52</v>
      </c>
      <c r="AU443">
        <v>64</v>
      </c>
      <c r="AV443">
        <v>105</v>
      </c>
      <c r="AW443" t="s">
        <v>2277</v>
      </c>
      <c r="AX443" s="2" t="str">
        <f>HYPERLINK("http://exon.niaid.nih.gov/transcriptome/Anopheles_sialome/links/CDD/anodir_hyp37.7-CDD.txt","ND3")</f>
        <v>ND3</v>
      </c>
      <c r="AY443" t="str">
        <f>HYPERLINK("http://www.ncbi.nlm.nih.gov/Structure/cdd/cddsrv.cgi?uid=MTH00030&amp;version=v4.0","0.40")</f>
        <v>0.40</v>
      </c>
      <c r="AZ443" t="s">
        <v>2726</v>
      </c>
      <c r="BA443" s="2" t="str">
        <f>HYPERLINK("http://exon.niaid.nih.gov/transcriptome/Anopheles_sialome/links/KOG/anodir_hyp37.7-KOG.txt","WD40 repeat protein")</f>
        <v>WD40 repeat protein</v>
      </c>
      <c r="BB443" t="str">
        <f>HYPERLINK("http://www.ncbi.nlm.nih.gov/Structure/cdd/cddsrv.cgi?uid=KOG0641","0.14")</f>
        <v>0.14</v>
      </c>
      <c r="BC443" t="s">
        <v>2310</v>
      </c>
      <c r="BD443" t="str">
        <f>HYPERLINK("http://exon.niaid.nih.gov/transcriptome/Anopheles_sialome/links/KOG/anodir_hyp37.7-KOG.txt","KOG0641")</f>
        <v>KOG0641</v>
      </c>
      <c r="BE443" t="str">
        <f>HYPERLINK("http://exon.niaid.nih.gov/transcriptome/Anopheles_sialome/links/PFAM/anodir_hyp37.7-PFAM.txt","Tagatose_6_P_K")</f>
        <v>Tagatose_6_P_K</v>
      </c>
      <c r="BF443" t="str">
        <f>HYPERLINK("http://pfam.sanger.ac.uk/family?acc=PF08013","0.47")</f>
        <v>0.47</v>
      </c>
      <c r="BG443" s="2" t="str">
        <f>HYPERLINK("http://exon.niaid.nih.gov/transcriptome/Anopheles_sialome/links/SMART/anodir_hyp37.7-SMART.txt","PAZ")</f>
        <v>PAZ</v>
      </c>
      <c r="BH443" t="str">
        <f>HYPERLINK("http://smart.embl-heidelberg.de/smart/do_annotation.pl?DOMAIN=PAZ&amp;BLAST=DUMMY","1.7")</f>
        <v>1.7</v>
      </c>
      <c r="BI443" t="str">
        <f>HYPERLINK("http://exon.niaid.nih.gov/transcriptome/Anopheles_sialome/links/TICK-BLOCKS/anodir_hyp37.7-TICK-BLOCKS.txt","Hyp37 |Hyp37_stringent_pattern |")</f>
        <v>Hyp37 |Hyp37_stringent_pattern |</v>
      </c>
      <c r="BJ443" s="2" t="s">
        <v>2712</v>
      </c>
      <c r="BK443" t="s">
        <v>1474</v>
      </c>
      <c r="BL443">
        <f>HYPERLINK("http://exon.niaid.nih.gov/transcriptome/Anopheles_sialome/links/cluster-b/anopheline-sialome-cds-pep-larger-orf25-50SimCLU7.txt", 7)</f>
        <v>7</v>
      </c>
      <c r="BM443">
        <f>HYPERLINK("http://exon.niaid.nih.gov/transcriptome/Anopheles_sialome/links/cluster-b/anopheline-sialome-cds-pep-larger-orf25-50SimCLTL7.txt", 40)</f>
        <v>40</v>
      </c>
      <c r="BN443">
        <f>HYPERLINK("http://exon.niaid.nih.gov/transcriptome/Anopheles_sialome/links/cluster-b/anopheline-sialome-cds-pep-larger-orf30-50SimCLU6.txt", 6)</f>
        <v>6</v>
      </c>
      <c r="BO443">
        <f>HYPERLINK("http://exon.niaid.nih.gov/transcriptome/Anopheles_sialome/links/cluster-b/anopheline-sialome-cds-pep-larger-orf30-50SimCLTL6.txt", 40)</f>
        <v>40</v>
      </c>
      <c r="BP443">
        <f>HYPERLINK("http://exon.niaid.nih.gov/transcriptome/Anopheles_sialome/links/cluster-b/anopheline-sialome-cds-pep-larger-orf35-50SimCLU7.txt", 7)</f>
        <v>7</v>
      </c>
      <c r="BQ443">
        <f>HYPERLINK("http://exon.niaid.nih.gov/transcriptome/Anopheles_sialome/links/cluster-b/anopheline-sialome-cds-pep-larger-orf35-50SimCLTL7.txt", 40)</f>
        <v>40</v>
      </c>
      <c r="BR443">
        <f>HYPERLINK("http://exon.niaid.nih.gov/transcriptome/Anopheles_sialome/links/cluster-b/anopheline-sialome-cds-pep-larger-orf40-50SimCLU6.txt", 6)</f>
        <v>6</v>
      </c>
      <c r="BS443">
        <f>HYPERLINK("http://exon.niaid.nih.gov/transcriptome/Anopheles_sialome/links/cluster-b/anopheline-sialome-cds-pep-larger-orf40-50SimCLTL6.txt", 39)</f>
        <v>39</v>
      </c>
      <c r="BT443">
        <f>HYPERLINK("http://exon.niaid.nih.gov/transcriptome/Anopheles_sialome/links/cluster-b/anopheline-sialome-cds-pep-larger-orf45-50SimCLU5.txt", 5)</f>
        <v>5</v>
      </c>
      <c r="BU443">
        <f>HYPERLINK("http://exon.niaid.nih.gov/transcriptome/Anopheles_sialome/links/cluster-b/anopheline-sialome-cds-pep-larger-orf45-50SimCLTL5.txt", 39)</f>
        <v>39</v>
      </c>
      <c r="BV443">
        <f>HYPERLINK("http://exon.niaid.nih.gov/transcriptome/Anopheles_sialome/links/cluster-b/anopheline-sialome-cds-pep-larger-orf50-50SimCLU5.txt", 5)</f>
        <v>5</v>
      </c>
      <c r="BW443">
        <f>HYPERLINK("http://exon.niaid.nih.gov/transcriptome/Anopheles_sialome/links/cluster-b/anopheline-sialome-cds-pep-larger-orf50-50SimCLTL5.txt", 39)</f>
        <v>39</v>
      </c>
      <c r="BX443">
        <f>HYPERLINK("http://exon.niaid.nih.gov/transcriptome/Anopheles_sialome/links/cluster-b/anopheline-sialome-cds-pep-larger-orf55-50SimCLU6.txt", 6)</f>
        <v>6</v>
      </c>
      <c r="BY443">
        <f>HYPERLINK("http://exon.niaid.nih.gov/transcriptome/Anopheles_sialome/links/cluster-b/anopheline-sialome-cds-pep-larger-orf55-50SimCLTL6.txt", 36)</f>
        <v>36</v>
      </c>
      <c r="BZ443">
        <f>HYPERLINK("http://exon.niaid.nih.gov/transcriptome/Anopheles_sialome/links/cluster-b/anopheline-sialome-cds-pep-larger-orf60-50SimCLU9.txt", 9)</f>
        <v>9</v>
      </c>
      <c r="CA443">
        <f>HYPERLINK("http://exon.niaid.nih.gov/transcriptome/Anopheles_sialome/links/cluster-b/anopheline-sialome-cds-pep-larger-orf60-50SimCLTL9.txt", 26)</f>
        <v>26</v>
      </c>
      <c r="CB443">
        <f>HYPERLINK("http://exon.niaid.nih.gov/transcriptome/Anopheles_sialome/links/cluster-b/anopheline-sialome-cds-pep-larger-orf65-50SimCLU6.txt", 6)</f>
        <v>6</v>
      </c>
      <c r="CC443">
        <f>HYPERLINK("http://exon.niaid.nih.gov/transcriptome/Anopheles_sialome/links/cluster-b/anopheline-sialome-cds-pep-larger-orf65-50SimCLTL6.txt", 26)</f>
        <v>26</v>
      </c>
      <c r="CD443">
        <f>HYPERLINK("http://exon.niaid.nih.gov/transcriptome/Anopheles_sialome/links/cluster-b/anopheline-sialome-cds-pep-larger-orf70-50SimCLU55.txt", 55)</f>
        <v>55</v>
      </c>
      <c r="CE443">
        <f>HYPERLINK("http://exon.niaid.nih.gov/transcriptome/Anopheles_sialome/links/cluster-b/anopheline-sialome-cds-pep-larger-orf70-50SimCLTL55.txt", 2)</f>
        <v>2</v>
      </c>
      <c r="CF443">
        <f>HYPERLINK("http://exon.niaid.nih.gov/transcriptome/Anopheles_sialome/links/cluster-b/anopheline-sialome-cds-pep-larger-orf75-50SimCLU71.txt", 71)</f>
        <v>71</v>
      </c>
      <c r="CG443">
        <f>HYPERLINK("http://exon.niaid.nih.gov/transcriptome/Anopheles_sialome/links/cluster-b/anopheline-sialome-cds-pep-larger-orf75-50SimCLTL71.txt", 2)</f>
        <v>2</v>
      </c>
      <c r="CH443">
        <f>HYPERLINK("http://exon.niaid.nih.gov/transcriptome/Anopheles_sialome/links/cluster-b/anopheline-sialome-cds-pep-larger-orf80-50SimCLU84.txt", 84)</f>
        <v>84</v>
      </c>
      <c r="CI443">
        <f>HYPERLINK("http://exon.niaid.nih.gov/transcriptome/Anopheles_sialome/links/cluster-b/anopheline-sialome-cds-pep-larger-orf80-50SimCLTL84.txt", 2)</f>
        <v>2</v>
      </c>
      <c r="CJ443">
        <v>229</v>
      </c>
      <c r="CK443">
        <v>1</v>
      </c>
      <c r="CL443">
        <v>277</v>
      </c>
      <c r="CM443">
        <v>1</v>
      </c>
      <c r="CN443">
        <v>309</v>
      </c>
      <c r="CO443">
        <v>1</v>
      </c>
    </row>
    <row r="444" spans="1:93">
      <c r="A444" s="2" t="str">
        <f>HYPERLINK("http://exon.niaid.nih.gov/transcriptome/Anopheles_sialome/links/cds/anoatro_hyp37.7-cds.txt","anoatro_hyp37.7")</f>
        <v>anoatro_hyp37.7</v>
      </c>
      <c r="B444">
        <v>765</v>
      </c>
      <c r="C444" t="s">
        <v>310</v>
      </c>
      <c r="D444" t="s">
        <v>7</v>
      </c>
      <c r="E444" t="s">
        <v>5</v>
      </c>
      <c r="F444" t="s">
        <v>1</v>
      </c>
      <c r="G444" t="str">
        <f>HYPERLINK("http://exon.niaid.nih.gov/transcriptome/Anopheles_sialome/links/pep/anoatro_hyp37.7-pep.txt","anoatro_hyp37.7")</f>
        <v>anoatro_hyp37.7</v>
      </c>
      <c r="H444">
        <v>254</v>
      </c>
      <c r="I444">
        <v>0</v>
      </c>
      <c r="J444" s="3" t="str">
        <f>HYPERLINK("http://exon.niaid.nih.gov/transcriptome/Anopheles_sialome/links/Sigp/anoatro_hyp37.7-SigP.txt","SIG")</f>
        <v>SIG</v>
      </c>
      <c r="K444" t="s">
        <v>787</v>
      </c>
      <c r="L444">
        <v>28.167000000000002</v>
      </c>
      <c r="M444">
        <v>9.26</v>
      </c>
      <c r="N444">
        <v>25.611999999999998</v>
      </c>
      <c r="O444">
        <v>9.15</v>
      </c>
      <c r="P444" t="s">
        <v>1477</v>
      </c>
      <c r="Q444" s="3">
        <v>0</v>
      </c>
      <c r="R444" t="s">
        <v>128</v>
      </c>
      <c r="S444" t="s">
        <v>128</v>
      </c>
      <c r="T444" t="s">
        <v>128</v>
      </c>
      <c r="U444" t="s">
        <v>128</v>
      </c>
      <c r="V444" t="s">
        <v>128</v>
      </c>
      <c r="W444" s="3" t="str">
        <f>HYPERLINK("http://exon.niaid.nih.gov/transcriptome/Anopheles_sialome/links/netoglyc/anoatro_hyp37.7-netoglyc.txt","0")</f>
        <v>0</v>
      </c>
      <c r="X444">
        <v>11</v>
      </c>
      <c r="Y444">
        <v>8.6999999999999993</v>
      </c>
      <c r="Z444">
        <v>0.8</v>
      </c>
      <c r="AA444" t="s">
        <v>654</v>
      </c>
      <c r="AB444" t="s">
        <v>128</v>
      </c>
      <c r="AC444" s="2" t="str">
        <f>HYPERLINK("http://exon.niaid.nih.gov/transcriptome/Anopheles_sialome/links/DIPTERA/anoatro_hyp37.7-DIPTERA.txt","AGAP001989-PA-like protein")</f>
        <v>AGAP001989-PA-like protein</v>
      </c>
      <c r="AD444" t="str">
        <f>HYPERLINK("http://www.ncbi.nlm.nih.gov/sutils/blink.cgi?pid=668447653","1E-111")</f>
        <v>1E-111</v>
      </c>
      <c r="AE444" t="str">
        <f>HYPERLINK("http://www.ncbi.nlm.nih.gov/protein/668447653","gi|668447653")</f>
        <v>gi|668447653</v>
      </c>
      <c r="AF444">
        <v>79</v>
      </c>
      <c r="AG444">
        <v>88</v>
      </c>
      <c r="AH444">
        <v>100</v>
      </c>
      <c r="AI444" t="s">
        <v>2277</v>
      </c>
      <c r="AJ444" s="2" t="str">
        <f>HYPERLINK("http://exon.niaid.nih.gov/transcriptome/Anopheles_sialome/links/CULICOMORPHA/anoatro_hyp37.7-CULICOMORPHA.txt","AGAP001989-PA-like protein")</f>
        <v>AGAP001989-PA-like protein</v>
      </c>
      <c r="AK444" t="str">
        <f>HYPERLINK("http://www.ncbi.nlm.nih.gov/sutils/blink.cgi?pid=668447653","1E-112")</f>
        <v>1E-112</v>
      </c>
      <c r="AL444" t="str">
        <f>HYPERLINK("http://www.ncbi.nlm.nih.gov/protein/668447653","gi|668447653")</f>
        <v>gi|668447653</v>
      </c>
      <c r="AM444">
        <v>79</v>
      </c>
      <c r="AN444">
        <v>88</v>
      </c>
      <c r="AO444">
        <v>100</v>
      </c>
      <c r="AP444" t="s">
        <v>2277</v>
      </c>
      <c r="AQ444" s="2" t="str">
        <f>HYPERLINK("http://exon.niaid.nih.gov/transcriptome/Anopheles_sialome/links/NR-LIGHT/anoatro_hyp37.7-NR-LIGHT.txt","AGAP001989-PA-like protein")</f>
        <v>AGAP001989-PA-like protein</v>
      </c>
      <c r="AR444" t="str">
        <f>HYPERLINK("http://www.ncbi.nlm.nih.gov/sutils/blink.cgi?pid=668447653","1E-111")</f>
        <v>1E-111</v>
      </c>
      <c r="AS444" t="str">
        <f>HYPERLINK("http://www.ncbi.nlm.nih.gov/protein/668447653","gi|668447653")</f>
        <v>gi|668447653</v>
      </c>
      <c r="AT444">
        <v>79</v>
      </c>
      <c r="AU444">
        <v>88</v>
      </c>
      <c r="AV444">
        <v>100</v>
      </c>
      <c r="AW444" t="s">
        <v>2277</v>
      </c>
      <c r="AX444" s="2" t="str">
        <f>HYPERLINK("http://exon.niaid.nih.gov/transcriptome/Anopheles_sialome/links/CDD/anoatro_hyp37.7-CDD.txt","RDV-p3")</f>
        <v>RDV-p3</v>
      </c>
      <c r="AY444" t="str">
        <f>HYPERLINK("http://www.ncbi.nlm.nih.gov/Structure/cdd/cddsrv.cgi?uid=pfam09231&amp;version=v4.0","0.42")</f>
        <v>0.42</v>
      </c>
      <c r="AZ444" t="s">
        <v>2727</v>
      </c>
      <c r="BA444" s="2" t="str">
        <f>HYPERLINK("http://exon.niaid.nih.gov/transcriptome/Anopheles_sialome/links/KOG/anoatro_hyp37.7-KOG.txt","Pyrophosphate-dependent phosphofructo-1-kinase")</f>
        <v>Pyrophosphate-dependent phosphofructo-1-kinase</v>
      </c>
      <c r="BB444" t="str">
        <f>HYPERLINK("http://www.ncbi.nlm.nih.gov/Structure/cdd/cddsrv.cgi?uid=KOG2440","0.046")</f>
        <v>0.046</v>
      </c>
      <c r="BC444" t="s">
        <v>2308</v>
      </c>
      <c r="BD444" t="str">
        <f>HYPERLINK("http://exon.niaid.nih.gov/transcriptome/Anopheles_sialome/links/KOG/anoatro_hyp37.7-KOG.txt","KOG2440")</f>
        <v>KOG2440</v>
      </c>
      <c r="BE444" t="str">
        <f>HYPERLINK("http://exon.niaid.nih.gov/transcriptome/Anopheles_sialome/links/PFAM/anoatro_hyp37.7-PFAM.txt","RDV-p3")</f>
        <v>RDV-p3</v>
      </c>
      <c r="BF444" t="str">
        <f>HYPERLINK("http://pfam.sanger.ac.uk/family?acc=PF09231","0.085")</f>
        <v>0.085</v>
      </c>
      <c r="BG444" s="2" t="str">
        <f>HYPERLINK("http://exon.niaid.nih.gov/transcriptome/Anopheles_sialome/links/SMART/anoatro_hyp37.7-SMART.txt","LytTR")</f>
        <v>LytTR</v>
      </c>
      <c r="BH444" t="str">
        <f>HYPERLINK("http://smart.embl-heidelberg.de/smart/do_annotation.pl?DOMAIN=LytTR&amp;BLAST=DUMMY","0.79")</f>
        <v>0.79</v>
      </c>
      <c r="BI444" t="str">
        <f>HYPERLINK("http://exon.niaid.nih.gov/transcriptome/Anopheles_sialome/links/TICK-BLOCKS/anoatro_hyp37.7-TICK-BLOCKS.txt","Hyp37 |Hyp37_stringent_pattern |")</f>
        <v>Hyp37 |Hyp37_stringent_pattern |</v>
      </c>
      <c r="BJ444" s="2" t="s">
        <v>2712</v>
      </c>
      <c r="BK444" t="s">
        <v>1476</v>
      </c>
      <c r="BL444">
        <f>HYPERLINK("http://exon.niaid.nih.gov/transcriptome/Anopheles_sialome/links/cluster-b/anopheline-sialome-cds-pep-larger-orf25-50SimCLU7.txt", 7)</f>
        <v>7</v>
      </c>
      <c r="BM444">
        <f>HYPERLINK("http://exon.niaid.nih.gov/transcriptome/Anopheles_sialome/links/cluster-b/anopheline-sialome-cds-pep-larger-orf25-50SimCLTL7.txt", 40)</f>
        <v>40</v>
      </c>
      <c r="BN444">
        <f>HYPERLINK("http://exon.niaid.nih.gov/transcriptome/Anopheles_sialome/links/cluster-b/anopheline-sialome-cds-pep-larger-orf30-50SimCLU6.txt", 6)</f>
        <v>6</v>
      </c>
      <c r="BO444">
        <f>HYPERLINK("http://exon.niaid.nih.gov/transcriptome/Anopheles_sialome/links/cluster-b/anopheline-sialome-cds-pep-larger-orf30-50SimCLTL6.txt", 40)</f>
        <v>40</v>
      </c>
      <c r="BP444">
        <f>HYPERLINK("http://exon.niaid.nih.gov/transcriptome/Anopheles_sialome/links/cluster-b/anopheline-sialome-cds-pep-larger-orf35-50SimCLU7.txt", 7)</f>
        <v>7</v>
      </c>
      <c r="BQ444">
        <f>HYPERLINK("http://exon.niaid.nih.gov/transcriptome/Anopheles_sialome/links/cluster-b/anopheline-sialome-cds-pep-larger-orf35-50SimCLTL7.txt", 40)</f>
        <v>40</v>
      </c>
      <c r="BR444">
        <f>HYPERLINK("http://exon.niaid.nih.gov/transcriptome/Anopheles_sialome/links/cluster-b/anopheline-sialome-cds-pep-larger-orf40-50SimCLU6.txt", 6)</f>
        <v>6</v>
      </c>
      <c r="BS444">
        <f>HYPERLINK("http://exon.niaid.nih.gov/transcriptome/Anopheles_sialome/links/cluster-b/anopheline-sialome-cds-pep-larger-orf40-50SimCLTL6.txt", 39)</f>
        <v>39</v>
      </c>
      <c r="BT444">
        <f>HYPERLINK("http://exon.niaid.nih.gov/transcriptome/Anopheles_sialome/links/cluster-b/anopheline-sialome-cds-pep-larger-orf45-50SimCLU5.txt", 5)</f>
        <v>5</v>
      </c>
      <c r="BU444">
        <f>HYPERLINK("http://exon.niaid.nih.gov/transcriptome/Anopheles_sialome/links/cluster-b/anopheline-sialome-cds-pep-larger-orf45-50SimCLTL5.txt", 39)</f>
        <v>39</v>
      </c>
      <c r="BV444">
        <f>HYPERLINK("http://exon.niaid.nih.gov/transcriptome/Anopheles_sialome/links/cluster-b/anopheline-sialome-cds-pep-larger-orf50-50SimCLU5.txt", 5)</f>
        <v>5</v>
      </c>
      <c r="BW444">
        <f>HYPERLINK("http://exon.niaid.nih.gov/transcriptome/Anopheles_sialome/links/cluster-b/anopheline-sialome-cds-pep-larger-orf50-50SimCLTL5.txt", 39)</f>
        <v>39</v>
      </c>
      <c r="BX444">
        <f>HYPERLINK("http://exon.niaid.nih.gov/transcriptome/Anopheles_sialome/links/cluster-b/anopheline-sialome-cds-pep-larger-orf55-50SimCLU6.txt", 6)</f>
        <v>6</v>
      </c>
      <c r="BY444">
        <f>HYPERLINK("http://exon.niaid.nih.gov/transcriptome/Anopheles_sialome/links/cluster-b/anopheline-sialome-cds-pep-larger-orf55-50SimCLTL6.txt", 36)</f>
        <v>36</v>
      </c>
      <c r="BZ444">
        <f>HYPERLINK("http://exon.niaid.nih.gov/transcriptome/Anopheles_sialome/links/cluster-b/anopheline-sialome-cds-pep-larger-orf60-50SimCLU9.txt", 9)</f>
        <v>9</v>
      </c>
      <c r="CA444">
        <f>HYPERLINK("http://exon.niaid.nih.gov/transcriptome/Anopheles_sialome/links/cluster-b/anopheline-sialome-cds-pep-larger-orf60-50SimCLTL9.txt", 26)</f>
        <v>26</v>
      </c>
      <c r="CB444">
        <f>HYPERLINK("http://exon.niaid.nih.gov/transcriptome/Anopheles_sialome/links/cluster-b/anopheline-sialome-cds-pep-larger-orf65-50SimCLU6.txt", 6)</f>
        <v>6</v>
      </c>
      <c r="CC444">
        <f>HYPERLINK("http://exon.niaid.nih.gov/transcriptome/Anopheles_sialome/links/cluster-b/anopheline-sialome-cds-pep-larger-orf65-50SimCLTL6.txt", 26)</f>
        <v>26</v>
      </c>
      <c r="CD444">
        <f>HYPERLINK("http://exon.niaid.nih.gov/transcriptome/Anopheles_sialome/links/cluster-b/anopheline-sialome-cds-pep-larger-orf70-50SimCLU5.txt", 5)</f>
        <v>5</v>
      </c>
      <c r="CE444">
        <f>HYPERLINK("http://exon.niaid.nih.gov/transcriptome/Anopheles_sialome/links/cluster-b/anopheline-sialome-cds-pep-larger-orf70-50SimCLTL5.txt", 24)</f>
        <v>24</v>
      </c>
      <c r="CF444">
        <f>HYPERLINK("http://exon.niaid.nih.gov/transcriptome/Anopheles_sialome/links/cluster-b/anopheline-sialome-cds-pep-larger-orf75-50SimCLU72.txt", 72)</f>
        <v>72</v>
      </c>
      <c r="CG444">
        <f>HYPERLINK("http://exon.niaid.nih.gov/transcriptome/Anopheles_sialome/links/cluster-b/anopheline-sialome-cds-pep-larger-orf75-50SimCLTL72.txt", 2)</f>
        <v>2</v>
      </c>
      <c r="CH444">
        <f>HYPERLINK("http://exon.niaid.nih.gov/transcriptome/Anopheles_sialome/links/cluster-b/anopheline-sialome-cds-pep-larger-orf80-50SimCLU85.txt", 85)</f>
        <v>85</v>
      </c>
      <c r="CI444">
        <f>HYPERLINK("http://exon.niaid.nih.gov/transcriptome/Anopheles_sialome/links/cluster-b/anopheline-sialome-cds-pep-larger-orf80-50SimCLTL85.txt", 2)</f>
        <v>2</v>
      </c>
      <c r="CJ444">
        <f>HYPERLINK("http://exon.niaid.nih.gov/transcriptome/Anopheles_sialome/links/cluster-b/anopheline-sialome-cds-pep-larger-orf85-50SimCLU85.txt", 85)</f>
        <v>85</v>
      </c>
      <c r="CK444">
        <f>HYPERLINK("http://exon.niaid.nih.gov/transcriptome/Anopheles_sialome/links/cluster-b/anopheline-sialome-cds-pep-larger-orf85-50SimCLTL85.txt", 2)</f>
        <v>2</v>
      </c>
      <c r="CL444">
        <f>HYPERLINK("http://exon.niaid.nih.gov/transcriptome/Anopheles_sialome/links/cluster-b/anopheline-sialome-cds-pep-larger-orf90-50SimCLU74.txt", 74)</f>
        <v>74</v>
      </c>
      <c r="CM444">
        <f>HYPERLINK("http://exon.niaid.nih.gov/transcriptome/Anopheles_sialome/links/cluster-b/anopheline-sialome-cds-pep-larger-orf90-50SimCLTL74.txt", 2)</f>
        <v>2</v>
      </c>
      <c r="CN444">
        <v>310</v>
      </c>
      <c r="CO444">
        <v>1</v>
      </c>
    </row>
    <row r="445" spans="1:93">
      <c r="A445" s="2" t="str">
        <f>HYPERLINK("http://exon.niaid.nih.gov/transcriptome/Anopheles_sialome/links/cds/anosin_hyp37.7-cds.txt","anosin_hyp37.7")</f>
        <v>anosin_hyp37.7</v>
      </c>
      <c r="B445">
        <v>735</v>
      </c>
      <c r="C445" t="s">
        <v>311</v>
      </c>
      <c r="D445" t="s">
        <v>7</v>
      </c>
      <c r="E445" t="s">
        <v>5</v>
      </c>
      <c r="F445" t="s">
        <v>1</v>
      </c>
      <c r="G445" t="str">
        <f>HYPERLINK("http://exon.niaid.nih.gov/transcriptome/Anopheles_sialome/links/pep/anosin_hyp37.7-pep.txt","anosin_hyp37.7")</f>
        <v>anosin_hyp37.7</v>
      </c>
      <c r="H445">
        <v>244</v>
      </c>
      <c r="I445">
        <v>0</v>
      </c>
      <c r="J445" s="3" t="str">
        <f>HYPERLINK("http://exon.niaid.nih.gov/transcriptome/Anopheles_sialome/links/Sigp/anosin_hyp37.7-SigP.txt","SIG")</f>
        <v>SIG</v>
      </c>
      <c r="K445" t="s">
        <v>718</v>
      </c>
      <c r="L445">
        <v>27.097000000000001</v>
      </c>
      <c r="M445">
        <v>8.8000000000000007</v>
      </c>
      <c r="N445">
        <v>25.483000000000001</v>
      </c>
      <c r="O445">
        <v>8.81</v>
      </c>
      <c r="P445" t="s">
        <v>1479</v>
      </c>
      <c r="Q445" s="3">
        <v>0</v>
      </c>
      <c r="R445" t="s">
        <v>128</v>
      </c>
      <c r="S445" t="s">
        <v>128</v>
      </c>
      <c r="T445" t="s">
        <v>128</v>
      </c>
      <c r="U445" t="s">
        <v>128</v>
      </c>
      <c r="V445" t="s">
        <v>128</v>
      </c>
      <c r="W445" s="3" t="str">
        <f>HYPERLINK("http://exon.niaid.nih.gov/transcriptome/Anopheles_sialome/links/netoglyc/anosin_hyp37.7-netoglyc.txt","0")</f>
        <v>0</v>
      </c>
      <c r="X445">
        <v>12.3</v>
      </c>
      <c r="Y445">
        <v>8.6</v>
      </c>
      <c r="Z445">
        <v>1.6</v>
      </c>
      <c r="AA445" t="s">
        <v>654</v>
      </c>
      <c r="AB445" t="s">
        <v>128</v>
      </c>
      <c r="AC445" s="2" t="str">
        <f>HYPERLINK("http://exon.niaid.nih.gov/transcriptome/Anopheles_sialome/links/DIPTERA/anosin_hyp37.7-DIPTERA.txt","AGAP001989-PA-like protein")</f>
        <v>AGAP001989-PA-like protein</v>
      </c>
      <c r="AD445" t="str">
        <f>HYPERLINK("http://www.ncbi.nlm.nih.gov/sutils/blink.cgi?pid=668447653","1E-119")</f>
        <v>1E-119</v>
      </c>
      <c r="AE445" t="str">
        <f>HYPERLINK("http://www.ncbi.nlm.nih.gov/protein/668447653","gi|668447653")</f>
        <v>gi|668447653</v>
      </c>
      <c r="AF445">
        <v>88</v>
      </c>
      <c r="AG445">
        <v>93</v>
      </c>
      <c r="AH445">
        <v>95</v>
      </c>
      <c r="AI445" t="s">
        <v>2277</v>
      </c>
      <c r="AJ445" s="2" t="str">
        <f>HYPERLINK("http://exon.niaid.nih.gov/transcriptome/Anopheles_sialome/links/CULICOMORPHA/anosin_hyp37.7-CULICOMORPHA.txt","AGAP001989-PA-like protein")</f>
        <v>AGAP001989-PA-like protein</v>
      </c>
      <c r="AK445" t="str">
        <f>HYPERLINK("http://www.ncbi.nlm.nih.gov/sutils/blink.cgi?pid=668447653","1E-120")</f>
        <v>1E-120</v>
      </c>
      <c r="AL445" t="str">
        <f>HYPERLINK("http://www.ncbi.nlm.nih.gov/protein/668447653","gi|668447653")</f>
        <v>gi|668447653</v>
      </c>
      <c r="AM445">
        <v>88</v>
      </c>
      <c r="AN445">
        <v>93</v>
      </c>
      <c r="AO445">
        <v>95</v>
      </c>
      <c r="AP445" t="s">
        <v>2277</v>
      </c>
      <c r="AQ445" s="2" t="str">
        <f>HYPERLINK("http://exon.niaid.nih.gov/transcriptome/Anopheles_sialome/links/NR-LIGHT/anosin_hyp37.7-NR-LIGHT.txt","AGAP001989-PA-like protein")</f>
        <v>AGAP001989-PA-like protein</v>
      </c>
      <c r="AR445" t="str">
        <f>HYPERLINK("http://www.ncbi.nlm.nih.gov/sutils/blink.cgi?pid=668447653","1E-119")</f>
        <v>1E-119</v>
      </c>
      <c r="AS445" t="str">
        <f>HYPERLINK("http://www.ncbi.nlm.nih.gov/protein/668447653","gi|668447653")</f>
        <v>gi|668447653</v>
      </c>
      <c r="AT445">
        <v>88</v>
      </c>
      <c r="AU445">
        <v>93</v>
      </c>
      <c r="AV445">
        <v>95</v>
      </c>
      <c r="AW445" t="s">
        <v>2277</v>
      </c>
      <c r="AX445" s="2" t="str">
        <f>HYPERLINK("http://exon.niaid.nih.gov/transcriptome/Anopheles_sialome/links/CDD/anosin_hyp37.7-CDD.txt","PRK08294")</f>
        <v>PRK08294</v>
      </c>
      <c r="AY445" t="str">
        <f>HYPERLINK("http://www.ncbi.nlm.nih.gov/Structure/cdd/cddsrv.cgi?uid=PRK08294&amp;version=v4.0","0.94")</f>
        <v>0.94</v>
      </c>
      <c r="AZ445" t="s">
        <v>2728</v>
      </c>
      <c r="BA445" s="2" t="str">
        <f>HYPERLINK("http://exon.niaid.nih.gov/transcriptome/Anopheles_sialome/links/KOG/anosin_hyp37.7-KOG.txt","Angio-associated migratory cell protein (contains WD40 repeats)")</f>
        <v>Angio-associated migratory cell protein (contains WD40 repeats)</v>
      </c>
      <c r="BB445" t="str">
        <f>HYPERLINK("http://www.ncbi.nlm.nih.gov/Structure/cdd/cddsrv.cgi?uid=KOG0296","0.36")</f>
        <v>0.36</v>
      </c>
      <c r="BC445" t="s">
        <v>2304</v>
      </c>
      <c r="BD445" t="str">
        <f>HYPERLINK("http://exon.niaid.nih.gov/transcriptome/Anopheles_sialome/links/KOG/anosin_hyp37.7-KOG.txt","KOG0296")</f>
        <v>KOG0296</v>
      </c>
      <c r="BE445" t="str">
        <f>HYPERLINK("http://exon.niaid.nih.gov/transcriptome/Anopheles_sialome/links/PFAM/anosin_hyp37.7-PFAM.txt","PI3_PI4_kinase")</f>
        <v>PI3_PI4_kinase</v>
      </c>
      <c r="BF445" t="str">
        <f>HYPERLINK("http://pfam.sanger.ac.uk/family?acc=PF00454","1.1")</f>
        <v>1.1</v>
      </c>
      <c r="BG445" s="2" t="str">
        <f>HYPERLINK("http://exon.niaid.nih.gov/transcriptome/Anopheles_sialome/links/SMART/anosin_hyp37.7-SMART.txt","Bac_DnaA_C")</f>
        <v>Bac_DnaA_C</v>
      </c>
      <c r="BH445" t="str">
        <f>HYPERLINK("http://smart.embl-heidelberg.de/smart/do_annotation.pl?DOMAIN=Bac_DnaA_C&amp;BLAST=DUMMY","1.1")</f>
        <v>1.1</v>
      </c>
      <c r="BI445" t="str">
        <f>HYPERLINK("http://exon.niaid.nih.gov/transcriptome/Anopheles_sialome/links/TICK-BLOCKS/anosin_hyp37.7-TICK-BLOCKS.txt","Hyp37 |Hyp37_stringent_pattern |")</f>
        <v>Hyp37 |Hyp37_stringent_pattern |</v>
      </c>
      <c r="BJ445" s="2" t="s">
        <v>2712</v>
      </c>
      <c r="BK445" t="s">
        <v>1478</v>
      </c>
      <c r="BL445">
        <f>HYPERLINK("http://exon.niaid.nih.gov/transcriptome/Anopheles_sialome/links/cluster-b/anopheline-sialome-cds-pep-larger-orf25-50SimCLU7.txt", 7)</f>
        <v>7</v>
      </c>
      <c r="BM445">
        <f>HYPERLINK("http://exon.niaid.nih.gov/transcriptome/Anopheles_sialome/links/cluster-b/anopheline-sialome-cds-pep-larger-orf25-50SimCLTL7.txt", 40)</f>
        <v>40</v>
      </c>
      <c r="BN445">
        <f>HYPERLINK("http://exon.niaid.nih.gov/transcriptome/Anopheles_sialome/links/cluster-b/anopheline-sialome-cds-pep-larger-orf30-50SimCLU6.txt", 6)</f>
        <v>6</v>
      </c>
      <c r="BO445">
        <f>HYPERLINK("http://exon.niaid.nih.gov/transcriptome/Anopheles_sialome/links/cluster-b/anopheline-sialome-cds-pep-larger-orf30-50SimCLTL6.txt", 40)</f>
        <v>40</v>
      </c>
      <c r="BP445">
        <f>HYPERLINK("http://exon.niaid.nih.gov/transcriptome/Anopheles_sialome/links/cluster-b/anopheline-sialome-cds-pep-larger-orf35-50SimCLU7.txt", 7)</f>
        <v>7</v>
      </c>
      <c r="BQ445">
        <f>HYPERLINK("http://exon.niaid.nih.gov/transcriptome/Anopheles_sialome/links/cluster-b/anopheline-sialome-cds-pep-larger-orf35-50SimCLTL7.txt", 40)</f>
        <v>40</v>
      </c>
      <c r="BR445">
        <f>HYPERLINK("http://exon.niaid.nih.gov/transcriptome/Anopheles_sialome/links/cluster-b/anopheline-sialome-cds-pep-larger-orf40-50SimCLU6.txt", 6)</f>
        <v>6</v>
      </c>
      <c r="BS445">
        <f>HYPERLINK("http://exon.niaid.nih.gov/transcriptome/Anopheles_sialome/links/cluster-b/anopheline-sialome-cds-pep-larger-orf40-50SimCLTL6.txt", 39)</f>
        <v>39</v>
      </c>
      <c r="BT445">
        <f>HYPERLINK("http://exon.niaid.nih.gov/transcriptome/Anopheles_sialome/links/cluster-b/anopheline-sialome-cds-pep-larger-orf45-50SimCLU5.txt", 5)</f>
        <v>5</v>
      </c>
      <c r="BU445">
        <f>HYPERLINK("http://exon.niaid.nih.gov/transcriptome/Anopheles_sialome/links/cluster-b/anopheline-sialome-cds-pep-larger-orf45-50SimCLTL5.txt", 39)</f>
        <v>39</v>
      </c>
      <c r="BV445">
        <f>HYPERLINK("http://exon.niaid.nih.gov/transcriptome/Anopheles_sialome/links/cluster-b/anopheline-sialome-cds-pep-larger-orf50-50SimCLU5.txt", 5)</f>
        <v>5</v>
      </c>
      <c r="BW445">
        <f>HYPERLINK("http://exon.niaid.nih.gov/transcriptome/Anopheles_sialome/links/cluster-b/anopheline-sialome-cds-pep-larger-orf50-50SimCLTL5.txt", 39)</f>
        <v>39</v>
      </c>
      <c r="BX445">
        <f>HYPERLINK("http://exon.niaid.nih.gov/transcriptome/Anopheles_sialome/links/cluster-b/anopheline-sialome-cds-pep-larger-orf55-50SimCLU6.txt", 6)</f>
        <v>6</v>
      </c>
      <c r="BY445">
        <f>HYPERLINK("http://exon.niaid.nih.gov/transcriptome/Anopheles_sialome/links/cluster-b/anopheline-sialome-cds-pep-larger-orf55-50SimCLTL6.txt", 36)</f>
        <v>36</v>
      </c>
      <c r="BZ445">
        <f>HYPERLINK("http://exon.niaid.nih.gov/transcriptome/Anopheles_sialome/links/cluster-b/anopheline-sialome-cds-pep-larger-orf60-50SimCLU9.txt", 9)</f>
        <v>9</v>
      </c>
      <c r="CA445">
        <f>HYPERLINK("http://exon.niaid.nih.gov/transcriptome/Anopheles_sialome/links/cluster-b/anopheline-sialome-cds-pep-larger-orf60-50SimCLTL9.txt", 26)</f>
        <v>26</v>
      </c>
      <c r="CB445">
        <f>HYPERLINK("http://exon.niaid.nih.gov/transcriptome/Anopheles_sialome/links/cluster-b/anopheline-sialome-cds-pep-larger-orf65-50SimCLU6.txt", 6)</f>
        <v>6</v>
      </c>
      <c r="CC445">
        <f>HYPERLINK("http://exon.niaid.nih.gov/transcriptome/Anopheles_sialome/links/cluster-b/anopheline-sialome-cds-pep-larger-orf65-50SimCLTL6.txt", 26)</f>
        <v>26</v>
      </c>
      <c r="CD445">
        <f>HYPERLINK("http://exon.niaid.nih.gov/transcriptome/Anopheles_sialome/links/cluster-b/anopheline-sialome-cds-pep-larger-orf70-50SimCLU5.txt", 5)</f>
        <v>5</v>
      </c>
      <c r="CE445">
        <f>HYPERLINK("http://exon.niaid.nih.gov/transcriptome/Anopheles_sialome/links/cluster-b/anopheline-sialome-cds-pep-larger-orf70-50SimCLTL5.txt", 24)</f>
        <v>24</v>
      </c>
      <c r="CF445">
        <f>HYPERLINK("http://exon.niaid.nih.gov/transcriptome/Anopheles_sialome/links/cluster-b/anopheline-sialome-cds-pep-larger-orf75-50SimCLU72.txt", 72)</f>
        <v>72</v>
      </c>
      <c r="CG445">
        <f>HYPERLINK("http://exon.niaid.nih.gov/transcriptome/Anopheles_sialome/links/cluster-b/anopheline-sialome-cds-pep-larger-orf75-50SimCLTL72.txt", 2)</f>
        <v>2</v>
      </c>
      <c r="CH445">
        <f>HYPERLINK("http://exon.niaid.nih.gov/transcriptome/Anopheles_sialome/links/cluster-b/anopheline-sialome-cds-pep-larger-orf80-50SimCLU85.txt", 85)</f>
        <v>85</v>
      </c>
      <c r="CI445">
        <f>HYPERLINK("http://exon.niaid.nih.gov/transcriptome/Anopheles_sialome/links/cluster-b/anopheline-sialome-cds-pep-larger-orf80-50SimCLTL85.txt", 2)</f>
        <v>2</v>
      </c>
      <c r="CJ445">
        <f>HYPERLINK("http://exon.niaid.nih.gov/transcriptome/Anopheles_sialome/links/cluster-b/anopheline-sialome-cds-pep-larger-orf85-50SimCLU85.txt", 85)</f>
        <v>85</v>
      </c>
      <c r="CK445">
        <f>HYPERLINK("http://exon.niaid.nih.gov/transcriptome/Anopheles_sialome/links/cluster-b/anopheline-sialome-cds-pep-larger-orf85-50SimCLTL85.txt", 2)</f>
        <v>2</v>
      </c>
      <c r="CL445">
        <f>HYPERLINK("http://exon.niaid.nih.gov/transcriptome/Anopheles_sialome/links/cluster-b/anopheline-sialome-cds-pep-larger-orf90-50SimCLU74.txt", 74)</f>
        <v>74</v>
      </c>
      <c r="CM445">
        <f>HYPERLINK("http://exon.niaid.nih.gov/transcriptome/Anopheles_sialome/links/cluster-b/anopheline-sialome-cds-pep-larger-orf90-50SimCLTL74.txt", 2)</f>
        <v>2</v>
      </c>
      <c r="CN445">
        <v>311</v>
      </c>
      <c r="CO445">
        <v>1</v>
      </c>
    </row>
    <row r="446" spans="1:93">
      <c r="A446" s="2" t="str">
        <f>HYPERLINK("http://exon.niaid.nih.gov/transcriptome/Anopheles_sialome/links/cds/anoalb_hyp37.7-cds.txt","anoalb_hyp37.7")</f>
        <v>anoalb_hyp37.7</v>
      </c>
      <c r="B446">
        <v>729</v>
      </c>
      <c r="C446" t="s">
        <v>312</v>
      </c>
      <c r="D446" t="s">
        <v>7</v>
      </c>
      <c r="E446" t="s">
        <v>5</v>
      </c>
      <c r="F446" t="s">
        <v>1</v>
      </c>
      <c r="G446" t="str">
        <f>HYPERLINK("http://exon.niaid.nih.gov/transcriptome/Anopheles_sialome/links/pep/anoalb_hyp37.7-pep.txt","anoalb_hyp37.7")</f>
        <v>anoalb_hyp37.7</v>
      </c>
      <c r="H446">
        <v>242</v>
      </c>
      <c r="I446">
        <v>1</v>
      </c>
      <c r="J446" s="3" t="str">
        <f>HYPERLINK("http://exon.niaid.nih.gov/transcriptome/Anopheles_sialome/links/Sigp/anoalb_hyp37.7-SigP.txt","CYT")</f>
        <v>CYT</v>
      </c>
      <c r="K446" t="s">
        <v>128</v>
      </c>
      <c r="L446">
        <v>27.219000000000001</v>
      </c>
      <c r="M446">
        <v>6.5</v>
      </c>
      <c r="N446" t="s">
        <v>128</v>
      </c>
      <c r="O446" t="s">
        <v>128</v>
      </c>
      <c r="P446" t="s">
        <v>802</v>
      </c>
      <c r="Q446" s="3">
        <v>0</v>
      </c>
      <c r="R446" t="s">
        <v>128</v>
      </c>
      <c r="S446" t="s">
        <v>128</v>
      </c>
      <c r="T446" t="s">
        <v>128</v>
      </c>
      <c r="U446" t="s">
        <v>128</v>
      </c>
      <c r="V446" t="s">
        <v>128</v>
      </c>
      <c r="W446" s="3" t="str">
        <f>HYPERLINK("http://exon.niaid.nih.gov/transcriptome/Anopheles_sialome/links/netoglyc/anoalb_hyp37.7-netoglyc.txt","1")</f>
        <v>1</v>
      </c>
      <c r="X446">
        <v>12</v>
      </c>
      <c r="Y446">
        <v>8.3000000000000007</v>
      </c>
      <c r="Z446">
        <v>2.1</v>
      </c>
      <c r="AA446" t="s">
        <v>654</v>
      </c>
      <c r="AB446" t="s">
        <v>128</v>
      </c>
      <c r="AC446" s="2" t="str">
        <f>HYPERLINK("http://exon.niaid.nih.gov/transcriptome/Anopheles_sialome/links/DIPTERA/anoalb_hyp37.7-DIPTERA.txt","hypothetical protein AND_004853")</f>
        <v>hypothetical protein AND_004853</v>
      </c>
      <c r="AD446" t="str">
        <f>HYPERLINK("http://www.ncbi.nlm.nih.gov/sutils/blink.cgi?pid=568254462","1E-117")</f>
        <v>1E-117</v>
      </c>
      <c r="AE446" t="str">
        <f>HYPERLINK("http://www.ncbi.nlm.nih.gov/protein/568254462","gi|568254462")</f>
        <v>gi|568254462</v>
      </c>
      <c r="AF446">
        <v>92</v>
      </c>
      <c r="AG446">
        <v>96</v>
      </c>
      <c r="AH446">
        <v>26</v>
      </c>
      <c r="AI446" t="s">
        <v>2283</v>
      </c>
      <c r="AJ446" s="2" t="str">
        <f>HYPERLINK("http://exon.niaid.nih.gov/transcriptome/Anopheles_sialome/links/CULICOMORPHA/anoalb_hyp37.7-CULICOMORPHA.txt","hypothetical protein AND_004853")</f>
        <v>hypothetical protein AND_004853</v>
      </c>
      <c r="AK446" t="str">
        <f>HYPERLINK("http://www.ncbi.nlm.nih.gov/sutils/blink.cgi?pid=568254462","1E-118")</f>
        <v>1E-118</v>
      </c>
      <c r="AL446" t="str">
        <f>HYPERLINK("http://www.ncbi.nlm.nih.gov/protein/568254462","gi|568254462")</f>
        <v>gi|568254462</v>
      </c>
      <c r="AM446">
        <v>92</v>
      </c>
      <c r="AN446">
        <v>96</v>
      </c>
      <c r="AO446">
        <v>26</v>
      </c>
      <c r="AP446" t="s">
        <v>2283</v>
      </c>
      <c r="AQ446" s="2" t="str">
        <f>HYPERLINK("http://exon.niaid.nih.gov/transcriptome/Anopheles_sialome/links/NR-LIGHT/anoalb_hyp37.7-NR-LIGHT.txt","hypothetical protein AND_004853")</f>
        <v>hypothetical protein AND_004853</v>
      </c>
      <c r="AR446" t="str">
        <f>HYPERLINK("http://www.ncbi.nlm.nih.gov/sutils/blink.cgi?pid=568254462","1E-117")</f>
        <v>1E-117</v>
      </c>
      <c r="AS446" t="str">
        <f>HYPERLINK("http://www.ncbi.nlm.nih.gov/protein/568254462","gi|568254462")</f>
        <v>gi|568254462</v>
      </c>
      <c r="AT446">
        <v>92</v>
      </c>
      <c r="AU446">
        <v>96</v>
      </c>
      <c r="AV446">
        <v>26</v>
      </c>
      <c r="AW446" t="s">
        <v>2283</v>
      </c>
      <c r="AX446" s="2" t="str">
        <f>HYPERLINK("http://exon.niaid.nih.gov/transcriptome/Anopheles_sialome/links/CDD/anoalb_hyp37.7-CDD.txt","Sin3_corepress")</f>
        <v>Sin3_corepress</v>
      </c>
      <c r="AY446" t="str">
        <f>HYPERLINK("http://www.ncbi.nlm.nih.gov/Structure/cdd/cddsrv.cgi?uid=pfam08295&amp;version=v4.0","0.11")</f>
        <v>0.11</v>
      </c>
      <c r="AZ446" t="s">
        <v>2729</v>
      </c>
      <c r="BA446" s="2" t="str">
        <f>HYPERLINK("http://exon.niaid.nih.gov/transcriptome/Anopheles_sialome/links/KOG/anoalb_hyp37.7-KOG.txt","Origin recognition complex, subunit 5")</f>
        <v>Origin recognition complex, subunit 5</v>
      </c>
      <c r="BB446" t="str">
        <f>HYPERLINK("http://www.ncbi.nlm.nih.gov/Structure/cdd/cddsrv.cgi?uid=KOG2543","4.2")</f>
        <v>4.2</v>
      </c>
      <c r="BC446" t="s">
        <v>2290</v>
      </c>
      <c r="BD446" t="str">
        <f>HYPERLINK("http://exon.niaid.nih.gov/transcriptome/Anopheles_sialome/links/KOG/anoalb_hyp37.7-KOG.txt","KOG2543")</f>
        <v>KOG2543</v>
      </c>
      <c r="BE446" t="str">
        <f>HYPERLINK("http://exon.niaid.nih.gov/transcriptome/Anopheles_sialome/links/PFAM/anoalb_hyp37.7-PFAM.txt","Sin3_corepress")</f>
        <v>Sin3_corepress</v>
      </c>
      <c r="BF446" t="str">
        <f>HYPERLINK("http://pfam.sanger.ac.uk/family?acc=PF08295","0.024")</f>
        <v>0.024</v>
      </c>
      <c r="BG446" s="2" t="str">
        <f>HYPERLINK("http://exon.niaid.nih.gov/transcriptome/Anopheles_sialome/links/SMART/anoalb_hyp37.7-SMART.txt","HDAC_interact")</f>
        <v>HDAC_interact</v>
      </c>
      <c r="BH446" t="str">
        <f>HYPERLINK("http://smart.embl-heidelberg.de/smart/do_annotation.pl?DOMAIN=HDAC_interact&amp;BLAST=DUMMY","0.007")</f>
        <v>0.007</v>
      </c>
      <c r="BI446" t="str">
        <f>HYPERLINK("http://exon.niaid.nih.gov/transcriptome/Anopheles_sialome/links/TICK-BLOCKS/anoalb_hyp37.7-TICK-BLOCKS.txt","Hyp37 |Hyp37_stringent_pattern |")</f>
        <v>Hyp37 |Hyp37_stringent_pattern |</v>
      </c>
      <c r="BJ446" s="2" t="s">
        <v>2712</v>
      </c>
      <c r="BK446" t="s">
        <v>1480</v>
      </c>
      <c r="BL446">
        <f>HYPERLINK("http://exon.niaid.nih.gov/transcriptome/Anopheles_sialome/links/cluster-b/anopheline-sialome-cds-pep-larger-orf25-50SimCLU7.txt", 7)</f>
        <v>7</v>
      </c>
      <c r="BM446">
        <f>HYPERLINK("http://exon.niaid.nih.gov/transcriptome/Anopheles_sialome/links/cluster-b/anopheline-sialome-cds-pep-larger-orf25-50SimCLTL7.txt", 40)</f>
        <v>40</v>
      </c>
      <c r="BN446">
        <f>HYPERLINK("http://exon.niaid.nih.gov/transcriptome/Anopheles_sialome/links/cluster-b/anopheline-sialome-cds-pep-larger-orf30-50SimCLU6.txt", 6)</f>
        <v>6</v>
      </c>
      <c r="BO446">
        <f>HYPERLINK("http://exon.niaid.nih.gov/transcriptome/Anopheles_sialome/links/cluster-b/anopheline-sialome-cds-pep-larger-orf30-50SimCLTL6.txt", 40)</f>
        <v>40</v>
      </c>
      <c r="BP446">
        <f>HYPERLINK("http://exon.niaid.nih.gov/transcriptome/Anopheles_sialome/links/cluster-b/anopheline-sialome-cds-pep-larger-orf35-50SimCLU7.txt", 7)</f>
        <v>7</v>
      </c>
      <c r="BQ446">
        <f>HYPERLINK("http://exon.niaid.nih.gov/transcriptome/Anopheles_sialome/links/cluster-b/anopheline-sialome-cds-pep-larger-orf35-50SimCLTL7.txt", 40)</f>
        <v>40</v>
      </c>
      <c r="BR446">
        <f>HYPERLINK("http://exon.niaid.nih.gov/transcriptome/Anopheles_sialome/links/cluster-b/anopheline-sialome-cds-pep-larger-orf40-50SimCLU6.txt", 6)</f>
        <v>6</v>
      </c>
      <c r="BS446">
        <f>HYPERLINK("http://exon.niaid.nih.gov/transcriptome/Anopheles_sialome/links/cluster-b/anopheline-sialome-cds-pep-larger-orf40-50SimCLTL6.txt", 39)</f>
        <v>39</v>
      </c>
      <c r="BT446">
        <f>HYPERLINK("http://exon.niaid.nih.gov/transcriptome/Anopheles_sialome/links/cluster-b/anopheline-sialome-cds-pep-larger-orf45-50SimCLU5.txt", 5)</f>
        <v>5</v>
      </c>
      <c r="BU446">
        <f>HYPERLINK("http://exon.niaid.nih.gov/transcriptome/Anopheles_sialome/links/cluster-b/anopheline-sialome-cds-pep-larger-orf45-50SimCLTL5.txt", 39)</f>
        <v>39</v>
      </c>
      <c r="BV446">
        <f>HYPERLINK("http://exon.niaid.nih.gov/transcriptome/Anopheles_sialome/links/cluster-b/anopheline-sialome-cds-pep-larger-orf50-50SimCLU5.txt", 5)</f>
        <v>5</v>
      </c>
      <c r="BW446">
        <f>HYPERLINK("http://exon.niaid.nih.gov/transcriptome/Anopheles_sialome/links/cluster-b/anopheline-sialome-cds-pep-larger-orf50-50SimCLTL5.txt", 39)</f>
        <v>39</v>
      </c>
      <c r="BX446">
        <f>HYPERLINK("http://exon.niaid.nih.gov/transcriptome/Anopheles_sialome/links/cluster-b/anopheline-sialome-cds-pep-larger-orf55-50SimCLU6.txt", 6)</f>
        <v>6</v>
      </c>
      <c r="BY446">
        <f>HYPERLINK("http://exon.niaid.nih.gov/transcriptome/Anopheles_sialome/links/cluster-b/anopheline-sialome-cds-pep-larger-orf55-50SimCLTL6.txt", 36)</f>
        <v>36</v>
      </c>
      <c r="BZ446">
        <f>HYPERLINK("http://exon.niaid.nih.gov/transcriptome/Anopheles_sialome/links/cluster-b/anopheline-sialome-cds-pep-larger-orf60-50SimCLU9.txt", 9)</f>
        <v>9</v>
      </c>
      <c r="CA446">
        <f>HYPERLINK("http://exon.niaid.nih.gov/transcriptome/Anopheles_sialome/links/cluster-b/anopheline-sialome-cds-pep-larger-orf60-50SimCLTL9.txt", 26)</f>
        <v>26</v>
      </c>
      <c r="CB446">
        <f>HYPERLINK("http://exon.niaid.nih.gov/transcriptome/Anopheles_sialome/links/cluster-b/anopheline-sialome-cds-pep-larger-orf65-50SimCLU6.txt", 6)</f>
        <v>6</v>
      </c>
      <c r="CC446">
        <f>HYPERLINK("http://exon.niaid.nih.gov/transcriptome/Anopheles_sialome/links/cluster-b/anopheline-sialome-cds-pep-larger-orf65-50SimCLTL6.txt", 26)</f>
        <v>26</v>
      </c>
      <c r="CD446">
        <f>HYPERLINK("http://exon.niaid.nih.gov/transcriptome/Anopheles_sialome/links/cluster-b/anopheline-sialome-cds-pep-larger-orf70-50SimCLU5.txt", 5)</f>
        <v>5</v>
      </c>
      <c r="CE446">
        <f>HYPERLINK("http://exon.niaid.nih.gov/transcriptome/Anopheles_sialome/links/cluster-b/anopheline-sialome-cds-pep-larger-orf70-50SimCLTL5.txt", 24)</f>
        <v>24</v>
      </c>
      <c r="CF446">
        <f>HYPERLINK("http://exon.niaid.nih.gov/transcriptome/Anopheles_sialome/links/cluster-b/anopheline-sialome-cds-pep-larger-orf75-50SimCLU73.txt", 73)</f>
        <v>73</v>
      </c>
      <c r="CG446">
        <f>HYPERLINK("http://exon.niaid.nih.gov/transcriptome/Anopheles_sialome/links/cluster-b/anopheline-sialome-cds-pep-larger-orf75-50SimCLTL73.txt", 2)</f>
        <v>2</v>
      </c>
      <c r="CH446">
        <f>HYPERLINK("http://exon.niaid.nih.gov/transcriptome/Anopheles_sialome/links/cluster-b/anopheline-sialome-cds-pep-larger-orf80-50SimCLU86.txt", 86)</f>
        <v>86</v>
      </c>
      <c r="CI446">
        <f>HYPERLINK("http://exon.niaid.nih.gov/transcriptome/Anopheles_sialome/links/cluster-b/anopheline-sialome-cds-pep-larger-orf80-50SimCLTL86.txt", 2)</f>
        <v>2</v>
      </c>
      <c r="CJ446">
        <f>HYPERLINK("http://exon.niaid.nih.gov/transcriptome/Anopheles_sialome/links/cluster-b/anopheline-sialome-cds-pep-larger-orf85-50SimCLU86.txt", 86)</f>
        <v>86</v>
      </c>
      <c r="CK446">
        <f>HYPERLINK("http://exon.niaid.nih.gov/transcriptome/Anopheles_sialome/links/cluster-b/anopheline-sialome-cds-pep-larger-orf85-50SimCLTL86.txt", 2)</f>
        <v>2</v>
      </c>
      <c r="CL446">
        <f>HYPERLINK("http://exon.niaid.nih.gov/transcriptome/Anopheles_sialome/links/cluster-b/anopheline-sialome-cds-pep-larger-orf90-50SimCLU75.txt", 75)</f>
        <v>75</v>
      </c>
      <c r="CM446">
        <f>HYPERLINK("http://exon.niaid.nih.gov/transcriptome/Anopheles_sialome/links/cluster-b/anopheline-sialome-cds-pep-larger-orf90-50SimCLTL75.txt", 2)</f>
        <v>2</v>
      </c>
      <c r="CN446">
        <v>312</v>
      </c>
      <c r="CO446">
        <v>1</v>
      </c>
    </row>
    <row r="447" spans="1:93">
      <c r="A447" s="2" t="str">
        <f>HYPERLINK("http://exon.niaid.nih.gov/transcriptome/Anopheles_sialome/links/cds/anodar_hyp37.7-cds.txt","anodar_hyp37.7")</f>
        <v>anodar_hyp37.7</v>
      </c>
      <c r="B447">
        <v>777</v>
      </c>
      <c r="C447" t="s">
        <v>313</v>
      </c>
      <c r="D447" t="s">
        <v>7</v>
      </c>
      <c r="E447" t="s">
        <v>5</v>
      </c>
      <c r="F447" t="s">
        <v>1</v>
      </c>
      <c r="G447" t="str">
        <f>HYPERLINK("http://exon.niaid.nih.gov/transcriptome/Anopheles_sialome/links/pep/anodar_hyp37.7-pep.txt","anodar_hyp37.7")</f>
        <v>anodar_hyp37.7</v>
      </c>
      <c r="H447">
        <v>258</v>
      </c>
      <c r="I447">
        <v>2</v>
      </c>
      <c r="J447" s="3" t="str">
        <f>HYPERLINK("http://exon.niaid.nih.gov/transcriptome/Anopheles_sialome/links/Sigp/anodar_hyp37.7-SigP.txt","SIG")</f>
        <v>SIG</v>
      </c>
      <c r="K447" t="s">
        <v>945</v>
      </c>
      <c r="L447">
        <v>28.457999999999998</v>
      </c>
      <c r="M447">
        <v>6.44</v>
      </c>
      <c r="N447">
        <v>25.704000000000001</v>
      </c>
      <c r="O447">
        <v>6.79</v>
      </c>
      <c r="P447" t="s">
        <v>1482</v>
      </c>
      <c r="Q447" s="3" t="str">
        <f>HYPERLINK("http://exon.niaid.nih.gov/transcriptome/Anopheles_sialome/links/tmhmm/anodar_hyp37.7-tmhmm.txt","1")</f>
        <v>1</v>
      </c>
      <c r="R447">
        <v>8.5</v>
      </c>
      <c r="S447">
        <v>88.8</v>
      </c>
      <c r="T447">
        <v>2.7</v>
      </c>
      <c r="U447" t="s">
        <v>128</v>
      </c>
      <c r="V447">
        <v>229</v>
      </c>
      <c r="W447" s="3" t="str">
        <f>HYPERLINK("http://exon.niaid.nih.gov/transcriptome/Anopheles_sialome/links/netoglyc/anodar_hyp37.7-netoglyc.txt","1")</f>
        <v>1</v>
      </c>
      <c r="X447">
        <v>12</v>
      </c>
      <c r="Y447">
        <v>8.9</v>
      </c>
      <c r="Z447">
        <v>1.9</v>
      </c>
      <c r="AA447" t="s">
        <v>654</v>
      </c>
      <c r="AB447" t="s">
        <v>128</v>
      </c>
      <c r="AC447" s="2" t="str">
        <f>HYPERLINK("http://exon.niaid.nih.gov/transcriptome/Anopheles_sialome/links/DIPTERA/anodar_hyp37.7-DIPTERA.txt","hypothetical protein AND_004853")</f>
        <v>hypothetical protein AND_004853</v>
      </c>
      <c r="AD447" t="str">
        <f>HYPERLINK("http://www.ncbi.nlm.nih.gov/sutils/blink.cgi?pid=568254462","1E-124")</f>
        <v>1E-124</v>
      </c>
      <c r="AE447" t="str">
        <f>HYPERLINK("http://www.ncbi.nlm.nih.gov/protein/568254462","gi|568254462")</f>
        <v>gi|568254462</v>
      </c>
      <c r="AF447">
        <v>98</v>
      </c>
      <c r="AG447">
        <v>98</v>
      </c>
      <c r="AH447">
        <v>26</v>
      </c>
      <c r="AI447" t="s">
        <v>2283</v>
      </c>
      <c r="AJ447" s="2" t="str">
        <f>HYPERLINK("http://exon.niaid.nih.gov/transcriptome/Anopheles_sialome/links/CULICOMORPHA/anodar_hyp37.7-CULICOMORPHA.txt","hypothetical protein AND_004853")</f>
        <v>hypothetical protein AND_004853</v>
      </c>
      <c r="AK447" t="str">
        <f>HYPERLINK("http://www.ncbi.nlm.nih.gov/sutils/blink.cgi?pid=568254462","1E-125")</f>
        <v>1E-125</v>
      </c>
      <c r="AL447" t="str">
        <f>HYPERLINK("http://www.ncbi.nlm.nih.gov/protein/568254462","gi|568254462")</f>
        <v>gi|568254462</v>
      </c>
      <c r="AM447">
        <v>98</v>
      </c>
      <c r="AN447">
        <v>98</v>
      </c>
      <c r="AO447">
        <v>26</v>
      </c>
      <c r="AP447" t="s">
        <v>2283</v>
      </c>
      <c r="AQ447" s="2" t="str">
        <f>HYPERLINK("http://exon.niaid.nih.gov/transcriptome/Anopheles_sialome/links/NR-LIGHT/anodar_hyp37.7-NR-LIGHT.txt","hypothetical protein AND_004853")</f>
        <v>hypothetical protein AND_004853</v>
      </c>
      <c r="AR447" t="str">
        <f>HYPERLINK("http://www.ncbi.nlm.nih.gov/sutils/blink.cgi?pid=568254462","1E-124")</f>
        <v>1E-124</v>
      </c>
      <c r="AS447" t="str">
        <f>HYPERLINK("http://www.ncbi.nlm.nih.gov/protein/568254462","gi|568254462")</f>
        <v>gi|568254462</v>
      </c>
      <c r="AT447">
        <v>98</v>
      </c>
      <c r="AU447">
        <v>98</v>
      </c>
      <c r="AV447">
        <v>26</v>
      </c>
      <c r="AW447" t="s">
        <v>2283</v>
      </c>
      <c r="AX447" s="2" t="str">
        <f>HYPERLINK("http://exon.niaid.nih.gov/transcriptome/Anopheles_sialome/links/CDD/anodar_hyp37.7-CDD.txt","Sin3_corepress")</f>
        <v>Sin3_corepress</v>
      </c>
      <c r="AY447" t="str">
        <f>HYPERLINK("http://www.ncbi.nlm.nih.gov/Structure/cdd/cddsrv.cgi?uid=pfam08295&amp;version=v4.0","0.033")</f>
        <v>0.033</v>
      </c>
      <c r="AZ447" t="s">
        <v>2730</v>
      </c>
      <c r="BA447" s="2" t="str">
        <f>HYPERLINK("http://exon.niaid.nih.gov/transcriptome/Anopheles_sialome/links/KOG/anodar_hyp37.7-KOG.txt","Uncharacterized conserved protein, contains laminin, cadherin and EGF domains")</f>
        <v>Uncharacterized conserved protein, contains laminin, cadherin and EGF domains</v>
      </c>
      <c r="BB447" t="str">
        <f>HYPERLINK("http://www.ncbi.nlm.nih.gov/Structure/cdd/cddsrv.cgi?uid=KOG1219","4.2")</f>
        <v>4.2</v>
      </c>
      <c r="BC447" t="s">
        <v>2292</v>
      </c>
      <c r="BD447" t="str">
        <f>HYPERLINK("http://exon.niaid.nih.gov/transcriptome/Anopheles_sialome/links/KOG/anodar_hyp37.7-KOG.txt","KOG1219")</f>
        <v>KOG1219</v>
      </c>
      <c r="BE447" t="str">
        <f>HYPERLINK("http://exon.niaid.nih.gov/transcriptome/Anopheles_sialome/links/PFAM/anodar_hyp37.7-PFAM.txt","Sin3_corepress")</f>
        <v>Sin3_corepress</v>
      </c>
      <c r="BF447" t="str">
        <f>HYPERLINK("http://pfam.sanger.ac.uk/family?acc=PF08295","0.007")</f>
        <v>0.007</v>
      </c>
      <c r="BG447" s="2" t="str">
        <f>HYPERLINK("http://exon.niaid.nih.gov/transcriptome/Anopheles_sialome/links/SMART/anodar_hyp37.7-SMART.txt","HDAC_interact")</f>
        <v>HDAC_interact</v>
      </c>
      <c r="BH447" t="str">
        <f>HYPERLINK("http://smart.embl-heidelberg.de/smart/do_annotation.pl?DOMAIN=HDAC_interact&amp;BLAST=DUMMY","0.002")</f>
        <v>0.002</v>
      </c>
      <c r="BI447" t="str">
        <f>HYPERLINK("http://exon.niaid.nih.gov/transcriptome/Anopheles_sialome/links/TICK-BLOCKS/anodar_hyp37.7-TICK-BLOCKS.txt","Hyp37 |Hyp37_stringent_pattern |")</f>
        <v>Hyp37 |Hyp37_stringent_pattern |</v>
      </c>
      <c r="BJ447" s="2" t="s">
        <v>2712</v>
      </c>
      <c r="BK447" t="s">
        <v>1481</v>
      </c>
      <c r="BL447">
        <f>HYPERLINK("http://exon.niaid.nih.gov/transcriptome/Anopheles_sialome/links/cluster-b/anopheline-sialome-cds-pep-larger-orf25-50SimCLU7.txt", 7)</f>
        <v>7</v>
      </c>
      <c r="BM447">
        <f>HYPERLINK("http://exon.niaid.nih.gov/transcriptome/Anopheles_sialome/links/cluster-b/anopheline-sialome-cds-pep-larger-orf25-50SimCLTL7.txt", 40)</f>
        <v>40</v>
      </c>
      <c r="BN447">
        <f>HYPERLINK("http://exon.niaid.nih.gov/transcriptome/Anopheles_sialome/links/cluster-b/anopheline-sialome-cds-pep-larger-orf30-50SimCLU6.txt", 6)</f>
        <v>6</v>
      </c>
      <c r="BO447">
        <f>HYPERLINK("http://exon.niaid.nih.gov/transcriptome/Anopheles_sialome/links/cluster-b/anopheline-sialome-cds-pep-larger-orf30-50SimCLTL6.txt", 40)</f>
        <v>40</v>
      </c>
      <c r="BP447">
        <f>HYPERLINK("http://exon.niaid.nih.gov/transcriptome/Anopheles_sialome/links/cluster-b/anopheline-sialome-cds-pep-larger-orf35-50SimCLU7.txt", 7)</f>
        <v>7</v>
      </c>
      <c r="BQ447">
        <f>HYPERLINK("http://exon.niaid.nih.gov/transcriptome/Anopheles_sialome/links/cluster-b/anopheline-sialome-cds-pep-larger-orf35-50SimCLTL7.txt", 40)</f>
        <v>40</v>
      </c>
      <c r="BR447">
        <f>HYPERLINK("http://exon.niaid.nih.gov/transcriptome/Anopheles_sialome/links/cluster-b/anopheline-sialome-cds-pep-larger-orf40-50SimCLU6.txt", 6)</f>
        <v>6</v>
      </c>
      <c r="BS447">
        <f>HYPERLINK("http://exon.niaid.nih.gov/transcriptome/Anopheles_sialome/links/cluster-b/anopheline-sialome-cds-pep-larger-orf40-50SimCLTL6.txt", 39)</f>
        <v>39</v>
      </c>
      <c r="BT447">
        <f>HYPERLINK("http://exon.niaid.nih.gov/transcriptome/Anopheles_sialome/links/cluster-b/anopheline-sialome-cds-pep-larger-orf45-50SimCLU5.txt", 5)</f>
        <v>5</v>
      </c>
      <c r="BU447">
        <f>HYPERLINK("http://exon.niaid.nih.gov/transcriptome/Anopheles_sialome/links/cluster-b/anopheline-sialome-cds-pep-larger-orf45-50SimCLTL5.txt", 39)</f>
        <v>39</v>
      </c>
      <c r="BV447">
        <f>HYPERLINK("http://exon.niaid.nih.gov/transcriptome/Anopheles_sialome/links/cluster-b/anopheline-sialome-cds-pep-larger-orf50-50SimCLU5.txt", 5)</f>
        <v>5</v>
      </c>
      <c r="BW447">
        <f>HYPERLINK("http://exon.niaid.nih.gov/transcriptome/Anopheles_sialome/links/cluster-b/anopheline-sialome-cds-pep-larger-orf50-50SimCLTL5.txt", 39)</f>
        <v>39</v>
      </c>
      <c r="BX447">
        <f>HYPERLINK("http://exon.niaid.nih.gov/transcriptome/Anopheles_sialome/links/cluster-b/anopheline-sialome-cds-pep-larger-orf55-50SimCLU6.txt", 6)</f>
        <v>6</v>
      </c>
      <c r="BY447">
        <f>HYPERLINK("http://exon.niaid.nih.gov/transcriptome/Anopheles_sialome/links/cluster-b/anopheline-sialome-cds-pep-larger-orf55-50SimCLTL6.txt", 36)</f>
        <v>36</v>
      </c>
      <c r="BZ447">
        <f>HYPERLINK("http://exon.niaid.nih.gov/transcriptome/Anopheles_sialome/links/cluster-b/anopheline-sialome-cds-pep-larger-orf60-50SimCLU9.txt", 9)</f>
        <v>9</v>
      </c>
      <c r="CA447">
        <f>HYPERLINK("http://exon.niaid.nih.gov/transcriptome/Anopheles_sialome/links/cluster-b/anopheline-sialome-cds-pep-larger-orf60-50SimCLTL9.txt", 26)</f>
        <v>26</v>
      </c>
      <c r="CB447">
        <f>HYPERLINK("http://exon.niaid.nih.gov/transcriptome/Anopheles_sialome/links/cluster-b/anopheline-sialome-cds-pep-larger-orf65-50SimCLU6.txt", 6)</f>
        <v>6</v>
      </c>
      <c r="CC447">
        <f>HYPERLINK("http://exon.niaid.nih.gov/transcriptome/Anopheles_sialome/links/cluster-b/anopheline-sialome-cds-pep-larger-orf65-50SimCLTL6.txt", 26)</f>
        <v>26</v>
      </c>
      <c r="CD447">
        <f>HYPERLINK("http://exon.niaid.nih.gov/transcriptome/Anopheles_sialome/links/cluster-b/anopheline-sialome-cds-pep-larger-orf70-50SimCLU5.txt", 5)</f>
        <v>5</v>
      </c>
      <c r="CE447">
        <f>HYPERLINK("http://exon.niaid.nih.gov/transcriptome/Anopheles_sialome/links/cluster-b/anopheline-sialome-cds-pep-larger-orf70-50SimCLTL5.txt", 24)</f>
        <v>24</v>
      </c>
      <c r="CF447">
        <f>HYPERLINK("http://exon.niaid.nih.gov/transcriptome/Anopheles_sialome/links/cluster-b/anopheline-sialome-cds-pep-larger-orf75-50SimCLU73.txt", 73)</f>
        <v>73</v>
      </c>
      <c r="CG447">
        <f>HYPERLINK("http://exon.niaid.nih.gov/transcriptome/Anopheles_sialome/links/cluster-b/anopheline-sialome-cds-pep-larger-orf75-50SimCLTL73.txt", 2)</f>
        <v>2</v>
      </c>
      <c r="CH447">
        <f>HYPERLINK("http://exon.niaid.nih.gov/transcriptome/Anopheles_sialome/links/cluster-b/anopheline-sialome-cds-pep-larger-orf80-50SimCLU86.txt", 86)</f>
        <v>86</v>
      </c>
      <c r="CI447">
        <f>HYPERLINK("http://exon.niaid.nih.gov/transcriptome/Anopheles_sialome/links/cluster-b/anopheline-sialome-cds-pep-larger-orf80-50SimCLTL86.txt", 2)</f>
        <v>2</v>
      </c>
      <c r="CJ447">
        <f>HYPERLINK("http://exon.niaid.nih.gov/transcriptome/Anopheles_sialome/links/cluster-b/anopheline-sialome-cds-pep-larger-orf85-50SimCLU86.txt", 86)</f>
        <v>86</v>
      </c>
      <c r="CK447">
        <f>HYPERLINK("http://exon.niaid.nih.gov/transcriptome/Anopheles_sialome/links/cluster-b/anopheline-sialome-cds-pep-larger-orf85-50SimCLTL86.txt", 2)</f>
        <v>2</v>
      </c>
      <c r="CL447">
        <f>HYPERLINK("http://exon.niaid.nih.gov/transcriptome/Anopheles_sialome/links/cluster-b/anopheline-sialome-cds-pep-larger-orf90-50SimCLU75.txt", 75)</f>
        <v>75</v>
      </c>
      <c r="CM447">
        <f>HYPERLINK("http://exon.niaid.nih.gov/transcriptome/Anopheles_sialome/links/cluster-b/anopheline-sialome-cds-pep-larger-orf90-50SimCLTL75.txt", 2)</f>
        <v>2</v>
      </c>
      <c r="CN447">
        <v>313</v>
      </c>
      <c r="CO447">
        <v>1</v>
      </c>
    </row>
    <row r="448" spans="1:93">
      <c r="A448" s="6" t="s">
        <v>3211</v>
      </c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</row>
    <row r="449" spans="1:93">
      <c r="A449" s="2" t="str">
        <f>HYPERLINK("http://exon.niaid.nih.gov/transcriptome/Anopheles_sialome/links/cds/anoga_hyp37.7-2-cds.txt","anoga_hyp37.7-2")</f>
        <v>anoga_hyp37.7-2</v>
      </c>
      <c r="B449">
        <v>774</v>
      </c>
      <c r="C449" t="s">
        <v>314</v>
      </c>
      <c r="D449" t="s">
        <v>4</v>
      </c>
      <c r="E449" t="s">
        <v>5</v>
      </c>
      <c r="F449" t="s">
        <v>1</v>
      </c>
      <c r="G449" t="str">
        <f>HYPERLINK("http://exon.niaid.nih.gov/transcriptome/Anopheles_sialome/links/pep/anoga_hyp37.7-2-pep.txt","anoga_hyp37.7-2")</f>
        <v>anoga_hyp37.7-2</v>
      </c>
      <c r="H449">
        <v>257</v>
      </c>
      <c r="I449">
        <v>1</v>
      </c>
      <c r="J449" s="3" t="str">
        <f>HYPERLINK("http://exon.niaid.nih.gov/transcriptome/Anopheles_sialome/links/Sigp/anoga_hyp37.7-2-SigP.txt","SIG")</f>
        <v>SIG</v>
      </c>
      <c r="K449" t="s">
        <v>715</v>
      </c>
      <c r="L449">
        <v>28.713000000000001</v>
      </c>
      <c r="M449">
        <v>8.4600000000000009</v>
      </c>
      <c r="N449">
        <v>26.085000000000001</v>
      </c>
      <c r="O449">
        <v>8.0399999999999991</v>
      </c>
      <c r="P449" t="s">
        <v>1484</v>
      </c>
      <c r="Q449" s="3" t="str">
        <f>HYPERLINK("http://exon.niaid.nih.gov/transcriptome/Anopheles_sialome/links/tmhmm/anoga_hyp37.7-2-tmhmm.txt","1")</f>
        <v>1</v>
      </c>
      <c r="R449">
        <v>7</v>
      </c>
      <c r="S449">
        <v>90.3</v>
      </c>
      <c r="T449">
        <v>2.7</v>
      </c>
      <c r="U449" t="s">
        <v>128</v>
      </c>
      <c r="V449">
        <v>232</v>
      </c>
      <c r="W449" s="3" t="str">
        <f>HYPERLINK("http://exon.niaid.nih.gov/transcriptome/Anopheles_sialome/links/netoglyc/anoga_hyp37.7-2-netoglyc.txt","3")</f>
        <v>3</v>
      </c>
      <c r="X449">
        <v>14</v>
      </c>
      <c r="Y449">
        <v>7.8</v>
      </c>
      <c r="Z449">
        <v>2.2999999999999998</v>
      </c>
      <c r="AA449" t="s">
        <v>654</v>
      </c>
      <c r="AB449" t="s">
        <v>128</v>
      </c>
      <c r="AC449" s="2" t="str">
        <f>HYPERLINK("http://exon.niaid.nih.gov/transcriptome/Anopheles_sialome/links/DIPTERA/anoga_hyp37.7-2-DIPTERA.txt","AGAP001989-PA")</f>
        <v>AGAP001989-PA</v>
      </c>
      <c r="AD449" t="str">
        <f>HYPERLINK("http://www.ncbi.nlm.nih.gov/sutils/blink.cgi?pid=116115972","1E-145")</f>
        <v>1E-145</v>
      </c>
      <c r="AE449" t="str">
        <f t="shared" ref="AE449:AE458" si="156">HYPERLINK("http://www.ncbi.nlm.nih.gov/protein/116115972","gi|116115972")</f>
        <v>gi|116115972</v>
      </c>
      <c r="AF449">
        <v>100</v>
      </c>
      <c r="AG449">
        <v>100</v>
      </c>
      <c r="AH449">
        <v>100</v>
      </c>
      <c r="AI449" t="s">
        <v>2285</v>
      </c>
      <c r="AJ449" s="2" t="str">
        <f>HYPERLINK("http://exon.niaid.nih.gov/transcriptome/Anopheles_sialome/links/CULICOMORPHA/anoga_hyp37.7-2-CULICOMORPHA.txt","AGAP001989-PA")</f>
        <v>AGAP001989-PA</v>
      </c>
      <c r="AK449" t="str">
        <f>HYPERLINK("http://www.ncbi.nlm.nih.gov/sutils/blink.cgi?pid=116115972","1E-146")</f>
        <v>1E-146</v>
      </c>
      <c r="AL449" t="str">
        <f t="shared" ref="AL449:AL458" si="157">HYPERLINK("http://www.ncbi.nlm.nih.gov/protein/116115972","gi|116115972")</f>
        <v>gi|116115972</v>
      </c>
      <c r="AM449">
        <v>100</v>
      </c>
      <c r="AN449">
        <v>100</v>
      </c>
      <c r="AO449">
        <v>100</v>
      </c>
      <c r="AP449" t="s">
        <v>2285</v>
      </c>
      <c r="AQ449" s="2" t="str">
        <f>HYPERLINK("http://exon.niaid.nih.gov/transcriptome/Anopheles_sialome/links/NR-LIGHT/anoga_hyp37.7-2-NR-LIGHT.txt","AGAP001989-PA")</f>
        <v>AGAP001989-PA</v>
      </c>
      <c r="AR449" t="str">
        <f>HYPERLINK("http://www.ncbi.nlm.nih.gov/sutils/blink.cgi?pid=118793773","1E-145")</f>
        <v>1E-145</v>
      </c>
      <c r="AS449" t="str">
        <f t="shared" ref="AS449:AS458" si="158">HYPERLINK("http://www.ncbi.nlm.nih.gov/protein/118793773","gi|118793773")</f>
        <v>gi|118793773</v>
      </c>
      <c r="AT449">
        <v>100</v>
      </c>
      <c r="AU449">
        <v>100</v>
      </c>
      <c r="AV449">
        <v>100</v>
      </c>
      <c r="AW449" t="s">
        <v>2285</v>
      </c>
      <c r="AX449" s="2" t="str">
        <f>HYPERLINK("http://exon.niaid.nih.gov/transcriptome/Anopheles_sialome/links/CDD/anoga_hyp37.7-2-CDD.txt","CE4_PgaB_5s")</f>
        <v>CE4_PgaB_5s</v>
      </c>
      <c r="AY449" t="str">
        <f>HYPERLINK("http://www.ncbi.nlm.nih.gov/Structure/cdd/cddsrv.cgi?uid=cd10964&amp;version=v4.0","0.17")</f>
        <v>0.17</v>
      </c>
      <c r="AZ449" t="s">
        <v>2731</v>
      </c>
      <c r="BA449" s="2" t="str">
        <f>HYPERLINK("http://exon.niaid.nih.gov/transcriptome/Anopheles_sialome/links/KOG/anoga_hyp37.7-2-KOG.txt","Regulator of arginine metabolism and related MADS box-containing transcription factors")</f>
        <v>Regulator of arginine metabolism and related MADS box-containing transcription factors</v>
      </c>
      <c r="BB449" t="str">
        <f>HYPERLINK("http://www.ncbi.nlm.nih.gov/Structure/cdd/cddsrv.cgi?uid=KOG0015","0.81")</f>
        <v>0.81</v>
      </c>
      <c r="BC449" t="s">
        <v>2262</v>
      </c>
      <c r="BD449" t="str">
        <f>HYPERLINK("http://exon.niaid.nih.gov/transcriptome/Anopheles_sialome/links/KOG/anoga_hyp37.7-2-KOG.txt","KOG0015")</f>
        <v>KOG0015</v>
      </c>
      <c r="BE449" t="str">
        <f>HYPERLINK("http://exon.niaid.nih.gov/transcriptome/Anopheles_sialome/links/PFAM/anoga_hyp37.7-2-PFAM.txt","FancD2")</f>
        <v>FancD2</v>
      </c>
      <c r="BF449" t="str">
        <f>HYPERLINK("http://pfam.sanger.ac.uk/family?acc=PF14631","0.047")</f>
        <v>0.047</v>
      </c>
      <c r="BG449" s="2" t="str">
        <f>HYPERLINK("http://exon.niaid.nih.gov/transcriptome/Anopheles_sialome/links/SMART/anoga_hyp37.7-2-SMART.txt","RAB")</f>
        <v>RAB</v>
      </c>
      <c r="BH449" t="str">
        <f>HYPERLINK("http://smart.embl-heidelberg.de/smart/do_annotation.pl?DOMAIN=RAB&amp;BLAST=DUMMY","1.1")</f>
        <v>1.1</v>
      </c>
      <c r="BI449" t="str">
        <f>HYPERLINK("http://exon.niaid.nih.gov/transcriptome/Anopheles_sialome/links/TICK-BLOCKS/anoga_hyp37.7-2-TICK-BLOCKS.txt","Hyp37 |Hyp37_stringent_pattern |")</f>
        <v>Hyp37 |Hyp37_stringent_pattern |</v>
      </c>
      <c r="BJ449" s="2" t="s">
        <v>2712</v>
      </c>
      <c r="BK449" t="s">
        <v>1483</v>
      </c>
      <c r="BL449">
        <f>HYPERLINK("http://exon.niaid.nih.gov/transcriptome/Anopheles_sialome/links/cluster-b/anopheline-sialome-cds-pep-larger-orf25-50SimCLU7.txt", 7)</f>
        <v>7</v>
      </c>
      <c r="BM449">
        <f>HYPERLINK("http://exon.niaid.nih.gov/transcriptome/Anopheles_sialome/links/cluster-b/anopheline-sialome-cds-pep-larger-orf25-50SimCLTL7.txt", 40)</f>
        <v>40</v>
      </c>
      <c r="BN449">
        <f>HYPERLINK("http://exon.niaid.nih.gov/transcriptome/Anopheles_sialome/links/cluster-b/anopheline-sialome-cds-pep-larger-orf30-50SimCLU6.txt", 6)</f>
        <v>6</v>
      </c>
      <c r="BO449">
        <f>HYPERLINK("http://exon.niaid.nih.gov/transcriptome/Anopheles_sialome/links/cluster-b/anopheline-sialome-cds-pep-larger-orf30-50SimCLTL6.txt", 40)</f>
        <v>40</v>
      </c>
      <c r="BP449">
        <f>HYPERLINK("http://exon.niaid.nih.gov/transcriptome/Anopheles_sialome/links/cluster-b/anopheline-sialome-cds-pep-larger-orf35-50SimCLU7.txt", 7)</f>
        <v>7</v>
      </c>
      <c r="BQ449">
        <f>HYPERLINK("http://exon.niaid.nih.gov/transcriptome/Anopheles_sialome/links/cluster-b/anopheline-sialome-cds-pep-larger-orf35-50SimCLTL7.txt", 40)</f>
        <v>40</v>
      </c>
      <c r="BR449">
        <f>HYPERLINK("http://exon.niaid.nih.gov/transcriptome/Anopheles_sialome/links/cluster-b/anopheline-sialome-cds-pep-larger-orf40-50SimCLU6.txt", 6)</f>
        <v>6</v>
      </c>
      <c r="BS449">
        <f>HYPERLINK("http://exon.niaid.nih.gov/transcriptome/Anopheles_sialome/links/cluster-b/anopheline-sialome-cds-pep-larger-orf40-50SimCLTL6.txt", 39)</f>
        <v>39</v>
      </c>
      <c r="BT449">
        <f>HYPERLINK("http://exon.niaid.nih.gov/transcriptome/Anopheles_sialome/links/cluster-b/anopheline-sialome-cds-pep-larger-orf45-50SimCLU5.txt", 5)</f>
        <v>5</v>
      </c>
      <c r="BU449">
        <f>HYPERLINK("http://exon.niaid.nih.gov/transcriptome/Anopheles_sialome/links/cluster-b/anopheline-sialome-cds-pep-larger-orf45-50SimCLTL5.txt", 39)</f>
        <v>39</v>
      </c>
      <c r="BV449">
        <f>HYPERLINK("http://exon.niaid.nih.gov/transcriptome/Anopheles_sialome/links/cluster-b/anopheline-sialome-cds-pep-larger-orf50-50SimCLU5.txt", 5)</f>
        <v>5</v>
      </c>
      <c r="BW449">
        <f>HYPERLINK("http://exon.niaid.nih.gov/transcriptome/Anopheles_sialome/links/cluster-b/anopheline-sialome-cds-pep-larger-orf50-50SimCLTL5.txt", 39)</f>
        <v>39</v>
      </c>
      <c r="BX449">
        <f>HYPERLINK("http://exon.niaid.nih.gov/transcriptome/Anopheles_sialome/links/cluster-b/anopheline-sialome-cds-pep-larger-orf55-50SimCLU6.txt", 6)</f>
        <v>6</v>
      </c>
      <c r="BY449">
        <f>HYPERLINK("http://exon.niaid.nih.gov/transcriptome/Anopheles_sialome/links/cluster-b/anopheline-sialome-cds-pep-larger-orf55-50SimCLTL6.txt", 36)</f>
        <v>36</v>
      </c>
      <c r="BZ449">
        <f>HYPERLINK("http://exon.niaid.nih.gov/transcriptome/Anopheles_sialome/links/cluster-b/anopheline-sialome-cds-pep-larger-orf60-50SimCLU9.txt", 9)</f>
        <v>9</v>
      </c>
      <c r="CA449">
        <f>HYPERLINK("http://exon.niaid.nih.gov/transcriptome/Anopheles_sialome/links/cluster-b/anopheline-sialome-cds-pep-larger-orf60-50SimCLTL9.txt", 26)</f>
        <v>26</v>
      </c>
      <c r="CB449">
        <f>HYPERLINK("http://exon.niaid.nih.gov/transcriptome/Anopheles_sialome/links/cluster-b/anopheline-sialome-cds-pep-larger-orf65-50SimCLU6.txt", 6)</f>
        <v>6</v>
      </c>
      <c r="CC449">
        <f>HYPERLINK("http://exon.niaid.nih.gov/transcriptome/Anopheles_sialome/links/cluster-b/anopheline-sialome-cds-pep-larger-orf65-50SimCLTL6.txt", 26)</f>
        <v>26</v>
      </c>
      <c r="CD449">
        <f>HYPERLINK("http://exon.niaid.nih.gov/transcriptome/Anopheles_sialome/links/cluster-b/anopheline-sialome-cds-pep-larger-orf70-50SimCLU5.txt", 5)</f>
        <v>5</v>
      </c>
      <c r="CE449">
        <f>HYPERLINK("http://exon.niaid.nih.gov/transcriptome/Anopheles_sialome/links/cluster-b/anopheline-sialome-cds-pep-larger-orf70-50SimCLTL5.txt", 24)</f>
        <v>24</v>
      </c>
      <c r="CF449">
        <f>HYPERLINK("http://exon.niaid.nih.gov/transcriptome/Anopheles_sialome/links/cluster-b/anopheline-sialome-cds-pep-larger-orf75-50SimCLU20.txt", 20)</f>
        <v>20</v>
      </c>
      <c r="CG449">
        <f>HYPERLINK("http://exon.niaid.nih.gov/transcriptome/Anopheles_sialome/links/cluster-b/anopheline-sialome-cds-pep-larger-orf75-50SimCLTL20.txt", 15)</f>
        <v>15</v>
      </c>
      <c r="CH449">
        <f>HYPERLINK("http://exon.niaid.nih.gov/transcriptome/Anopheles_sialome/links/cluster-b/anopheline-sialome-cds-pep-larger-orf80-50SimCLU25.txt", 25)</f>
        <v>25</v>
      </c>
      <c r="CI449">
        <f>HYPERLINK("http://exon.niaid.nih.gov/transcriptome/Anopheles_sialome/links/cluster-b/anopheline-sialome-cds-pep-larger-orf80-50SimCLTL25.txt", 11)</f>
        <v>11</v>
      </c>
      <c r="CJ449">
        <f>HYPERLINK("http://exon.niaid.nih.gov/transcriptome/Anopheles_sialome/links/cluster-b/anopheline-sialome-cds-pep-larger-orf85-50SimCLU46.txt", 46)</f>
        <v>46</v>
      </c>
      <c r="CK449">
        <f>HYPERLINK("http://exon.niaid.nih.gov/transcriptome/Anopheles_sialome/links/cluster-b/anopheline-sialome-cds-pep-larger-orf85-50SimCLTL46.txt", 5)</f>
        <v>5</v>
      </c>
      <c r="CL449">
        <f>HYPERLINK("http://exon.niaid.nih.gov/transcriptome/Anopheles_sialome/links/cluster-b/anopheline-sialome-cds-pep-larger-orf90-50SimCLU43.txt", 43)</f>
        <v>43</v>
      </c>
      <c r="CM449">
        <f>HYPERLINK("http://exon.niaid.nih.gov/transcriptome/Anopheles_sialome/links/cluster-b/anopheline-sialome-cds-pep-larger-orf90-50SimCLTL43.txt", 5)</f>
        <v>5</v>
      </c>
      <c r="CN449">
        <f>HYPERLINK("http://exon.niaid.nih.gov/transcriptome/Anopheles_sialome/links/cluster-b/anopheline-sialome-cds-pep-larger-orf95-50SimCLU38.txt", 38)</f>
        <v>38</v>
      </c>
      <c r="CO449">
        <f>HYPERLINK("http://exon.niaid.nih.gov/transcriptome/Anopheles_sialome/links/cluster-b/anopheline-sialome-cds-pep-larger-orf95-50SimCLTL38.txt", 5)</f>
        <v>5</v>
      </c>
    </row>
    <row r="450" spans="1:93">
      <c r="A450" s="2" t="str">
        <f>HYPERLINK("http://exon.niaid.nih.gov/transcriptome/Anopheles_sialome/links/cds/anocol_hyp37.7-2-cds.txt","anocol_hyp37.7-2")</f>
        <v>anocol_hyp37.7-2</v>
      </c>
      <c r="B450">
        <v>768</v>
      </c>
      <c r="C450" t="s">
        <v>315</v>
      </c>
      <c r="D450" t="s">
        <v>4</v>
      </c>
      <c r="E450" t="s">
        <v>5</v>
      </c>
      <c r="F450" t="s">
        <v>1</v>
      </c>
      <c r="G450" t="str">
        <f>HYPERLINK("http://exon.niaid.nih.gov/transcriptome/Anopheles_sialome/links/pep/anocol_hyp37.7-2-pep.txt","anocol_hyp37.7-2")</f>
        <v>anocol_hyp37.7-2</v>
      </c>
      <c r="H450">
        <v>255</v>
      </c>
      <c r="I450">
        <v>1</v>
      </c>
      <c r="J450" s="3" t="str">
        <f>HYPERLINK("http://exon.niaid.nih.gov/transcriptome/Anopheles_sialome/links/Sigp/anocol_hyp37.7-2-SigP.txt","SIG")</f>
        <v>SIG</v>
      </c>
      <c r="K450" t="s">
        <v>708</v>
      </c>
      <c r="L450">
        <v>28.448</v>
      </c>
      <c r="M450">
        <v>8.4700000000000006</v>
      </c>
      <c r="N450">
        <v>25.994</v>
      </c>
      <c r="O450">
        <v>8.02</v>
      </c>
      <c r="P450" t="s">
        <v>1486</v>
      </c>
      <c r="Q450" s="3">
        <v>0</v>
      </c>
      <c r="R450" t="s">
        <v>128</v>
      </c>
      <c r="S450" t="s">
        <v>128</v>
      </c>
      <c r="T450" t="s">
        <v>128</v>
      </c>
      <c r="U450" t="s">
        <v>128</v>
      </c>
      <c r="V450" t="s">
        <v>128</v>
      </c>
      <c r="W450" s="3" t="str">
        <f>HYPERLINK("http://exon.niaid.nih.gov/transcriptome/Anopheles_sialome/links/netoglyc/anocol_hyp37.7-2-netoglyc.txt","3")</f>
        <v>3</v>
      </c>
      <c r="X450">
        <v>12.9</v>
      </c>
      <c r="Y450">
        <v>8.1999999999999993</v>
      </c>
      <c r="Z450">
        <v>2.4</v>
      </c>
      <c r="AA450" t="s">
        <v>654</v>
      </c>
      <c r="AB450" t="s">
        <v>128</v>
      </c>
      <c r="AC450" s="2" t="str">
        <f>HYPERLINK("http://exon.niaid.nih.gov/transcriptome/Anopheles_sialome/links/DIPTERA/anocol_hyp37.7-2-DIPTERA.txt","AGAP001989-PA")</f>
        <v>AGAP001989-PA</v>
      </c>
      <c r="AD450" t="str">
        <f>HYPERLINK("http://www.ncbi.nlm.nih.gov/sutils/blink.cgi?pid=116115972","1E-140")</f>
        <v>1E-140</v>
      </c>
      <c r="AE450" t="str">
        <f t="shared" si="156"/>
        <v>gi|116115972</v>
      </c>
      <c r="AF450">
        <v>97</v>
      </c>
      <c r="AG450">
        <v>97</v>
      </c>
      <c r="AH450">
        <v>100</v>
      </c>
      <c r="AI450" t="s">
        <v>2285</v>
      </c>
      <c r="AJ450" s="2" t="str">
        <f>HYPERLINK("http://exon.niaid.nih.gov/transcriptome/Anopheles_sialome/links/CULICOMORPHA/anocol_hyp37.7-2-CULICOMORPHA.txt","AGAP001989-PA")</f>
        <v>AGAP001989-PA</v>
      </c>
      <c r="AK450" t="str">
        <f>HYPERLINK("http://www.ncbi.nlm.nih.gov/sutils/blink.cgi?pid=116115972","1E-140")</f>
        <v>1E-140</v>
      </c>
      <c r="AL450" t="str">
        <f t="shared" si="157"/>
        <v>gi|116115972</v>
      </c>
      <c r="AM450">
        <v>97</v>
      </c>
      <c r="AN450">
        <v>97</v>
      </c>
      <c r="AO450">
        <v>100</v>
      </c>
      <c r="AP450" t="s">
        <v>2285</v>
      </c>
      <c r="AQ450" s="2" t="str">
        <f>HYPERLINK("http://exon.niaid.nih.gov/transcriptome/Anopheles_sialome/links/NR-LIGHT/anocol_hyp37.7-2-NR-LIGHT.txt","AGAP001989-PA")</f>
        <v>AGAP001989-PA</v>
      </c>
      <c r="AR450" t="str">
        <f>HYPERLINK("http://www.ncbi.nlm.nih.gov/sutils/blink.cgi?pid=118793773","1E-139")</f>
        <v>1E-139</v>
      </c>
      <c r="AS450" t="str">
        <f t="shared" si="158"/>
        <v>gi|118793773</v>
      </c>
      <c r="AT450">
        <v>97</v>
      </c>
      <c r="AU450">
        <v>97</v>
      </c>
      <c r="AV450">
        <v>100</v>
      </c>
      <c r="AW450" t="s">
        <v>2285</v>
      </c>
      <c r="AX450" s="2" t="str">
        <f>HYPERLINK("http://exon.niaid.nih.gov/transcriptome/Anopheles_sialome/links/CDD/anocol_hyp37.7-2-CDD.txt","CE4_PgaB_5s")</f>
        <v>CE4_PgaB_5s</v>
      </c>
      <c r="AY450" t="str">
        <f>HYPERLINK("http://www.ncbi.nlm.nih.gov/Structure/cdd/cddsrv.cgi?uid=cd10964&amp;version=v4.0","0.18")</f>
        <v>0.18</v>
      </c>
      <c r="AZ450" t="s">
        <v>2732</v>
      </c>
      <c r="BA450" s="2" t="str">
        <f>HYPERLINK("http://exon.niaid.nih.gov/transcriptome/Anopheles_sialome/links/KOG/anocol_hyp37.7-2-KOG.txt","Regulator of arginine metabolism and related MADS box-containing transcription factors")</f>
        <v>Regulator of arginine metabolism and related MADS box-containing transcription factors</v>
      </c>
      <c r="BB450" t="str">
        <f>HYPERLINK("http://www.ncbi.nlm.nih.gov/Structure/cdd/cddsrv.cgi?uid=KOG0015","0.76")</f>
        <v>0.76</v>
      </c>
      <c r="BC450" t="s">
        <v>2262</v>
      </c>
      <c r="BD450" t="str">
        <f>HYPERLINK("http://exon.niaid.nih.gov/transcriptome/Anopheles_sialome/links/KOG/anocol_hyp37.7-2-KOG.txt","KOG0015")</f>
        <v>KOG0015</v>
      </c>
      <c r="BE450" t="str">
        <f>HYPERLINK("http://exon.niaid.nih.gov/transcriptome/Anopheles_sialome/links/PFAM/anocol_hyp37.7-2-PFAM.txt","FancD2")</f>
        <v>FancD2</v>
      </c>
      <c r="BF450" t="str">
        <f>HYPERLINK("http://pfam.sanger.ac.uk/family?acc=PF14631","0.044")</f>
        <v>0.044</v>
      </c>
      <c r="BG450" s="2" t="str">
        <f>HYPERLINK("http://exon.niaid.nih.gov/transcriptome/Anopheles_sialome/links/SMART/anocol_hyp37.7-2-SMART.txt","RAB")</f>
        <v>RAB</v>
      </c>
      <c r="BH450" t="str">
        <f>HYPERLINK("http://smart.embl-heidelberg.de/smart/do_annotation.pl?DOMAIN=RAB&amp;BLAST=DUMMY","1.0")</f>
        <v>1.0</v>
      </c>
      <c r="BI450" t="str">
        <f>HYPERLINK("http://exon.niaid.nih.gov/transcriptome/Anopheles_sialome/links/TICK-BLOCKS/anocol_hyp37.7-2-TICK-BLOCKS.txt","Hyp37 |Hyp37_stringent_pattern |")</f>
        <v>Hyp37 |Hyp37_stringent_pattern |</v>
      </c>
      <c r="BJ450" s="2" t="s">
        <v>2712</v>
      </c>
      <c r="BK450" t="s">
        <v>1485</v>
      </c>
      <c r="BL450">
        <f>HYPERLINK("http://exon.niaid.nih.gov/transcriptome/Anopheles_sialome/links/cluster-b/anopheline-sialome-cds-pep-larger-orf25-50SimCLU7.txt", 7)</f>
        <v>7</v>
      </c>
      <c r="BM450">
        <f>HYPERLINK("http://exon.niaid.nih.gov/transcriptome/Anopheles_sialome/links/cluster-b/anopheline-sialome-cds-pep-larger-orf25-50SimCLTL7.txt", 40)</f>
        <v>40</v>
      </c>
      <c r="BN450">
        <f>HYPERLINK("http://exon.niaid.nih.gov/transcriptome/Anopheles_sialome/links/cluster-b/anopheline-sialome-cds-pep-larger-orf30-50SimCLU6.txt", 6)</f>
        <v>6</v>
      </c>
      <c r="BO450">
        <f>HYPERLINK("http://exon.niaid.nih.gov/transcriptome/Anopheles_sialome/links/cluster-b/anopheline-sialome-cds-pep-larger-orf30-50SimCLTL6.txt", 40)</f>
        <v>40</v>
      </c>
      <c r="BP450">
        <f>HYPERLINK("http://exon.niaid.nih.gov/transcriptome/Anopheles_sialome/links/cluster-b/anopheline-sialome-cds-pep-larger-orf35-50SimCLU7.txt", 7)</f>
        <v>7</v>
      </c>
      <c r="BQ450">
        <f>HYPERLINK("http://exon.niaid.nih.gov/transcriptome/Anopheles_sialome/links/cluster-b/anopheline-sialome-cds-pep-larger-orf35-50SimCLTL7.txt", 40)</f>
        <v>40</v>
      </c>
      <c r="BR450">
        <f>HYPERLINK("http://exon.niaid.nih.gov/transcriptome/Anopheles_sialome/links/cluster-b/anopheline-sialome-cds-pep-larger-orf40-50SimCLU6.txt", 6)</f>
        <v>6</v>
      </c>
      <c r="BS450">
        <f>HYPERLINK("http://exon.niaid.nih.gov/transcriptome/Anopheles_sialome/links/cluster-b/anopheline-sialome-cds-pep-larger-orf40-50SimCLTL6.txt", 39)</f>
        <v>39</v>
      </c>
      <c r="BT450">
        <f>HYPERLINK("http://exon.niaid.nih.gov/transcriptome/Anopheles_sialome/links/cluster-b/anopheline-sialome-cds-pep-larger-orf45-50SimCLU5.txt", 5)</f>
        <v>5</v>
      </c>
      <c r="BU450">
        <f>HYPERLINK("http://exon.niaid.nih.gov/transcriptome/Anopheles_sialome/links/cluster-b/anopheline-sialome-cds-pep-larger-orf45-50SimCLTL5.txt", 39)</f>
        <v>39</v>
      </c>
      <c r="BV450">
        <f>HYPERLINK("http://exon.niaid.nih.gov/transcriptome/Anopheles_sialome/links/cluster-b/anopheline-sialome-cds-pep-larger-orf50-50SimCLU5.txt", 5)</f>
        <v>5</v>
      </c>
      <c r="BW450">
        <f>HYPERLINK("http://exon.niaid.nih.gov/transcriptome/Anopheles_sialome/links/cluster-b/anopheline-sialome-cds-pep-larger-orf50-50SimCLTL5.txt", 39)</f>
        <v>39</v>
      </c>
      <c r="BX450">
        <f>HYPERLINK("http://exon.niaid.nih.gov/transcriptome/Anopheles_sialome/links/cluster-b/anopheline-sialome-cds-pep-larger-orf55-50SimCLU6.txt", 6)</f>
        <v>6</v>
      </c>
      <c r="BY450">
        <f>HYPERLINK("http://exon.niaid.nih.gov/transcriptome/Anopheles_sialome/links/cluster-b/anopheline-sialome-cds-pep-larger-orf55-50SimCLTL6.txt", 36)</f>
        <v>36</v>
      </c>
      <c r="BZ450">
        <f>HYPERLINK("http://exon.niaid.nih.gov/transcriptome/Anopheles_sialome/links/cluster-b/anopheline-sialome-cds-pep-larger-orf60-50SimCLU9.txt", 9)</f>
        <v>9</v>
      </c>
      <c r="CA450">
        <f>HYPERLINK("http://exon.niaid.nih.gov/transcriptome/Anopheles_sialome/links/cluster-b/anopheline-sialome-cds-pep-larger-orf60-50SimCLTL9.txt", 26)</f>
        <v>26</v>
      </c>
      <c r="CB450">
        <f>HYPERLINK("http://exon.niaid.nih.gov/transcriptome/Anopheles_sialome/links/cluster-b/anopheline-sialome-cds-pep-larger-orf65-50SimCLU6.txt", 6)</f>
        <v>6</v>
      </c>
      <c r="CC450">
        <f>HYPERLINK("http://exon.niaid.nih.gov/transcriptome/Anopheles_sialome/links/cluster-b/anopheline-sialome-cds-pep-larger-orf65-50SimCLTL6.txt", 26)</f>
        <v>26</v>
      </c>
      <c r="CD450">
        <f>HYPERLINK("http://exon.niaid.nih.gov/transcriptome/Anopheles_sialome/links/cluster-b/anopheline-sialome-cds-pep-larger-orf70-50SimCLU5.txt", 5)</f>
        <v>5</v>
      </c>
      <c r="CE450">
        <f>HYPERLINK("http://exon.niaid.nih.gov/transcriptome/Anopheles_sialome/links/cluster-b/anopheline-sialome-cds-pep-larger-orf70-50SimCLTL5.txt", 24)</f>
        <v>24</v>
      </c>
      <c r="CF450">
        <f>HYPERLINK("http://exon.niaid.nih.gov/transcriptome/Anopheles_sialome/links/cluster-b/anopheline-sialome-cds-pep-larger-orf75-50SimCLU20.txt", 20)</f>
        <v>20</v>
      </c>
      <c r="CG450">
        <f>HYPERLINK("http://exon.niaid.nih.gov/transcriptome/Anopheles_sialome/links/cluster-b/anopheline-sialome-cds-pep-larger-orf75-50SimCLTL20.txt", 15)</f>
        <v>15</v>
      </c>
      <c r="CH450">
        <f>HYPERLINK("http://exon.niaid.nih.gov/transcriptome/Anopheles_sialome/links/cluster-b/anopheline-sialome-cds-pep-larger-orf80-50SimCLU25.txt", 25)</f>
        <v>25</v>
      </c>
      <c r="CI450">
        <f>HYPERLINK("http://exon.niaid.nih.gov/transcriptome/Anopheles_sialome/links/cluster-b/anopheline-sialome-cds-pep-larger-orf80-50SimCLTL25.txt", 11)</f>
        <v>11</v>
      </c>
      <c r="CJ450">
        <f>HYPERLINK("http://exon.niaid.nih.gov/transcriptome/Anopheles_sialome/links/cluster-b/anopheline-sialome-cds-pep-larger-orf85-50SimCLU46.txt", 46)</f>
        <v>46</v>
      </c>
      <c r="CK450">
        <f>HYPERLINK("http://exon.niaid.nih.gov/transcriptome/Anopheles_sialome/links/cluster-b/anopheline-sialome-cds-pep-larger-orf85-50SimCLTL46.txt", 5)</f>
        <v>5</v>
      </c>
      <c r="CL450">
        <f>HYPERLINK("http://exon.niaid.nih.gov/transcriptome/Anopheles_sialome/links/cluster-b/anopheline-sialome-cds-pep-larger-orf90-50SimCLU43.txt", 43)</f>
        <v>43</v>
      </c>
      <c r="CM450">
        <f>HYPERLINK("http://exon.niaid.nih.gov/transcriptome/Anopheles_sialome/links/cluster-b/anopheline-sialome-cds-pep-larger-orf90-50SimCLTL43.txt", 5)</f>
        <v>5</v>
      </c>
      <c r="CN450">
        <f>HYPERLINK("http://exon.niaid.nih.gov/transcriptome/Anopheles_sialome/links/cluster-b/anopheline-sialome-cds-pep-larger-orf95-50SimCLU38.txt", 38)</f>
        <v>38</v>
      </c>
      <c r="CO450">
        <f>HYPERLINK("http://exon.niaid.nih.gov/transcriptome/Anopheles_sialome/links/cluster-b/anopheline-sialome-cds-pep-larger-orf95-50SimCLTL38.txt", 5)</f>
        <v>5</v>
      </c>
    </row>
    <row r="451" spans="1:93">
      <c r="A451" s="2" t="str">
        <f>HYPERLINK("http://exon.niaid.nih.gov/transcriptome/Anopheles_sialome/links/cds/anoara_hyp37.7-2-cds.txt","anoara_hyp37.7-2")</f>
        <v>anoara_hyp37.7-2</v>
      </c>
      <c r="B451">
        <v>774</v>
      </c>
      <c r="C451" t="s">
        <v>299</v>
      </c>
      <c r="D451" t="s">
        <v>7</v>
      </c>
      <c r="E451" t="s">
        <v>5</v>
      </c>
      <c r="F451" t="s">
        <v>1</v>
      </c>
      <c r="G451" t="str">
        <f>HYPERLINK("http://exon.niaid.nih.gov/transcriptome/Anopheles_sialome/links/pep/anoara_hyp37.7-2-pep.txt","anoara_hyp37.7-2")</f>
        <v>anoara_hyp37.7-2</v>
      </c>
      <c r="H451">
        <v>257</v>
      </c>
      <c r="I451">
        <v>1</v>
      </c>
      <c r="J451" s="3" t="str">
        <f>HYPERLINK("http://exon.niaid.nih.gov/transcriptome/Anopheles_sialome/links/Sigp/anoara_hyp37.7-2-SigP.txt","SIG")</f>
        <v>SIG</v>
      </c>
      <c r="K451" t="s">
        <v>715</v>
      </c>
      <c r="L451">
        <v>28.652999999999999</v>
      </c>
      <c r="M451">
        <v>8.4700000000000006</v>
      </c>
      <c r="N451">
        <v>26.024999999999999</v>
      </c>
      <c r="O451">
        <v>8.0500000000000007</v>
      </c>
      <c r="P451" t="s">
        <v>1488</v>
      </c>
      <c r="Q451" s="3" t="str">
        <f>HYPERLINK("http://exon.niaid.nih.gov/transcriptome/Anopheles_sialome/links/tmhmm/anoara_hyp37.7-2-tmhmm.txt","1")</f>
        <v>1</v>
      </c>
      <c r="R451">
        <v>7</v>
      </c>
      <c r="S451">
        <v>90.3</v>
      </c>
      <c r="T451">
        <v>2.7</v>
      </c>
      <c r="U451" t="s">
        <v>128</v>
      </c>
      <c r="V451">
        <v>232</v>
      </c>
      <c r="W451" s="3" t="str">
        <f>HYPERLINK("http://exon.niaid.nih.gov/transcriptome/Anopheles_sialome/links/netoglyc/anoara_hyp37.7-2-netoglyc.txt","3")</f>
        <v>3</v>
      </c>
      <c r="X451">
        <v>13.2</v>
      </c>
      <c r="Y451">
        <v>8.1999999999999993</v>
      </c>
      <c r="Z451">
        <v>2.2999999999999998</v>
      </c>
      <c r="AA451" t="s">
        <v>654</v>
      </c>
      <c r="AB451" t="s">
        <v>128</v>
      </c>
      <c r="AC451" s="2" t="str">
        <f>HYPERLINK("http://exon.niaid.nih.gov/transcriptome/Anopheles_sialome/links/DIPTERA/anoara_hyp37.7-2-DIPTERA.txt","AGAP001989-PA")</f>
        <v>AGAP001989-PA</v>
      </c>
      <c r="AD451" t="str">
        <f>HYPERLINK("http://www.ncbi.nlm.nih.gov/sutils/blink.cgi?pid=116115972","1E-143")</f>
        <v>1E-143</v>
      </c>
      <c r="AE451" t="str">
        <f t="shared" si="156"/>
        <v>gi|116115972</v>
      </c>
      <c r="AF451">
        <v>98</v>
      </c>
      <c r="AG451">
        <v>98</v>
      </c>
      <c r="AH451">
        <v>100</v>
      </c>
      <c r="AI451" t="s">
        <v>2285</v>
      </c>
      <c r="AJ451" s="2" t="str">
        <f>HYPERLINK("http://exon.niaid.nih.gov/transcriptome/Anopheles_sialome/links/CULICOMORPHA/anoara_hyp37.7-2-CULICOMORPHA.txt","AGAP001989-PA")</f>
        <v>AGAP001989-PA</v>
      </c>
      <c r="AK451" t="str">
        <f>HYPERLINK("http://www.ncbi.nlm.nih.gov/sutils/blink.cgi?pid=116115972","1E-144")</f>
        <v>1E-144</v>
      </c>
      <c r="AL451" t="str">
        <f t="shared" si="157"/>
        <v>gi|116115972</v>
      </c>
      <c r="AM451">
        <v>98</v>
      </c>
      <c r="AN451">
        <v>98</v>
      </c>
      <c r="AO451">
        <v>100</v>
      </c>
      <c r="AP451" t="s">
        <v>2285</v>
      </c>
      <c r="AQ451" s="2" t="str">
        <f>HYPERLINK("http://exon.niaid.nih.gov/transcriptome/Anopheles_sialome/links/NR-LIGHT/anoara_hyp37.7-2-NR-LIGHT.txt","AGAP001989-PA")</f>
        <v>AGAP001989-PA</v>
      </c>
      <c r="AR451" t="str">
        <f>HYPERLINK("http://www.ncbi.nlm.nih.gov/sutils/blink.cgi?pid=118793773","1E-142")</f>
        <v>1E-142</v>
      </c>
      <c r="AS451" t="str">
        <f t="shared" si="158"/>
        <v>gi|118793773</v>
      </c>
      <c r="AT451">
        <v>98</v>
      </c>
      <c r="AU451">
        <v>98</v>
      </c>
      <c r="AV451">
        <v>100</v>
      </c>
      <c r="AW451" t="s">
        <v>2285</v>
      </c>
      <c r="AX451" s="2" t="str">
        <f>HYPERLINK("http://exon.niaid.nih.gov/transcriptome/Anopheles_sialome/links/CDD/anoara_hyp37.7-2-CDD.txt","FancD2")</f>
        <v>FancD2</v>
      </c>
      <c r="AY451" t="str">
        <f>HYPERLINK("http://www.ncbi.nlm.nih.gov/Structure/cdd/cddsrv.cgi?uid=pfam14631&amp;version=v4.0","0.21")</f>
        <v>0.21</v>
      </c>
      <c r="AZ451" t="s">
        <v>2733</v>
      </c>
      <c r="BA451" s="2" t="str">
        <f>HYPERLINK("http://exon.niaid.nih.gov/transcriptome/Anopheles_sialome/links/KOG/anoara_hyp37.7-2-KOG.txt","Regulator of arginine metabolism and related MADS box-containing transcription factors")</f>
        <v>Regulator of arginine metabolism and related MADS box-containing transcription factors</v>
      </c>
      <c r="BB451" t="str">
        <f>HYPERLINK("http://www.ncbi.nlm.nih.gov/Structure/cdd/cddsrv.cgi?uid=KOG0015","0.79")</f>
        <v>0.79</v>
      </c>
      <c r="BC451" t="s">
        <v>2262</v>
      </c>
      <c r="BD451" t="str">
        <f>HYPERLINK("http://exon.niaid.nih.gov/transcriptome/Anopheles_sialome/links/KOG/anoara_hyp37.7-2-KOG.txt","KOG0015")</f>
        <v>KOG0015</v>
      </c>
      <c r="BE451" t="str">
        <f>HYPERLINK("http://exon.niaid.nih.gov/transcriptome/Anopheles_sialome/links/PFAM/anoara_hyp37.7-2-PFAM.txt","FancD2")</f>
        <v>FancD2</v>
      </c>
      <c r="BF451" t="str">
        <f>HYPERLINK("http://pfam.sanger.ac.uk/family?acc=PF14631","0.042")</f>
        <v>0.042</v>
      </c>
      <c r="BG451" s="2" t="str">
        <f>HYPERLINK("http://exon.niaid.nih.gov/transcriptome/Anopheles_sialome/links/SMART/anoara_hyp37.7-2-SMART.txt","RAB")</f>
        <v>RAB</v>
      </c>
      <c r="BH451" t="str">
        <f>HYPERLINK("http://smart.embl-heidelberg.de/smart/do_annotation.pl?DOMAIN=RAB&amp;BLAST=DUMMY","1.1")</f>
        <v>1.1</v>
      </c>
      <c r="BI451" t="str">
        <f>HYPERLINK("http://exon.niaid.nih.gov/transcriptome/Anopheles_sialome/links/TICK-BLOCKS/anoara_hyp37.7-2-TICK-BLOCKS.txt","Hyp37 |Hyp37_stringent_pattern |")</f>
        <v>Hyp37 |Hyp37_stringent_pattern |</v>
      </c>
      <c r="BJ451" s="2" t="s">
        <v>2712</v>
      </c>
      <c r="BK451" t="s">
        <v>1487</v>
      </c>
      <c r="BL451">
        <f>HYPERLINK("http://exon.niaid.nih.gov/transcriptome/Anopheles_sialome/links/cluster-b/anopheline-sialome-cds-pep-larger-orf25-50SimCLU7.txt", 7)</f>
        <v>7</v>
      </c>
      <c r="BM451">
        <f>HYPERLINK("http://exon.niaid.nih.gov/transcriptome/Anopheles_sialome/links/cluster-b/anopheline-sialome-cds-pep-larger-orf25-50SimCLTL7.txt", 40)</f>
        <v>40</v>
      </c>
      <c r="BN451">
        <f>HYPERLINK("http://exon.niaid.nih.gov/transcriptome/Anopheles_sialome/links/cluster-b/anopheline-sialome-cds-pep-larger-orf30-50SimCLU6.txt", 6)</f>
        <v>6</v>
      </c>
      <c r="BO451">
        <f>HYPERLINK("http://exon.niaid.nih.gov/transcriptome/Anopheles_sialome/links/cluster-b/anopheline-sialome-cds-pep-larger-orf30-50SimCLTL6.txt", 40)</f>
        <v>40</v>
      </c>
      <c r="BP451">
        <f>HYPERLINK("http://exon.niaid.nih.gov/transcriptome/Anopheles_sialome/links/cluster-b/anopheline-sialome-cds-pep-larger-orf35-50SimCLU7.txt", 7)</f>
        <v>7</v>
      </c>
      <c r="BQ451">
        <f>HYPERLINK("http://exon.niaid.nih.gov/transcriptome/Anopheles_sialome/links/cluster-b/anopheline-sialome-cds-pep-larger-orf35-50SimCLTL7.txt", 40)</f>
        <v>40</v>
      </c>
      <c r="BR451">
        <f>HYPERLINK("http://exon.niaid.nih.gov/transcriptome/Anopheles_sialome/links/cluster-b/anopheline-sialome-cds-pep-larger-orf40-50SimCLU6.txt", 6)</f>
        <v>6</v>
      </c>
      <c r="BS451">
        <f>HYPERLINK("http://exon.niaid.nih.gov/transcriptome/Anopheles_sialome/links/cluster-b/anopheline-sialome-cds-pep-larger-orf40-50SimCLTL6.txt", 39)</f>
        <v>39</v>
      </c>
      <c r="BT451">
        <f>HYPERLINK("http://exon.niaid.nih.gov/transcriptome/Anopheles_sialome/links/cluster-b/anopheline-sialome-cds-pep-larger-orf45-50SimCLU5.txt", 5)</f>
        <v>5</v>
      </c>
      <c r="BU451">
        <f>HYPERLINK("http://exon.niaid.nih.gov/transcriptome/Anopheles_sialome/links/cluster-b/anopheline-sialome-cds-pep-larger-orf45-50SimCLTL5.txt", 39)</f>
        <v>39</v>
      </c>
      <c r="BV451">
        <f>HYPERLINK("http://exon.niaid.nih.gov/transcriptome/Anopheles_sialome/links/cluster-b/anopheline-sialome-cds-pep-larger-orf50-50SimCLU5.txt", 5)</f>
        <v>5</v>
      </c>
      <c r="BW451">
        <f>HYPERLINK("http://exon.niaid.nih.gov/transcriptome/Anopheles_sialome/links/cluster-b/anopheline-sialome-cds-pep-larger-orf50-50SimCLTL5.txt", 39)</f>
        <v>39</v>
      </c>
      <c r="BX451">
        <f>HYPERLINK("http://exon.niaid.nih.gov/transcriptome/Anopheles_sialome/links/cluster-b/anopheline-sialome-cds-pep-larger-orf55-50SimCLU6.txt", 6)</f>
        <v>6</v>
      </c>
      <c r="BY451">
        <f>HYPERLINK("http://exon.niaid.nih.gov/transcriptome/Anopheles_sialome/links/cluster-b/anopheline-sialome-cds-pep-larger-orf55-50SimCLTL6.txt", 36)</f>
        <v>36</v>
      </c>
      <c r="BZ451">
        <f>HYPERLINK("http://exon.niaid.nih.gov/transcriptome/Anopheles_sialome/links/cluster-b/anopheline-sialome-cds-pep-larger-orf60-50SimCLU9.txt", 9)</f>
        <v>9</v>
      </c>
      <c r="CA451">
        <f>HYPERLINK("http://exon.niaid.nih.gov/transcriptome/Anopheles_sialome/links/cluster-b/anopheline-sialome-cds-pep-larger-orf60-50SimCLTL9.txt", 26)</f>
        <v>26</v>
      </c>
      <c r="CB451">
        <f>HYPERLINK("http://exon.niaid.nih.gov/transcriptome/Anopheles_sialome/links/cluster-b/anopheline-sialome-cds-pep-larger-orf65-50SimCLU6.txt", 6)</f>
        <v>6</v>
      </c>
      <c r="CC451">
        <f>HYPERLINK("http://exon.niaid.nih.gov/transcriptome/Anopheles_sialome/links/cluster-b/anopheline-sialome-cds-pep-larger-orf65-50SimCLTL6.txt", 26)</f>
        <v>26</v>
      </c>
      <c r="CD451">
        <f>HYPERLINK("http://exon.niaid.nih.gov/transcriptome/Anopheles_sialome/links/cluster-b/anopheline-sialome-cds-pep-larger-orf70-50SimCLU5.txt", 5)</f>
        <v>5</v>
      </c>
      <c r="CE451">
        <f>HYPERLINK("http://exon.niaid.nih.gov/transcriptome/Anopheles_sialome/links/cluster-b/anopheline-sialome-cds-pep-larger-orf70-50SimCLTL5.txt", 24)</f>
        <v>24</v>
      </c>
      <c r="CF451">
        <f>HYPERLINK("http://exon.niaid.nih.gov/transcriptome/Anopheles_sialome/links/cluster-b/anopheline-sialome-cds-pep-larger-orf75-50SimCLU20.txt", 20)</f>
        <v>20</v>
      </c>
      <c r="CG451">
        <f>HYPERLINK("http://exon.niaid.nih.gov/transcriptome/Anopheles_sialome/links/cluster-b/anopheline-sialome-cds-pep-larger-orf75-50SimCLTL20.txt", 15)</f>
        <v>15</v>
      </c>
      <c r="CH451">
        <f>HYPERLINK("http://exon.niaid.nih.gov/transcriptome/Anopheles_sialome/links/cluster-b/anopheline-sialome-cds-pep-larger-orf80-50SimCLU25.txt", 25)</f>
        <v>25</v>
      </c>
      <c r="CI451">
        <f>HYPERLINK("http://exon.niaid.nih.gov/transcriptome/Anopheles_sialome/links/cluster-b/anopheline-sialome-cds-pep-larger-orf80-50SimCLTL25.txt", 11)</f>
        <v>11</v>
      </c>
      <c r="CJ451">
        <f>HYPERLINK("http://exon.niaid.nih.gov/transcriptome/Anopheles_sialome/links/cluster-b/anopheline-sialome-cds-pep-larger-orf85-50SimCLU46.txt", 46)</f>
        <v>46</v>
      </c>
      <c r="CK451">
        <f>HYPERLINK("http://exon.niaid.nih.gov/transcriptome/Anopheles_sialome/links/cluster-b/anopheline-sialome-cds-pep-larger-orf85-50SimCLTL46.txt", 5)</f>
        <v>5</v>
      </c>
      <c r="CL451">
        <f>HYPERLINK("http://exon.niaid.nih.gov/transcriptome/Anopheles_sialome/links/cluster-b/anopheline-sialome-cds-pep-larger-orf90-50SimCLU43.txt", 43)</f>
        <v>43</v>
      </c>
      <c r="CM451">
        <f>HYPERLINK("http://exon.niaid.nih.gov/transcriptome/Anopheles_sialome/links/cluster-b/anopheline-sialome-cds-pep-larger-orf90-50SimCLTL43.txt", 5)</f>
        <v>5</v>
      </c>
      <c r="CN451">
        <f>HYPERLINK("http://exon.niaid.nih.gov/transcriptome/Anopheles_sialome/links/cluster-b/anopheline-sialome-cds-pep-larger-orf95-50SimCLU38.txt", 38)</f>
        <v>38</v>
      </c>
      <c r="CO451">
        <f>HYPERLINK("http://exon.niaid.nih.gov/transcriptome/Anopheles_sialome/links/cluster-b/anopheline-sialome-cds-pep-larger-orf95-50SimCLTL38.txt", 5)</f>
        <v>5</v>
      </c>
    </row>
    <row r="452" spans="1:93">
      <c r="A452" s="2" t="str">
        <f>HYPERLINK("http://exon.niaid.nih.gov/transcriptome/Anopheles_sialome/links/cds/anoqua_hyp37.7-2-cds.txt","anoqua_hyp37.7-2")</f>
        <v>anoqua_hyp37.7-2</v>
      </c>
      <c r="B452">
        <v>768</v>
      </c>
      <c r="C452" t="s">
        <v>300</v>
      </c>
      <c r="D452" t="s">
        <v>7</v>
      </c>
      <c r="E452" t="s">
        <v>5</v>
      </c>
      <c r="F452" t="s">
        <v>1</v>
      </c>
      <c r="G452" t="str">
        <f>HYPERLINK("http://exon.niaid.nih.gov/transcriptome/Anopheles_sialome/links/pep/anoqua_hyp37.7-2-pep.txt","anoqua_hyp37.7-2")</f>
        <v>anoqua_hyp37.7-2</v>
      </c>
      <c r="H452">
        <v>255</v>
      </c>
      <c r="I452">
        <v>1</v>
      </c>
      <c r="J452" s="3" t="str">
        <f>HYPERLINK("http://exon.niaid.nih.gov/transcriptome/Anopheles_sialome/links/Sigp/anoqua_hyp37.7-2-SigP.txt","SIG")</f>
        <v>SIG</v>
      </c>
      <c r="K452" t="s">
        <v>708</v>
      </c>
      <c r="L452">
        <v>28.481999999999999</v>
      </c>
      <c r="M452">
        <v>8.4700000000000006</v>
      </c>
      <c r="N452">
        <v>25.994</v>
      </c>
      <c r="O452">
        <v>8.02</v>
      </c>
      <c r="P452" t="s">
        <v>1490</v>
      </c>
      <c r="Q452" s="3">
        <v>0</v>
      </c>
      <c r="R452" t="s">
        <v>128</v>
      </c>
      <c r="S452" t="s">
        <v>128</v>
      </c>
      <c r="T452" t="s">
        <v>128</v>
      </c>
      <c r="U452" t="s">
        <v>128</v>
      </c>
      <c r="V452" t="s">
        <v>128</v>
      </c>
      <c r="W452" s="3" t="str">
        <f>HYPERLINK("http://exon.niaid.nih.gov/transcriptome/Anopheles_sialome/links/netoglyc/anoqua_hyp37.7-2-netoglyc.txt","2")</f>
        <v>2</v>
      </c>
      <c r="X452">
        <v>12.9</v>
      </c>
      <c r="Y452">
        <v>8.1999999999999993</v>
      </c>
      <c r="Z452">
        <v>2.4</v>
      </c>
      <c r="AA452" t="s">
        <v>654</v>
      </c>
      <c r="AB452" t="s">
        <v>128</v>
      </c>
      <c r="AC452" s="2" t="str">
        <f>HYPERLINK("http://exon.niaid.nih.gov/transcriptome/Anopheles_sialome/links/DIPTERA/anoqua_hyp37.7-2-DIPTERA.txt","AGAP001989-PA")</f>
        <v>AGAP001989-PA</v>
      </c>
      <c r="AD452" t="str">
        <f>HYPERLINK("http://www.ncbi.nlm.nih.gov/sutils/blink.cgi?pid=116115972","1E-140")</f>
        <v>1E-140</v>
      </c>
      <c r="AE452" t="str">
        <f t="shared" si="156"/>
        <v>gi|116115972</v>
      </c>
      <c r="AF452">
        <v>96</v>
      </c>
      <c r="AG452">
        <v>97</v>
      </c>
      <c r="AH452">
        <v>100</v>
      </c>
      <c r="AI452" t="s">
        <v>2285</v>
      </c>
      <c r="AJ452" s="2" t="str">
        <f>HYPERLINK("http://exon.niaid.nih.gov/transcriptome/Anopheles_sialome/links/CULICOMORPHA/anoqua_hyp37.7-2-CULICOMORPHA.txt","AGAP001989-PA")</f>
        <v>AGAP001989-PA</v>
      </c>
      <c r="AK452" t="str">
        <f>HYPERLINK("http://www.ncbi.nlm.nih.gov/sutils/blink.cgi?pid=116115972","1E-141")</f>
        <v>1E-141</v>
      </c>
      <c r="AL452" t="str">
        <f t="shared" si="157"/>
        <v>gi|116115972</v>
      </c>
      <c r="AM452">
        <v>96</v>
      </c>
      <c r="AN452">
        <v>97</v>
      </c>
      <c r="AO452">
        <v>100</v>
      </c>
      <c r="AP452" t="s">
        <v>2285</v>
      </c>
      <c r="AQ452" s="2" t="str">
        <f>HYPERLINK("http://exon.niaid.nih.gov/transcriptome/Anopheles_sialome/links/NR-LIGHT/anoqua_hyp37.7-2-NR-LIGHT.txt","AGAP001989-PA")</f>
        <v>AGAP001989-PA</v>
      </c>
      <c r="AR452" t="str">
        <f>HYPERLINK("http://www.ncbi.nlm.nih.gov/sutils/blink.cgi?pid=118793773","1E-139")</f>
        <v>1E-139</v>
      </c>
      <c r="AS452" t="str">
        <f t="shared" si="158"/>
        <v>gi|118793773</v>
      </c>
      <c r="AT452">
        <v>96</v>
      </c>
      <c r="AU452">
        <v>97</v>
      </c>
      <c r="AV452">
        <v>100</v>
      </c>
      <c r="AW452" t="s">
        <v>2285</v>
      </c>
      <c r="AX452" s="2" t="str">
        <f>HYPERLINK("http://exon.niaid.nih.gov/transcriptome/Anopheles_sialome/links/CDD/anoqua_hyp37.7-2-CDD.txt","FancD2")</f>
        <v>FancD2</v>
      </c>
      <c r="AY452" t="str">
        <f>HYPERLINK("http://www.ncbi.nlm.nih.gov/Structure/cdd/cddsrv.cgi?uid=pfam14631&amp;version=v4.0","0.17")</f>
        <v>0.17</v>
      </c>
      <c r="AZ452" t="s">
        <v>2734</v>
      </c>
      <c r="BA452" s="2" t="str">
        <f>HYPERLINK("http://exon.niaid.nih.gov/transcriptome/Anopheles_sialome/links/KOG/anoqua_hyp37.7-2-KOG.txt","Regulator of arginine metabolism and related MADS box-containing transcription factors")</f>
        <v>Regulator of arginine metabolism and related MADS box-containing transcription factors</v>
      </c>
      <c r="BB452" t="str">
        <f>HYPERLINK("http://www.ncbi.nlm.nih.gov/Structure/cdd/cddsrv.cgi?uid=KOG0015","0.76")</f>
        <v>0.76</v>
      </c>
      <c r="BC452" t="s">
        <v>2262</v>
      </c>
      <c r="BD452" t="str">
        <f>HYPERLINK("http://exon.niaid.nih.gov/transcriptome/Anopheles_sialome/links/KOG/anoqua_hyp37.7-2-KOG.txt","KOG0015")</f>
        <v>KOG0015</v>
      </c>
      <c r="BE452" t="str">
        <f>HYPERLINK("http://exon.niaid.nih.gov/transcriptome/Anopheles_sialome/links/PFAM/anoqua_hyp37.7-2-PFAM.txt","FancD2")</f>
        <v>FancD2</v>
      </c>
      <c r="BF452" t="str">
        <f>HYPERLINK("http://pfam.sanger.ac.uk/family?acc=PF14631","0.035")</f>
        <v>0.035</v>
      </c>
      <c r="BG452" s="2" t="str">
        <f>HYPERLINK("http://exon.niaid.nih.gov/transcriptome/Anopheles_sialome/links/SMART/anoqua_hyp37.7-2-SMART.txt","RAB")</f>
        <v>RAB</v>
      </c>
      <c r="BH452" t="str">
        <f>HYPERLINK("http://smart.embl-heidelberg.de/smart/do_annotation.pl?DOMAIN=RAB&amp;BLAST=DUMMY","1.0")</f>
        <v>1.0</v>
      </c>
      <c r="BI452" t="str">
        <f>HYPERLINK("http://exon.niaid.nih.gov/transcriptome/Anopheles_sialome/links/TICK-BLOCKS/anoqua_hyp37.7-2-TICK-BLOCKS.txt","Hyp37 |Hyp37_stringent_pattern |")</f>
        <v>Hyp37 |Hyp37_stringent_pattern |</v>
      </c>
      <c r="BJ452" s="2" t="s">
        <v>2712</v>
      </c>
      <c r="BK452" t="s">
        <v>1489</v>
      </c>
      <c r="BL452">
        <f>HYPERLINK("http://exon.niaid.nih.gov/transcriptome/Anopheles_sialome/links/cluster-b/anopheline-sialome-cds-pep-larger-orf25-50SimCLU7.txt", 7)</f>
        <v>7</v>
      </c>
      <c r="BM452">
        <f>HYPERLINK("http://exon.niaid.nih.gov/transcriptome/Anopheles_sialome/links/cluster-b/anopheline-sialome-cds-pep-larger-orf25-50SimCLTL7.txt", 40)</f>
        <v>40</v>
      </c>
      <c r="BN452">
        <f>HYPERLINK("http://exon.niaid.nih.gov/transcriptome/Anopheles_sialome/links/cluster-b/anopheline-sialome-cds-pep-larger-orf30-50SimCLU6.txt", 6)</f>
        <v>6</v>
      </c>
      <c r="BO452">
        <f>HYPERLINK("http://exon.niaid.nih.gov/transcriptome/Anopheles_sialome/links/cluster-b/anopheline-sialome-cds-pep-larger-orf30-50SimCLTL6.txt", 40)</f>
        <v>40</v>
      </c>
      <c r="BP452">
        <f>HYPERLINK("http://exon.niaid.nih.gov/transcriptome/Anopheles_sialome/links/cluster-b/anopheline-sialome-cds-pep-larger-orf35-50SimCLU7.txt", 7)</f>
        <v>7</v>
      </c>
      <c r="BQ452">
        <f>HYPERLINK("http://exon.niaid.nih.gov/transcriptome/Anopheles_sialome/links/cluster-b/anopheline-sialome-cds-pep-larger-orf35-50SimCLTL7.txt", 40)</f>
        <v>40</v>
      </c>
      <c r="BR452">
        <f>HYPERLINK("http://exon.niaid.nih.gov/transcriptome/Anopheles_sialome/links/cluster-b/anopheline-sialome-cds-pep-larger-orf40-50SimCLU6.txt", 6)</f>
        <v>6</v>
      </c>
      <c r="BS452">
        <f>HYPERLINK("http://exon.niaid.nih.gov/transcriptome/Anopheles_sialome/links/cluster-b/anopheline-sialome-cds-pep-larger-orf40-50SimCLTL6.txt", 39)</f>
        <v>39</v>
      </c>
      <c r="BT452">
        <f>HYPERLINK("http://exon.niaid.nih.gov/transcriptome/Anopheles_sialome/links/cluster-b/anopheline-sialome-cds-pep-larger-orf45-50SimCLU5.txt", 5)</f>
        <v>5</v>
      </c>
      <c r="BU452">
        <f>HYPERLINK("http://exon.niaid.nih.gov/transcriptome/Anopheles_sialome/links/cluster-b/anopheline-sialome-cds-pep-larger-orf45-50SimCLTL5.txt", 39)</f>
        <v>39</v>
      </c>
      <c r="BV452">
        <f>HYPERLINK("http://exon.niaid.nih.gov/transcriptome/Anopheles_sialome/links/cluster-b/anopheline-sialome-cds-pep-larger-orf50-50SimCLU5.txt", 5)</f>
        <v>5</v>
      </c>
      <c r="BW452">
        <f>HYPERLINK("http://exon.niaid.nih.gov/transcriptome/Anopheles_sialome/links/cluster-b/anopheline-sialome-cds-pep-larger-orf50-50SimCLTL5.txt", 39)</f>
        <v>39</v>
      </c>
      <c r="BX452">
        <f>HYPERLINK("http://exon.niaid.nih.gov/transcriptome/Anopheles_sialome/links/cluster-b/anopheline-sialome-cds-pep-larger-orf55-50SimCLU6.txt", 6)</f>
        <v>6</v>
      </c>
      <c r="BY452">
        <f>HYPERLINK("http://exon.niaid.nih.gov/transcriptome/Anopheles_sialome/links/cluster-b/anopheline-sialome-cds-pep-larger-orf55-50SimCLTL6.txt", 36)</f>
        <v>36</v>
      </c>
      <c r="BZ452">
        <f>HYPERLINK("http://exon.niaid.nih.gov/transcriptome/Anopheles_sialome/links/cluster-b/anopheline-sialome-cds-pep-larger-orf60-50SimCLU9.txt", 9)</f>
        <v>9</v>
      </c>
      <c r="CA452">
        <f>HYPERLINK("http://exon.niaid.nih.gov/transcriptome/Anopheles_sialome/links/cluster-b/anopheline-sialome-cds-pep-larger-orf60-50SimCLTL9.txt", 26)</f>
        <v>26</v>
      </c>
      <c r="CB452">
        <f>HYPERLINK("http://exon.niaid.nih.gov/transcriptome/Anopheles_sialome/links/cluster-b/anopheline-sialome-cds-pep-larger-orf65-50SimCLU6.txt", 6)</f>
        <v>6</v>
      </c>
      <c r="CC452">
        <f>HYPERLINK("http://exon.niaid.nih.gov/transcriptome/Anopheles_sialome/links/cluster-b/anopheline-sialome-cds-pep-larger-orf65-50SimCLTL6.txt", 26)</f>
        <v>26</v>
      </c>
      <c r="CD452">
        <f>HYPERLINK("http://exon.niaid.nih.gov/transcriptome/Anopheles_sialome/links/cluster-b/anopheline-sialome-cds-pep-larger-orf70-50SimCLU5.txt", 5)</f>
        <v>5</v>
      </c>
      <c r="CE452">
        <f>HYPERLINK("http://exon.niaid.nih.gov/transcriptome/Anopheles_sialome/links/cluster-b/anopheline-sialome-cds-pep-larger-orf70-50SimCLTL5.txt", 24)</f>
        <v>24</v>
      </c>
      <c r="CF452">
        <f>HYPERLINK("http://exon.niaid.nih.gov/transcriptome/Anopheles_sialome/links/cluster-b/anopheline-sialome-cds-pep-larger-orf75-50SimCLU20.txt", 20)</f>
        <v>20</v>
      </c>
      <c r="CG452">
        <f>HYPERLINK("http://exon.niaid.nih.gov/transcriptome/Anopheles_sialome/links/cluster-b/anopheline-sialome-cds-pep-larger-orf75-50SimCLTL20.txt", 15)</f>
        <v>15</v>
      </c>
      <c r="CH452">
        <f>HYPERLINK("http://exon.niaid.nih.gov/transcriptome/Anopheles_sialome/links/cluster-b/anopheline-sialome-cds-pep-larger-orf80-50SimCLU25.txt", 25)</f>
        <v>25</v>
      </c>
      <c r="CI452">
        <f>HYPERLINK("http://exon.niaid.nih.gov/transcriptome/Anopheles_sialome/links/cluster-b/anopheline-sialome-cds-pep-larger-orf80-50SimCLTL25.txt", 11)</f>
        <v>11</v>
      </c>
      <c r="CJ452">
        <f>HYPERLINK("http://exon.niaid.nih.gov/transcriptome/Anopheles_sialome/links/cluster-b/anopheline-sialome-cds-pep-larger-orf85-50SimCLU46.txt", 46)</f>
        <v>46</v>
      </c>
      <c r="CK452">
        <f>HYPERLINK("http://exon.niaid.nih.gov/transcriptome/Anopheles_sialome/links/cluster-b/anopheline-sialome-cds-pep-larger-orf85-50SimCLTL46.txt", 5)</f>
        <v>5</v>
      </c>
      <c r="CL452">
        <f>HYPERLINK("http://exon.niaid.nih.gov/transcriptome/Anopheles_sialome/links/cluster-b/anopheline-sialome-cds-pep-larger-orf90-50SimCLU43.txt", 43)</f>
        <v>43</v>
      </c>
      <c r="CM452">
        <f>HYPERLINK("http://exon.niaid.nih.gov/transcriptome/Anopheles_sialome/links/cluster-b/anopheline-sialome-cds-pep-larger-orf90-50SimCLTL43.txt", 5)</f>
        <v>5</v>
      </c>
      <c r="CN452">
        <f>HYPERLINK("http://exon.niaid.nih.gov/transcriptome/Anopheles_sialome/links/cluster-b/anopheline-sialome-cds-pep-larger-orf95-50SimCLU38.txt", 38)</f>
        <v>38</v>
      </c>
      <c r="CO452">
        <f>HYPERLINK("http://exon.niaid.nih.gov/transcriptome/Anopheles_sialome/links/cluster-b/anopheline-sialome-cds-pep-larger-orf95-50SimCLTL38.txt", 5)</f>
        <v>5</v>
      </c>
    </row>
    <row r="453" spans="1:93">
      <c r="A453" s="2" t="str">
        <f>HYPERLINK("http://exon.niaid.nih.gov/transcriptome/Anopheles_sialome/links/cds/anomer_hyp37.7-2-cds.txt","anomer_hyp37.7-2")</f>
        <v>anomer_hyp37.7-2</v>
      </c>
      <c r="B453">
        <v>774</v>
      </c>
      <c r="C453" t="s">
        <v>301</v>
      </c>
      <c r="D453" t="s">
        <v>7</v>
      </c>
      <c r="E453" t="s">
        <v>5</v>
      </c>
      <c r="F453" t="s">
        <v>1</v>
      </c>
      <c r="G453" t="str">
        <f>HYPERLINK("http://exon.niaid.nih.gov/transcriptome/Anopheles_sialome/links/pep/anomer_hyp37.7-2-pep.txt","anomer_hyp37.7-2")</f>
        <v>anomer_hyp37.7-2</v>
      </c>
      <c r="H453">
        <v>257</v>
      </c>
      <c r="I453">
        <v>1</v>
      </c>
      <c r="J453" s="3" t="str">
        <f>HYPERLINK("http://exon.niaid.nih.gov/transcriptome/Anopheles_sialome/links/Sigp/anomer_hyp37.7-2-SigP.txt","SIG")</f>
        <v>SIG</v>
      </c>
      <c r="K453" t="s">
        <v>715</v>
      </c>
      <c r="L453">
        <v>28.702999999999999</v>
      </c>
      <c r="M453">
        <v>7.12</v>
      </c>
      <c r="N453">
        <v>26.105</v>
      </c>
      <c r="O453">
        <v>6.84</v>
      </c>
      <c r="P453" t="s">
        <v>1492</v>
      </c>
      <c r="Q453" s="3" t="str">
        <f>HYPERLINK("http://exon.niaid.nih.gov/transcriptome/Anopheles_sialome/links/tmhmm/anomer_hyp37.7-2-tmhmm.txt","1")</f>
        <v>1</v>
      </c>
      <c r="R453">
        <v>7</v>
      </c>
      <c r="S453">
        <v>90.3</v>
      </c>
      <c r="T453">
        <v>2.7</v>
      </c>
      <c r="U453" t="s">
        <v>128</v>
      </c>
      <c r="V453">
        <v>232</v>
      </c>
      <c r="W453" s="3" t="str">
        <f>HYPERLINK("http://exon.niaid.nih.gov/transcriptome/Anopheles_sialome/links/netoglyc/anomer_hyp37.7-2-netoglyc.txt","0")</f>
        <v>0</v>
      </c>
      <c r="X453">
        <v>13.6</v>
      </c>
      <c r="Y453">
        <v>7.8</v>
      </c>
      <c r="Z453">
        <v>1.9</v>
      </c>
      <c r="AA453" t="s">
        <v>654</v>
      </c>
      <c r="AB453" t="s">
        <v>128</v>
      </c>
      <c r="AC453" s="2" t="str">
        <f>HYPERLINK("http://exon.niaid.nih.gov/transcriptome/Anopheles_sialome/links/DIPTERA/anomer_hyp37.7-2-DIPTERA.txt","AGAP001989-PA")</f>
        <v>AGAP001989-PA</v>
      </c>
      <c r="AD453" t="str">
        <f>HYPERLINK("http://www.ncbi.nlm.nih.gov/sutils/blink.cgi?pid=116115972","1E-135")</f>
        <v>1E-135</v>
      </c>
      <c r="AE453" t="str">
        <f t="shared" si="156"/>
        <v>gi|116115972</v>
      </c>
      <c r="AF453">
        <v>92</v>
      </c>
      <c r="AG453">
        <v>96</v>
      </c>
      <c r="AH453">
        <v>100</v>
      </c>
      <c r="AI453" t="s">
        <v>2285</v>
      </c>
      <c r="AJ453" s="2" t="str">
        <f>HYPERLINK("http://exon.niaid.nih.gov/transcriptome/Anopheles_sialome/links/CULICOMORPHA/anomer_hyp37.7-2-CULICOMORPHA.txt","AGAP001989-PA")</f>
        <v>AGAP001989-PA</v>
      </c>
      <c r="AK453" t="str">
        <f>HYPERLINK("http://www.ncbi.nlm.nih.gov/sutils/blink.cgi?pid=116115972","1E-136")</f>
        <v>1E-136</v>
      </c>
      <c r="AL453" t="str">
        <f t="shared" si="157"/>
        <v>gi|116115972</v>
      </c>
      <c r="AM453">
        <v>92</v>
      </c>
      <c r="AN453">
        <v>96</v>
      </c>
      <c r="AO453">
        <v>100</v>
      </c>
      <c r="AP453" t="s">
        <v>2285</v>
      </c>
      <c r="AQ453" s="2" t="str">
        <f>HYPERLINK("http://exon.niaid.nih.gov/transcriptome/Anopheles_sialome/links/NR-LIGHT/anomer_hyp37.7-2-NR-LIGHT.txt","AGAP001989-PA")</f>
        <v>AGAP001989-PA</v>
      </c>
      <c r="AR453" t="str">
        <f>HYPERLINK("http://www.ncbi.nlm.nih.gov/sutils/blink.cgi?pid=118793773","1E-134")</f>
        <v>1E-134</v>
      </c>
      <c r="AS453" t="str">
        <f t="shared" si="158"/>
        <v>gi|118793773</v>
      </c>
      <c r="AT453">
        <v>92</v>
      </c>
      <c r="AU453">
        <v>96</v>
      </c>
      <c r="AV453">
        <v>100</v>
      </c>
      <c r="AW453" t="s">
        <v>2285</v>
      </c>
      <c r="AX453" s="2" t="str">
        <f>HYPERLINK("http://exon.niaid.nih.gov/transcriptome/Anopheles_sialome/links/CDD/anomer_hyp37.7-2-CDD.txt","FancD2")</f>
        <v>FancD2</v>
      </c>
      <c r="AY453" t="str">
        <f>HYPERLINK("http://www.ncbi.nlm.nih.gov/Structure/cdd/cddsrv.cgi?uid=pfam14631&amp;version=v4.0","0.29")</f>
        <v>0.29</v>
      </c>
      <c r="AZ453" t="s">
        <v>2735</v>
      </c>
      <c r="BA453" s="2" t="str">
        <f>HYPERLINK("http://exon.niaid.nih.gov/transcriptome/Anopheles_sialome/links/KOG/anomer_hyp37.7-2-KOG.txt","Predicted protein involved in nuclear export of pre-ribosomes")</f>
        <v>Predicted protein involved in nuclear export of pre-ribosomes</v>
      </c>
      <c r="BB453" t="str">
        <f>HYPERLINK("http://www.ncbi.nlm.nih.gov/Structure/cdd/cddsrv.cgi?uid=KOG2256","0.18")</f>
        <v>0.18</v>
      </c>
      <c r="BC453" t="s">
        <v>2260</v>
      </c>
      <c r="BD453" t="str">
        <f>HYPERLINK("http://exon.niaid.nih.gov/transcriptome/Anopheles_sialome/links/KOG/anomer_hyp37.7-2-KOG.txt","KOG2256")</f>
        <v>KOG2256</v>
      </c>
      <c r="BE453" t="str">
        <f>HYPERLINK("http://exon.niaid.nih.gov/transcriptome/Anopheles_sialome/links/PFAM/anomer_hyp37.7-2-PFAM.txt","FancD2")</f>
        <v>FancD2</v>
      </c>
      <c r="BF453" t="str">
        <f>HYPERLINK("http://pfam.sanger.ac.uk/family?acc=PF14631","0.059")</f>
        <v>0.059</v>
      </c>
      <c r="BG453" s="2" t="str">
        <f>HYPERLINK("http://exon.niaid.nih.gov/transcriptome/Anopheles_sialome/links/SMART/anomer_hyp37.7-2-SMART.txt","RAB")</f>
        <v>RAB</v>
      </c>
      <c r="BH453" t="str">
        <f>HYPERLINK("http://smart.embl-heidelberg.de/smart/do_annotation.pl?DOMAIN=RAB&amp;BLAST=DUMMY","1.3")</f>
        <v>1.3</v>
      </c>
      <c r="BI453" t="str">
        <f>HYPERLINK("http://exon.niaid.nih.gov/transcriptome/Anopheles_sialome/links/TICK-BLOCKS/anomer_hyp37.7-2-TICK-BLOCKS.txt","Hyp37 |Hyp37_stringent_pattern |")</f>
        <v>Hyp37 |Hyp37_stringent_pattern |</v>
      </c>
      <c r="BJ453" s="2" t="s">
        <v>2712</v>
      </c>
      <c r="BK453" t="s">
        <v>1491</v>
      </c>
      <c r="BL453">
        <f>HYPERLINK("http://exon.niaid.nih.gov/transcriptome/Anopheles_sialome/links/cluster-b/anopheline-sialome-cds-pep-larger-orf25-50SimCLU7.txt", 7)</f>
        <v>7</v>
      </c>
      <c r="BM453">
        <f>HYPERLINK("http://exon.niaid.nih.gov/transcriptome/Anopheles_sialome/links/cluster-b/anopheline-sialome-cds-pep-larger-orf25-50SimCLTL7.txt", 40)</f>
        <v>40</v>
      </c>
      <c r="BN453">
        <f>HYPERLINK("http://exon.niaid.nih.gov/transcriptome/Anopheles_sialome/links/cluster-b/anopheline-sialome-cds-pep-larger-orf30-50SimCLU6.txt", 6)</f>
        <v>6</v>
      </c>
      <c r="BO453">
        <f>HYPERLINK("http://exon.niaid.nih.gov/transcriptome/Anopheles_sialome/links/cluster-b/anopheline-sialome-cds-pep-larger-orf30-50SimCLTL6.txt", 40)</f>
        <v>40</v>
      </c>
      <c r="BP453">
        <f>HYPERLINK("http://exon.niaid.nih.gov/transcriptome/Anopheles_sialome/links/cluster-b/anopheline-sialome-cds-pep-larger-orf35-50SimCLU7.txt", 7)</f>
        <v>7</v>
      </c>
      <c r="BQ453">
        <f>HYPERLINK("http://exon.niaid.nih.gov/transcriptome/Anopheles_sialome/links/cluster-b/anopheline-sialome-cds-pep-larger-orf35-50SimCLTL7.txt", 40)</f>
        <v>40</v>
      </c>
      <c r="BR453">
        <f>HYPERLINK("http://exon.niaid.nih.gov/transcriptome/Anopheles_sialome/links/cluster-b/anopheline-sialome-cds-pep-larger-orf40-50SimCLU6.txt", 6)</f>
        <v>6</v>
      </c>
      <c r="BS453">
        <f>HYPERLINK("http://exon.niaid.nih.gov/transcriptome/Anopheles_sialome/links/cluster-b/anopheline-sialome-cds-pep-larger-orf40-50SimCLTL6.txt", 39)</f>
        <v>39</v>
      </c>
      <c r="BT453">
        <f>HYPERLINK("http://exon.niaid.nih.gov/transcriptome/Anopheles_sialome/links/cluster-b/anopheline-sialome-cds-pep-larger-orf45-50SimCLU5.txt", 5)</f>
        <v>5</v>
      </c>
      <c r="BU453">
        <f>HYPERLINK("http://exon.niaid.nih.gov/transcriptome/Anopheles_sialome/links/cluster-b/anopheline-sialome-cds-pep-larger-orf45-50SimCLTL5.txt", 39)</f>
        <v>39</v>
      </c>
      <c r="BV453">
        <f>HYPERLINK("http://exon.niaid.nih.gov/transcriptome/Anopheles_sialome/links/cluster-b/anopheline-sialome-cds-pep-larger-orf50-50SimCLU5.txt", 5)</f>
        <v>5</v>
      </c>
      <c r="BW453">
        <f>HYPERLINK("http://exon.niaid.nih.gov/transcriptome/Anopheles_sialome/links/cluster-b/anopheline-sialome-cds-pep-larger-orf50-50SimCLTL5.txt", 39)</f>
        <v>39</v>
      </c>
      <c r="BX453">
        <f>HYPERLINK("http://exon.niaid.nih.gov/transcriptome/Anopheles_sialome/links/cluster-b/anopheline-sialome-cds-pep-larger-orf55-50SimCLU6.txt", 6)</f>
        <v>6</v>
      </c>
      <c r="BY453">
        <f>HYPERLINK("http://exon.niaid.nih.gov/transcriptome/Anopheles_sialome/links/cluster-b/anopheline-sialome-cds-pep-larger-orf55-50SimCLTL6.txt", 36)</f>
        <v>36</v>
      </c>
      <c r="BZ453">
        <f>HYPERLINK("http://exon.niaid.nih.gov/transcriptome/Anopheles_sialome/links/cluster-b/anopheline-sialome-cds-pep-larger-orf60-50SimCLU9.txt", 9)</f>
        <v>9</v>
      </c>
      <c r="CA453">
        <f>HYPERLINK("http://exon.niaid.nih.gov/transcriptome/Anopheles_sialome/links/cluster-b/anopheline-sialome-cds-pep-larger-orf60-50SimCLTL9.txt", 26)</f>
        <v>26</v>
      </c>
      <c r="CB453">
        <f>HYPERLINK("http://exon.niaid.nih.gov/transcriptome/Anopheles_sialome/links/cluster-b/anopheline-sialome-cds-pep-larger-orf65-50SimCLU6.txt", 6)</f>
        <v>6</v>
      </c>
      <c r="CC453">
        <f>HYPERLINK("http://exon.niaid.nih.gov/transcriptome/Anopheles_sialome/links/cluster-b/anopheline-sialome-cds-pep-larger-orf65-50SimCLTL6.txt", 26)</f>
        <v>26</v>
      </c>
      <c r="CD453">
        <f>HYPERLINK("http://exon.niaid.nih.gov/transcriptome/Anopheles_sialome/links/cluster-b/anopheline-sialome-cds-pep-larger-orf70-50SimCLU5.txt", 5)</f>
        <v>5</v>
      </c>
      <c r="CE453">
        <f>HYPERLINK("http://exon.niaid.nih.gov/transcriptome/Anopheles_sialome/links/cluster-b/anopheline-sialome-cds-pep-larger-orf70-50SimCLTL5.txt", 24)</f>
        <v>24</v>
      </c>
      <c r="CF453">
        <f>HYPERLINK("http://exon.niaid.nih.gov/transcriptome/Anopheles_sialome/links/cluster-b/anopheline-sialome-cds-pep-larger-orf75-50SimCLU20.txt", 20)</f>
        <v>20</v>
      </c>
      <c r="CG453">
        <f>HYPERLINK("http://exon.niaid.nih.gov/transcriptome/Anopheles_sialome/links/cluster-b/anopheline-sialome-cds-pep-larger-orf75-50SimCLTL20.txt", 15)</f>
        <v>15</v>
      </c>
      <c r="CH453">
        <f>HYPERLINK("http://exon.niaid.nih.gov/transcriptome/Anopheles_sialome/links/cluster-b/anopheline-sialome-cds-pep-larger-orf80-50SimCLU25.txt", 25)</f>
        <v>25</v>
      </c>
      <c r="CI453">
        <f>HYPERLINK("http://exon.niaid.nih.gov/transcriptome/Anopheles_sialome/links/cluster-b/anopheline-sialome-cds-pep-larger-orf80-50SimCLTL25.txt", 11)</f>
        <v>11</v>
      </c>
      <c r="CJ453">
        <f>HYPERLINK("http://exon.niaid.nih.gov/transcriptome/Anopheles_sialome/links/cluster-b/anopheline-sialome-cds-pep-larger-orf85-50SimCLU46.txt", 46)</f>
        <v>46</v>
      </c>
      <c r="CK453">
        <f>HYPERLINK("http://exon.niaid.nih.gov/transcriptome/Anopheles_sialome/links/cluster-b/anopheline-sialome-cds-pep-larger-orf85-50SimCLTL46.txt", 5)</f>
        <v>5</v>
      </c>
      <c r="CL453">
        <f>HYPERLINK("http://exon.niaid.nih.gov/transcriptome/Anopheles_sialome/links/cluster-b/anopheline-sialome-cds-pep-larger-orf90-50SimCLU43.txt", 43)</f>
        <v>43</v>
      </c>
      <c r="CM453">
        <f>HYPERLINK("http://exon.niaid.nih.gov/transcriptome/Anopheles_sialome/links/cluster-b/anopheline-sialome-cds-pep-larger-orf90-50SimCLTL43.txt", 5)</f>
        <v>5</v>
      </c>
      <c r="CN453">
        <f>HYPERLINK("http://exon.niaid.nih.gov/transcriptome/Anopheles_sialome/links/cluster-b/anopheline-sialome-cds-pep-larger-orf95-50SimCLU38.txt", 38)</f>
        <v>38</v>
      </c>
      <c r="CO453">
        <f>HYPERLINK("http://exon.niaid.nih.gov/transcriptome/Anopheles_sialome/links/cluster-b/anopheline-sialome-cds-pep-larger-orf95-50SimCLTL38.txt", 5)</f>
        <v>5</v>
      </c>
    </row>
    <row r="454" spans="1:93">
      <c r="A454" s="2" t="str">
        <f>HYPERLINK("http://exon.niaid.nih.gov/transcriptome/Anopheles_sialome/links/cds/anochris_hyp37.7-2-cds.txt","anochris_hyp37.7-2")</f>
        <v>anochris_hyp37.7-2</v>
      </c>
      <c r="B454">
        <v>768</v>
      </c>
      <c r="C454" t="s">
        <v>4</v>
      </c>
      <c r="D454" s="8" t="s">
        <v>3178</v>
      </c>
      <c r="E454" t="s">
        <v>5</v>
      </c>
      <c r="F454" t="s">
        <v>1</v>
      </c>
      <c r="G454" t="str">
        <f>HYPERLINK("http://exon.niaid.nih.gov/transcriptome/Anopheles_sialome/links/pep/anochris_hyp37.7-2-pep.txt","anochris_hyp37.7-2")</f>
        <v>anochris_hyp37.7-2</v>
      </c>
      <c r="H454">
        <v>255</v>
      </c>
      <c r="I454">
        <v>0</v>
      </c>
      <c r="J454" s="3" t="str">
        <f>HYPERLINK("http://exon.niaid.nih.gov/transcriptome/Anopheles_sialome/links/Sigp/anochris_hyp37.7-2-SigP.txt","SIG")</f>
        <v>SIG</v>
      </c>
      <c r="K454" t="s">
        <v>708</v>
      </c>
      <c r="L454">
        <v>28.494</v>
      </c>
      <c r="M454">
        <v>6.45</v>
      </c>
      <c r="N454">
        <v>25.974</v>
      </c>
      <c r="O454">
        <v>6.48</v>
      </c>
      <c r="P454" t="s">
        <v>1494</v>
      </c>
      <c r="Q454" s="3">
        <v>0</v>
      </c>
      <c r="R454" t="s">
        <v>128</v>
      </c>
      <c r="S454" t="s">
        <v>128</v>
      </c>
      <c r="T454" t="s">
        <v>128</v>
      </c>
      <c r="U454" t="s">
        <v>128</v>
      </c>
      <c r="V454" t="s">
        <v>128</v>
      </c>
      <c r="W454" s="3" t="str">
        <f>HYPERLINK("http://exon.niaid.nih.gov/transcriptome/Anopheles_sialome/links/netoglyc/anochris_hyp37.7-2-netoglyc.txt","0")</f>
        <v>0</v>
      </c>
      <c r="X454">
        <v>14.9</v>
      </c>
      <c r="Y454">
        <v>7.5</v>
      </c>
      <c r="Z454">
        <v>1.2</v>
      </c>
      <c r="AA454" t="s">
        <v>654</v>
      </c>
      <c r="AB454" t="s">
        <v>1495</v>
      </c>
      <c r="AC454" s="2" t="str">
        <f>HYPERLINK("http://exon.niaid.nih.gov/transcriptome/Anopheles_sialome/links/DIPTERA/anochris_hyp37.7-2-DIPTERA.txt","AGAP001989-PA")</f>
        <v>AGAP001989-PA</v>
      </c>
      <c r="AD454" t="str">
        <f>HYPERLINK("http://www.ncbi.nlm.nih.gov/sutils/blink.cgi?pid=116115972","6E-099")</f>
        <v>6E-099</v>
      </c>
      <c r="AE454" t="str">
        <f t="shared" si="156"/>
        <v>gi|116115972</v>
      </c>
      <c r="AF454">
        <v>69</v>
      </c>
      <c r="AG454">
        <v>81</v>
      </c>
      <c r="AH454">
        <v>99</v>
      </c>
      <c r="AI454" t="s">
        <v>2285</v>
      </c>
      <c r="AJ454" s="2" t="str">
        <f>HYPERLINK("http://exon.niaid.nih.gov/transcriptome/Anopheles_sialome/links/CULICOMORPHA/anochris_hyp37.7-2-CULICOMORPHA.txt","AGAP001989-PA")</f>
        <v>AGAP001989-PA</v>
      </c>
      <c r="AK454" t="str">
        <f>HYPERLINK("http://www.ncbi.nlm.nih.gov/sutils/blink.cgi?pid=116115972","1E-099")</f>
        <v>1E-099</v>
      </c>
      <c r="AL454" t="str">
        <f t="shared" si="157"/>
        <v>gi|116115972</v>
      </c>
      <c r="AM454">
        <v>69</v>
      </c>
      <c r="AN454">
        <v>81</v>
      </c>
      <c r="AO454">
        <v>99</v>
      </c>
      <c r="AP454" t="s">
        <v>2285</v>
      </c>
      <c r="AQ454" s="2" t="str">
        <f>HYPERLINK("http://exon.niaid.nih.gov/transcriptome/Anopheles_sialome/links/NR-LIGHT/anochris_hyp37.7-2-NR-LIGHT.txt","AGAP001989-PA")</f>
        <v>AGAP001989-PA</v>
      </c>
      <c r="AR454" t="str">
        <f>HYPERLINK("http://www.ncbi.nlm.nih.gov/sutils/blink.cgi?pid=118793773","1E-098")</f>
        <v>1E-098</v>
      </c>
      <c r="AS454" t="str">
        <f t="shared" si="158"/>
        <v>gi|118793773</v>
      </c>
      <c r="AT454">
        <v>69</v>
      </c>
      <c r="AU454">
        <v>81</v>
      </c>
      <c r="AV454">
        <v>99</v>
      </c>
      <c r="AW454" t="s">
        <v>2285</v>
      </c>
      <c r="AX454" s="2" t="str">
        <f>HYPERLINK("http://exon.niaid.nih.gov/transcriptome/Anopheles_sialome/links/CDD/anochris_hyp37.7-2-CDD.txt","hypothetical_pr")</f>
        <v>hypothetical_pr</v>
      </c>
      <c r="AY454" t="str">
        <f>HYPERLINK("http://www.ncbi.nlm.nih.gov/Structure/cdd/cddsrv.cgi?uid=TIGR03938&amp;version=v4.0","0.007")</f>
        <v>0.007</v>
      </c>
      <c r="AZ454" t="s">
        <v>2736</v>
      </c>
      <c r="BA454" s="2" t="str">
        <f>HYPERLINK("http://exon.niaid.nih.gov/transcriptome/Anopheles_sialome/links/KOG/anochris_hyp37.7-2-KOG.txt","Uncharacterized conserved protein")</f>
        <v>Uncharacterized conserved protein</v>
      </c>
      <c r="BB454" t="str">
        <f>HYPERLINK("http://www.ncbi.nlm.nih.gov/Structure/cdd/cddsrv.cgi?uid=KOG2911","0.69")</f>
        <v>0.69</v>
      </c>
      <c r="BC454" t="s">
        <v>2304</v>
      </c>
      <c r="BD454" t="str">
        <f>HYPERLINK("http://exon.niaid.nih.gov/transcriptome/Anopheles_sialome/links/KOG/anochris_hyp37.7-2-KOG.txt","KOG2911")</f>
        <v>KOG2911</v>
      </c>
      <c r="BE454" t="str">
        <f>HYPERLINK("http://exon.niaid.nih.gov/transcriptome/Anopheles_sialome/links/PFAM/anochris_hyp37.7-2-PFAM.txt","DUF561")</f>
        <v>DUF561</v>
      </c>
      <c r="BF454" t="str">
        <f>HYPERLINK("http://pfam.sanger.ac.uk/family?acc=PF04481","0.41")</f>
        <v>0.41</v>
      </c>
      <c r="BG454" s="2" t="str">
        <f>HYPERLINK("http://exon.niaid.nih.gov/transcriptome/Anopheles_sialome/links/SMART/anochris_hyp37.7-2-SMART.txt","HTH_ASNC")</f>
        <v>HTH_ASNC</v>
      </c>
      <c r="BH454" t="str">
        <f>HYPERLINK("http://smart.embl-heidelberg.de/smart/do_annotation.pl?DOMAIN=HTH_ASNC&amp;BLAST=DUMMY","0.64")</f>
        <v>0.64</v>
      </c>
      <c r="BI454" t="str">
        <f>HYPERLINK("http://exon.niaid.nih.gov/transcriptome/Anopheles_sialome/links/TICK-BLOCKS/anochris_hyp37.7-2-TICK-BLOCKS.txt","Hyp37 |Hyp37_stringent_pattern |")</f>
        <v>Hyp37 |Hyp37_stringent_pattern |</v>
      </c>
      <c r="BJ454" s="2" t="s">
        <v>2712</v>
      </c>
      <c r="BK454" t="s">
        <v>1493</v>
      </c>
      <c r="BL454">
        <f>HYPERLINK("http://exon.niaid.nih.gov/transcriptome/Anopheles_sialome/links/cluster-b/anopheline-sialome-cds-pep-larger-orf25-50SimCLU7.txt", 7)</f>
        <v>7</v>
      </c>
      <c r="BM454">
        <f>HYPERLINK("http://exon.niaid.nih.gov/transcriptome/Anopheles_sialome/links/cluster-b/anopheline-sialome-cds-pep-larger-orf25-50SimCLTL7.txt", 40)</f>
        <v>40</v>
      </c>
      <c r="BN454">
        <f>HYPERLINK("http://exon.niaid.nih.gov/transcriptome/Anopheles_sialome/links/cluster-b/anopheline-sialome-cds-pep-larger-orf30-50SimCLU6.txt", 6)</f>
        <v>6</v>
      </c>
      <c r="BO454">
        <f>HYPERLINK("http://exon.niaid.nih.gov/transcriptome/Anopheles_sialome/links/cluster-b/anopheline-sialome-cds-pep-larger-orf30-50SimCLTL6.txt", 40)</f>
        <v>40</v>
      </c>
      <c r="BP454">
        <f>HYPERLINK("http://exon.niaid.nih.gov/transcriptome/Anopheles_sialome/links/cluster-b/anopheline-sialome-cds-pep-larger-orf35-50SimCLU7.txt", 7)</f>
        <v>7</v>
      </c>
      <c r="BQ454">
        <f>HYPERLINK("http://exon.niaid.nih.gov/transcriptome/Anopheles_sialome/links/cluster-b/anopheline-sialome-cds-pep-larger-orf35-50SimCLTL7.txt", 40)</f>
        <v>40</v>
      </c>
      <c r="BR454">
        <f>HYPERLINK("http://exon.niaid.nih.gov/transcriptome/Anopheles_sialome/links/cluster-b/anopheline-sialome-cds-pep-larger-orf40-50SimCLU6.txt", 6)</f>
        <v>6</v>
      </c>
      <c r="BS454">
        <f>HYPERLINK("http://exon.niaid.nih.gov/transcriptome/Anopheles_sialome/links/cluster-b/anopheline-sialome-cds-pep-larger-orf40-50SimCLTL6.txt", 39)</f>
        <v>39</v>
      </c>
      <c r="BT454">
        <f>HYPERLINK("http://exon.niaid.nih.gov/transcriptome/Anopheles_sialome/links/cluster-b/anopheline-sialome-cds-pep-larger-orf45-50SimCLU5.txt", 5)</f>
        <v>5</v>
      </c>
      <c r="BU454">
        <f>HYPERLINK("http://exon.niaid.nih.gov/transcriptome/Anopheles_sialome/links/cluster-b/anopheline-sialome-cds-pep-larger-orf45-50SimCLTL5.txt", 39)</f>
        <v>39</v>
      </c>
      <c r="BV454">
        <f>HYPERLINK("http://exon.niaid.nih.gov/transcriptome/Anopheles_sialome/links/cluster-b/anopheline-sialome-cds-pep-larger-orf50-50SimCLU5.txt", 5)</f>
        <v>5</v>
      </c>
      <c r="BW454">
        <f>HYPERLINK("http://exon.niaid.nih.gov/transcriptome/Anopheles_sialome/links/cluster-b/anopheline-sialome-cds-pep-larger-orf50-50SimCLTL5.txt", 39)</f>
        <v>39</v>
      </c>
      <c r="BX454">
        <f>HYPERLINK("http://exon.niaid.nih.gov/transcriptome/Anopheles_sialome/links/cluster-b/anopheline-sialome-cds-pep-larger-orf55-50SimCLU6.txt", 6)</f>
        <v>6</v>
      </c>
      <c r="BY454">
        <f>HYPERLINK("http://exon.niaid.nih.gov/transcriptome/Anopheles_sialome/links/cluster-b/anopheline-sialome-cds-pep-larger-orf55-50SimCLTL6.txt", 36)</f>
        <v>36</v>
      </c>
      <c r="BZ454">
        <f>HYPERLINK("http://exon.niaid.nih.gov/transcriptome/Anopheles_sialome/links/cluster-b/anopheline-sialome-cds-pep-larger-orf60-50SimCLU9.txt", 9)</f>
        <v>9</v>
      </c>
      <c r="CA454">
        <f>HYPERLINK("http://exon.niaid.nih.gov/transcriptome/Anopheles_sialome/links/cluster-b/anopheline-sialome-cds-pep-larger-orf60-50SimCLTL9.txt", 26)</f>
        <v>26</v>
      </c>
      <c r="CB454">
        <f>HYPERLINK("http://exon.niaid.nih.gov/transcriptome/Anopheles_sialome/links/cluster-b/anopheline-sialome-cds-pep-larger-orf65-50SimCLU6.txt", 6)</f>
        <v>6</v>
      </c>
      <c r="CC454">
        <f>HYPERLINK("http://exon.niaid.nih.gov/transcriptome/Anopheles_sialome/links/cluster-b/anopheline-sialome-cds-pep-larger-orf65-50SimCLTL6.txt", 26)</f>
        <v>26</v>
      </c>
      <c r="CD454">
        <f>HYPERLINK("http://exon.niaid.nih.gov/transcriptome/Anopheles_sialome/links/cluster-b/anopheline-sialome-cds-pep-larger-orf70-50SimCLU5.txt", 5)</f>
        <v>5</v>
      </c>
      <c r="CE454">
        <f>HYPERLINK("http://exon.niaid.nih.gov/transcriptome/Anopheles_sialome/links/cluster-b/anopheline-sialome-cds-pep-larger-orf70-50SimCLTL5.txt", 24)</f>
        <v>24</v>
      </c>
      <c r="CF454">
        <f>HYPERLINK("http://exon.niaid.nih.gov/transcriptome/Anopheles_sialome/links/cluster-b/anopheline-sialome-cds-pep-larger-orf75-50SimCLU20.txt", 20)</f>
        <v>20</v>
      </c>
      <c r="CG454">
        <f>HYPERLINK("http://exon.niaid.nih.gov/transcriptome/Anopheles_sialome/links/cluster-b/anopheline-sialome-cds-pep-larger-orf75-50SimCLTL20.txt", 15)</f>
        <v>15</v>
      </c>
      <c r="CH454">
        <f>HYPERLINK("http://exon.niaid.nih.gov/transcriptome/Anopheles_sialome/links/cluster-b/anopheline-sialome-cds-pep-larger-orf80-50SimCLU25.txt", 25)</f>
        <v>25</v>
      </c>
      <c r="CI454">
        <f>HYPERLINK("http://exon.niaid.nih.gov/transcriptome/Anopheles_sialome/links/cluster-b/anopheline-sialome-cds-pep-larger-orf80-50SimCLTL25.txt", 11)</f>
        <v>11</v>
      </c>
      <c r="CJ454">
        <f>HYPERLINK("http://exon.niaid.nih.gov/transcriptome/Anopheles_sialome/links/cluster-b/anopheline-sialome-cds-pep-larger-orf85-50SimCLU87.txt", 87)</f>
        <v>87</v>
      </c>
      <c r="CK454">
        <f>HYPERLINK("http://exon.niaid.nih.gov/transcriptome/Anopheles_sialome/links/cluster-b/anopheline-sialome-cds-pep-larger-orf85-50SimCLTL87.txt", 2)</f>
        <v>2</v>
      </c>
      <c r="CL454">
        <v>278</v>
      </c>
      <c r="CM454">
        <v>1</v>
      </c>
      <c r="CN454">
        <v>314</v>
      </c>
      <c r="CO454">
        <v>1</v>
      </c>
    </row>
    <row r="455" spans="1:93">
      <c r="A455" s="2" t="str">
        <f>HYPERLINK("http://exon.niaid.nih.gov/transcriptome/Anopheles_sialome/links/cds/anoepi_hyp37.7-2-cds.txt","anoepi_hyp37.7-2")</f>
        <v>anoepi_hyp37.7-2</v>
      </c>
      <c r="B455">
        <v>789</v>
      </c>
      <c r="C455" t="s">
        <v>316</v>
      </c>
      <c r="D455" t="s">
        <v>4</v>
      </c>
      <c r="E455" t="s">
        <v>5</v>
      </c>
      <c r="F455" t="s">
        <v>1</v>
      </c>
      <c r="G455" t="str">
        <f>HYPERLINK("http://exon.niaid.nih.gov/transcriptome/Anopheles_sialome/links/pep/anoepi_hyp37.7-2-pep.txt","anoepi_hyp37.7-2")</f>
        <v>anoepi_hyp37.7-2</v>
      </c>
      <c r="H455">
        <v>262</v>
      </c>
      <c r="I455">
        <v>0</v>
      </c>
      <c r="J455" s="3" t="str">
        <f>HYPERLINK("http://exon.niaid.nih.gov/transcriptome/Anopheles_sialome/links/Sigp/anoepi_hyp37.7-2-SigP.txt","SIG")</f>
        <v>SIG</v>
      </c>
      <c r="K455" t="s">
        <v>708</v>
      </c>
      <c r="L455">
        <v>29.050999999999998</v>
      </c>
      <c r="M455">
        <v>6.6</v>
      </c>
      <c r="N455">
        <v>26.640999999999998</v>
      </c>
      <c r="O455">
        <v>6.35</v>
      </c>
      <c r="P455" t="s">
        <v>1497</v>
      </c>
      <c r="Q455" s="3" t="str">
        <f>HYPERLINK("http://exon.niaid.nih.gov/transcriptome/Anopheles_sialome/links/tmhmm/anoepi_hyp37.7-2-tmhmm.txt","1")</f>
        <v>1</v>
      </c>
      <c r="R455">
        <v>6.5</v>
      </c>
      <c r="S455">
        <v>90.8</v>
      </c>
      <c r="T455">
        <v>2.7</v>
      </c>
      <c r="U455" t="s">
        <v>128</v>
      </c>
      <c r="V455">
        <v>238</v>
      </c>
      <c r="W455" s="3" t="str">
        <f>HYPERLINK("http://exon.niaid.nih.gov/transcriptome/Anopheles_sialome/links/netoglyc/anoepi_hyp37.7-2-netoglyc.txt","0")</f>
        <v>0</v>
      </c>
      <c r="X455">
        <v>12.6</v>
      </c>
      <c r="Y455">
        <v>9.1999999999999993</v>
      </c>
      <c r="Z455">
        <v>1.5</v>
      </c>
      <c r="AA455" t="s">
        <v>654</v>
      </c>
      <c r="AB455" t="s">
        <v>128</v>
      </c>
      <c r="AC455" s="2" t="str">
        <f>HYPERLINK("http://exon.niaid.nih.gov/transcriptome/Anopheles_sialome/links/DIPTERA/anoepi_hyp37.7-2-DIPTERA.txt","AGAP001989-PA")</f>
        <v>AGAP001989-PA</v>
      </c>
      <c r="AD455" t="str">
        <f>HYPERLINK("http://www.ncbi.nlm.nih.gov/sutils/blink.cgi?pid=116115972","1E-095")</f>
        <v>1E-095</v>
      </c>
      <c r="AE455" t="str">
        <f t="shared" si="156"/>
        <v>gi|116115972</v>
      </c>
      <c r="AF455">
        <v>67</v>
      </c>
      <c r="AG455">
        <v>82</v>
      </c>
      <c r="AH455">
        <v>100</v>
      </c>
      <c r="AI455" t="s">
        <v>2285</v>
      </c>
      <c r="AJ455" s="2" t="str">
        <f>HYPERLINK("http://exon.niaid.nih.gov/transcriptome/Anopheles_sialome/links/CULICOMORPHA/anoepi_hyp37.7-2-CULICOMORPHA.txt","AGAP001989-PA")</f>
        <v>AGAP001989-PA</v>
      </c>
      <c r="AK455" t="str">
        <f>HYPERLINK("http://www.ncbi.nlm.nih.gov/sutils/blink.cgi?pid=116115972","2E-096")</f>
        <v>2E-096</v>
      </c>
      <c r="AL455" t="str">
        <f t="shared" si="157"/>
        <v>gi|116115972</v>
      </c>
      <c r="AM455">
        <v>67</v>
      </c>
      <c r="AN455">
        <v>82</v>
      </c>
      <c r="AO455">
        <v>100</v>
      </c>
      <c r="AP455" t="s">
        <v>2285</v>
      </c>
      <c r="AQ455" s="2" t="str">
        <f>HYPERLINK("http://exon.niaid.nih.gov/transcriptome/Anopheles_sialome/links/NR-LIGHT/anoepi_hyp37.7-2-NR-LIGHT.txt","AGAP001989-PA")</f>
        <v>AGAP001989-PA</v>
      </c>
      <c r="AR455" t="str">
        <f>HYPERLINK("http://www.ncbi.nlm.nih.gov/sutils/blink.cgi?pid=118793773","4E-095")</f>
        <v>4E-095</v>
      </c>
      <c r="AS455" t="str">
        <f t="shared" si="158"/>
        <v>gi|118793773</v>
      </c>
      <c r="AT455">
        <v>67</v>
      </c>
      <c r="AU455">
        <v>82</v>
      </c>
      <c r="AV455">
        <v>100</v>
      </c>
      <c r="AW455" t="s">
        <v>2285</v>
      </c>
      <c r="AX455" s="2" t="str">
        <f>HYPERLINK("http://exon.niaid.nih.gov/transcriptome/Anopheles_sialome/links/CDD/anoepi_hyp37.7-2-CDD.txt","CE4_PgaB_5s")</f>
        <v>CE4_PgaB_5s</v>
      </c>
      <c r="AY455" t="str">
        <f>HYPERLINK("http://www.ncbi.nlm.nih.gov/Structure/cdd/cddsrv.cgi?uid=cd10964&amp;version=v4.0","0.018")</f>
        <v>0.018</v>
      </c>
      <c r="AZ455" t="s">
        <v>2737</v>
      </c>
      <c r="BA455" s="2" t="str">
        <f>HYPERLINK("http://exon.niaid.nih.gov/transcriptome/Anopheles_sialome/links/KOG/anoepi_hyp37.7-2-KOG.txt","26S proteasome regulatory complex, subunit RPN3/PSMD3")</f>
        <v>26S proteasome regulatory complex, subunit RPN3/PSMD3</v>
      </c>
      <c r="BB455" t="str">
        <f>HYPERLINK("http://www.ncbi.nlm.nih.gov/Structure/cdd/cddsrv.cgi?uid=KOG2581","0.34")</f>
        <v>0.34</v>
      </c>
      <c r="BC455" t="s">
        <v>2296</v>
      </c>
      <c r="BD455" t="str">
        <f>HYPERLINK("http://exon.niaid.nih.gov/transcriptome/Anopheles_sialome/links/KOG/anoepi_hyp37.7-2-KOG.txt","KOG2581")</f>
        <v>KOG2581</v>
      </c>
      <c r="BE455" t="str">
        <f>HYPERLINK("http://exon.niaid.nih.gov/transcriptome/Anopheles_sialome/links/PFAM/anoepi_hyp37.7-2-PFAM.txt","DUF3312")</f>
        <v>DUF3312</v>
      </c>
      <c r="BF455" t="str">
        <f>HYPERLINK("http://pfam.sanger.ac.uk/family?acc=PF11768","0.78")</f>
        <v>0.78</v>
      </c>
      <c r="BG455" s="2" t="str">
        <f>HYPERLINK("http://exon.niaid.nih.gov/transcriptome/Anopheles_sialome/links/SMART/anoepi_hyp37.7-2-SMART.txt","NIDO")</f>
        <v>NIDO</v>
      </c>
      <c r="BH455" t="str">
        <f>HYPERLINK("http://smart.embl-heidelberg.de/smart/do_annotation.pl?DOMAIN=NIDO&amp;BLAST=DUMMY","9.1")</f>
        <v>9.1</v>
      </c>
      <c r="BI455" t="str">
        <f>HYPERLINK("http://exon.niaid.nih.gov/transcriptome/Anopheles_sialome/links/TICK-BLOCKS/anoepi_hyp37.7-2-TICK-BLOCKS.txt","Hyp37 |Hyp37_stringent_pattern |")</f>
        <v>Hyp37 |Hyp37_stringent_pattern |</v>
      </c>
      <c r="BJ455" s="2" t="s">
        <v>2712</v>
      </c>
      <c r="BK455" t="s">
        <v>1496</v>
      </c>
      <c r="BL455">
        <f>HYPERLINK("http://exon.niaid.nih.gov/transcriptome/Anopheles_sialome/links/cluster-b/anopheline-sialome-cds-pep-larger-orf25-50SimCLU7.txt", 7)</f>
        <v>7</v>
      </c>
      <c r="BM455">
        <f>HYPERLINK("http://exon.niaid.nih.gov/transcriptome/Anopheles_sialome/links/cluster-b/anopheline-sialome-cds-pep-larger-orf25-50SimCLTL7.txt", 40)</f>
        <v>40</v>
      </c>
      <c r="BN455">
        <f>HYPERLINK("http://exon.niaid.nih.gov/transcriptome/Anopheles_sialome/links/cluster-b/anopheline-sialome-cds-pep-larger-orf30-50SimCLU6.txt", 6)</f>
        <v>6</v>
      </c>
      <c r="BO455">
        <f>HYPERLINK("http://exon.niaid.nih.gov/transcriptome/Anopheles_sialome/links/cluster-b/anopheline-sialome-cds-pep-larger-orf30-50SimCLTL6.txt", 40)</f>
        <v>40</v>
      </c>
      <c r="BP455">
        <f>HYPERLINK("http://exon.niaid.nih.gov/transcriptome/Anopheles_sialome/links/cluster-b/anopheline-sialome-cds-pep-larger-orf35-50SimCLU7.txt", 7)</f>
        <v>7</v>
      </c>
      <c r="BQ455">
        <f>HYPERLINK("http://exon.niaid.nih.gov/transcriptome/Anopheles_sialome/links/cluster-b/anopheline-sialome-cds-pep-larger-orf35-50SimCLTL7.txt", 40)</f>
        <v>40</v>
      </c>
      <c r="BR455">
        <f>HYPERLINK("http://exon.niaid.nih.gov/transcriptome/Anopheles_sialome/links/cluster-b/anopheline-sialome-cds-pep-larger-orf40-50SimCLU6.txt", 6)</f>
        <v>6</v>
      </c>
      <c r="BS455">
        <f>HYPERLINK("http://exon.niaid.nih.gov/transcriptome/Anopheles_sialome/links/cluster-b/anopheline-sialome-cds-pep-larger-orf40-50SimCLTL6.txt", 39)</f>
        <v>39</v>
      </c>
      <c r="BT455">
        <f>HYPERLINK("http://exon.niaid.nih.gov/transcriptome/Anopheles_sialome/links/cluster-b/anopheline-sialome-cds-pep-larger-orf45-50SimCLU5.txt", 5)</f>
        <v>5</v>
      </c>
      <c r="BU455">
        <f>HYPERLINK("http://exon.niaid.nih.gov/transcriptome/Anopheles_sialome/links/cluster-b/anopheline-sialome-cds-pep-larger-orf45-50SimCLTL5.txt", 39)</f>
        <v>39</v>
      </c>
      <c r="BV455">
        <f>HYPERLINK("http://exon.niaid.nih.gov/transcriptome/Anopheles_sialome/links/cluster-b/anopheline-sialome-cds-pep-larger-orf50-50SimCLU5.txt", 5)</f>
        <v>5</v>
      </c>
      <c r="BW455">
        <f>HYPERLINK("http://exon.niaid.nih.gov/transcriptome/Anopheles_sialome/links/cluster-b/anopheline-sialome-cds-pep-larger-orf50-50SimCLTL5.txt", 39)</f>
        <v>39</v>
      </c>
      <c r="BX455">
        <f>HYPERLINK("http://exon.niaid.nih.gov/transcriptome/Anopheles_sialome/links/cluster-b/anopheline-sialome-cds-pep-larger-orf55-50SimCLU6.txt", 6)</f>
        <v>6</v>
      </c>
      <c r="BY455">
        <f>HYPERLINK("http://exon.niaid.nih.gov/transcriptome/Anopheles_sialome/links/cluster-b/anopheline-sialome-cds-pep-larger-orf55-50SimCLTL6.txt", 36)</f>
        <v>36</v>
      </c>
      <c r="BZ455">
        <f>HYPERLINK("http://exon.niaid.nih.gov/transcriptome/Anopheles_sialome/links/cluster-b/anopheline-sialome-cds-pep-larger-orf60-50SimCLU9.txt", 9)</f>
        <v>9</v>
      </c>
      <c r="CA455">
        <f>HYPERLINK("http://exon.niaid.nih.gov/transcriptome/Anopheles_sialome/links/cluster-b/anopheline-sialome-cds-pep-larger-orf60-50SimCLTL9.txt", 26)</f>
        <v>26</v>
      </c>
      <c r="CB455">
        <f>HYPERLINK("http://exon.niaid.nih.gov/transcriptome/Anopheles_sialome/links/cluster-b/anopheline-sialome-cds-pep-larger-orf65-50SimCLU6.txt", 6)</f>
        <v>6</v>
      </c>
      <c r="CC455">
        <f>HYPERLINK("http://exon.niaid.nih.gov/transcriptome/Anopheles_sialome/links/cluster-b/anopheline-sialome-cds-pep-larger-orf65-50SimCLTL6.txt", 26)</f>
        <v>26</v>
      </c>
      <c r="CD455">
        <f>HYPERLINK("http://exon.niaid.nih.gov/transcriptome/Anopheles_sialome/links/cluster-b/anopheline-sialome-cds-pep-larger-orf70-50SimCLU5.txt", 5)</f>
        <v>5</v>
      </c>
      <c r="CE455">
        <f>HYPERLINK("http://exon.niaid.nih.gov/transcriptome/Anopheles_sialome/links/cluster-b/anopheline-sialome-cds-pep-larger-orf70-50SimCLTL5.txt", 24)</f>
        <v>24</v>
      </c>
      <c r="CF455">
        <f>HYPERLINK("http://exon.niaid.nih.gov/transcriptome/Anopheles_sialome/links/cluster-b/anopheline-sialome-cds-pep-larger-orf75-50SimCLU20.txt", 20)</f>
        <v>20</v>
      </c>
      <c r="CG455">
        <f>HYPERLINK("http://exon.niaid.nih.gov/transcriptome/Anopheles_sialome/links/cluster-b/anopheline-sialome-cds-pep-larger-orf75-50SimCLTL20.txt", 15)</f>
        <v>15</v>
      </c>
      <c r="CH455">
        <f>HYPERLINK("http://exon.niaid.nih.gov/transcriptome/Anopheles_sialome/links/cluster-b/anopheline-sialome-cds-pep-larger-orf80-50SimCLU25.txt", 25)</f>
        <v>25</v>
      </c>
      <c r="CI455">
        <f>HYPERLINK("http://exon.niaid.nih.gov/transcriptome/Anopheles_sialome/links/cluster-b/anopheline-sialome-cds-pep-larger-orf80-50SimCLTL25.txt", 11)</f>
        <v>11</v>
      </c>
      <c r="CJ455">
        <f>HYPERLINK("http://exon.niaid.nih.gov/transcriptome/Anopheles_sialome/links/cluster-b/anopheline-sialome-cds-pep-larger-orf85-50SimCLU87.txt", 87)</f>
        <v>87</v>
      </c>
      <c r="CK455">
        <f>HYPERLINK("http://exon.niaid.nih.gov/transcriptome/Anopheles_sialome/links/cluster-b/anopheline-sialome-cds-pep-larger-orf85-50SimCLTL87.txt", 2)</f>
        <v>2</v>
      </c>
      <c r="CL455">
        <v>279</v>
      </c>
      <c r="CM455">
        <v>1</v>
      </c>
      <c r="CN455">
        <v>315</v>
      </c>
      <c r="CO455">
        <v>1</v>
      </c>
    </row>
    <row r="456" spans="1:93">
      <c r="A456" s="2" t="str">
        <f>HYPERLINK("http://exon.niaid.nih.gov/transcriptome/Anopheles_sialome/links/cds/anofun_hyp37.7-2-cds.txt","anofun_hyp37.7-2")</f>
        <v>anofun_hyp37.7-2</v>
      </c>
      <c r="B456">
        <v>753</v>
      </c>
      <c r="C456" t="s">
        <v>303</v>
      </c>
      <c r="D456" t="s">
        <v>7</v>
      </c>
      <c r="E456" t="s">
        <v>5</v>
      </c>
      <c r="F456" t="s">
        <v>1</v>
      </c>
      <c r="G456" t="str">
        <f>HYPERLINK("http://exon.niaid.nih.gov/transcriptome/Anopheles_sialome/links/pep/anofun_hyp37.7-2-pep.txt","anofun_hyp37.7-2")</f>
        <v>anofun_hyp37.7-2</v>
      </c>
      <c r="H456">
        <v>250</v>
      </c>
      <c r="I456">
        <v>1</v>
      </c>
      <c r="J456" s="3" t="str">
        <f>HYPERLINK("http://exon.niaid.nih.gov/transcriptome/Anopheles_sialome/links/Sigp/anofun_hyp37.7-2-SigP.txt","SIG")</f>
        <v>SIG</v>
      </c>
      <c r="K456" t="s">
        <v>708</v>
      </c>
      <c r="L456">
        <v>28.350999999999999</v>
      </c>
      <c r="M456">
        <v>6.65</v>
      </c>
      <c r="N456">
        <v>25.797000000000001</v>
      </c>
      <c r="O456">
        <v>6.18</v>
      </c>
      <c r="P456" t="s">
        <v>1499</v>
      </c>
      <c r="Q456" s="3">
        <v>0</v>
      </c>
      <c r="R456" t="s">
        <v>128</v>
      </c>
      <c r="S456" t="s">
        <v>128</v>
      </c>
      <c r="T456" t="s">
        <v>128</v>
      </c>
      <c r="U456" t="s">
        <v>128</v>
      </c>
      <c r="V456" t="s">
        <v>128</v>
      </c>
      <c r="W456" s="3" t="str">
        <f>HYPERLINK("http://exon.niaid.nih.gov/transcriptome/Anopheles_sialome/links/netoglyc/anofun_hyp37.7-2-netoglyc.txt","0")</f>
        <v>0</v>
      </c>
      <c r="X456">
        <v>14.4</v>
      </c>
      <c r="Y456">
        <v>6.8</v>
      </c>
      <c r="Z456">
        <v>1.6</v>
      </c>
      <c r="AA456" t="s">
        <v>654</v>
      </c>
      <c r="AB456" t="s">
        <v>128</v>
      </c>
      <c r="AC456" s="2" t="str">
        <f>HYPERLINK("http://exon.niaid.nih.gov/transcriptome/Anopheles_sialome/links/DIPTERA/anofun_hyp37.7-2-DIPTERA.txt","AGAP001989-PA")</f>
        <v>AGAP001989-PA</v>
      </c>
      <c r="AD456" t="str">
        <f>HYPERLINK("http://www.ncbi.nlm.nih.gov/sutils/blink.cgi?pid=116115972","3E-067")</f>
        <v>3E-067</v>
      </c>
      <c r="AE456" t="str">
        <f t="shared" si="156"/>
        <v>gi|116115972</v>
      </c>
      <c r="AF456">
        <v>50</v>
      </c>
      <c r="AG456">
        <v>69</v>
      </c>
      <c r="AH456">
        <v>98</v>
      </c>
      <c r="AI456" t="s">
        <v>2285</v>
      </c>
      <c r="AJ456" s="2" t="str">
        <f>HYPERLINK("http://exon.niaid.nih.gov/transcriptome/Anopheles_sialome/links/CULICOMORPHA/anofun_hyp37.7-2-CULICOMORPHA.txt","AGAP001989-PA")</f>
        <v>AGAP001989-PA</v>
      </c>
      <c r="AK456" t="str">
        <f>HYPERLINK("http://www.ncbi.nlm.nih.gov/sutils/blink.cgi?pid=116115972","4E-068")</f>
        <v>4E-068</v>
      </c>
      <c r="AL456" t="str">
        <f t="shared" si="157"/>
        <v>gi|116115972</v>
      </c>
      <c r="AM456">
        <v>50</v>
      </c>
      <c r="AN456">
        <v>69</v>
      </c>
      <c r="AO456">
        <v>98</v>
      </c>
      <c r="AP456" t="s">
        <v>2285</v>
      </c>
      <c r="AQ456" s="2" t="str">
        <f>HYPERLINK("http://exon.niaid.nih.gov/transcriptome/Anopheles_sialome/links/NR-LIGHT/anofun_hyp37.7-2-NR-LIGHT.txt","AGAP001989-PA")</f>
        <v>AGAP001989-PA</v>
      </c>
      <c r="AR456" t="str">
        <f>HYPERLINK("http://www.ncbi.nlm.nih.gov/sutils/blink.cgi?pid=118793773","7E-067")</f>
        <v>7E-067</v>
      </c>
      <c r="AS456" t="str">
        <f t="shared" si="158"/>
        <v>gi|118793773</v>
      </c>
      <c r="AT456">
        <v>50</v>
      </c>
      <c r="AU456">
        <v>69</v>
      </c>
      <c r="AV456">
        <v>98</v>
      </c>
      <c r="AW456" t="s">
        <v>2285</v>
      </c>
      <c r="AX456" s="2" t="str">
        <f>HYPERLINK("http://exon.niaid.nih.gov/transcriptome/Anopheles_sialome/links/CDD/anofun_hyp37.7-2-CDD.txt","RHH_3")</f>
        <v>RHH_3</v>
      </c>
      <c r="AY456" t="str">
        <f>HYPERLINK("http://www.ncbi.nlm.nih.gov/Structure/cdd/cddsrv.cgi?uid=pfam12651&amp;version=v4.0","0.85")</f>
        <v>0.85</v>
      </c>
      <c r="AZ456" t="s">
        <v>2738</v>
      </c>
      <c r="BA456" s="2" t="str">
        <f>HYPERLINK("http://exon.niaid.nih.gov/transcriptome/Anopheles_sialome/links/KOG/anofun_hyp37.7-2-KOG.txt","26S proteasome regulatory complex, subunit RPN3/PSMD3")</f>
        <v>26S proteasome regulatory complex, subunit RPN3/PSMD3</v>
      </c>
      <c r="BB456" t="str">
        <f>HYPERLINK("http://www.ncbi.nlm.nih.gov/Structure/cdd/cddsrv.cgi?uid=KOG2581","1.0")</f>
        <v>1.0</v>
      </c>
      <c r="BC456" t="s">
        <v>2296</v>
      </c>
      <c r="BD456" t="str">
        <f>HYPERLINK("http://exon.niaid.nih.gov/transcriptome/Anopheles_sialome/links/KOG/anofun_hyp37.7-2-KOG.txt","KOG2581")</f>
        <v>KOG2581</v>
      </c>
      <c r="BE456" t="str">
        <f>HYPERLINK("http://exon.niaid.nih.gov/transcriptome/Anopheles_sialome/links/PFAM/anofun_hyp37.7-2-PFAM.txt","RHH_3")</f>
        <v>RHH_3</v>
      </c>
      <c r="BF456" t="str">
        <f>HYPERLINK("http://pfam.sanger.ac.uk/family?acc=PF12651","0.17")</f>
        <v>0.17</v>
      </c>
      <c r="BG456" s="2" t="str">
        <f>HYPERLINK("http://exon.niaid.nih.gov/transcriptome/Anopheles_sialome/links/SMART/anofun_hyp37.7-2-SMART.txt","HOLI")</f>
        <v>HOLI</v>
      </c>
      <c r="BH456" t="str">
        <f>HYPERLINK("http://smart.embl-heidelberg.de/smart/do_annotation.pl?DOMAIN=HOLI&amp;BLAST=DUMMY","2.8")</f>
        <v>2.8</v>
      </c>
      <c r="BI456" t="str">
        <f>HYPERLINK("http://exon.niaid.nih.gov/transcriptome/Anopheles_sialome/links/TICK-BLOCKS/anofun_hyp37.7-2-TICK-BLOCKS.txt","Hyp37 |Hyp37_stringent_pattern |")</f>
        <v>Hyp37 |Hyp37_stringent_pattern |</v>
      </c>
      <c r="BJ456" s="2" t="s">
        <v>2712</v>
      </c>
      <c r="BK456" t="s">
        <v>1498</v>
      </c>
      <c r="BL456">
        <f>HYPERLINK("http://exon.niaid.nih.gov/transcriptome/Anopheles_sialome/links/cluster-b/anopheline-sialome-cds-pep-larger-orf25-50SimCLU7.txt", 7)</f>
        <v>7</v>
      </c>
      <c r="BM456">
        <f>HYPERLINK("http://exon.niaid.nih.gov/transcriptome/Anopheles_sialome/links/cluster-b/anopheline-sialome-cds-pep-larger-orf25-50SimCLTL7.txt", 40)</f>
        <v>40</v>
      </c>
      <c r="BN456">
        <f>HYPERLINK("http://exon.niaid.nih.gov/transcriptome/Anopheles_sialome/links/cluster-b/anopheline-sialome-cds-pep-larger-orf30-50SimCLU6.txt", 6)</f>
        <v>6</v>
      </c>
      <c r="BO456">
        <f>HYPERLINK("http://exon.niaid.nih.gov/transcriptome/Anopheles_sialome/links/cluster-b/anopheline-sialome-cds-pep-larger-orf30-50SimCLTL6.txt", 40)</f>
        <v>40</v>
      </c>
      <c r="BP456">
        <f>HYPERLINK("http://exon.niaid.nih.gov/transcriptome/Anopheles_sialome/links/cluster-b/anopheline-sialome-cds-pep-larger-orf35-50SimCLU7.txt", 7)</f>
        <v>7</v>
      </c>
      <c r="BQ456">
        <f>HYPERLINK("http://exon.niaid.nih.gov/transcriptome/Anopheles_sialome/links/cluster-b/anopheline-sialome-cds-pep-larger-orf35-50SimCLTL7.txt", 40)</f>
        <v>40</v>
      </c>
      <c r="BR456">
        <f>HYPERLINK("http://exon.niaid.nih.gov/transcriptome/Anopheles_sialome/links/cluster-b/anopheline-sialome-cds-pep-larger-orf40-50SimCLU6.txt", 6)</f>
        <v>6</v>
      </c>
      <c r="BS456">
        <f>HYPERLINK("http://exon.niaid.nih.gov/transcriptome/Anopheles_sialome/links/cluster-b/anopheline-sialome-cds-pep-larger-orf40-50SimCLTL6.txt", 39)</f>
        <v>39</v>
      </c>
      <c r="BT456">
        <f>HYPERLINK("http://exon.niaid.nih.gov/transcriptome/Anopheles_sialome/links/cluster-b/anopheline-sialome-cds-pep-larger-orf45-50SimCLU5.txt", 5)</f>
        <v>5</v>
      </c>
      <c r="BU456">
        <f>HYPERLINK("http://exon.niaid.nih.gov/transcriptome/Anopheles_sialome/links/cluster-b/anopheline-sialome-cds-pep-larger-orf45-50SimCLTL5.txt", 39)</f>
        <v>39</v>
      </c>
      <c r="BV456">
        <f>HYPERLINK("http://exon.niaid.nih.gov/transcriptome/Anopheles_sialome/links/cluster-b/anopheline-sialome-cds-pep-larger-orf50-50SimCLU5.txt", 5)</f>
        <v>5</v>
      </c>
      <c r="BW456">
        <f>HYPERLINK("http://exon.niaid.nih.gov/transcriptome/Anopheles_sialome/links/cluster-b/anopheline-sialome-cds-pep-larger-orf50-50SimCLTL5.txt", 39)</f>
        <v>39</v>
      </c>
      <c r="BX456">
        <f>HYPERLINK("http://exon.niaid.nih.gov/transcriptome/Anopheles_sialome/links/cluster-b/anopheline-sialome-cds-pep-larger-orf55-50SimCLU6.txt", 6)</f>
        <v>6</v>
      </c>
      <c r="BY456">
        <f>HYPERLINK("http://exon.niaid.nih.gov/transcriptome/Anopheles_sialome/links/cluster-b/anopheline-sialome-cds-pep-larger-orf55-50SimCLTL6.txt", 36)</f>
        <v>36</v>
      </c>
      <c r="BZ456">
        <f>HYPERLINK("http://exon.niaid.nih.gov/transcriptome/Anopheles_sialome/links/cluster-b/anopheline-sialome-cds-pep-larger-orf60-50SimCLU9.txt", 9)</f>
        <v>9</v>
      </c>
      <c r="CA456">
        <f>HYPERLINK("http://exon.niaid.nih.gov/transcriptome/Anopheles_sialome/links/cluster-b/anopheline-sialome-cds-pep-larger-orf60-50SimCLTL9.txt", 26)</f>
        <v>26</v>
      </c>
      <c r="CB456">
        <f>HYPERLINK("http://exon.niaid.nih.gov/transcriptome/Anopheles_sialome/links/cluster-b/anopheline-sialome-cds-pep-larger-orf65-50SimCLU6.txt", 6)</f>
        <v>6</v>
      </c>
      <c r="CC456">
        <f>HYPERLINK("http://exon.niaid.nih.gov/transcriptome/Anopheles_sialome/links/cluster-b/anopheline-sialome-cds-pep-larger-orf65-50SimCLTL6.txt", 26)</f>
        <v>26</v>
      </c>
      <c r="CD456">
        <f>HYPERLINK("http://exon.niaid.nih.gov/transcriptome/Anopheles_sialome/links/cluster-b/anopheline-sialome-cds-pep-larger-orf70-50SimCLU5.txt", 5)</f>
        <v>5</v>
      </c>
      <c r="CE456">
        <f>HYPERLINK("http://exon.niaid.nih.gov/transcriptome/Anopheles_sialome/links/cluster-b/anopheline-sialome-cds-pep-larger-orf70-50SimCLTL5.txt", 24)</f>
        <v>24</v>
      </c>
      <c r="CF456">
        <f>HYPERLINK("http://exon.niaid.nih.gov/transcriptome/Anopheles_sialome/links/cluster-b/anopheline-sialome-cds-pep-larger-orf75-50SimCLU20.txt", 20)</f>
        <v>20</v>
      </c>
      <c r="CG456">
        <f>HYPERLINK("http://exon.niaid.nih.gov/transcriptome/Anopheles_sialome/links/cluster-b/anopheline-sialome-cds-pep-larger-orf75-50SimCLTL20.txt", 15)</f>
        <v>15</v>
      </c>
      <c r="CH456">
        <v>179</v>
      </c>
      <c r="CI456">
        <v>1</v>
      </c>
      <c r="CJ456">
        <v>230</v>
      </c>
      <c r="CK456">
        <v>1</v>
      </c>
      <c r="CL456">
        <v>280</v>
      </c>
      <c r="CM456">
        <v>1</v>
      </c>
      <c r="CN456">
        <v>316</v>
      </c>
      <c r="CO456">
        <v>1</v>
      </c>
    </row>
    <row r="457" spans="1:93">
      <c r="A457" s="2" t="str">
        <f>HYPERLINK("http://exon.niaid.nih.gov/transcriptome/Anopheles_sialome/links/cds/anoste_hyp37.7-2-cds.txt","anoste_hyp37.7-2")</f>
        <v>anoste_hyp37.7-2</v>
      </c>
      <c r="B457">
        <v>756</v>
      </c>
      <c r="C457" t="s">
        <v>306</v>
      </c>
      <c r="D457" t="s">
        <v>7</v>
      </c>
      <c r="E457" t="s">
        <v>5</v>
      </c>
      <c r="F457" t="s">
        <v>1</v>
      </c>
      <c r="G457" t="str">
        <f>HYPERLINK("http://exon.niaid.nih.gov/transcriptome/Anopheles_sialome/links/pep/anoste_hyp37.7-2-pep.txt","anoste_hyp37.7-2")</f>
        <v>anoste_hyp37.7-2</v>
      </c>
      <c r="H457">
        <v>251</v>
      </c>
      <c r="I457">
        <v>1</v>
      </c>
      <c r="J457" s="3" t="str">
        <f>HYPERLINK("http://exon.niaid.nih.gov/transcriptome/Anopheles_sialome/links/Sigp/anoste_hyp37.7-2-SigP.txt","SIG")</f>
        <v>SIG</v>
      </c>
      <c r="K457" t="s">
        <v>708</v>
      </c>
      <c r="L457">
        <v>27.742000000000001</v>
      </c>
      <c r="M457">
        <v>8.44</v>
      </c>
      <c r="N457">
        <v>25.535</v>
      </c>
      <c r="O457">
        <v>7.97</v>
      </c>
      <c r="P457" t="s">
        <v>1501</v>
      </c>
      <c r="Q457" s="3" t="str">
        <f>HYPERLINK("http://exon.niaid.nih.gov/transcriptome/Anopheles_sialome/links/tmhmm/anoste_hyp37.7-2-tmhmm.txt","1")</f>
        <v>1</v>
      </c>
      <c r="R457">
        <v>6.8</v>
      </c>
      <c r="S457">
        <v>90.4</v>
      </c>
      <c r="T457">
        <v>2.8</v>
      </c>
      <c r="U457" t="s">
        <v>128</v>
      </c>
      <c r="V457">
        <v>227</v>
      </c>
      <c r="W457" s="3" t="str">
        <f>HYPERLINK("http://exon.niaid.nih.gov/transcriptome/Anopheles_sialome/links/netoglyc/anoste_hyp37.7-2-netoglyc.txt","0")</f>
        <v>0</v>
      </c>
      <c r="X457">
        <v>13.5</v>
      </c>
      <c r="Y457">
        <v>8</v>
      </c>
      <c r="Z457">
        <v>1.6</v>
      </c>
      <c r="AA457" t="s">
        <v>654</v>
      </c>
      <c r="AB457" t="s">
        <v>128</v>
      </c>
      <c r="AC457" s="2" t="str">
        <f>HYPERLINK("http://exon.niaid.nih.gov/transcriptome/Anopheles_sialome/links/DIPTERA/anoste_hyp37.7-2-DIPTERA.txt","AGAP001989-PA")</f>
        <v>AGAP001989-PA</v>
      </c>
      <c r="AD457" t="str">
        <f>HYPERLINK("http://www.ncbi.nlm.nih.gov/sutils/blink.cgi?pid=116115972","2E-081")</f>
        <v>2E-081</v>
      </c>
      <c r="AE457" t="str">
        <f t="shared" si="156"/>
        <v>gi|116115972</v>
      </c>
      <c r="AF457">
        <v>59</v>
      </c>
      <c r="AG457">
        <v>75</v>
      </c>
      <c r="AH457">
        <v>98</v>
      </c>
      <c r="AI457" t="s">
        <v>2285</v>
      </c>
      <c r="AJ457" s="2" t="str">
        <f>HYPERLINK("http://exon.niaid.nih.gov/transcriptome/Anopheles_sialome/links/CULICOMORPHA/anoste_hyp37.7-2-CULICOMORPHA.txt","AGAP001989-PA")</f>
        <v>AGAP001989-PA</v>
      </c>
      <c r="AK457" t="str">
        <f>HYPERLINK("http://www.ncbi.nlm.nih.gov/sutils/blink.cgi?pid=116115972","4E-082")</f>
        <v>4E-082</v>
      </c>
      <c r="AL457" t="str">
        <f t="shared" si="157"/>
        <v>gi|116115972</v>
      </c>
      <c r="AM457">
        <v>59</v>
      </c>
      <c r="AN457">
        <v>75</v>
      </c>
      <c r="AO457">
        <v>98</v>
      </c>
      <c r="AP457" t="s">
        <v>2285</v>
      </c>
      <c r="AQ457" s="2" t="str">
        <f>HYPERLINK("http://exon.niaid.nih.gov/transcriptome/Anopheles_sialome/links/NR-LIGHT/anoste_hyp37.7-2-NR-LIGHT.txt","AGAP001989-PA")</f>
        <v>AGAP001989-PA</v>
      </c>
      <c r="AR457" t="str">
        <f>HYPERLINK("http://www.ncbi.nlm.nih.gov/sutils/blink.cgi?pid=118793773","6E-081")</f>
        <v>6E-081</v>
      </c>
      <c r="AS457" t="str">
        <f t="shared" si="158"/>
        <v>gi|118793773</v>
      </c>
      <c r="AT457">
        <v>59</v>
      </c>
      <c r="AU457">
        <v>75</v>
      </c>
      <c r="AV457">
        <v>98</v>
      </c>
      <c r="AW457" t="s">
        <v>2285</v>
      </c>
      <c r="AX457" s="2" t="str">
        <f>HYPERLINK("http://exon.niaid.nih.gov/transcriptome/Anopheles_sialome/links/CDD/anoste_hyp37.7-2-CDD.txt","hypothetical_pr")</f>
        <v>hypothetical_pr</v>
      </c>
      <c r="AY457" t="str">
        <f>HYPERLINK("http://www.ncbi.nlm.nih.gov/Structure/cdd/cddsrv.cgi?uid=TIGR03938&amp;version=v4.0","0.86")</f>
        <v>0.86</v>
      </c>
      <c r="AZ457" t="s">
        <v>2739</v>
      </c>
      <c r="BA457" s="2" t="str">
        <f>HYPERLINK("http://exon.niaid.nih.gov/transcriptome/Anopheles_sialome/links/KOG/anoste_hyp37.7-2-KOG.txt","Structural maintenance of chromosome protein 1 (sister chromatid cohesion complex Cohesin, subunit SMC1)")</f>
        <v>Structural maintenance of chromosome protein 1 (sister chromatid cohesion complex Cohesin, subunit SMC1)</v>
      </c>
      <c r="BB457" t="str">
        <f>HYPERLINK("http://www.ncbi.nlm.nih.gov/Structure/cdd/cddsrv.cgi?uid=KOG0018","7.7")</f>
        <v>7.7</v>
      </c>
      <c r="BC457" t="s">
        <v>2256</v>
      </c>
      <c r="BD457" t="str">
        <f>HYPERLINK("http://exon.niaid.nih.gov/transcriptome/Anopheles_sialome/links/KOG/anoste_hyp37.7-2-KOG.txt","KOG0018")</f>
        <v>KOG0018</v>
      </c>
      <c r="BE457" t="str">
        <f>HYPERLINK("http://exon.niaid.nih.gov/transcriptome/Anopheles_sialome/links/PFAM/anoste_hyp37.7-2-PFAM.txt","COG4")</f>
        <v>COG4</v>
      </c>
      <c r="BF457" t="str">
        <f>HYPERLINK("http://pfam.sanger.ac.uk/family?acc=PF08318","0.44")</f>
        <v>0.44</v>
      </c>
      <c r="BG457" s="2" t="str">
        <f>HYPERLINK("http://exon.niaid.nih.gov/transcriptome/Anopheles_sialome/links/SMART/anoste_hyp37.7-2-SMART.txt","Cog4")</f>
        <v>Cog4</v>
      </c>
      <c r="BH457" t="str">
        <f>HYPERLINK("http://smart.embl-heidelberg.de/smart/do_annotation.pl?DOMAIN=Cog4&amp;BLAST=DUMMY","0.58")</f>
        <v>0.58</v>
      </c>
      <c r="BI457" t="str">
        <f>HYPERLINK("http://exon.niaid.nih.gov/transcriptome/Anopheles_sialome/links/TICK-BLOCKS/anoste_hyp37.7-2-TICK-BLOCKS.txt","Hyp37 |Hyp37_stringent_pattern |")</f>
        <v>Hyp37 |Hyp37_stringent_pattern |</v>
      </c>
      <c r="BJ457" s="2" t="s">
        <v>2712</v>
      </c>
      <c r="BK457" t="s">
        <v>1500</v>
      </c>
      <c r="BL457">
        <f>HYPERLINK("http://exon.niaid.nih.gov/transcriptome/Anopheles_sialome/links/cluster-b/anopheline-sialome-cds-pep-larger-orf25-50SimCLU7.txt", 7)</f>
        <v>7</v>
      </c>
      <c r="BM457">
        <f>HYPERLINK("http://exon.niaid.nih.gov/transcriptome/Anopheles_sialome/links/cluster-b/anopheline-sialome-cds-pep-larger-orf25-50SimCLTL7.txt", 40)</f>
        <v>40</v>
      </c>
      <c r="BN457">
        <f>HYPERLINK("http://exon.niaid.nih.gov/transcriptome/Anopheles_sialome/links/cluster-b/anopheline-sialome-cds-pep-larger-orf30-50SimCLU6.txt", 6)</f>
        <v>6</v>
      </c>
      <c r="BO457">
        <f>HYPERLINK("http://exon.niaid.nih.gov/transcriptome/Anopheles_sialome/links/cluster-b/anopheline-sialome-cds-pep-larger-orf30-50SimCLTL6.txt", 40)</f>
        <v>40</v>
      </c>
      <c r="BP457">
        <f>HYPERLINK("http://exon.niaid.nih.gov/transcriptome/Anopheles_sialome/links/cluster-b/anopheline-sialome-cds-pep-larger-orf35-50SimCLU7.txt", 7)</f>
        <v>7</v>
      </c>
      <c r="BQ457">
        <f>HYPERLINK("http://exon.niaid.nih.gov/transcriptome/Anopheles_sialome/links/cluster-b/anopheline-sialome-cds-pep-larger-orf35-50SimCLTL7.txt", 40)</f>
        <v>40</v>
      </c>
      <c r="BR457">
        <f>HYPERLINK("http://exon.niaid.nih.gov/transcriptome/Anopheles_sialome/links/cluster-b/anopheline-sialome-cds-pep-larger-orf40-50SimCLU6.txt", 6)</f>
        <v>6</v>
      </c>
      <c r="BS457">
        <f>HYPERLINK("http://exon.niaid.nih.gov/transcriptome/Anopheles_sialome/links/cluster-b/anopheline-sialome-cds-pep-larger-orf40-50SimCLTL6.txt", 39)</f>
        <v>39</v>
      </c>
      <c r="BT457">
        <f>HYPERLINK("http://exon.niaid.nih.gov/transcriptome/Anopheles_sialome/links/cluster-b/anopheline-sialome-cds-pep-larger-orf45-50SimCLU5.txt", 5)</f>
        <v>5</v>
      </c>
      <c r="BU457">
        <f>HYPERLINK("http://exon.niaid.nih.gov/transcriptome/Anopheles_sialome/links/cluster-b/anopheline-sialome-cds-pep-larger-orf45-50SimCLTL5.txt", 39)</f>
        <v>39</v>
      </c>
      <c r="BV457">
        <f>HYPERLINK("http://exon.niaid.nih.gov/transcriptome/Anopheles_sialome/links/cluster-b/anopheline-sialome-cds-pep-larger-orf50-50SimCLU5.txt", 5)</f>
        <v>5</v>
      </c>
      <c r="BW457">
        <f>HYPERLINK("http://exon.niaid.nih.gov/transcriptome/Anopheles_sialome/links/cluster-b/anopheline-sialome-cds-pep-larger-orf50-50SimCLTL5.txt", 39)</f>
        <v>39</v>
      </c>
      <c r="BX457">
        <f>HYPERLINK("http://exon.niaid.nih.gov/transcriptome/Anopheles_sialome/links/cluster-b/anopheline-sialome-cds-pep-larger-orf55-50SimCLU6.txt", 6)</f>
        <v>6</v>
      </c>
      <c r="BY457">
        <f>HYPERLINK("http://exon.niaid.nih.gov/transcriptome/Anopheles_sialome/links/cluster-b/anopheline-sialome-cds-pep-larger-orf55-50SimCLTL6.txt", 36)</f>
        <v>36</v>
      </c>
      <c r="BZ457">
        <f>HYPERLINK("http://exon.niaid.nih.gov/transcriptome/Anopheles_sialome/links/cluster-b/anopheline-sialome-cds-pep-larger-orf60-50SimCLU9.txt", 9)</f>
        <v>9</v>
      </c>
      <c r="CA457">
        <f>HYPERLINK("http://exon.niaid.nih.gov/transcriptome/Anopheles_sialome/links/cluster-b/anopheline-sialome-cds-pep-larger-orf60-50SimCLTL9.txt", 26)</f>
        <v>26</v>
      </c>
      <c r="CB457">
        <f>HYPERLINK("http://exon.niaid.nih.gov/transcriptome/Anopheles_sialome/links/cluster-b/anopheline-sialome-cds-pep-larger-orf65-50SimCLU6.txt", 6)</f>
        <v>6</v>
      </c>
      <c r="CC457">
        <f>HYPERLINK("http://exon.niaid.nih.gov/transcriptome/Anopheles_sialome/links/cluster-b/anopheline-sialome-cds-pep-larger-orf65-50SimCLTL6.txt", 26)</f>
        <v>26</v>
      </c>
      <c r="CD457">
        <f>HYPERLINK("http://exon.niaid.nih.gov/transcriptome/Anopheles_sialome/links/cluster-b/anopheline-sialome-cds-pep-larger-orf70-50SimCLU5.txt", 5)</f>
        <v>5</v>
      </c>
      <c r="CE457">
        <f>HYPERLINK("http://exon.niaid.nih.gov/transcriptome/Anopheles_sialome/links/cluster-b/anopheline-sialome-cds-pep-larger-orf70-50SimCLTL5.txt", 24)</f>
        <v>24</v>
      </c>
      <c r="CF457">
        <f>HYPERLINK("http://exon.niaid.nih.gov/transcriptome/Anopheles_sialome/links/cluster-b/anopheline-sialome-cds-pep-larger-orf75-50SimCLU20.txt", 20)</f>
        <v>20</v>
      </c>
      <c r="CG457">
        <f>HYPERLINK("http://exon.niaid.nih.gov/transcriptome/Anopheles_sialome/links/cluster-b/anopheline-sialome-cds-pep-larger-orf75-50SimCLTL20.txt", 15)</f>
        <v>15</v>
      </c>
      <c r="CH457">
        <f>HYPERLINK("http://exon.niaid.nih.gov/transcriptome/Anopheles_sialome/links/cluster-b/anopheline-sialome-cds-pep-larger-orf80-50SimCLU25.txt", 25)</f>
        <v>25</v>
      </c>
      <c r="CI457">
        <f>HYPERLINK("http://exon.niaid.nih.gov/transcriptome/Anopheles_sialome/links/cluster-b/anopheline-sialome-cds-pep-larger-orf80-50SimCLTL25.txt", 11)</f>
        <v>11</v>
      </c>
      <c r="CJ457">
        <f>HYPERLINK("http://exon.niaid.nih.gov/transcriptome/Anopheles_sialome/links/cluster-b/anopheline-sialome-cds-pep-larger-orf85-50SimCLU53.txt", 53)</f>
        <v>53</v>
      </c>
      <c r="CK457">
        <f>HYPERLINK("http://exon.niaid.nih.gov/transcriptome/Anopheles_sialome/links/cluster-b/anopheline-sialome-cds-pep-larger-orf85-50SimCLTL53.txt", 4)</f>
        <v>4</v>
      </c>
      <c r="CL457">
        <f>HYPERLINK("http://exon.niaid.nih.gov/transcriptome/Anopheles_sialome/links/cluster-b/anopheline-sialome-cds-pep-larger-orf90-50SimCLU51.txt", 51)</f>
        <v>51</v>
      </c>
      <c r="CM457">
        <f>HYPERLINK("http://exon.niaid.nih.gov/transcriptome/Anopheles_sialome/links/cluster-b/anopheline-sialome-cds-pep-larger-orf90-50SimCLTL51.txt", 4)</f>
        <v>4</v>
      </c>
      <c r="CN457">
        <v>317</v>
      </c>
      <c r="CO457">
        <v>1</v>
      </c>
    </row>
    <row r="458" spans="1:93">
      <c r="A458" s="2" t="str">
        <f>HYPERLINK("http://exon.niaid.nih.gov/transcriptome/Anopheles_sialome/links/cds/anomac_hyp37.7-2-cds.txt","anomac_hyp37.7-2")</f>
        <v>anomac_hyp37.7-2</v>
      </c>
      <c r="B458">
        <v>753</v>
      </c>
      <c r="C458" t="s">
        <v>4</v>
      </c>
      <c r="D458" s="8" t="s">
        <v>3178</v>
      </c>
      <c r="E458" t="s">
        <v>5</v>
      </c>
      <c r="F458" t="s">
        <v>1</v>
      </c>
      <c r="G458" t="str">
        <f>HYPERLINK("http://exon.niaid.nih.gov/transcriptome/Anopheles_sialome/links/pep/anomac_hyp37.7-2-pep.txt","anomac_hyp37.7-2")</f>
        <v>anomac_hyp37.7-2</v>
      </c>
      <c r="H458">
        <v>250</v>
      </c>
      <c r="I458">
        <v>2</v>
      </c>
      <c r="J458" s="3" t="str">
        <f>HYPERLINK("http://exon.niaid.nih.gov/transcriptome/Anopheles_sialome/links/Sigp/anomac_hyp37.7-2-SigP.txt","SIG")</f>
        <v>SIG</v>
      </c>
      <c r="K458" t="s">
        <v>919</v>
      </c>
      <c r="L458">
        <v>28.213999999999999</v>
      </c>
      <c r="M458">
        <v>6.13</v>
      </c>
      <c r="N458">
        <v>26.271999999999998</v>
      </c>
      <c r="O458">
        <v>6.13</v>
      </c>
      <c r="P458" t="s">
        <v>841</v>
      </c>
      <c r="Q458" s="3">
        <v>0</v>
      </c>
      <c r="R458" t="s">
        <v>128</v>
      </c>
      <c r="S458" t="s">
        <v>128</v>
      </c>
      <c r="T458" t="s">
        <v>128</v>
      </c>
      <c r="U458" t="s">
        <v>128</v>
      </c>
      <c r="V458" t="s">
        <v>128</v>
      </c>
      <c r="W458" s="3" t="str">
        <f>HYPERLINK("http://exon.niaid.nih.gov/transcriptome/Anopheles_sialome/links/netoglyc/anomac_hyp37.7-2-netoglyc.txt","0")</f>
        <v>0</v>
      </c>
      <c r="X458">
        <v>13.6</v>
      </c>
      <c r="Y458">
        <v>7.2</v>
      </c>
      <c r="Z458">
        <v>1.6</v>
      </c>
      <c r="AA458" t="s">
        <v>654</v>
      </c>
      <c r="AB458" t="s">
        <v>128</v>
      </c>
      <c r="AC458" s="2" t="str">
        <f>HYPERLINK("http://exon.niaid.nih.gov/transcriptome/Anopheles_sialome/links/DIPTERA/anomac_hyp37.7-2-DIPTERA.txt","AGAP001989-PA")</f>
        <v>AGAP001989-PA</v>
      </c>
      <c r="AD458" t="str">
        <f>HYPERLINK("http://www.ncbi.nlm.nih.gov/sutils/blink.cgi?pid=116115972","3E-057")</f>
        <v>3E-057</v>
      </c>
      <c r="AE458" t="str">
        <f t="shared" si="156"/>
        <v>gi|116115972</v>
      </c>
      <c r="AF458">
        <v>45</v>
      </c>
      <c r="AG458">
        <v>64</v>
      </c>
      <c r="AH458">
        <v>97</v>
      </c>
      <c r="AI458" t="s">
        <v>2285</v>
      </c>
      <c r="AJ458" s="2" t="str">
        <f>HYPERLINK("http://exon.niaid.nih.gov/transcriptome/Anopheles_sialome/links/CULICOMORPHA/anomac_hyp37.7-2-CULICOMORPHA.txt","AGAP001989-PA")</f>
        <v>AGAP001989-PA</v>
      </c>
      <c r="AK458" t="str">
        <f>HYPERLINK("http://www.ncbi.nlm.nih.gov/sutils/blink.cgi?pid=116115972","5E-058")</f>
        <v>5E-058</v>
      </c>
      <c r="AL458" t="str">
        <f t="shared" si="157"/>
        <v>gi|116115972</v>
      </c>
      <c r="AM458">
        <v>45</v>
      </c>
      <c r="AN458">
        <v>64</v>
      </c>
      <c r="AO458">
        <v>97</v>
      </c>
      <c r="AP458" t="s">
        <v>2285</v>
      </c>
      <c r="AQ458" s="2" t="str">
        <f>HYPERLINK("http://exon.niaid.nih.gov/transcriptome/Anopheles_sialome/links/NR-LIGHT/anomac_hyp37.7-2-NR-LIGHT.txt","AGAP001989-PA")</f>
        <v>AGAP001989-PA</v>
      </c>
      <c r="AR458" t="str">
        <f>HYPERLINK("http://www.ncbi.nlm.nih.gov/sutils/blink.cgi?pid=118793773","8E-057")</f>
        <v>8E-057</v>
      </c>
      <c r="AS458" t="str">
        <f t="shared" si="158"/>
        <v>gi|118793773</v>
      </c>
      <c r="AT458">
        <v>45</v>
      </c>
      <c r="AU458">
        <v>64</v>
      </c>
      <c r="AV458">
        <v>97</v>
      </c>
      <c r="AW458" t="s">
        <v>2285</v>
      </c>
      <c r="AX458" s="2" t="str">
        <f>HYPERLINK("http://exon.niaid.nih.gov/transcriptome/Anopheles_sialome/links/CDD/anomac_hyp37.7-2-CDD.txt","Uridylate_kinas")</f>
        <v>Uridylate_kinas</v>
      </c>
      <c r="AY458" t="str">
        <f>HYPERLINK("http://www.ncbi.nlm.nih.gov/Structure/cdd/cddsrv.cgi?uid=TIGR02075&amp;version=v4.0","2.4")</f>
        <v>2.4</v>
      </c>
      <c r="AZ458" t="s">
        <v>2740</v>
      </c>
      <c r="BA458" s="2" t="str">
        <f>HYPERLINK("http://exon.niaid.nih.gov/transcriptome/Anopheles_sialome/links/KOG/anomac_hyp37.7-2-KOG.txt","RNA polymerase I transcription factor")</f>
        <v>RNA polymerase I transcription factor</v>
      </c>
      <c r="BB458" t="str">
        <f>HYPERLINK("http://www.ncbi.nlm.nih.gov/Structure/cdd/cddsrv.cgi?uid=KOG2434","2.3")</f>
        <v>2.3</v>
      </c>
      <c r="BC458" t="s">
        <v>2262</v>
      </c>
      <c r="BD458" t="str">
        <f>HYPERLINK("http://exon.niaid.nih.gov/transcriptome/Anopheles_sialome/links/KOG/anomac_hyp37.7-2-KOG.txt","KOG2434")</f>
        <v>KOG2434</v>
      </c>
      <c r="BE458" t="str">
        <f>HYPERLINK("http://exon.niaid.nih.gov/transcriptome/Anopheles_sialome/links/PFAM/anomac_hyp37.7-2-PFAM.txt","zf-ZPR1")</f>
        <v>zf-ZPR1</v>
      </c>
      <c r="BF458" t="str">
        <f>HYPERLINK("http://pfam.sanger.ac.uk/family?acc=PF03367","1.7")</f>
        <v>1.7</v>
      </c>
      <c r="BG458" s="2" t="str">
        <f>HYPERLINK("http://exon.niaid.nih.gov/transcriptome/Anopheles_sialome/links/SMART/anomac_hyp37.7-2-SMART.txt","CPSase_L_D3")</f>
        <v>CPSase_L_D3</v>
      </c>
      <c r="BH458" t="str">
        <f>HYPERLINK("http://smart.embl-heidelberg.de/smart/do_annotation.pl?DOMAIN=CPSase_L_D3&amp;BLAST=DUMMY","0.30")</f>
        <v>0.30</v>
      </c>
      <c r="BI458" t="str">
        <f>HYPERLINK("http://exon.niaid.nih.gov/transcriptome/Anopheles_sialome/links/TICK-BLOCKS/anomac_hyp37.7-2-TICK-BLOCKS.txt","Hyp37 |Hyp37_stringent_pattern |")</f>
        <v>Hyp37 |Hyp37_stringent_pattern |</v>
      </c>
      <c r="BJ458" s="2" t="s">
        <v>2712</v>
      </c>
      <c r="BK458" t="s">
        <v>1502</v>
      </c>
      <c r="BL458">
        <f>HYPERLINK("http://exon.niaid.nih.gov/transcriptome/Anopheles_sialome/links/cluster-b/anopheline-sialome-cds-pep-larger-orf25-50SimCLU7.txt", 7)</f>
        <v>7</v>
      </c>
      <c r="BM458">
        <f>HYPERLINK("http://exon.niaid.nih.gov/transcriptome/Anopheles_sialome/links/cluster-b/anopheline-sialome-cds-pep-larger-orf25-50SimCLTL7.txt", 40)</f>
        <v>40</v>
      </c>
      <c r="BN458">
        <f>HYPERLINK("http://exon.niaid.nih.gov/transcriptome/Anopheles_sialome/links/cluster-b/anopheline-sialome-cds-pep-larger-orf30-50SimCLU6.txt", 6)</f>
        <v>6</v>
      </c>
      <c r="BO458">
        <f>HYPERLINK("http://exon.niaid.nih.gov/transcriptome/Anopheles_sialome/links/cluster-b/anopheline-sialome-cds-pep-larger-orf30-50SimCLTL6.txt", 40)</f>
        <v>40</v>
      </c>
      <c r="BP458">
        <f>HYPERLINK("http://exon.niaid.nih.gov/transcriptome/Anopheles_sialome/links/cluster-b/anopheline-sialome-cds-pep-larger-orf35-50SimCLU7.txt", 7)</f>
        <v>7</v>
      </c>
      <c r="BQ458">
        <f>HYPERLINK("http://exon.niaid.nih.gov/transcriptome/Anopheles_sialome/links/cluster-b/anopheline-sialome-cds-pep-larger-orf35-50SimCLTL7.txt", 40)</f>
        <v>40</v>
      </c>
      <c r="BR458">
        <f>HYPERLINK("http://exon.niaid.nih.gov/transcriptome/Anopheles_sialome/links/cluster-b/anopheline-sialome-cds-pep-larger-orf40-50SimCLU6.txt", 6)</f>
        <v>6</v>
      </c>
      <c r="BS458">
        <f>HYPERLINK("http://exon.niaid.nih.gov/transcriptome/Anopheles_sialome/links/cluster-b/anopheline-sialome-cds-pep-larger-orf40-50SimCLTL6.txt", 39)</f>
        <v>39</v>
      </c>
      <c r="BT458">
        <f>HYPERLINK("http://exon.niaid.nih.gov/transcriptome/Anopheles_sialome/links/cluster-b/anopheline-sialome-cds-pep-larger-orf45-50SimCLU5.txt", 5)</f>
        <v>5</v>
      </c>
      <c r="BU458">
        <f>HYPERLINK("http://exon.niaid.nih.gov/transcriptome/Anopheles_sialome/links/cluster-b/anopheline-sialome-cds-pep-larger-orf45-50SimCLTL5.txt", 39)</f>
        <v>39</v>
      </c>
      <c r="BV458">
        <f>HYPERLINK("http://exon.niaid.nih.gov/transcriptome/Anopheles_sialome/links/cluster-b/anopheline-sialome-cds-pep-larger-orf50-50SimCLU5.txt", 5)</f>
        <v>5</v>
      </c>
      <c r="BW458">
        <f>HYPERLINK("http://exon.niaid.nih.gov/transcriptome/Anopheles_sialome/links/cluster-b/anopheline-sialome-cds-pep-larger-orf50-50SimCLTL5.txt", 39)</f>
        <v>39</v>
      </c>
      <c r="BX458">
        <f>HYPERLINK("http://exon.niaid.nih.gov/transcriptome/Anopheles_sialome/links/cluster-b/anopheline-sialome-cds-pep-larger-orf55-50SimCLU6.txt", 6)</f>
        <v>6</v>
      </c>
      <c r="BY458">
        <f>HYPERLINK("http://exon.niaid.nih.gov/transcriptome/Anopheles_sialome/links/cluster-b/anopheline-sialome-cds-pep-larger-orf55-50SimCLTL6.txt", 36)</f>
        <v>36</v>
      </c>
      <c r="BZ458">
        <f>HYPERLINK("http://exon.niaid.nih.gov/transcriptome/Anopheles_sialome/links/cluster-b/anopheline-sialome-cds-pep-larger-orf60-50SimCLU9.txt", 9)</f>
        <v>9</v>
      </c>
      <c r="CA458">
        <f>HYPERLINK("http://exon.niaid.nih.gov/transcriptome/Anopheles_sialome/links/cluster-b/anopheline-sialome-cds-pep-larger-orf60-50SimCLTL9.txt", 26)</f>
        <v>26</v>
      </c>
      <c r="CB458">
        <f>HYPERLINK("http://exon.niaid.nih.gov/transcriptome/Anopheles_sialome/links/cluster-b/anopheline-sialome-cds-pep-larger-orf65-50SimCLU6.txt", 6)</f>
        <v>6</v>
      </c>
      <c r="CC458">
        <f>HYPERLINK("http://exon.niaid.nih.gov/transcriptome/Anopheles_sialome/links/cluster-b/anopheline-sialome-cds-pep-larger-orf65-50SimCLTL6.txt", 26)</f>
        <v>26</v>
      </c>
      <c r="CD458">
        <f>HYPERLINK("http://exon.niaid.nih.gov/transcriptome/Anopheles_sialome/links/cluster-b/anopheline-sialome-cds-pep-larger-orf70-50SimCLU5.txt", 5)</f>
        <v>5</v>
      </c>
      <c r="CE458">
        <f>HYPERLINK("http://exon.niaid.nih.gov/transcriptome/Anopheles_sialome/links/cluster-b/anopheline-sialome-cds-pep-larger-orf70-50SimCLTL5.txt", 24)</f>
        <v>24</v>
      </c>
      <c r="CF458">
        <f>HYPERLINK("http://exon.niaid.nih.gov/transcriptome/Anopheles_sialome/links/cluster-b/anopheline-sialome-cds-pep-larger-orf75-50SimCLU20.txt", 20)</f>
        <v>20</v>
      </c>
      <c r="CG458">
        <f>HYPERLINK("http://exon.niaid.nih.gov/transcriptome/Anopheles_sialome/links/cluster-b/anopheline-sialome-cds-pep-larger-orf75-50SimCLTL20.txt", 15)</f>
        <v>15</v>
      </c>
      <c r="CH458">
        <v>180</v>
      </c>
      <c r="CI458">
        <v>1</v>
      </c>
      <c r="CJ458">
        <v>231</v>
      </c>
      <c r="CK458">
        <v>1</v>
      </c>
      <c r="CL458">
        <v>281</v>
      </c>
      <c r="CM458">
        <v>1</v>
      </c>
      <c r="CN458">
        <v>318</v>
      </c>
      <c r="CO458">
        <v>1</v>
      </c>
    </row>
    <row r="459" spans="1:93">
      <c r="A459" s="2" t="str">
        <f>HYPERLINK("http://exon.niaid.nih.gov/transcriptome/Anopheles_sialome/links/cds/anofar_hyp37.7-2-cds.txt","anofar_hyp37.7-2")</f>
        <v>anofar_hyp37.7-2</v>
      </c>
      <c r="B459">
        <v>702</v>
      </c>
      <c r="C459" t="s">
        <v>308</v>
      </c>
      <c r="D459" t="s">
        <v>7</v>
      </c>
      <c r="E459" t="s">
        <v>5</v>
      </c>
      <c r="F459" t="s">
        <v>1</v>
      </c>
      <c r="G459" t="str">
        <f>HYPERLINK("http://exon.niaid.nih.gov/transcriptome/Anopheles_sialome/links/pep/anofar_hyp37.7-2-pep.txt","anofar_hyp37.7-2")</f>
        <v>anofar_hyp37.7-2</v>
      </c>
      <c r="H459">
        <v>233</v>
      </c>
      <c r="I459">
        <v>1</v>
      </c>
      <c r="J459" s="3" t="str">
        <f>HYPERLINK("http://exon.niaid.nih.gov/transcriptome/Anopheles_sialome/links/Sigp/anofar_hyp37.7-2-SigP.txt","CYT")</f>
        <v>CYT</v>
      </c>
      <c r="K459" t="s">
        <v>128</v>
      </c>
      <c r="L459">
        <v>25.890999999999998</v>
      </c>
      <c r="M459">
        <v>6.6</v>
      </c>
      <c r="N459" t="s">
        <v>128</v>
      </c>
      <c r="O459" t="s">
        <v>128</v>
      </c>
      <c r="P459" t="s">
        <v>1063</v>
      </c>
      <c r="Q459" s="3">
        <v>0</v>
      </c>
      <c r="R459" t="s">
        <v>128</v>
      </c>
      <c r="S459" t="s">
        <v>128</v>
      </c>
      <c r="T459" t="s">
        <v>128</v>
      </c>
      <c r="U459" t="s">
        <v>128</v>
      </c>
      <c r="V459" t="s">
        <v>128</v>
      </c>
      <c r="W459" s="3" t="str">
        <f>HYPERLINK("http://exon.niaid.nih.gov/transcriptome/Anopheles_sialome/links/netoglyc/anofar_hyp37.7-2-netoglyc.txt","0")</f>
        <v>0</v>
      </c>
      <c r="X459">
        <v>13.3</v>
      </c>
      <c r="Y459">
        <v>9</v>
      </c>
      <c r="Z459">
        <v>1.3</v>
      </c>
      <c r="AA459" t="s">
        <v>654</v>
      </c>
      <c r="AB459" t="s">
        <v>128</v>
      </c>
      <c r="AC459" s="2" t="str">
        <f>HYPERLINK("http://exon.niaid.nih.gov/transcriptome/Anopheles_sialome/links/DIPTERA/anofar_hyp37.7-2-DIPTERA.txt","hyp37.3 putative secreted salivary gland protein")</f>
        <v>hyp37.3 putative secreted salivary gland protein</v>
      </c>
      <c r="AD459" t="str">
        <f>HYPERLINK("http://www.ncbi.nlm.nih.gov/sutils/blink.cgi?pid=29501532","8E-062")</f>
        <v>8E-062</v>
      </c>
      <c r="AE459" t="str">
        <f>HYPERLINK("http://www.ncbi.nlm.nih.gov/protein/29501532","gi|29501532")</f>
        <v>gi|29501532</v>
      </c>
      <c r="AF459">
        <v>54</v>
      </c>
      <c r="AG459">
        <v>69</v>
      </c>
      <c r="AH459">
        <v>65</v>
      </c>
      <c r="AI459" t="s">
        <v>2271</v>
      </c>
      <c r="AJ459" s="2" t="str">
        <f>HYPERLINK("http://exon.niaid.nih.gov/transcriptome/Anopheles_sialome/links/CULICOMORPHA/anofar_hyp37.7-2-CULICOMORPHA.txt","hyp37.3 putative secreted salivary gland protein")</f>
        <v>hyp37.3 putative secreted salivary gland protein</v>
      </c>
      <c r="AK459" t="str">
        <f>HYPERLINK("http://www.ncbi.nlm.nih.gov/sutils/blink.cgi?pid=29501532","1E-062")</f>
        <v>1E-062</v>
      </c>
      <c r="AL459" t="str">
        <f>HYPERLINK("http://www.ncbi.nlm.nih.gov/protein/29501532","gi|29501532")</f>
        <v>gi|29501532</v>
      </c>
      <c r="AM459">
        <v>54</v>
      </c>
      <c r="AN459">
        <v>69</v>
      </c>
      <c r="AO459">
        <v>65</v>
      </c>
      <c r="AP459" t="s">
        <v>2271</v>
      </c>
      <c r="AQ459" s="2" t="str">
        <f>HYPERLINK("http://exon.niaid.nih.gov/transcriptome/Anopheles_sialome/links/NR-LIGHT/anofar_hyp37.7-2-NR-LIGHT.txt","hyp37.3 putative secreted salivary gland protein")</f>
        <v>hyp37.3 putative secreted salivary gland protein</v>
      </c>
      <c r="AR459" t="str">
        <f>HYPERLINK("http://www.ncbi.nlm.nih.gov/sutils/blink.cgi?pid=29501532","2E-061")</f>
        <v>2E-061</v>
      </c>
      <c r="AS459" t="str">
        <f>HYPERLINK("http://www.ncbi.nlm.nih.gov/protein/29501532","gi|29501532")</f>
        <v>gi|29501532</v>
      </c>
      <c r="AT459">
        <v>54</v>
      </c>
      <c r="AU459">
        <v>69</v>
      </c>
      <c r="AV459">
        <v>65</v>
      </c>
      <c r="AW459" t="s">
        <v>2271</v>
      </c>
      <c r="AX459" s="2" t="str">
        <f>HYPERLINK("http://exon.niaid.nih.gov/transcriptome/Anopheles_sialome/links/CDD/anofar_hyp37.7-2-CDD.txt","ThuA")</f>
        <v>ThuA</v>
      </c>
      <c r="AY459" t="str">
        <f>HYPERLINK("http://www.ncbi.nlm.nih.gov/Structure/cdd/cddsrv.cgi?uid=COG4813&amp;version=v4.0","0.089")</f>
        <v>0.089</v>
      </c>
      <c r="AZ459" t="s">
        <v>2741</v>
      </c>
      <c r="BA459" s="2" t="str">
        <f>HYPERLINK("http://exon.niaid.nih.gov/transcriptome/Anopheles_sialome/links/KOG/anofar_hyp37.7-2-KOG.txt","Tyrosine kinase negative regulator CBL")</f>
        <v>Tyrosine kinase negative regulator CBL</v>
      </c>
      <c r="BB459" t="str">
        <f>HYPERLINK("http://www.ncbi.nlm.nih.gov/Structure/cdd/cddsrv.cgi?uid=KOG1785","0.25")</f>
        <v>0.25</v>
      </c>
      <c r="BC459" t="s">
        <v>2514</v>
      </c>
      <c r="BD459" t="str">
        <f>HYPERLINK("http://exon.niaid.nih.gov/transcriptome/Anopheles_sialome/links/KOG/anofar_hyp37.7-2-KOG.txt","KOG1785")</f>
        <v>KOG1785</v>
      </c>
      <c r="BE459" t="str">
        <f>HYPERLINK("http://exon.niaid.nih.gov/transcriptome/Anopheles_sialome/links/PFAM/anofar_hyp37.7-2-PFAM.txt","Cbl_N")</f>
        <v>Cbl_N</v>
      </c>
      <c r="BF459" t="str">
        <f>HYPERLINK("http://pfam.sanger.ac.uk/family?acc=PF02262","1.1")</f>
        <v>1.1</v>
      </c>
      <c r="BG459" s="2" t="str">
        <f>HYPERLINK("http://exon.niaid.nih.gov/transcriptome/Anopheles_sialome/links/SMART/anofar_hyp37.7-2-SMART.txt","COG6")</f>
        <v>COG6</v>
      </c>
      <c r="BH459" t="str">
        <f>HYPERLINK("http://smart.embl-heidelberg.de/smart/do_annotation.pl?DOMAIN=COG6&amp;BLAST=DUMMY","0.22")</f>
        <v>0.22</v>
      </c>
      <c r="BI459" t="str">
        <f>HYPERLINK("http://exon.niaid.nih.gov/transcriptome/Anopheles_sialome/links/TICK-BLOCKS/anofar_hyp37.7-2-TICK-BLOCKS.txt","Hyp37_stringent_pattern |")</f>
        <v>Hyp37_stringent_pattern |</v>
      </c>
      <c r="BJ459" s="2" t="s">
        <v>128</v>
      </c>
      <c r="BK459" t="s">
        <v>1503</v>
      </c>
      <c r="BL459">
        <f>HYPERLINK("http://exon.niaid.nih.gov/transcriptome/Anopheles_sialome/links/cluster-b/anopheline-sialome-cds-pep-larger-orf25-50SimCLU7.txt", 7)</f>
        <v>7</v>
      </c>
      <c r="BM459">
        <f>HYPERLINK("http://exon.niaid.nih.gov/transcriptome/Anopheles_sialome/links/cluster-b/anopheline-sialome-cds-pep-larger-orf25-50SimCLTL7.txt", 40)</f>
        <v>40</v>
      </c>
      <c r="BN459">
        <f>HYPERLINK("http://exon.niaid.nih.gov/transcriptome/Anopheles_sialome/links/cluster-b/anopheline-sialome-cds-pep-larger-orf30-50SimCLU6.txt", 6)</f>
        <v>6</v>
      </c>
      <c r="BO459">
        <f>HYPERLINK("http://exon.niaid.nih.gov/transcriptome/Anopheles_sialome/links/cluster-b/anopheline-sialome-cds-pep-larger-orf30-50SimCLTL6.txt", 40)</f>
        <v>40</v>
      </c>
      <c r="BP459">
        <f>HYPERLINK("http://exon.niaid.nih.gov/transcriptome/Anopheles_sialome/links/cluster-b/anopheline-sialome-cds-pep-larger-orf35-50SimCLU7.txt", 7)</f>
        <v>7</v>
      </c>
      <c r="BQ459">
        <f>HYPERLINK("http://exon.niaid.nih.gov/transcriptome/Anopheles_sialome/links/cluster-b/anopheline-sialome-cds-pep-larger-orf35-50SimCLTL7.txt", 40)</f>
        <v>40</v>
      </c>
      <c r="BR459">
        <f>HYPERLINK("http://exon.niaid.nih.gov/transcriptome/Anopheles_sialome/links/cluster-b/anopheline-sialome-cds-pep-larger-orf40-50SimCLU6.txt", 6)</f>
        <v>6</v>
      </c>
      <c r="BS459">
        <f>HYPERLINK("http://exon.niaid.nih.gov/transcriptome/Anopheles_sialome/links/cluster-b/anopheline-sialome-cds-pep-larger-orf40-50SimCLTL6.txt", 39)</f>
        <v>39</v>
      </c>
      <c r="BT459">
        <f>HYPERLINK("http://exon.niaid.nih.gov/transcriptome/Anopheles_sialome/links/cluster-b/anopheline-sialome-cds-pep-larger-orf45-50SimCLU5.txt", 5)</f>
        <v>5</v>
      </c>
      <c r="BU459">
        <f>HYPERLINK("http://exon.niaid.nih.gov/transcriptome/Anopheles_sialome/links/cluster-b/anopheline-sialome-cds-pep-larger-orf45-50SimCLTL5.txt", 39)</f>
        <v>39</v>
      </c>
      <c r="BV459">
        <f>HYPERLINK("http://exon.niaid.nih.gov/transcriptome/Anopheles_sialome/links/cluster-b/anopheline-sialome-cds-pep-larger-orf50-50SimCLU5.txt", 5)</f>
        <v>5</v>
      </c>
      <c r="BW459">
        <f>HYPERLINK("http://exon.niaid.nih.gov/transcriptome/Anopheles_sialome/links/cluster-b/anopheline-sialome-cds-pep-larger-orf50-50SimCLTL5.txt", 39)</f>
        <v>39</v>
      </c>
      <c r="BX459">
        <f>HYPERLINK("http://exon.niaid.nih.gov/transcriptome/Anopheles_sialome/links/cluster-b/anopheline-sialome-cds-pep-larger-orf55-50SimCLU6.txt", 6)</f>
        <v>6</v>
      </c>
      <c r="BY459">
        <f>HYPERLINK("http://exon.niaid.nih.gov/transcriptome/Anopheles_sialome/links/cluster-b/anopheline-sialome-cds-pep-larger-orf55-50SimCLTL6.txt", 36)</f>
        <v>36</v>
      </c>
      <c r="BZ459">
        <f>HYPERLINK("http://exon.niaid.nih.gov/transcriptome/Anopheles_sialome/links/cluster-b/anopheline-sialome-cds-pep-larger-orf60-50SimCLU9.txt", 9)</f>
        <v>9</v>
      </c>
      <c r="CA459">
        <f>HYPERLINK("http://exon.niaid.nih.gov/transcriptome/Anopheles_sialome/links/cluster-b/anopheline-sialome-cds-pep-larger-orf60-50SimCLTL9.txt", 26)</f>
        <v>26</v>
      </c>
      <c r="CB459">
        <f>HYPERLINK("http://exon.niaid.nih.gov/transcriptome/Anopheles_sialome/links/cluster-b/anopheline-sialome-cds-pep-larger-orf65-50SimCLU6.txt", 6)</f>
        <v>6</v>
      </c>
      <c r="CC459">
        <f>HYPERLINK("http://exon.niaid.nih.gov/transcriptome/Anopheles_sialome/links/cluster-b/anopheline-sialome-cds-pep-larger-orf65-50SimCLTL6.txt", 26)</f>
        <v>26</v>
      </c>
      <c r="CD459">
        <f>HYPERLINK("http://exon.niaid.nih.gov/transcriptome/Anopheles_sialome/links/cluster-b/anopheline-sialome-cds-pep-larger-orf70-50SimCLU5.txt", 5)</f>
        <v>5</v>
      </c>
      <c r="CE459">
        <f>HYPERLINK("http://exon.niaid.nih.gov/transcriptome/Anopheles_sialome/links/cluster-b/anopheline-sialome-cds-pep-larger-orf70-50SimCLTL5.txt", 24)</f>
        <v>24</v>
      </c>
      <c r="CF459">
        <v>133</v>
      </c>
      <c r="CG459">
        <v>1</v>
      </c>
      <c r="CH459">
        <v>181</v>
      </c>
      <c r="CI459">
        <v>1</v>
      </c>
      <c r="CJ459">
        <v>232</v>
      </c>
      <c r="CK459">
        <v>1</v>
      </c>
      <c r="CL459">
        <v>282</v>
      </c>
      <c r="CM459">
        <v>1</v>
      </c>
      <c r="CN459">
        <v>319</v>
      </c>
      <c r="CO459">
        <v>1</v>
      </c>
    </row>
    <row r="460" spans="1:93">
      <c r="A460" s="2" t="str">
        <f>HYPERLINK("http://exon.niaid.nih.gov/transcriptome/Anopheles_sialome/links/cds/anodir_hyp37.7-2a-cds.txt","anodir_hyp37.7-2a")</f>
        <v>anodir_hyp37.7-2a</v>
      </c>
      <c r="B460">
        <v>795</v>
      </c>
      <c r="C460" t="s">
        <v>309</v>
      </c>
      <c r="D460" t="s">
        <v>7</v>
      </c>
      <c r="E460" t="s">
        <v>5</v>
      </c>
      <c r="F460" t="s">
        <v>1</v>
      </c>
      <c r="G460" t="str">
        <f>HYPERLINK("http://exon.niaid.nih.gov/transcriptome/Anopheles_sialome/links/pep/anodir_hyp37.7-2a-pep.txt","anodir_hyp37.7-2a")</f>
        <v>anodir_hyp37.7-2a</v>
      </c>
      <c r="H460">
        <v>264</v>
      </c>
      <c r="I460">
        <v>1</v>
      </c>
      <c r="J460" s="3" t="str">
        <f>HYPERLINK("http://exon.niaid.nih.gov/transcriptome/Anopheles_sialome/links/Sigp/anodir_hyp37.7-2a-SigP.txt","SIG")</f>
        <v>SIG</v>
      </c>
      <c r="K460" t="s">
        <v>689</v>
      </c>
      <c r="L460">
        <v>30.484999999999999</v>
      </c>
      <c r="M460">
        <v>5.6</v>
      </c>
      <c r="N460">
        <v>28.146999999999998</v>
      </c>
      <c r="O460">
        <v>5.46</v>
      </c>
      <c r="P460" t="s">
        <v>742</v>
      </c>
      <c r="Q460" s="3">
        <v>0</v>
      </c>
      <c r="R460" t="s">
        <v>128</v>
      </c>
      <c r="S460" t="s">
        <v>128</v>
      </c>
      <c r="T460" t="s">
        <v>128</v>
      </c>
      <c r="U460" t="s">
        <v>128</v>
      </c>
      <c r="V460" t="s">
        <v>128</v>
      </c>
      <c r="W460" s="3" t="str">
        <f>HYPERLINK("http://exon.niaid.nih.gov/transcriptome/Anopheles_sialome/links/netoglyc/anodir_hyp37.7-2a-netoglyc.txt","0")</f>
        <v>0</v>
      </c>
      <c r="X460">
        <v>9.1</v>
      </c>
      <c r="Y460">
        <v>5.7</v>
      </c>
      <c r="Z460">
        <v>3.8</v>
      </c>
      <c r="AA460" t="s">
        <v>654</v>
      </c>
      <c r="AB460" t="s">
        <v>128</v>
      </c>
      <c r="AC460" s="2" t="str">
        <f>HYPERLINK("http://exon.niaid.nih.gov/transcriptome/Anopheles_sialome/links/DIPTERA/anodir_hyp37.7-2a-DIPTERA.txt","AGAP001989-PA")</f>
        <v>AGAP001989-PA</v>
      </c>
      <c r="AD460" t="str">
        <f>HYPERLINK("http://www.ncbi.nlm.nih.gov/sutils/blink.cgi?pid=116115972","3E-037")</f>
        <v>3E-037</v>
      </c>
      <c r="AE460" t="str">
        <f>HYPERLINK("http://www.ncbi.nlm.nih.gov/protein/116115972","gi|116115972")</f>
        <v>gi|116115972</v>
      </c>
      <c r="AF460">
        <v>35</v>
      </c>
      <c r="AG460">
        <v>52</v>
      </c>
      <c r="AH460">
        <v>98</v>
      </c>
      <c r="AI460" t="s">
        <v>2285</v>
      </c>
      <c r="AJ460" s="2" t="str">
        <f>HYPERLINK("http://exon.niaid.nih.gov/transcriptome/Anopheles_sialome/links/CULICOMORPHA/anodir_hyp37.7-2a-CULICOMORPHA.txt","AGAP001989-PA")</f>
        <v>AGAP001989-PA</v>
      </c>
      <c r="AK460" t="str">
        <f>HYPERLINK("http://www.ncbi.nlm.nih.gov/sutils/blink.cgi?pid=116115972","5E-038")</f>
        <v>5E-038</v>
      </c>
      <c r="AL460" t="str">
        <f>HYPERLINK("http://www.ncbi.nlm.nih.gov/protein/116115972","gi|116115972")</f>
        <v>gi|116115972</v>
      </c>
      <c r="AM460">
        <v>35</v>
      </c>
      <c r="AN460">
        <v>52</v>
      </c>
      <c r="AO460">
        <v>98</v>
      </c>
      <c r="AP460" t="s">
        <v>2285</v>
      </c>
      <c r="AQ460" s="2" t="str">
        <f>HYPERLINK("http://exon.niaid.nih.gov/transcriptome/Anopheles_sialome/links/NR-LIGHT/anodir_hyp37.7-2a-NR-LIGHT.txt","AGAP001989-PA")</f>
        <v>AGAP001989-PA</v>
      </c>
      <c r="AR460" t="str">
        <f>HYPERLINK("http://www.ncbi.nlm.nih.gov/sutils/blink.cgi?pid=118793773","8E-037")</f>
        <v>8E-037</v>
      </c>
      <c r="AS460" t="str">
        <f>HYPERLINK("http://www.ncbi.nlm.nih.gov/protein/118793773","gi|118793773")</f>
        <v>gi|118793773</v>
      </c>
      <c r="AT460">
        <v>35</v>
      </c>
      <c r="AU460">
        <v>52</v>
      </c>
      <c r="AV460">
        <v>98</v>
      </c>
      <c r="AW460" t="s">
        <v>2285</v>
      </c>
      <c r="AX460" s="2" t="str">
        <f>HYPERLINK("http://exon.niaid.nih.gov/transcriptome/Anopheles_sialome/links/CDD/anodir_hyp37.7-2a-CDD.txt","PRK14159")</f>
        <v>PRK14159</v>
      </c>
      <c r="AY460" t="str">
        <f>HYPERLINK("http://www.ncbi.nlm.nih.gov/Structure/cdd/cddsrv.cgi?uid=PRK14159&amp;version=v4.0","0.22")</f>
        <v>0.22</v>
      </c>
      <c r="AZ460" t="s">
        <v>2742</v>
      </c>
      <c r="BA460" s="2" t="str">
        <f>HYPERLINK("http://exon.niaid.nih.gov/transcriptome/Anopheles_sialome/links/KOG/anodir_hyp37.7-2a-KOG.txt","RUN domain-containing protein")</f>
        <v>RUN domain-containing protein</v>
      </c>
      <c r="BB460" t="str">
        <f>HYPERLINK("http://www.ncbi.nlm.nih.gov/Structure/cdd/cddsrv.cgi?uid=KOG4381","1.2")</f>
        <v>1.2</v>
      </c>
      <c r="BC460" t="s">
        <v>2292</v>
      </c>
      <c r="BD460" t="str">
        <f>HYPERLINK("http://exon.niaid.nih.gov/transcriptome/Anopheles_sialome/links/KOG/anodir_hyp37.7-2a-KOG.txt","KOG4381")</f>
        <v>KOG4381</v>
      </c>
      <c r="BE460" t="str">
        <f>HYPERLINK("http://exon.niaid.nih.gov/transcriptome/Anopheles_sialome/links/PFAM/anodir_hyp37.7-2a-PFAM.txt","ALIX_LYPXL_bnd")</f>
        <v>ALIX_LYPXL_bnd</v>
      </c>
      <c r="BF460" t="str">
        <f>HYPERLINK("http://pfam.sanger.ac.uk/family?acc=PF13949","0.37")</f>
        <v>0.37</v>
      </c>
      <c r="BG460" s="2" t="str">
        <f>HYPERLINK("http://exon.niaid.nih.gov/transcriptome/Anopheles_sialome/links/SMART/anodir_hyp37.7-2a-SMART.txt","ZnMc")</f>
        <v>ZnMc</v>
      </c>
      <c r="BH460" t="str">
        <f>HYPERLINK("http://smart.embl-heidelberg.de/smart/do_annotation.pl?DOMAIN=ZnMc&amp;BLAST=DUMMY","0.78")</f>
        <v>0.78</v>
      </c>
      <c r="BI460" t="s">
        <v>128</v>
      </c>
      <c r="BJ460" s="2" t="s">
        <v>128</v>
      </c>
      <c r="BK460" t="s">
        <v>1504</v>
      </c>
      <c r="BL460">
        <f>HYPERLINK("http://exon.niaid.nih.gov/transcriptome/Anopheles_sialome/links/cluster-b/anopheline-sialome-cds-pep-larger-orf25-50SimCLU7.txt", 7)</f>
        <v>7</v>
      </c>
      <c r="BM460">
        <f>HYPERLINK("http://exon.niaid.nih.gov/transcriptome/Anopheles_sialome/links/cluster-b/anopheline-sialome-cds-pep-larger-orf25-50SimCLTL7.txt", 40)</f>
        <v>40</v>
      </c>
      <c r="BN460">
        <f>HYPERLINK("http://exon.niaid.nih.gov/transcriptome/Anopheles_sialome/links/cluster-b/anopheline-sialome-cds-pep-larger-orf30-50SimCLU6.txt", 6)</f>
        <v>6</v>
      </c>
      <c r="BO460">
        <f>HYPERLINK("http://exon.niaid.nih.gov/transcriptome/Anopheles_sialome/links/cluster-b/anopheline-sialome-cds-pep-larger-orf30-50SimCLTL6.txt", 40)</f>
        <v>40</v>
      </c>
      <c r="BP460">
        <f>HYPERLINK("http://exon.niaid.nih.gov/transcriptome/Anopheles_sialome/links/cluster-b/anopheline-sialome-cds-pep-larger-orf35-50SimCLU7.txt", 7)</f>
        <v>7</v>
      </c>
      <c r="BQ460">
        <f>HYPERLINK("http://exon.niaid.nih.gov/transcriptome/Anopheles_sialome/links/cluster-b/anopheline-sialome-cds-pep-larger-orf35-50SimCLTL7.txt", 40)</f>
        <v>40</v>
      </c>
      <c r="BR460">
        <f>HYPERLINK("http://exon.niaid.nih.gov/transcriptome/Anopheles_sialome/links/cluster-b/anopheline-sialome-cds-pep-larger-orf40-50SimCLU6.txt", 6)</f>
        <v>6</v>
      </c>
      <c r="BS460">
        <f>HYPERLINK("http://exon.niaid.nih.gov/transcriptome/Anopheles_sialome/links/cluster-b/anopheline-sialome-cds-pep-larger-orf40-50SimCLTL6.txt", 39)</f>
        <v>39</v>
      </c>
      <c r="BT460">
        <f>HYPERLINK("http://exon.niaid.nih.gov/transcriptome/Anopheles_sialome/links/cluster-b/anopheline-sialome-cds-pep-larger-orf45-50SimCLU5.txt", 5)</f>
        <v>5</v>
      </c>
      <c r="BU460">
        <f>HYPERLINK("http://exon.niaid.nih.gov/transcriptome/Anopheles_sialome/links/cluster-b/anopheline-sialome-cds-pep-larger-orf45-50SimCLTL5.txt", 39)</f>
        <v>39</v>
      </c>
      <c r="BV460">
        <f>HYPERLINK("http://exon.niaid.nih.gov/transcriptome/Anopheles_sialome/links/cluster-b/anopheline-sialome-cds-pep-larger-orf50-50SimCLU5.txt", 5)</f>
        <v>5</v>
      </c>
      <c r="BW460">
        <f>HYPERLINK("http://exon.niaid.nih.gov/transcriptome/Anopheles_sialome/links/cluster-b/anopheline-sialome-cds-pep-larger-orf50-50SimCLTL5.txt", 39)</f>
        <v>39</v>
      </c>
      <c r="BX460">
        <f>HYPERLINK("http://exon.niaid.nih.gov/transcriptome/Anopheles_sialome/links/cluster-b/anopheline-sialome-cds-pep-larger-orf55-50SimCLU6.txt", 6)</f>
        <v>6</v>
      </c>
      <c r="BY460">
        <f>HYPERLINK("http://exon.niaid.nih.gov/transcriptome/Anopheles_sialome/links/cluster-b/anopheline-sialome-cds-pep-larger-orf55-50SimCLTL6.txt", 36)</f>
        <v>36</v>
      </c>
      <c r="BZ460">
        <f>HYPERLINK("http://exon.niaid.nih.gov/transcriptome/Anopheles_sialome/links/cluster-b/anopheline-sialome-cds-pep-larger-orf60-50SimCLU42.txt", 42)</f>
        <v>42</v>
      </c>
      <c r="CA460">
        <f>HYPERLINK("http://exon.niaid.nih.gov/transcriptome/Anopheles_sialome/links/cluster-b/anopheline-sialome-cds-pep-larger-orf60-50SimCLTL42.txt", 2)</f>
        <v>2</v>
      </c>
      <c r="CB460">
        <f>HYPERLINK("http://exon.niaid.nih.gov/transcriptome/Anopheles_sialome/links/cluster-b/anopheline-sialome-cds-pep-larger-orf65-50SimCLU49.txt", 49)</f>
        <v>49</v>
      </c>
      <c r="CC460">
        <f>HYPERLINK("http://exon.niaid.nih.gov/transcriptome/Anopheles_sialome/links/cluster-b/anopheline-sialome-cds-pep-larger-orf65-50SimCLTL49.txt", 2)</f>
        <v>2</v>
      </c>
      <c r="CD460">
        <f>HYPERLINK("http://exon.niaid.nih.gov/transcriptome/Anopheles_sialome/links/cluster-b/anopheline-sialome-cds-pep-larger-orf70-50SimCLU56.txt", 56)</f>
        <v>56</v>
      </c>
      <c r="CE460">
        <f>HYPERLINK("http://exon.niaid.nih.gov/transcriptome/Anopheles_sialome/links/cluster-b/anopheline-sialome-cds-pep-larger-orf70-50SimCLTL56.txt", 2)</f>
        <v>2</v>
      </c>
      <c r="CF460">
        <v>134</v>
      </c>
      <c r="CG460">
        <v>1</v>
      </c>
      <c r="CH460">
        <v>182</v>
      </c>
      <c r="CI460">
        <v>1</v>
      </c>
      <c r="CJ460">
        <v>233</v>
      </c>
      <c r="CK460">
        <v>1</v>
      </c>
      <c r="CL460">
        <v>283</v>
      </c>
      <c r="CM460">
        <v>1</v>
      </c>
      <c r="CN460">
        <v>320</v>
      </c>
      <c r="CO460">
        <v>1</v>
      </c>
    </row>
    <row r="461" spans="1:93">
      <c r="A461" s="2" t="str">
        <f>HYPERLINK("http://exon.niaid.nih.gov/transcriptome/Anopheles_sialome/links/cds/anodir_hyp37.7-2b-cds.txt","anodir_hyp37.7-2b")</f>
        <v>anodir_hyp37.7-2b</v>
      </c>
      <c r="B461">
        <v>846</v>
      </c>
      <c r="C461" t="s">
        <v>309</v>
      </c>
      <c r="D461" t="s">
        <v>7</v>
      </c>
      <c r="E461" t="s">
        <v>5</v>
      </c>
      <c r="F461" t="s">
        <v>1</v>
      </c>
      <c r="G461" t="str">
        <f>HYPERLINK("http://exon.niaid.nih.gov/transcriptome/Anopheles_sialome/links/pep/anodir_hyp37.7-2b-pep.txt","anodir_hyp37.7-2b")</f>
        <v>anodir_hyp37.7-2b</v>
      </c>
      <c r="H461">
        <v>281</v>
      </c>
      <c r="I461">
        <v>1</v>
      </c>
      <c r="J461" s="3" t="str">
        <f>HYPERLINK("http://exon.niaid.nih.gov/transcriptome/Anopheles_sialome/links/Sigp/anodir_hyp37.7-2b-SigP.txt","CYT")</f>
        <v>CYT</v>
      </c>
      <c r="K461" t="s">
        <v>128</v>
      </c>
      <c r="L461">
        <v>32.290999999999997</v>
      </c>
      <c r="M461">
        <v>8.15</v>
      </c>
      <c r="N461" t="s">
        <v>128</v>
      </c>
      <c r="O461" t="s">
        <v>128</v>
      </c>
      <c r="P461" t="s">
        <v>1506</v>
      </c>
      <c r="Q461" s="3">
        <v>0</v>
      </c>
      <c r="R461" t="s">
        <v>128</v>
      </c>
      <c r="S461" t="s">
        <v>128</v>
      </c>
      <c r="T461" t="s">
        <v>128</v>
      </c>
      <c r="U461" t="s">
        <v>128</v>
      </c>
      <c r="V461" t="s">
        <v>128</v>
      </c>
      <c r="W461" s="3" t="str">
        <f>HYPERLINK("http://exon.niaid.nih.gov/transcriptome/Anopheles_sialome/links/netoglyc/anodir_hyp37.7-2b-netoglyc.txt","0")</f>
        <v>0</v>
      </c>
      <c r="X461">
        <v>13.5</v>
      </c>
      <c r="Y461">
        <v>6</v>
      </c>
      <c r="Z461">
        <v>2.8</v>
      </c>
      <c r="AA461" t="s">
        <v>654</v>
      </c>
      <c r="AB461" t="s">
        <v>1507</v>
      </c>
      <c r="AC461" s="2" t="str">
        <f>HYPERLINK("http://exon.niaid.nih.gov/transcriptome/Anopheles_sialome/links/DIPTERA/anodir_hyp37.7-2b-DIPTERA.txt","AGAP001989-PA")</f>
        <v>AGAP001989-PA</v>
      </c>
      <c r="AD461" t="str">
        <f>HYPERLINK("http://www.ncbi.nlm.nih.gov/sutils/blink.cgi?pid=116115972","6E-041")</f>
        <v>6E-041</v>
      </c>
      <c r="AE461" t="str">
        <f>HYPERLINK("http://www.ncbi.nlm.nih.gov/protein/116115972","gi|116115972")</f>
        <v>gi|116115972</v>
      </c>
      <c r="AF461">
        <v>38</v>
      </c>
      <c r="AG461">
        <v>58</v>
      </c>
      <c r="AH461">
        <v>88</v>
      </c>
      <c r="AI461" t="s">
        <v>2285</v>
      </c>
      <c r="AJ461" s="2" t="str">
        <f>HYPERLINK("http://exon.niaid.nih.gov/transcriptome/Anopheles_sialome/links/CULICOMORPHA/anodir_hyp37.7-2b-CULICOMORPHA.txt","AGAP001989-PA")</f>
        <v>AGAP001989-PA</v>
      </c>
      <c r="AK461" t="str">
        <f>HYPERLINK("http://www.ncbi.nlm.nih.gov/sutils/blink.cgi?pid=116115972","1E-041")</f>
        <v>1E-041</v>
      </c>
      <c r="AL461" t="str">
        <f>HYPERLINK("http://www.ncbi.nlm.nih.gov/protein/116115972","gi|116115972")</f>
        <v>gi|116115972</v>
      </c>
      <c r="AM461">
        <v>38</v>
      </c>
      <c r="AN461">
        <v>58</v>
      </c>
      <c r="AO461">
        <v>88</v>
      </c>
      <c r="AP461" t="s">
        <v>2285</v>
      </c>
      <c r="AQ461" s="2" t="str">
        <f>HYPERLINK("http://exon.niaid.nih.gov/transcriptome/Anopheles_sialome/links/NR-LIGHT/anodir_hyp37.7-2b-NR-LIGHT.txt","AGAP001989-PA")</f>
        <v>AGAP001989-PA</v>
      </c>
      <c r="AR461" t="str">
        <f>HYPERLINK("http://www.ncbi.nlm.nih.gov/sutils/blink.cgi?pid=118793773","2E-040")</f>
        <v>2E-040</v>
      </c>
      <c r="AS461" t="str">
        <f>HYPERLINK("http://www.ncbi.nlm.nih.gov/protein/118793773","gi|118793773")</f>
        <v>gi|118793773</v>
      </c>
      <c r="AT461">
        <v>38</v>
      </c>
      <c r="AU461">
        <v>58</v>
      </c>
      <c r="AV461">
        <v>88</v>
      </c>
      <c r="AW461" t="s">
        <v>2285</v>
      </c>
      <c r="AX461" s="2" t="str">
        <f>HYPERLINK("http://exon.niaid.nih.gov/transcriptome/Anopheles_sialome/links/CDD/anodir_hyp37.7-2b-CDD.txt","PRKCSH_1")</f>
        <v>PRKCSH_1</v>
      </c>
      <c r="AY461" t="str">
        <f>HYPERLINK("http://www.ncbi.nlm.nih.gov/Structure/cdd/cddsrv.cgi?uid=pfam13015&amp;version=v4.0","0.89")</f>
        <v>0.89</v>
      </c>
      <c r="AZ461" t="s">
        <v>2743</v>
      </c>
      <c r="BA461" s="2" t="str">
        <f>HYPERLINK("http://exon.niaid.nih.gov/transcriptome/Anopheles_sialome/links/KOG/anodir_hyp37.7-2b-KOG.txt","PolyC-binding proteins alphaCP-1 and related KH domain proteins")</f>
        <v>PolyC-binding proteins alphaCP-1 and related KH domain proteins</v>
      </c>
      <c r="BB461" t="str">
        <f>HYPERLINK("http://www.ncbi.nlm.nih.gov/Structure/cdd/cddsrv.cgi?uid=KOG2190","2.9")</f>
        <v>2.9</v>
      </c>
      <c r="BC461" t="s">
        <v>2744</v>
      </c>
      <c r="BD461" t="str">
        <f>HYPERLINK("http://exon.niaid.nih.gov/transcriptome/Anopheles_sialome/links/KOG/anodir_hyp37.7-2b-KOG.txt","KOG2190")</f>
        <v>KOG2190</v>
      </c>
      <c r="BE461" t="str">
        <f>HYPERLINK("http://exon.niaid.nih.gov/transcriptome/Anopheles_sialome/links/PFAM/anodir_hyp37.7-2b-PFAM.txt","PRKCSH_1")</f>
        <v>PRKCSH_1</v>
      </c>
      <c r="BF461">
        <v>0.18</v>
      </c>
      <c r="BG461" s="2" t="str">
        <f>HYPERLINK("http://exon.niaid.nih.gov/transcriptome/Anopheles_sialome/links/SMART/anodir_hyp37.7-2b-SMART.txt","Asparaginase")</f>
        <v>Asparaginase</v>
      </c>
      <c r="BH461" t="str">
        <f>HYPERLINK("http://smart.embl-heidelberg.de/smart/do_annotation.pl?DOMAIN=Asparaginase&amp;BLAST=DUMMY","0.93")</f>
        <v>0.93</v>
      </c>
      <c r="BI461" t="s">
        <v>128</v>
      </c>
      <c r="BJ461" s="2" t="s">
        <v>128</v>
      </c>
      <c r="BK461" t="s">
        <v>1505</v>
      </c>
      <c r="BL461">
        <f>HYPERLINK("http://exon.niaid.nih.gov/transcriptome/Anopheles_sialome/links/cluster-b/anopheline-sialome-cds-pep-larger-orf25-50SimCLU7.txt", 7)</f>
        <v>7</v>
      </c>
      <c r="BM461">
        <f>HYPERLINK("http://exon.niaid.nih.gov/transcriptome/Anopheles_sialome/links/cluster-b/anopheline-sialome-cds-pep-larger-orf25-50SimCLTL7.txt", 40)</f>
        <v>40</v>
      </c>
      <c r="BN461">
        <f>HYPERLINK("http://exon.niaid.nih.gov/transcriptome/Anopheles_sialome/links/cluster-b/anopheline-sialome-cds-pep-larger-orf30-50SimCLU6.txt", 6)</f>
        <v>6</v>
      </c>
      <c r="BO461">
        <f>HYPERLINK("http://exon.niaid.nih.gov/transcriptome/Anopheles_sialome/links/cluster-b/anopheline-sialome-cds-pep-larger-orf30-50SimCLTL6.txt", 40)</f>
        <v>40</v>
      </c>
      <c r="BP461">
        <f>HYPERLINK("http://exon.niaid.nih.gov/transcriptome/Anopheles_sialome/links/cluster-b/anopheline-sialome-cds-pep-larger-orf35-50SimCLU7.txt", 7)</f>
        <v>7</v>
      </c>
      <c r="BQ461">
        <f>HYPERLINK("http://exon.niaid.nih.gov/transcriptome/Anopheles_sialome/links/cluster-b/anopheline-sialome-cds-pep-larger-orf35-50SimCLTL7.txt", 40)</f>
        <v>40</v>
      </c>
      <c r="BR461">
        <f>HYPERLINK("http://exon.niaid.nih.gov/transcriptome/Anopheles_sialome/links/cluster-b/anopheline-sialome-cds-pep-larger-orf40-50SimCLU6.txt", 6)</f>
        <v>6</v>
      </c>
      <c r="BS461">
        <f>HYPERLINK("http://exon.niaid.nih.gov/transcriptome/Anopheles_sialome/links/cluster-b/anopheline-sialome-cds-pep-larger-orf40-50SimCLTL6.txt", 39)</f>
        <v>39</v>
      </c>
      <c r="BT461">
        <f>HYPERLINK("http://exon.niaid.nih.gov/transcriptome/Anopheles_sialome/links/cluster-b/anopheline-sialome-cds-pep-larger-orf45-50SimCLU5.txt", 5)</f>
        <v>5</v>
      </c>
      <c r="BU461">
        <f>HYPERLINK("http://exon.niaid.nih.gov/transcriptome/Anopheles_sialome/links/cluster-b/anopheline-sialome-cds-pep-larger-orf45-50SimCLTL5.txt", 39)</f>
        <v>39</v>
      </c>
      <c r="BV461">
        <f>HYPERLINK("http://exon.niaid.nih.gov/transcriptome/Anopheles_sialome/links/cluster-b/anopheline-sialome-cds-pep-larger-orf50-50SimCLU5.txt", 5)</f>
        <v>5</v>
      </c>
      <c r="BW461">
        <f>HYPERLINK("http://exon.niaid.nih.gov/transcriptome/Anopheles_sialome/links/cluster-b/anopheline-sialome-cds-pep-larger-orf50-50SimCLTL5.txt", 39)</f>
        <v>39</v>
      </c>
      <c r="BX461">
        <f>HYPERLINK("http://exon.niaid.nih.gov/transcriptome/Anopheles_sialome/links/cluster-b/anopheline-sialome-cds-pep-larger-orf55-50SimCLU6.txt", 6)</f>
        <v>6</v>
      </c>
      <c r="BY461">
        <f>HYPERLINK("http://exon.niaid.nih.gov/transcriptome/Anopheles_sialome/links/cluster-b/anopheline-sialome-cds-pep-larger-orf55-50SimCLTL6.txt", 36)</f>
        <v>36</v>
      </c>
      <c r="BZ461">
        <f>HYPERLINK("http://exon.niaid.nih.gov/transcriptome/Anopheles_sialome/links/cluster-b/anopheline-sialome-cds-pep-larger-orf60-50SimCLU42.txt", 42)</f>
        <v>42</v>
      </c>
      <c r="CA461">
        <f>HYPERLINK("http://exon.niaid.nih.gov/transcriptome/Anopheles_sialome/links/cluster-b/anopheline-sialome-cds-pep-larger-orf60-50SimCLTL42.txt", 2)</f>
        <v>2</v>
      </c>
      <c r="CB461">
        <f>HYPERLINK("http://exon.niaid.nih.gov/transcriptome/Anopheles_sialome/links/cluster-b/anopheline-sialome-cds-pep-larger-orf65-50SimCLU49.txt", 49)</f>
        <v>49</v>
      </c>
      <c r="CC461">
        <f>HYPERLINK("http://exon.niaid.nih.gov/transcriptome/Anopheles_sialome/links/cluster-b/anopheline-sialome-cds-pep-larger-orf65-50SimCLTL49.txt", 2)</f>
        <v>2</v>
      </c>
      <c r="CD461">
        <f>HYPERLINK("http://exon.niaid.nih.gov/transcriptome/Anopheles_sialome/links/cluster-b/anopheline-sialome-cds-pep-larger-orf70-50SimCLU56.txt", 56)</f>
        <v>56</v>
      </c>
      <c r="CE461">
        <f>HYPERLINK("http://exon.niaid.nih.gov/transcriptome/Anopheles_sialome/links/cluster-b/anopheline-sialome-cds-pep-larger-orf70-50SimCLTL56.txt", 2)</f>
        <v>2</v>
      </c>
      <c r="CF461">
        <v>135</v>
      </c>
      <c r="CG461">
        <v>1</v>
      </c>
      <c r="CH461">
        <v>183</v>
      </c>
      <c r="CI461">
        <v>1</v>
      </c>
      <c r="CJ461">
        <v>234</v>
      </c>
      <c r="CK461">
        <v>1</v>
      </c>
      <c r="CL461">
        <v>284</v>
      </c>
      <c r="CM461">
        <v>1</v>
      </c>
      <c r="CN461">
        <v>321</v>
      </c>
      <c r="CO461">
        <v>1</v>
      </c>
    </row>
    <row r="462" spans="1:93">
      <c r="A462" s="2" t="str">
        <f>HYPERLINK("http://exon.niaid.nih.gov/transcriptome/Anopheles_sialome/links/cds/anoalb_hyp37.7-2b-cds.txt","anoalb_hyp37.7-2b")</f>
        <v>anoalb_hyp37.7-2b</v>
      </c>
      <c r="B462">
        <v>654</v>
      </c>
      <c r="C462" t="s">
        <v>312</v>
      </c>
      <c r="D462" t="s">
        <v>7</v>
      </c>
      <c r="E462" t="s">
        <v>5</v>
      </c>
      <c r="F462" t="s">
        <v>1</v>
      </c>
      <c r="G462" t="str">
        <f>HYPERLINK("http://exon.niaid.nih.gov/transcriptome/Anopheles_sialome/links/pep/anoalb_hyp37.7-2b-pep.txt","anoalb_hyp37.7-2b")</f>
        <v>anoalb_hyp37.7-2b</v>
      </c>
      <c r="H462">
        <v>217</v>
      </c>
      <c r="I462">
        <v>0</v>
      </c>
      <c r="J462" s="3" t="str">
        <f>HYPERLINK("http://exon.niaid.nih.gov/transcriptome/Anopheles_sialome/links/Sigp/anoalb_hyp37.7-2b-SigP.txt","CYT")</f>
        <v>CYT</v>
      </c>
      <c r="K462" t="s">
        <v>128</v>
      </c>
      <c r="L462">
        <v>24.521999999999998</v>
      </c>
      <c r="M462">
        <v>8.59</v>
      </c>
      <c r="N462" t="s">
        <v>128</v>
      </c>
      <c r="O462" t="s">
        <v>128</v>
      </c>
      <c r="P462" t="s">
        <v>922</v>
      </c>
      <c r="Q462" s="3">
        <v>0</v>
      </c>
      <c r="R462" t="s">
        <v>128</v>
      </c>
      <c r="S462" t="s">
        <v>128</v>
      </c>
      <c r="T462" t="s">
        <v>128</v>
      </c>
      <c r="U462" t="s">
        <v>128</v>
      </c>
      <c r="V462" t="s">
        <v>128</v>
      </c>
      <c r="W462" s="3" t="str">
        <f>HYPERLINK("http://exon.niaid.nih.gov/transcriptome/Anopheles_sialome/links/netoglyc/anoalb_hyp37.7-2b-netoglyc.txt","3")</f>
        <v>3</v>
      </c>
      <c r="X462">
        <v>12</v>
      </c>
      <c r="Y462">
        <v>10.1</v>
      </c>
      <c r="Z462">
        <v>1.8</v>
      </c>
      <c r="AA462" t="s">
        <v>654</v>
      </c>
      <c r="AB462" t="s">
        <v>128</v>
      </c>
      <c r="AC462" s="2" t="str">
        <f>HYPERLINK("http://exon.niaid.nih.gov/transcriptome/Anopheles_sialome/links/DIPTERA/anoalb_hyp37.7-2b-DIPTERA.txt","hypothetical protein AND_004853")</f>
        <v>hypothetical protein AND_004853</v>
      </c>
      <c r="AD462" t="str">
        <f>HYPERLINK("http://www.ncbi.nlm.nih.gov/sutils/blink.cgi?pid=568254462","1E-087")</f>
        <v>1E-087</v>
      </c>
      <c r="AE462" t="str">
        <f>HYPERLINK("http://www.ncbi.nlm.nih.gov/protein/568254462","gi|568254462")</f>
        <v>gi|568254462</v>
      </c>
      <c r="AF462">
        <v>72</v>
      </c>
      <c r="AG462">
        <v>85</v>
      </c>
      <c r="AH462">
        <v>25</v>
      </c>
      <c r="AI462" t="s">
        <v>2283</v>
      </c>
      <c r="AJ462" s="2" t="str">
        <f>HYPERLINK("http://exon.niaid.nih.gov/transcriptome/Anopheles_sialome/links/CULICOMORPHA/anoalb_hyp37.7-2b-CULICOMORPHA.txt","hypothetical protein AND_004853")</f>
        <v>hypothetical protein AND_004853</v>
      </c>
      <c r="AK462" t="str">
        <f>HYPERLINK("http://www.ncbi.nlm.nih.gov/sutils/blink.cgi?pid=568254462","2E-088")</f>
        <v>2E-088</v>
      </c>
      <c r="AL462" t="str">
        <f>HYPERLINK("http://www.ncbi.nlm.nih.gov/protein/568254462","gi|568254462")</f>
        <v>gi|568254462</v>
      </c>
      <c r="AM462">
        <v>72</v>
      </c>
      <c r="AN462">
        <v>85</v>
      </c>
      <c r="AO462">
        <v>25</v>
      </c>
      <c r="AP462" t="s">
        <v>2283</v>
      </c>
      <c r="AQ462" s="2" t="str">
        <f>HYPERLINK("http://exon.niaid.nih.gov/transcriptome/Anopheles_sialome/links/NR-LIGHT/anoalb_hyp37.7-2b-NR-LIGHT.txt","hypothetical protein AND_004853")</f>
        <v>hypothetical protein AND_004853</v>
      </c>
      <c r="AR462" t="str">
        <f>HYPERLINK("http://www.ncbi.nlm.nih.gov/sutils/blink.cgi?pid=568254462","2E-087")</f>
        <v>2E-087</v>
      </c>
      <c r="AS462" t="str">
        <f>HYPERLINK("http://www.ncbi.nlm.nih.gov/protein/568254462","gi|568254462")</f>
        <v>gi|568254462</v>
      </c>
      <c r="AT462">
        <v>72</v>
      </c>
      <c r="AU462">
        <v>85</v>
      </c>
      <c r="AV462">
        <v>25</v>
      </c>
      <c r="AW462" t="s">
        <v>2283</v>
      </c>
      <c r="AX462" s="2" t="str">
        <f>HYPERLINK("http://exon.niaid.nih.gov/transcriptome/Anopheles_sialome/links/CDD/anoalb_hyp37.7-2b-CDD.txt","Pectate_lyase_3")</f>
        <v>Pectate_lyase_3</v>
      </c>
      <c r="AY462" t="str">
        <f>HYPERLINK("http://www.ncbi.nlm.nih.gov/Structure/cdd/cddsrv.cgi?uid=pfam12708&amp;version=v4.0","0.89")</f>
        <v>0.89</v>
      </c>
      <c r="AZ462" t="s">
        <v>2745</v>
      </c>
      <c r="BA462" s="2" t="str">
        <f>HYPERLINK("http://exon.niaid.nih.gov/transcriptome/Anopheles_sialome/links/KOG/anoalb_hyp37.7-2b-KOG.txt","Ubiquitin-protein ligase")</f>
        <v>Ubiquitin-protein ligase</v>
      </c>
      <c r="BB462" t="str">
        <f>HYPERLINK("http://www.ncbi.nlm.nih.gov/Structure/cdd/cddsrv.cgi?uid=KOG0422","1.2")</f>
        <v>1.2</v>
      </c>
      <c r="BC462" t="s">
        <v>2296</v>
      </c>
      <c r="BD462" t="str">
        <f>HYPERLINK("http://exon.niaid.nih.gov/transcriptome/Anopheles_sialome/links/KOG/anoalb_hyp37.7-2b-KOG.txt","KOG0422")</f>
        <v>KOG0422</v>
      </c>
      <c r="BE462" t="str">
        <f>HYPERLINK("http://exon.niaid.nih.gov/transcriptome/Anopheles_sialome/links/PFAM/anoalb_hyp37.7-2b-PFAM.txt","Pectate_lyase_3")</f>
        <v>Pectate_lyase_3</v>
      </c>
      <c r="BF462" t="str">
        <f>HYPERLINK("http://pfam.sanger.ac.uk/family?acc=PF12708","0.19")</f>
        <v>0.19</v>
      </c>
      <c r="BG462" s="2" t="str">
        <f>HYPERLINK("http://exon.niaid.nih.gov/transcriptome/Anopheles_sialome/links/SMART/anoalb_hyp37.7-2b-SMART.txt","UBCc")</f>
        <v>UBCc</v>
      </c>
      <c r="BH462" t="str">
        <f>HYPERLINK("http://smart.embl-heidelberg.de/smart/do_annotation.pl?DOMAIN=UBCc&amp;BLAST=DUMMY","0.29")</f>
        <v>0.29</v>
      </c>
      <c r="BI462" t="s">
        <v>128</v>
      </c>
      <c r="BJ462" s="2" t="s">
        <v>128</v>
      </c>
      <c r="BK462" t="s">
        <v>1508</v>
      </c>
      <c r="BL462">
        <f>HYPERLINK("http://exon.niaid.nih.gov/transcriptome/Anopheles_sialome/links/cluster-b/anopheline-sialome-cds-pep-larger-orf25-50SimCLU7.txt", 7)</f>
        <v>7</v>
      </c>
      <c r="BM462">
        <f>HYPERLINK("http://exon.niaid.nih.gov/transcriptome/Anopheles_sialome/links/cluster-b/anopheline-sialome-cds-pep-larger-orf25-50SimCLTL7.txt", 40)</f>
        <v>40</v>
      </c>
      <c r="BN462">
        <f>HYPERLINK("http://exon.niaid.nih.gov/transcriptome/Anopheles_sialome/links/cluster-b/anopheline-sialome-cds-pep-larger-orf30-50SimCLU6.txt", 6)</f>
        <v>6</v>
      </c>
      <c r="BO462">
        <f>HYPERLINK("http://exon.niaid.nih.gov/transcriptome/Anopheles_sialome/links/cluster-b/anopheline-sialome-cds-pep-larger-orf30-50SimCLTL6.txt", 40)</f>
        <v>40</v>
      </c>
      <c r="BP462">
        <f>HYPERLINK("http://exon.niaid.nih.gov/transcriptome/Anopheles_sialome/links/cluster-b/anopheline-sialome-cds-pep-larger-orf35-50SimCLU7.txt", 7)</f>
        <v>7</v>
      </c>
      <c r="BQ462">
        <f>HYPERLINK("http://exon.niaid.nih.gov/transcriptome/Anopheles_sialome/links/cluster-b/anopheline-sialome-cds-pep-larger-orf35-50SimCLTL7.txt", 40)</f>
        <v>40</v>
      </c>
      <c r="BR462">
        <f>HYPERLINK("http://exon.niaid.nih.gov/transcriptome/Anopheles_sialome/links/cluster-b/anopheline-sialome-cds-pep-larger-orf40-50SimCLU6.txt", 6)</f>
        <v>6</v>
      </c>
      <c r="BS462">
        <f>HYPERLINK("http://exon.niaid.nih.gov/transcriptome/Anopheles_sialome/links/cluster-b/anopheline-sialome-cds-pep-larger-orf40-50SimCLTL6.txt", 39)</f>
        <v>39</v>
      </c>
      <c r="BT462">
        <f>HYPERLINK("http://exon.niaid.nih.gov/transcriptome/Anopheles_sialome/links/cluster-b/anopheline-sialome-cds-pep-larger-orf45-50SimCLU5.txt", 5)</f>
        <v>5</v>
      </c>
      <c r="BU462">
        <f>HYPERLINK("http://exon.niaid.nih.gov/transcriptome/Anopheles_sialome/links/cluster-b/anopheline-sialome-cds-pep-larger-orf45-50SimCLTL5.txt", 39)</f>
        <v>39</v>
      </c>
      <c r="BV462">
        <f>HYPERLINK("http://exon.niaid.nih.gov/transcriptome/Anopheles_sialome/links/cluster-b/anopheline-sialome-cds-pep-larger-orf50-50SimCLU5.txt", 5)</f>
        <v>5</v>
      </c>
      <c r="BW462">
        <f>HYPERLINK("http://exon.niaid.nih.gov/transcriptome/Anopheles_sialome/links/cluster-b/anopheline-sialome-cds-pep-larger-orf50-50SimCLTL5.txt", 39)</f>
        <v>39</v>
      </c>
      <c r="BX462">
        <f>HYPERLINK("http://exon.niaid.nih.gov/transcriptome/Anopheles_sialome/links/cluster-b/anopheline-sialome-cds-pep-larger-orf55-50SimCLU34.txt", 34)</f>
        <v>34</v>
      </c>
      <c r="BY462">
        <f>HYPERLINK("http://exon.niaid.nih.gov/transcriptome/Anopheles_sialome/links/cluster-b/anopheline-sialome-cds-pep-larger-orf55-50SimCLTL34.txt", 2)</f>
        <v>2</v>
      </c>
      <c r="BZ462">
        <f>HYPERLINK("http://exon.niaid.nih.gov/transcriptome/Anopheles_sialome/links/cluster-b/anopheline-sialome-cds-pep-larger-orf60-50SimCLU43.txt", 43)</f>
        <v>43</v>
      </c>
      <c r="CA462">
        <f>HYPERLINK("http://exon.niaid.nih.gov/transcriptome/Anopheles_sialome/links/cluster-b/anopheline-sialome-cds-pep-larger-orf60-50SimCLTL43.txt", 2)</f>
        <v>2</v>
      </c>
      <c r="CB462">
        <f>HYPERLINK("http://exon.niaid.nih.gov/transcriptome/Anopheles_sialome/links/cluster-b/anopheline-sialome-cds-pep-larger-orf65-50SimCLU50.txt", 50)</f>
        <v>50</v>
      </c>
      <c r="CC462">
        <f>HYPERLINK("http://exon.niaid.nih.gov/transcriptome/Anopheles_sialome/links/cluster-b/anopheline-sialome-cds-pep-larger-orf65-50SimCLTL50.txt", 2)</f>
        <v>2</v>
      </c>
      <c r="CD462">
        <f>HYPERLINK("http://exon.niaid.nih.gov/transcriptome/Anopheles_sialome/links/cluster-b/anopheline-sialome-cds-pep-larger-orf70-50SimCLU57.txt", 57)</f>
        <v>57</v>
      </c>
      <c r="CE462">
        <f>HYPERLINK("http://exon.niaid.nih.gov/transcriptome/Anopheles_sialome/links/cluster-b/anopheline-sialome-cds-pep-larger-orf70-50SimCLTL57.txt", 2)</f>
        <v>2</v>
      </c>
      <c r="CF462">
        <f>HYPERLINK("http://exon.niaid.nih.gov/transcriptome/Anopheles_sialome/links/cluster-b/anopheline-sialome-cds-pep-larger-orf75-50SimCLU74.txt", 74)</f>
        <v>74</v>
      </c>
      <c r="CG462">
        <f>HYPERLINK("http://exon.niaid.nih.gov/transcriptome/Anopheles_sialome/links/cluster-b/anopheline-sialome-cds-pep-larger-orf75-50SimCLTL74.txt", 2)</f>
        <v>2</v>
      </c>
      <c r="CH462">
        <v>184</v>
      </c>
      <c r="CI462">
        <v>1</v>
      </c>
      <c r="CJ462">
        <v>235</v>
      </c>
      <c r="CK462">
        <v>1</v>
      </c>
      <c r="CL462">
        <v>285</v>
      </c>
      <c r="CM462">
        <v>1</v>
      </c>
      <c r="CN462">
        <v>322</v>
      </c>
      <c r="CO462">
        <v>1</v>
      </c>
    </row>
    <row r="463" spans="1:93">
      <c r="A463" s="6" t="s">
        <v>3212</v>
      </c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</row>
    <row r="464" spans="1:93">
      <c r="A464" s="2" t="str">
        <f>HYPERLINK("http://exon.niaid.nih.gov/transcriptome/Anopheles_sialome/links/cds/anofun_hyp37.7-3-cds.txt","anofun_hyp37.7-3")</f>
        <v>anofun_hyp37.7-3</v>
      </c>
      <c r="B464">
        <v>756</v>
      </c>
      <c r="C464" t="s">
        <v>303</v>
      </c>
      <c r="D464" t="s">
        <v>7</v>
      </c>
      <c r="E464" t="s">
        <v>5</v>
      </c>
      <c r="F464" t="s">
        <v>1</v>
      </c>
      <c r="G464" t="str">
        <f>HYPERLINK("http://exon.niaid.nih.gov/transcriptome/Anopheles_sialome/links/pep/anofun_hyp37.7-3-pep.txt","anofun_hyp37.7-3")</f>
        <v>anofun_hyp37.7-3</v>
      </c>
      <c r="H464">
        <v>251</v>
      </c>
      <c r="I464">
        <v>1</v>
      </c>
      <c r="J464" s="3" t="str">
        <f>HYPERLINK("http://exon.niaid.nih.gov/transcriptome/Anopheles_sialome/links/Sigp/anofun_hyp37.7-3-SigP.txt","SIG")</f>
        <v>SIG</v>
      </c>
      <c r="K464" t="s">
        <v>708</v>
      </c>
      <c r="L464">
        <v>28.094000000000001</v>
      </c>
      <c r="M464">
        <v>6.7</v>
      </c>
      <c r="N464">
        <v>25.584</v>
      </c>
      <c r="O464">
        <v>6.48</v>
      </c>
      <c r="P464" t="s">
        <v>1510</v>
      </c>
      <c r="Q464" s="3">
        <v>0</v>
      </c>
      <c r="R464" t="s">
        <v>128</v>
      </c>
      <c r="S464" t="s">
        <v>128</v>
      </c>
      <c r="T464" t="s">
        <v>128</v>
      </c>
      <c r="U464" t="s">
        <v>128</v>
      </c>
      <c r="V464" t="s">
        <v>128</v>
      </c>
      <c r="W464" s="3" t="str">
        <f>HYPERLINK("http://exon.niaid.nih.gov/transcriptome/Anopheles_sialome/links/netoglyc/anofun_hyp37.7-3-netoglyc.txt","0")</f>
        <v>0</v>
      </c>
      <c r="X464">
        <v>14.3</v>
      </c>
      <c r="Y464">
        <v>7.6</v>
      </c>
      <c r="Z464">
        <v>1.2</v>
      </c>
      <c r="AA464" t="s">
        <v>654</v>
      </c>
      <c r="AB464" t="s">
        <v>128</v>
      </c>
      <c r="AC464" s="2" t="str">
        <f>HYPERLINK("http://exon.niaid.nih.gov/transcriptome/Anopheles_sialome/links/DIPTERA/anofun_hyp37.7-3-DIPTERA.txt","AGAP001989-PA")</f>
        <v>AGAP001989-PA</v>
      </c>
      <c r="AD464" t="str">
        <f>HYPERLINK("http://www.ncbi.nlm.nih.gov/sutils/blink.cgi?pid=116115972","8E-085")</f>
        <v>8E-085</v>
      </c>
      <c r="AE464" t="str">
        <f>HYPERLINK("http://www.ncbi.nlm.nih.gov/protein/116115972","gi|116115972")</f>
        <v>gi|116115972</v>
      </c>
      <c r="AF464">
        <v>59</v>
      </c>
      <c r="AG464">
        <v>76</v>
      </c>
      <c r="AH464">
        <v>98</v>
      </c>
      <c r="AI464" t="s">
        <v>2285</v>
      </c>
      <c r="AJ464" s="2" t="str">
        <f>HYPERLINK("http://exon.niaid.nih.gov/transcriptome/Anopheles_sialome/links/CULICOMORPHA/anofun_hyp37.7-3-CULICOMORPHA.txt","AGAP001989-PA")</f>
        <v>AGAP001989-PA</v>
      </c>
      <c r="AK464" t="str">
        <f>HYPERLINK("http://www.ncbi.nlm.nih.gov/sutils/blink.cgi?pid=116115972","1E-085")</f>
        <v>1E-085</v>
      </c>
      <c r="AL464" t="str">
        <f>HYPERLINK("http://www.ncbi.nlm.nih.gov/protein/116115972","gi|116115972")</f>
        <v>gi|116115972</v>
      </c>
      <c r="AM464">
        <v>59</v>
      </c>
      <c r="AN464">
        <v>76</v>
      </c>
      <c r="AO464">
        <v>98</v>
      </c>
      <c r="AP464" t="s">
        <v>2285</v>
      </c>
      <c r="AQ464" s="2" t="str">
        <f>HYPERLINK("http://exon.niaid.nih.gov/transcriptome/Anopheles_sialome/links/NR-LIGHT/anofun_hyp37.7-3-NR-LIGHT.txt","AGAP001989-PA")</f>
        <v>AGAP001989-PA</v>
      </c>
      <c r="AR464" t="str">
        <f>HYPERLINK("http://www.ncbi.nlm.nih.gov/sutils/blink.cgi?pid=118793773","2E-084")</f>
        <v>2E-084</v>
      </c>
      <c r="AS464" t="str">
        <f>HYPERLINK("http://www.ncbi.nlm.nih.gov/protein/118793773","gi|118793773")</f>
        <v>gi|118793773</v>
      </c>
      <c r="AT464">
        <v>59</v>
      </c>
      <c r="AU464">
        <v>76</v>
      </c>
      <c r="AV464">
        <v>98</v>
      </c>
      <c r="AW464" t="s">
        <v>2285</v>
      </c>
      <c r="AX464" s="2" t="str">
        <f>HYPERLINK("http://exon.niaid.nih.gov/transcriptome/Anopheles_sialome/links/CDD/anofun_hyp37.7-3-CDD.txt","hypothetical_pr")</f>
        <v>hypothetical_pr</v>
      </c>
      <c r="AY464" t="str">
        <f>HYPERLINK("http://www.ncbi.nlm.nih.gov/Structure/cdd/cddsrv.cgi?uid=TIGR03938&amp;version=v4.0","0.27")</f>
        <v>0.27</v>
      </c>
      <c r="AZ464" t="s">
        <v>2746</v>
      </c>
      <c r="BA464" s="2" t="str">
        <f>HYPERLINK("http://exon.niaid.nih.gov/transcriptome/Anopheles_sialome/links/KOG/anofun_hyp37.7-3-KOG.txt","26S proteasome regulatory complex, subunit RPN3/PSMD3")</f>
        <v>26S proteasome regulatory complex, subunit RPN3/PSMD3</v>
      </c>
      <c r="BB464" t="str">
        <f>HYPERLINK("http://www.ncbi.nlm.nih.gov/Structure/cdd/cddsrv.cgi?uid=KOG2581","0.074")</f>
        <v>0.074</v>
      </c>
      <c r="BC464" t="s">
        <v>2296</v>
      </c>
      <c r="BD464" t="str">
        <f>HYPERLINK("http://exon.niaid.nih.gov/transcriptome/Anopheles_sialome/links/KOG/anofun_hyp37.7-3-KOG.txt","KOG2581")</f>
        <v>KOG2581</v>
      </c>
      <c r="BE464" t="str">
        <f>HYPERLINK("http://exon.niaid.nih.gov/transcriptome/Anopheles_sialome/links/PFAM/anofun_hyp37.7-3-PFAM.txt","APP_E2")</f>
        <v>APP_E2</v>
      </c>
      <c r="BF464" t="str">
        <f>HYPERLINK("http://pfam.sanger.ac.uk/family?acc=PF12925","0.54")</f>
        <v>0.54</v>
      </c>
      <c r="BG464" s="2" t="str">
        <f>HYPERLINK("http://exon.niaid.nih.gov/transcriptome/Anopheles_sialome/links/SMART/anofun_hyp37.7-3-SMART.txt","DZF")</f>
        <v>DZF</v>
      </c>
      <c r="BH464" t="str">
        <f>HYPERLINK("http://smart.embl-heidelberg.de/smart/do_annotation.pl?DOMAIN=DZF&amp;BLAST=DUMMY","2.4")</f>
        <v>2.4</v>
      </c>
      <c r="BI464" t="str">
        <f>HYPERLINK("http://exon.niaid.nih.gov/transcriptome/Anopheles_sialome/links/TICK-BLOCKS/anofun_hyp37.7-3-TICK-BLOCKS.txt","Hyp37 |Hyp37_stringent_pattern |")</f>
        <v>Hyp37 |Hyp37_stringent_pattern |</v>
      </c>
      <c r="BJ464" s="2" t="s">
        <v>2712</v>
      </c>
      <c r="BK464" t="s">
        <v>1509</v>
      </c>
      <c r="BL464">
        <f>HYPERLINK("http://exon.niaid.nih.gov/transcriptome/Anopheles_sialome/links/cluster-b/anopheline-sialome-cds-pep-larger-orf25-50SimCLU7.txt", 7)</f>
        <v>7</v>
      </c>
      <c r="BM464">
        <f>HYPERLINK("http://exon.niaid.nih.gov/transcriptome/Anopheles_sialome/links/cluster-b/anopheline-sialome-cds-pep-larger-orf25-50SimCLTL7.txt", 40)</f>
        <v>40</v>
      </c>
      <c r="BN464">
        <f>HYPERLINK("http://exon.niaid.nih.gov/transcriptome/Anopheles_sialome/links/cluster-b/anopheline-sialome-cds-pep-larger-orf30-50SimCLU6.txt", 6)</f>
        <v>6</v>
      </c>
      <c r="BO464">
        <f>HYPERLINK("http://exon.niaid.nih.gov/transcriptome/Anopheles_sialome/links/cluster-b/anopheline-sialome-cds-pep-larger-orf30-50SimCLTL6.txt", 40)</f>
        <v>40</v>
      </c>
      <c r="BP464">
        <f>HYPERLINK("http://exon.niaid.nih.gov/transcriptome/Anopheles_sialome/links/cluster-b/anopheline-sialome-cds-pep-larger-orf35-50SimCLU7.txt", 7)</f>
        <v>7</v>
      </c>
      <c r="BQ464">
        <f>HYPERLINK("http://exon.niaid.nih.gov/transcriptome/Anopheles_sialome/links/cluster-b/anopheline-sialome-cds-pep-larger-orf35-50SimCLTL7.txt", 40)</f>
        <v>40</v>
      </c>
      <c r="BR464">
        <f>HYPERLINK("http://exon.niaid.nih.gov/transcriptome/Anopheles_sialome/links/cluster-b/anopheline-sialome-cds-pep-larger-orf40-50SimCLU6.txt", 6)</f>
        <v>6</v>
      </c>
      <c r="BS464">
        <f>HYPERLINK("http://exon.niaid.nih.gov/transcriptome/Anopheles_sialome/links/cluster-b/anopheline-sialome-cds-pep-larger-orf40-50SimCLTL6.txt", 39)</f>
        <v>39</v>
      </c>
      <c r="BT464">
        <f>HYPERLINK("http://exon.niaid.nih.gov/transcriptome/Anopheles_sialome/links/cluster-b/anopheline-sialome-cds-pep-larger-orf45-50SimCLU5.txt", 5)</f>
        <v>5</v>
      </c>
      <c r="BU464">
        <f>HYPERLINK("http://exon.niaid.nih.gov/transcriptome/Anopheles_sialome/links/cluster-b/anopheline-sialome-cds-pep-larger-orf45-50SimCLTL5.txt", 39)</f>
        <v>39</v>
      </c>
      <c r="BV464">
        <f>HYPERLINK("http://exon.niaid.nih.gov/transcriptome/Anopheles_sialome/links/cluster-b/anopheline-sialome-cds-pep-larger-orf50-50SimCLU5.txt", 5)</f>
        <v>5</v>
      </c>
      <c r="BW464">
        <f>HYPERLINK("http://exon.niaid.nih.gov/transcriptome/Anopheles_sialome/links/cluster-b/anopheline-sialome-cds-pep-larger-orf50-50SimCLTL5.txt", 39)</f>
        <v>39</v>
      </c>
      <c r="BX464">
        <f>HYPERLINK("http://exon.niaid.nih.gov/transcriptome/Anopheles_sialome/links/cluster-b/anopheline-sialome-cds-pep-larger-orf55-50SimCLU6.txt", 6)</f>
        <v>6</v>
      </c>
      <c r="BY464">
        <f>HYPERLINK("http://exon.niaid.nih.gov/transcriptome/Anopheles_sialome/links/cluster-b/anopheline-sialome-cds-pep-larger-orf55-50SimCLTL6.txt", 36)</f>
        <v>36</v>
      </c>
      <c r="BZ464">
        <f>HYPERLINK("http://exon.niaid.nih.gov/transcriptome/Anopheles_sialome/links/cluster-b/anopheline-sialome-cds-pep-larger-orf60-50SimCLU9.txt", 9)</f>
        <v>9</v>
      </c>
      <c r="CA464">
        <f>HYPERLINK("http://exon.niaid.nih.gov/transcriptome/Anopheles_sialome/links/cluster-b/anopheline-sialome-cds-pep-larger-orf60-50SimCLTL9.txt", 26)</f>
        <v>26</v>
      </c>
      <c r="CB464">
        <f>HYPERLINK("http://exon.niaid.nih.gov/transcriptome/Anopheles_sialome/links/cluster-b/anopheline-sialome-cds-pep-larger-orf65-50SimCLU6.txt", 6)</f>
        <v>6</v>
      </c>
      <c r="CC464">
        <f>HYPERLINK("http://exon.niaid.nih.gov/transcriptome/Anopheles_sialome/links/cluster-b/anopheline-sialome-cds-pep-larger-orf65-50SimCLTL6.txt", 26)</f>
        <v>26</v>
      </c>
      <c r="CD464">
        <f>HYPERLINK("http://exon.niaid.nih.gov/transcriptome/Anopheles_sialome/links/cluster-b/anopheline-sialome-cds-pep-larger-orf70-50SimCLU5.txt", 5)</f>
        <v>5</v>
      </c>
      <c r="CE464">
        <f>HYPERLINK("http://exon.niaid.nih.gov/transcriptome/Anopheles_sialome/links/cluster-b/anopheline-sialome-cds-pep-larger-orf70-50SimCLTL5.txt", 24)</f>
        <v>24</v>
      </c>
      <c r="CF464">
        <f>HYPERLINK("http://exon.niaid.nih.gov/transcriptome/Anopheles_sialome/links/cluster-b/anopheline-sialome-cds-pep-larger-orf75-50SimCLU20.txt", 20)</f>
        <v>20</v>
      </c>
      <c r="CG464">
        <f>HYPERLINK("http://exon.niaid.nih.gov/transcriptome/Anopheles_sialome/links/cluster-b/anopheline-sialome-cds-pep-larger-orf75-50SimCLTL20.txt", 15)</f>
        <v>15</v>
      </c>
      <c r="CH464">
        <f>HYPERLINK("http://exon.niaid.nih.gov/transcriptome/Anopheles_sialome/links/cluster-b/anopheline-sialome-cds-pep-larger-orf80-50SimCLU25.txt", 25)</f>
        <v>25</v>
      </c>
      <c r="CI464">
        <f>HYPERLINK("http://exon.niaid.nih.gov/transcriptome/Anopheles_sialome/links/cluster-b/anopheline-sialome-cds-pep-larger-orf80-50SimCLTL25.txt", 11)</f>
        <v>11</v>
      </c>
      <c r="CJ464">
        <f>HYPERLINK("http://exon.niaid.nih.gov/transcriptome/Anopheles_sialome/links/cluster-b/anopheline-sialome-cds-pep-larger-orf85-50SimCLU53.txt", 53)</f>
        <v>53</v>
      </c>
      <c r="CK464">
        <f>HYPERLINK("http://exon.niaid.nih.gov/transcriptome/Anopheles_sialome/links/cluster-b/anopheline-sialome-cds-pep-larger-orf85-50SimCLTL53.txt", 4)</f>
        <v>4</v>
      </c>
      <c r="CL464">
        <f>HYPERLINK("http://exon.niaid.nih.gov/transcriptome/Anopheles_sialome/links/cluster-b/anopheline-sialome-cds-pep-larger-orf90-50SimCLU51.txt", 51)</f>
        <v>51</v>
      </c>
      <c r="CM464">
        <f>HYPERLINK("http://exon.niaid.nih.gov/transcriptome/Anopheles_sialome/links/cluster-b/anopheline-sialome-cds-pep-larger-orf90-50SimCLTL51.txt", 4)</f>
        <v>4</v>
      </c>
      <c r="CN464">
        <f>HYPERLINK("http://exon.niaid.nih.gov/transcriptome/Anopheles_sialome/links/cluster-b/anopheline-sialome-cds-pep-larger-orf95-50SimCLU62.txt", 62)</f>
        <v>62</v>
      </c>
      <c r="CO464">
        <f>HYPERLINK("http://exon.niaid.nih.gov/transcriptome/Anopheles_sialome/links/cluster-b/anopheline-sialome-cds-pep-larger-orf95-50SimCLTL62.txt", 2)</f>
        <v>2</v>
      </c>
    </row>
    <row r="465" spans="1:93">
      <c r="A465" s="2" t="str">
        <f>HYPERLINK("http://exon.niaid.nih.gov/transcriptome/Anopheles_sialome/links/cds/anomin_hyp37.7-3-cds.txt","anomin_hyp37.7-3")</f>
        <v>anomin_hyp37.7-3</v>
      </c>
      <c r="B465">
        <v>759</v>
      </c>
      <c r="C465" t="s">
        <v>304</v>
      </c>
      <c r="D465" t="s">
        <v>7</v>
      </c>
      <c r="E465" t="s">
        <v>5</v>
      </c>
      <c r="F465" t="s">
        <v>1</v>
      </c>
      <c r="G465" t="str">
        <f>HYPERLINK("http://exon.niaid.nih.gov/transcriptome/Anopheles_sialome/links/pep/anomin_hyp37.7-3-pep.txt","anomin_hyp37.7-3")</f>
        <v>anomin_hyp37.7-3</v>
      </c>
      <c r="H465">
        <v>252</v>
      </c>
      <c r="I465">
        <v>1</v>
      </c>
      <c r="J465" s="3" t="str">
        <f>HYPERLINK("http://exon.niaid.nih.gov/transcriptome/Anopheles_sialome/links/Sigp/anomin_hyp37.7-3-SigP.txt","SIG")</f>
        <v>SIG</v>
      </c>
      <c r="K465" t="s">
        <v>708</v>
      </c>
      <c r="L465">
        <v>28.263000000000002</v>
      </c>
      <c r="M465">
        <v>8.2799999999999994</v>
      </c>
      <c r="N465">
        <v>25.815000000000001</v>
      </c>
      <c r="O465">
        <v>7.95</v>
      </c>
      <c r="P465" t="s">
        <v>1512</v>
      </c>
      <c r="Q465" s="3">
        <v>0</v>
      </c>
      <c r="R465" t="s">
        <v>128</v>
      </c>
      <c r="S465" t="s">
        <v>128</v>
      </c>
      <c r="T465" t="s">
        <v>128</v>
      </c>
      <c r="U465" t="s">
        <v>128</v>
      </c>
      <c r="V465" t="s">
        <v>128</v>
      </c>
      <c r="W465" s="3" t="str">
        <f>HYPERLINK("http://exon.niaid.nih.gov/transcriptome/Anopheles_sialome/links/netoglyc/anomin_hyp37.7-3-netoglyc.txt","0")</f>
        <v>0</v>
      </c>
      <c r="X465">
        <v>13.9</v>
      </c>
      <c r="Y465">
        <v>7.5</v>
      </c>
      <c r="Z465">
        <v>1.6</v>
      </c>
      <c r="AA465" t="s">
        <v>654</v>
      </c>
      <c r="AB465" t="s">
        <v>128</v>
      </c>
      <c r="AC465" s="2" t="str">
        <f>HYPERLINK("http://exon.niaid.nih.gov/transcriptome/Anopheles_sialome/links/DIPTERA/anomin_hyp37.7-3-DIPTERA.txt","AGAP001989-PA")</f>
        <v>AGAP001989-PA</v>
      </c>
      <c r="AD465" t="str">
        <f>HYPERLINK("http://www.ncbi.nlm.nih.gov/sutils/blink.cgi?pid=116115972","1E-086")</f>
        <v>1E-086</v>
      </c>
      <c r="AE465" t="str">
        <f>HYPERLINK("http://www.ncbi.nlm.nih.gov/protein/116115972","gi|116115972")</f>
        <v>gi|116115972</v>
      </c>
      <c r="AF465">
        <v>60</v>
      </c>
      <c r="AG465">
        <v>77</v>
      </c>
      <c r="AH465">
        <v>98</v>
      </c>
      <c r="AI465" t="s">
        <v>2285</v>
      </c>
      <c r="AJ465" s="2" t="str">
        <f>HYPERLINK("http://exon.niaid.nih.gov/transcriptome/Anopheles_sialome/links/CULICOMORPHA/anomin_hyp37.7-3-CULICOMORPHA.txt","AGAP001989-PA")</f>
        <v>AGAP001989-PA</v>
      </c>
      <c r="AK465" t="str">
        <f>HYPERLINK("http://www.ncbi.nlm.nih.gov/sutils/blink.cgi?pid=116115972","3E-087")</f>
        <v>3E-087</v>
      </c>
      <c r="AL465" t="str">
        <f>HYPERLINK("http://www.ncbi.nlm.nih.gov/protein/116115972","gi|116115972")</f>
        <v>gi|116115972</v>
      </c>
      <c r="AM465">
        <v>60</v>
      </c>
      <c r="AN465">
        <v>77</v>
      </c>
      <c r="AO465">
        <v>98</v>
      </c>
      <c r="AP465" t="s">
        <v>2285</v>
      </c>
      <c r="AQ465" s="2" t="str">
        <f>HYPERLINK("http://exon.niaid.nih.gov/transcriptome/Anopheles_sialome/links/NR-LIGHT/anomin_hyp37.7-3-NR-LIGHT.txt","AGAP001989-PA")</f>
        <v>AGAP001989-PA</v>
      </c>
      <c r="AR465" t="str">
        <f>HYPERLINK("http://www.ncbi.nlm.nih.gov/sutils/blink.cgi?pid=118793773","4E-086")</f>
        <v>4E-086</v>
      </c>
      <c r="AS465" t="str">
        <f>HYPERLINK("http://www.ncbi.nlm.nih.gov/protein/118793773","gi|118793773")</f>
        <v>gi|118793773</v>
      </c>
      <c r="AT465">
        <v>60</v>
      </c>
      <c r="AU465">
        <v>77</v>
      </c>
      <c r="AV465">
        <v>98</v>
      </c>
      <c r="AW465" t="s">
        <v>2285</v>
      </c>
      <c r="AX465" s="2" t="str">
        <f>HYPERLINK("http://exon.niaid.nih.gov/transcriptome/Anopheles_sialome/links/CDD/anomin_hyp37.7-3-CDD.txt","hypothetical_pr")</f>
        <v>hypothetical_pr</v>
      </c>
      <c r="AY465" t="str">
        <f>HYPERLINK("http://www.ncbi.nlm.nih.gov/Structure/cdd/cddsrv.cgi?uid=TIGR03938&amp;version=v4.0","0.12")</f>
        <v>0.12</v>
      </c>
      <c r="AZ465" t="s">
        <v>2747</v>
      </c>
      <c r="BA465" s="2" t="str">
        <f>HYPERLINK("http://exon.niaid.nih.gov/transcriptome/Anopheles_sialome/links/KOG/anomin_hyp37.7-3-KOG.txt","26S proteasome regulatory complex, subunit RPN3/PSMD3")</f>
        <v>26S proteasome regulatory complex, subunit RPN3/PSMD3</v>
      </c>
      <c r="BB465" t="str">
        <f>HYPERLINK("http://www.ncbi.nlm.nih.gov/Structure/cdd/cddsrv.cgi?uid=KOG2581","0.010")</f>
        <v>0.010</v>
      </c>
      <c r="BC465" t="s">
        <v>2296</v>
      </c>
      <c r="BD465" t="str">
        <f>HYPERLINK("http://exon.niaid.nih.gov/transcriptome/Anopheles_sialome/links/KOG/anomin_hyp37.7-3-KOG.txt","KOG2581")</f>
        <v>KOG2581</v>
      </c>
      <c r="BE465" t="str">
        <f>HYPERLINK("http://exon.niaid.nih.gov/transcriptome/Anopheles_sialome/links/PFAM/anomin_hyp37.7-3-PFAM.txt","TraH")</f>
        <v>TraH</v>
      </c>
      <c r="BF465" t="str">
        <f>HYPERLINK("http://pfam.sanger.ac.uk/family?acc=PF06122","0.31")</f>
        <v>0.31</v>
      </c>
      <c r="BG465" s="2" t="str">
        <f>HYPERLINK("http://exon.niaid.nih.gov/transcriptome/Anopheles_sialome/links/SMART/anomin_hyp37.7-3-SMART.txt","eIF2B_5")</f>
        <v>eIF2B_5</v>
      </c>
      <c r="BH465" t="str">
        <f>HYPERLINK("http://smart.embl-heidelberg.de/smart/do_annotation.pl?DOMAIN=eIF2B_5&amp;BLAST=DUMMY","0.75")</f>
        <v>0.75</v>
      </c>
      <c r="BI465" t="str">
        <f>HYPERLINK("http://exon.niaid.nih.gov/transcriptome/Anopheles_sialome/links/TICK-BLOCKS/anomin_hyp37.7-3-TICK-BLOCKS.txt","Hyp37 |Hyp37_stringent_pattern |")</f>
        <v>Hyp37 |Hyp37_stringent_pattern |</v>
      </c>
      <c r="BJ465" s="2" t="s">
        <v>2712</v>
      </c>
      <c r="BK465" t="s">
        <v>1511</v>
      </c>
      <c r="BL465">
        <f>HYPERLINK("http://exon.niaid.nih.gov/transcriptome/Anopheles_sialome/links/cluster-b/anopheline-sialome-cds-pep-larger-orf25-50SimCLU7.txt", 7)</f>
        <v>7</v>
      </c>
      <c r="BM465">
        <f>HYPERLINK("http://exon.niaid.nih.gov/transcriptome/Anopheles_sialome/links/cluster-b/anopheline-sialome-cds-pep-larger-orf25-50SimCLTL7.txt", 40)</f>
        <v>40</v>
      </c>
      <c r="BN465">
        <f>HYPERLINK("http://exon.niaid.nih.gov/transcriptome/Anopheles_sialome/links/cluster-b/anopheline-sialome-cds-pep-larger-orf30-50SimCLU6.txt", 6)</f>
        <v>6</v>
      </c>
      <c r="BO465">
        <f>HYPERLINK("http://exon.niaid.nih.gov/transcriptome/Anopheles_sialome/links/cluster-b/anopheline-sialome-cds-pep-larger-orf30-50SimCLTL6.txt", 40)</f>
        <v>40</v>
      </c>
      <c r="BP465">
        <f>HYPERLINK("http://exon.niaid.nih.gov/transcriptome/Anopheles_sialome/links/cluster-b/anopheline-sialome-cds-pep-larger-orf35-50SimCLU7.txt", 7)</f>
        <v>7</v>
      </c>
      <c r="BQ465">
        <f>HYPERLINK("http://exon.niaid.nih.gov/transcriptome/Anopheles_sialome/links/cluster-b/anopheline-sialome-cds-pep-larger-orf35-50SimCLTL7.txt", 40)</f>
        <v>40</v>
      </c>
      <c r="BR465">
        <f>HYPERLINK("http://exon.niaid.nih.gov/transcriptome/Anopheles_sialome/links/cluster-b/anopheline-sialome-cds-pep-larger-orf40-50SimCLU6.txt", 6)</f>
        <v>6</v>
      </c>
      <c r="BS465">
        <f>HYPERLINK("http://exon.niaid.nih.gov/transcriptome/Anopheles_sialome/links/cluster-b/anopheline-sialome-cds-pep-larger-orf40-50SimCLTL6.txt", 39)</f>
        <v>39</v>
      </c>
      <c r="BT465">
        <f>HYPERLINK("http://exon.niaid.nih.gov/transcriptome/Anopheles_sialome/links/cluster-b/anopheline-sialome-cds-pep-larger-orf45-50SimCLU5.txt", 5)</f>
        <v>5</v>
      </c>
      <c r="BU465">
        <f>HYPERLINK("http://exon.niaid.nih.gov/transcriptome/Anopheles_sialome/links/cluster-b/anopheline-sialome-cds-pep-larger-orf45-50SimCLTL5.txt", 39)</f>
        <v>39</v>
      </c>
      <c r="BV465">
        <f>HYPERLINK("http://exon.niaid.nih.gov/transcriptome/Anopheles_sialome/links/cluster-b/anopheline-sialome-cds-pep-larger-orf50-50SimCLU5.txt", 5)</f>
        <v>5</v>
      </c>
      <c r="BW465">
        <f>HYPERLINK("http://exon.niaid.nih.gov/transcriptome/Anopheles_sialome/links/cluster-b/anopheline-sialome-cds-pep-larger-orf50-50SimCLTL5.txt", 39)</f>
        <v>39</v>
      </c>
      <c r="BX465">
        <f>HYPERLINK("http://exon.niaid.nih.gov/transcriptome/Anopheles_sialome/links/cluster-b/anopheline-sialome-cds-pep-larger-orf55-50SimCLU6.txt", 6)</f>
        <v>6</v>
      </c>
      <c r="BY465">
        <f>HYPERLINK("http://exon.niaid.nih.gov/transcriptome/Anopheles_sialome/links/cluster-b/anopheline-sialome-cds-pep-larger-orf55-50SimCLTL6.txt", 36)</f>
        <v>36</v>
      </c>
      <c r="BZ465">
        <f>HYPERLINK("http://exon.niaid.nih.gov/transcriptome/Anopheles_sialome/links/cluster-b/anopheline-sialome-cds-pep-larger-orf60-50SimCLU9.txt", 9)</f>
        <v>9</v>
      </c>
      <c r="CA465">
        <f>HYPERLINK("http://exon.niaid.nih.gov/transcriptome/Anopheles_sialome/links/cluster-b/anopheline-sialome-cds-pep-larger-orf60-50SimCLTL9.txt", 26)</f>
        <v>26</v>
      </c>
      <c r="CB465">
        <f>HYPERLINK("http://exon.niaid.nih.gov/transcriptome/Anopheles_sialome/links/cluster-b/anopheline-sialome-cds-pep-larger-orf65-50SimCLU6.txt", 6)</f>
        <v>6</v>
      </c>
      <c r="CC465">
        <f>HYPERLINK("http://exon.niaid.nih.gov/transcriptome/Anopheles_sialome/links/cluster-b/anopheline-sialome-cds-pep-larger-orf65-50SimCLTL6.txt", 26)</f>
        <v>26</v>
      </c>
      <c r="CD465">
        <f>HYPERLINK("http://exon.niaid.nih.gov/transcriptome/Anopheles_sialome/links/cluster-b/anopheline-sialome-cds-pep-larger-orf70-50SimCLU5.txt", 5)</f>
        <v>5</v>
      </c>
      <c r="CE465">
        <f>HYPERLINK("http://exon.niaid.nih.gov/transcriptome/Anopheles_sialome/links/cluster-b/anopheline-sialome-cds-pep-larger-orf70-50SimCLTL5.txt", 24)</f>
        <v>24</v>
      </c>
      <c r="CF465">
        <f>HYPERLINK("http://exon.niaid.nih.gov/transcriptome/Anopheles_sialome/links/cluster-b/anopheline-sialome-cds-pep-larger-orf75-50SimCLU20.txt", 20)</f>
        <v>20</v>
      </c>
      <c r="CG465">
        <f>HYPERLINK("http://exon.niaid.nih.gov/transcriptome/Anopheles_sialome/links/cluster-b/anopheline-sialome-cds-pep-larger-orf75-50SimCLTL20.txt", 15)</f>
        <v>15</v>
      </c>
      <c r="CH465">
        <f>HYPERLINK("http://exon.niaid.nih.gov/transcriptome/Anopheles_sialome/links/cluster-b/anopheline-sialome-cds-pep-larger-orf80-50SimCLU25.txt", 25)</f>
        <v>25</v>
      </c>
      <c r="CI465">
        <f>HYPERLINK("http://exon.niaid.nih.gov/transcriptome/Anopheles_sialome/links/cluster-b/anopheline-sialome-cds-pep-larger-orf80-50SimCLTL25.txt", 11)</f>
        <v>11</v>
      </c>
      <c r="CJ465">
        <f>HYPERLINK("http://exon.niaid.nih.gov/transcriptome/Anopheles_sialome/links/cluster-b/anopheline-sialome-cds-pep-larger-orf85-50SimCLU53.txt", 53)</f>
        <v>53</v>
      </c>
      <c r="CK465">
        <f>HYPERLINK("http://exon.niaid.nih.gov/transcriptome/Anopheles_sialome/links/cluster-b/anopheline-sialome-cds-pep-larger-orf85-50SimCLTL53.txt", 4)</f>
        <v>4</v>
      </c>
      <c r="CL465">
        <f>HYPERLINK("http://exon.niaid.nih.gov/transcriptome/Anopheles_sialome/links/cluster-b/anopheline-sialome-cds-pep-larger-orf90-50SimCLU51.txt", 51)</f>
        <v>51</v>
      </c>
      <c r="CM465">
        <f>HYPERLINK("http://exon.niaid.nih.gov/transcriptome/Anopheles_sialome/links/cluster-b/anopheline-sialome-cds-pep-larger-orf90-50SimCLTL51.txt", 4)</f>
        <v>4</v>
      </c>
      <c r="CN465">
        <f>HYPERLINK("http://exon.niaid.nih.gov/transcriptome/Anopheles_sialome/links/cluster-b/anopheline-sialome-cds-pep-larger-orf95-50SimCLU62.txt", 62)</f>
        <v>62</v>
      </c>
      <c r="CO465">
        <f>HYPERLINK("http://exon.niaid.nih.gov/transcriptome/Anopheles_sialome/links/cluster-b/anopheline-sialome-cds-pep-larger-orf95-50SimCLTL62.txt", 2)</f>
        <v>2</v>
      </c>
    </row>
    <row r="466" spans="1:93">
      <c r="A466" s="2" t="str">
        <f>HYPERLINK("http://exon.niaid.nih.gov/transcriptome/Anopheles_sialome/links/cds/anofar_hyp37.7-3-cds.txt","anofar_hyp37.7-3")</f>
        <v>anofar_hyp37.7-3</v>
      </c>
      <c r="B466">
        <v>753</v>
      </c>
      <c r="C466" t="s">
        <v>317</v>
      </c>
      <c r="D466" t="s">
        <v>4</v>
      </c>
      <c r="E466" t="s">
        <v>5</v>
      </c>
      <c r="F466" t="s">
        <v>1</v>
      </c>
      <c r="G466" t="str">
        <f>HYPERLINK("http://exon.niaid.nih.gov/transcriptome/Anopheles_sialome/links/pep/anofar_hyp37.7-3-pep.txt","anofar_hyp37.7-3")</f>
        <v>anofar_hyp37.7-3</v>
      </c>
      <c r="H466">
        <v>250</v>
      </c>
      <c r="I466">
        <v>1</v>
      </c>
      <c r="J466" s="3" t="str">
        <f>HYPERLINK("http://exon.niaid.nih.gov/transcriptome/Anopheles_sialome/links/Sigp/anofar_hyp37.7-3-SigP.txt","SIG")</f>
        <v>SIG</v>
      </c>
      <c r="K466" t="s">
        <v>715</v>
      </c>
      <c r="L466">
        <v>27.73</v>
      </c>
      <c r="M466">
        <v>7.67</v>
      </c>
      <c r="N466">
        <v>25.12</v>
      </c>
      <c r="O466">
        <v>7.94</v>
      </c>
      <c r="P466" t="s">
        <v>1514</v>
      </c>
      <c r="Q466" s="3">
        <v>0</v>
      </c>
      <c r="R466" t="s">
        <v>128</v>
      </c>
      <c r="S466" t="s">
        <v>128</v>
      </c>
      <c r="T466" t="s">
        <v>128</v>
      </c>
      <c r="U466" t="s">
        <v>128</v>
      </c>
      <c r="V466" t="s">
        <v>128</v>
      </c>
      <c r="W466" s="3" t="str">
        <f>HYPERLINK("http://exon.niaid.nih.gov/transcriptome/Anopheles_sialome/links/netoglyc/anofar_hyp37.7-3-netoglyc.txt","0")</f>
        <v>0</v>
      </c>
      <c r="X466">
        <v>12.4</v>
      </c>
      <c r="Y466">
        <v>8.8000000000000007</v>
      </c>
      <c r="Z466">
        <v>2.4</v>
      </c>
      <c r="AA466" t="s">
        <v>654</v>
      </c>
      <c r="AB466" t="s">
        <v>128</v>
      </c>
      <c r="AC466" s="2" t="str">
        <f>HYPERLINK("http://exon.niaid.nih.gov/transcriptome/Anopheles_sialome/links/DIPTERA/anofar_hyp37.7-3-DIPTERA.txt","AGAP001989-PA")</f>
        <v>AGAP001989-PA</v>
      </c>
      <c r="AD466" t="str">
        <f>HYPERLINK("http://www.ncbi.nlm.nih.gov/sutils/blink.cgi?pid=116115972","2E-078")</f>
        <v>2E-078</v>
      </c>
      <c r="AE466" t="str">
        <f>HYPERLINK("http://www.ncbi.nlm.nih.gov/protein/116115972","gi|116115972")</f>
        <v>gi|116115972</v>
      </c>
      <c r="AF466">
        <v>58</v>
      </c>
      <c r="AG466">
        <v>73</v>
      </c>
      <c r="AH466">
        <v>96</v>
      </c>
      <c r="AI466" t="s">
        <v>2285</v>
      </c>
      <c r="AJ466" s="2" t="str">
        <f>HYPERLINK("http://exon.niaid.nih.gov/transcriptome/Anopheles_sialome/links/CULICOMORPHA/anofar_hyp37.7-3-CULICOMORPHA.txt","AGAP001989-PA")</f>
        <v>AGAP001989-PA</v>
      </c>
      <c r="AK466" t="str">
        <f>HYPERLINK("http://www.ncbi.nlm.nih.gov/sutils/blink.cgi?pid=116115972","4E-079")</f>
        <v>4E-079</v>
      </c>
      <c r="AL466" t="str">
        <f>HYPERLINK("http://www.ncbi.nlm.nih.gov/protein/116115972","gi|116115972")</f>
        <v>gi|116115972</v>
      </c>
      <c r="AM466">
        <v>58</v>
      </c>
      <c r="AN466">
        <v>73</v>
      </c>
      <c r="AO466">
        <v>96</v>
      </c>
      <c r="AP466" t="s">
        <v>2285</v>
      </c>
      <c r="AQ466" s="2" t="str">
        <f>HYPERLINK("http://exon.niaid.nih.gov/transcriptome/Anopheles_sialome/links/NR-LIGHT/anofar_hyp37.7-3-NR-LIGHT.txt","AGAP001989-PA")</f>
        <v>AGAP001989-PA</v>
      </c>
      <c r="AR466" t="str">
        <f>HYPERLINK("http://www.ncbi.nlm.nih.gov/sutils/blink.cgi?pid=118793773","6E-078")</f>
        <v>6E-078</v>
      </c>
      <c r="AS466" t="str">
        <f>HYPERLINK("http://www.ncbi.nlm.nih.gov/protein/118793773","gi|118793773")</f>
        <v>gi|118793773</v>
      </c>
      <c r="AT466">
        <v>58</v>
      </c>
      <c r="AU466">
        <v>73</v>
      </c>
      <c r="AV466">
        <v>96</v>
      </c>
      <c r="AW466" t="s">
        <v>2285</v>
      </c>
      <c r="AX466" s="2" t="str">
        <f>HYPERLINK("http://exon.niaid.nih.gov/transcriptome/Anopheles_sialome/links/CDD/anofar_hyp37.7-3-CDD.txt","COG2345")</f>
        <v>COG2345</v>
      </c>
      <c r="AY466" t="str">
        <f>HYPERLINK("http://www.ncbi.nlm.nih.gov/Structure/cdd/cddsrv.cgi?uid=COG2345&amp;version=v4.0","1.1")</f>
        <v>1.1</v>
      </c>
      <c r="AZ466" t="s">
        <v>2748</v>
      </c>
      <c r="BA466" s="2" t="str">
        <f>HYPERLINK("http://exon.niaid.nih.gov/transcriptome/Anopheles_sialome/links/KOG/anofar_hyp37.7-3-KOG.txt","Chondroitin 6-sulfotransferase and related sulfotransferases")</f>
        <v>Chondroitin 6-sulfotransferase and related sulfotransferases</v>
      </c>
      <c r="BB466" t="str">
        <f>HYPERLINK("http://www.ncbi.nlm.nih.gov/Structure/cdd/cddsrv.cgi?uid=KOG4651","1.1")</f>
        <v>1.1</v>
      </c>
      <c r="BC466" t="s">
        <v>2749</v>
      </c>
      <c r="BD466" t="str">
        <f>HYPERLINK("http://exon.niaid.nih.gov/transcriptome/Anopheles_sialome/links/KOG/anofar_hyp37.7-3-KOG.txt","KOG4651")</f>
        <v>KOG4651</v>
      </c>
      <c r="BE466" t="str">
        <f>HYPERLINK("http://exon.niaid.nih.gov/transcriptome/Anopheles_sialome/links/PFAM/anofar_hyp37.7-3-PFAM.txt","IFT20")</f>
        <v>IFT20</v>
      </c>
      <c r="BF466" t="str">
        <f>HYPERLINK("http://pfam.sanger.ac.uk/family?acc=PF14931","3.1")</f>
        <v>3.1</v>
      </c>
      <c r="BG466" s="2" t="str">
        <f>HYPERLINK("http://exon.niaid.nih.gov/transcriptome/Anopheles_sialome/links/SMART/anofar_hyp37.7-3-SMART.txt","SET")</f>
        <v>SET</v>
      </c>
      <c r="BH466" t="str">
        <f>HYPERLINK("http://smart.embl-heidelberg.de/smart/do_annotation.pl?DOMAIN=SET&amp;BLAST=DUMMY","1.6")</f>
        <v>1.6</v>
      </c>
      <c r="BI466" t="str">
        <f>HYPERLINK("http://exon.niaid.nih.gov/transcriptome/Anopheles_sialome/links/TICK-BLOCKS/anofar_hyp37.7-3-TICK-BLOCKS.txt","Hyp37 |Hyp37_stringent_pattern |")</f>
        <v>Hyp37 |Hyp37_stringent_pattern |</v>
      </c>
      <c r="BJ466" s="2" t="s">
        <v>2712</v>
      </c>
      <c r="BK466" t="s">
        <v>1513</v>
      </c>
      <c r="BL466">
        <f>HYPERLINK("http://exon.niaid.nih.gov/transcriptome/Anopheles_sialome/links/cluster-b/anopheline-sialome-cds-pep-larger-orf25-50SimCLU7.txt", 7)</f>
        <v>7</v>
      </c>
      <c r="BM466">
        <f>HYPERLINK("http://exon.niaid.nih.gov/transcriptome/Anopheles_sialome/links/cluster-b/anopheline-sialome-cds-pep-larger-orf25-50SimCLTL7.txt", 40)</f>
        <v>40</v>
      </c>
      <c r="BN466">
        <f>HYPERLINK("http://exon.niaid.nih.gov/transcriptome/Anopheles_sialome/links/cluster-b/anopheline-sialome-cds-pep-larger-orf30-50SimCLU6.txt", 6)</f>
        <v>6</v>
      </c>
      <c r="BO466">
        <f>HYPERLINK("http://exon.niaid.nih.gov/transcriptome/Anopheles_sialome/links/cluster-b/anopheline-sialome-cds-pep-larger-orf30-50SimCLTL6.txt", 40)</f>
        <v>40</v>
      </c>
      <c r="BP466">
        <f>HYPERLINK("http://exon.niaid.nih.gov/transcriptome/Anopheles_sialome/links/cluster-b/anopheline-sialome-cds-pep-larger-orf35-50SimCLU7.txt", 7)</f>
        <v>7</v>
      </c>
      <c r="BQ466">
        <f>HYPERLINK("http://exon.niaid.nih.gov/transcriptome/Anopheles_sialome/links/cluster-b/anopheline-sialome-cds-pep-larger-orf35-50SimCLTL7.txt", 40)</f>
        <v>40</v>
      </c>
      <c r="BR466">
        <f>HYPERLINK("http://exon.niaid.nih.gov/transcriptome/Anopheles_sialome/links/cluster-b/anopheline-sialome-cds-pep-larger-orf40-50SimCLU6.txt", 6)</f>
        <v>6</v>
      </c>
      <c r="BS466">
        <f>HYPERLINK("http://exon.niaid.nih.gov/transcriptome/Anopheles_sialome/links/cluster-b/anopheline-sialome-cds-pep-larger-orf40-50SimCLTL6.txt", 39)</f>
        <v>39</v>
      </c>
      <c r="BT466">
        <f>HYPERLINK("http://exon.niaid.nih.gov/transcriptome/Anopheles_sialome/links/cluster-b/anopheline-sialome-cds-pep-larger-orf45-50SimCLU5.txt", 5)</f>
        <v>5</v>
      </c>
      <c r="BU466">
        <f>HYPERLINK("http://exon.niaid.nih.gov/transcriptome/Anopheles_sialome/links/cluster-b/anopheline-sialome-cds-pep-larger-orf45-50SimCLTL5.txt", 39)</f>
        <v>39</v>
      </c>
      <c r="BV466">
        <f>HYPERLINK("http://exon.niaid.nih.gov/transcriptome/Anopheles_sialome/links/cluster-b/anopheline-sialome-cds-pep-larger-orf50-50SimCLU5.txt", 5)</f>
        <v>5</v>
      </c>
      <c r="BW466">
        <f>HYPERLINK("http://exon.niaid.nih.gov/transcriptome/Anopheles_sialome/links/cluster-b/anopheline-sialome-cds-pep-larger-orf50-50SimCLTL5.txt", 39)</f>
        <v>39</v>
      </c>
      <c r="BX466">
        <f>HYPERLINK("http://exon.niaid.nih.gov/transcriptome/Anopheles_sialome/links/cluster-b/anopheline-sialome-cds-pep-larger-orf55-50SimCLU6.txt", 6)</f>
        <v>6</v>
      </c>
      <c r="BY466">
        <f>HYPERLINK("http://exon.niaid.nih.gov/transcriptome/Anopheles_sialome/links/cluster-b/anopheline-sialome-cds-pep-larger-orf55-50SimCLTL6.txt", 36)</f>
        <v>36</v>
      </c>
      <c r="BZ466">
        <f>HYPERLINK("http://exon.niaid.nih.gov/transcriptome/Anopheles_sialome/links/cluster-b/anopheline-sialome-cds-pep-larger-orf60-50SimCLU9.txt", 9)</f>
        <v>9</v>
      </c>
      <c r="CA466">
        <f>HYPERLINK("http://exon.niaid.nih.gov/transcriptome/Anopheles_sialome/links/cluster-b/anopheline-sialome-cds-pep-larger-orf60-50SimCLTL9.txt", 26)</f>
        <v>26</v>
      </c>
      <c r="CB466">
        <f>HYPERLINK("http://exon.niaid.nih.gov/transcriptome/Anopheles_sialome/links/cluster-b/anopheline-sialome-cds-pep-larger-orf65-50SimCLU6.txt", 6)</f>
        <v>6</v>
      </c>
      <c r="CC466">
        <f>HYPERLINK("http://exon.niaid.nih.gov/transcriptome/Anopheles_sialome/links/cluster-b/anopheline-sialome-cds-pep-larger-orf65-50SimCLTL6.txt", 26)</f>
        <v>26</v>
      </c>
      <c r="CD466">
        <f>HYPERLINK("http://exon.niaid.nih.gov/transcriptome/Anopheles_sialome/links/cluster-b/anopheline-sialome-cds-pep-larger-orf70-50SimCLU5.txt", 5)</f>
        <v>5</v>
      </c>
      <c r="CE466">
        <f>HYPERLINK("http://exon.niaid.nih.gov/transcriptome/Anopheles_sialome/links/cluster-b/anopheline-sialome-cds-pep-larger-orf70-50SimCLTL5.txt", 24)</f>
        <v>24</v>
      </c>
      <c r="CF466">
        <f>HYPERLINK("http://exon.niaid.nih.gov/transcriptome/Anopheles_sialome/links/cluster-b/anopheline-sialome-cds-pep-larger-orf75-50SimCLU20.txt", 20)</f>
        <v>20</v>
      </c>
      <c r="CG466">
        <f>HYPERLINK("http://exon.niaid.nih.gov/transcriptome/Anopheles_sialome/links/cluster-b/anopheline-sialome-cds-pep-larger-orf75-50SimCLTL20.txt", 15)</f>
        <v>15</v>
      </c>
      <c r="CH466">
        <v>185</v>
      </c>
      <c r="CI466">
        <v>1</v>
      </c>
      <c r="CJ466">
        <v>236</v>
      </c>
      <c r="CK466">
        <v>1</v>
      </c>
      <c r="CL466">
        <v>286</v>
      </c>
      <c r="CM466">
        <v>1</v>
      </c>
      <c r="CN466">
        <v>323</v>
      </c>
      <c r="CO466">
        <v>1</v>
      </c>
    </row>
    <row r="467" spans="1:93">
      <c r="A467" s="2" t="str">
        <f>HYPERLINK("http://exon.niaid.nih.gov/transcriptome/Anopheles_sialome/links/cds/anodir_hyp37.7-3b-cds.txt","anodir_hyp37.7-3b")</f>
        <v>anodir_hyp37.7-3b</v>
      </c>
      <c r="B467">
        <v>759</v>
      </c>
      <c r="C467" t="s">
        <v>309</v>
      </c>
      <c r="D467" t="s">
        <v>7</v>
      </c>
      <c r="E467" t="s">
        <v>5</v>
      </c>
      <c r="F467" t="s">
        <v>1</v>
      </c>
      <c r="G467" t="str">
        <f>HYPERLINK("http://exon.niaid.nih.gov/transcriptome/Anopheles_sialome/links/pep/anodir_hyp37.7-3b-pep.txt","anodir_hyp37.7-3b")</f>
        <v>anodir_hyp37.7-3b</v>
      </c>
      <c r="H467">
        <v>252</v>
      </c>
      <c r="I467">
        <v>2</v>
      </c>
      <c r="J467" s="3" t="str">
        <f>HYPERLINK("http://exon.niaid.nih.gov/transcriptome/Anopheles_sialome/links/Sigp/anodir_hyp37.7-3b-SigP.txt","SIG")</f>
        <v>SIG</v>
      </c>
      <c r="K467" t="s">
        <v>652</v>
      </c>
      <c r="L467">
        <v>28.222999999999999</v>
      </c>
      <c r="M467">
        <v>9.1300000000000008</v>
      </c>
      <c r="N467">
        <v>26.123999999999999</v>
      </c>
      <c r="O467">
        <v>9.23</v>
      </c>
      <c r="P467" t="s">
        <v>1043</v>
      </c>
      <c r="Q467" s="3">
        <v>0</v>
      </c>
      <c r="R467" t="s">
        <v>128</v>
      </c>
      <c r="S467" t="s">
        <v>128</v>
      </c>
      <c r="T467" t="s">
        <v>128</v>
      </c>
      <c r="U467" t="s">
        <v>128</v>
      </c>
      <c r="V467" t="s">
        <v>128</v>
      </c>
      <c r="W467" s="3" t="str">
        <f>HYPERLINK("http://exon.niaid.nih.gov/transcriptome/Anopheles_sialome/links/netoglyc/anodir_hyp37.7-3b-netoglyc.txt","0")</f>
        <v>0</v>
      </c>
      <c r="X467">
        <v>10.3</v>
      </c>
      <c r="Y467">
        <v>8.3000000000000007</v>
      </c>
      <c r="Z467">
        <v>2</v>
      </c>
      <c r="AA467" t="s">
        <v>654</v>
      </c>
      <c r="AB467" t="s">
        <v>128</v>
      </c>
      <c r="AC467" s="2" t="str">
        <f>HYPERLINK("http://exon.niaid.nih.gov/transcriptome/Anopheles_sialome/links/DIPTERA/anodir_hyp37.7-3b-DIPTERA.txt","AGAP001989-PA-like protein")</f>
        <v>AGAP001989-PA-like protein</v>
      </c>
      <c r="AD467" t="str">
        <f>HYPERLINK("http://www.ncbi.nlm.nih.gov/sutils/blink.cgi?pid=668447653","7E-067")</f>
        <v>7E-067</v>
      </c>
      <c r="AE467" t="str">
        <f>HYPERLINK("http://www.ncbi.nlm.nih.gov/protein/668447653","gi|668447653")</f>
        <v>gi|668447653</v>
      </c>
      <c r="AF467">
        <v>56</v>
      </c>
      <c r="AG467">
        <v>70</v>
      </c>
      <c r="AH467">
        <v>91</v>
      </c>
      <c r="AI467" t="s">
        <v>2277</v>
      </c>
      <c r="AJ467" s="2" t="str">
        <f>HYPERLINK("http://exon.niaid.nih.gov/transcriptome/Anopheles_sialome/links/CULICOMORPHA/anodir_hyp37.7-3b-CULICOMORPHA.txt","AGAP001989-PA-like protein")</f>
        <v>AGAP001989-PA-like protein</v>
      </c>
      <c r="AK467" t="str">
        <f>HYPERLINK("http://www.ncbi.nlm.nih.gov/sutils/blink.cgi?pid=668447653","1E-067")</f>
        <v>1E-067</v>
      </c>
      <c r="AL467" t="str">
        <f>HYPERLINK("http://www.ncbi.nlm.nih.gov/protein/668447653","gi|668447653")</f>
        <v>gi|668447653</v>
      </c>
      <c r="AM467">
        <v>56</v>
      </c>
      <c r="AN467">
        <v>70</v>
      </c>
      <c r="AO467">
        <v>91</v>
      </c>
      <c r="AP467" t="s">
        <v>2277</v>
      </c>
      <c r="AQ467" s="2" t="str">
        <f>HYPERLINK("http://exon.niaid.nih.gov/transcriptome/Anopheles_sialome/links/NR-LIGHT/anodir_hyp37.7-3b-NR-LIGHT.txt","AGAP001989-PA-like protein")</f>
        <v>AGAP001989-PA-like protein</v>
      </c>
      <c r="AR467" t="str">
        <f>HYPERLINK("http://www.ncbi.nlm.nih.gov/sutils/blink.cgi?pid=668447653","2E-066")</f>
        <v>2E-066</v>
      </c>
      <c r="AS467" t="str">
        <f>HYPERLINK("http://www.ncbi.nlm.nih.gov/protein/668447653","gi|668447653")</f>
        <v>gi|668447653</v>
      </c>
      <c r="AT467">
        <v>56</v>
      </c>
      <c r="AU467">
        <v>70</v>
      </c>
      <c r="AV467">
        <v>91</v>
      </c>
      <c r="AW467" t="s">
        <v>2277</v>
      </c>
      <c r="AX467" s="2" t="str">
        <f>HYPERLINK("http://exon.niaid.nih.gov/transcriptome/Anopheles_sialome/links/CDD/anodir_hyp37.7-3b-CDD.txt","PRK06846")</f>
        <v>PRK06846</v>
      </c>
      <c r="AY467" t="str">
        <f>HYPERLINK("http://www.ncbi.nlm.nih.gov/Structure/cdd/cddsrv.cgi?uid=PRK06846&amp;version=v4.0","0.044")</f>
        <v>0.044</v>
      </c>
      <c r="AZ467" t="s">
        <v>2750</v>
      </c>
      <c r="BA467" s="2" t="str">
        <f>HYPERLINK("http://exon.niaid.nih.gov/transcriptome/Anopheles_sialome/links/KOG/anodir_hyp37.7-3b-KOG.txt","Vesicle coat complex COPI, beta subunit")</f>
        <v>Vesicle coat complex COPI, beta subunit</v>
      </c>
      <c r="BB467" t="str">
        <f>HYPERLINK("http://www.ncbi.nlm.nih.gov/Structure/cdd/cddsrv.cgi?uid=KOG1058","2.1")</f>
        <v>2.1</v>
      </c>
      <c r="BC467" t="s">
        <v>2487</v>
      </c>
      <c r="BD467" t="str">
        <f>HYPERLINK("http://exon.niaid.nih.gov/transcriptome/Anopheles_sialome/links/KOG/anodir_hyp37.7-3b-KOG.txt","KOG1058")</f>
        <v>KOG1058</v>
      </c>
      <c r="BE467" t="str">
        <f>HYPERLINK("http://exon.niaid.nih.gov/transcriptome/Anopheles_sialome/links/PFAM/anodir_hyp37.7-3b-PFAM.txt","DUF3686")</f>
        <v>DUF3686</v>
      </c>
      <c r="BF467" t="str">
        <f>HYPERLINK("http://pfam.sanger.ac.uk/family?acc=PF12458","1.3")</f>
        <v>1.3</v>
      </c>
      <c r="BG467" s="2" t="str">
        <f>HYPERLINK("http://exon.niaid.nih.gov/transcriptome/Anopheles_sialome/links/SMART/anodir_hyp37.7-3b-SMART.txt","PAZ")</f>
        <v>PAZ</v>
      </c>
      <c r="BH467" t="str">
        <f>HYPERLINK("http://smart.embl-heidelberg.de/smart/do_annotation.pl?DOMAIN=PAZ&amp;BLAST=DUMMY","0.14")</f>
        <v>0.14</v>
      </c>
      <c r="BI467" t="str">
        <f>HYPERLINK("http://exon.niaid.nih.gov/transcriptome/Anopheles_sialome/links/TICK-BLOCKS/anodir_hyp37.7-3b-TICK-BLOCKS.txt","Hyp37 |Hyp37_stringent_pattern |")</f>
        <v>Hyp37 |Hyp37_stringent_pattern |</v>
      </c>
      <c r="BJ467" s="2" t="s">
        <v>2712</v>
      </c>
      <c r="BK467" t="s">
        <v>1515</v>
      </c>
      <c r="BL467">
        <f>HYPERLINK("http://exon.niaid.nih.gov/transcriptome/Anopheles_sialome/links/cluster-b/anopheline-sialome-cds-pep-larger-orf25-50SimCLU7.txt", 7)</f>
        <v>7</v>
      </c>
      <c r="BM467">
        <f>HYPERLINK("http://exon.niaid.nih.gov/transcriptome/Anopheles_sialome/links/cluster-b/anopheline-sialome-cds-pep-larger-orf25-50SimCLTL7.txt", 40)</f>
        <v>40</v>
      </c>
      <c r="BN467">
        <f>HYPERLINK("http://exon.niaid.nih.gov/transcriptome/Anopheles_sialome/links/cluster-b/anopheline-sialome-cds-pep-larger-orf30-50SimCLU6.txt", 6)</f>
        <v>6</v>
      </c>
      <c r="BO467">
        <f>HYPERLINK("http://exon.niaid.nih.gov/transcriptome/Anopheles_sialome/links/cluster-b/anopheline-sialome-cds-pep-larger-orf30-50SimCLTL6.txt", 40)</f>
        <v>40</v>
      </c>
      <c r="BP467">
        <f>HYPERLINK("http://exon.niaid.nih.gov/transcriptome/Anopheles_sialome/links/cluster-b/anopheline-sialome-cds-pep-larger-orf35-50SimCLU7.txt", 7)</f>
        <v>7</v>
      </c>
      <c r="BQ467">
        <f>HYPERLINK("http://exon.niaid.nih.gov/transcriptome/Anopheles_sialome/links/cluster-b/anopheline-sialome-cds-pep-larger-orf35-50SimCLTL7.txt", 40)</f>
        <v>40</v>
      </c>
      <c r="BR467">
        <f>HYPERLINK("http://exon.niaid.nih.gov/transcriptome/Anopheles_sialome/links/cluster-b/anopheline-sialome-cds-pep-larger-orf40-50SimCLU6.txt", 6)</f>
        <v>6</v>
      </c>
      <c r="BS467">
        <f>HYPERLINK("http://exon.niaid.nih.gov/transcriptome/Anopheles_sialome/links/cluster-b/anopheline-sialome-cds-pep-larger-orf40-50SimCLTL6.txt", 39)</f>
        <v>39</v>
      </c>
      <c r="BT467">
        <f>HYPERLINK("http://exon.niaid.nih.gov/transcriptome/Anopheles_sialome/links/cluster-b/anopheline-sialome-cds-pep-larger-orf45-50SimCLU5.txt", 5)</f>
        <v>5</v>
      </c>
      <c r="BU467">
        <f>HYPERLINK("http://exon.niaid.nih.gov/transcriptome/Anopheles_sialome/links/cluster-b/anopheline-sialome-cds-pep-larger-orf45-50SimCLTL5.txt", 39)</f>
        <v>39</v>
      </c>
      <c r="BV467">
        <f>HYPERLINK("http://exon.niaid.nih.gov/transcriptome/Anopheles_sialome/links/cluster-b/anopheline-sialome-cds-pep-larger-orf50-50SimCLU5.txt", 5)</f>
        <v>5</v>
      </c>
      <c r="BW467">
        <f>HYPERLINK("http://exon.niaid.nih.gov/transcriptome/Anopheles_sialome/links/cluster-b/anopheline-sialome-cds-pep-larger-orf50-50SimCLTL5.txt", 39)</f>
        <v>39</v>
      </c>
      <c r="BX467">
        <f>HYPERLINK("http://exon.niaid.nih.gov/transcriptome/Anopheles_sialome/links/cluster-b/anopheline-sialome-cds-pep-larger-orf55-50SimCLU6.txt", 6)</f>
        <v>6</v>
      </c>
      <c r="BY467">
        <f>HYPERLINK("http://exon.niaid.nih.gov/transcriptome/Anopheles_sialome/links/cluster-b/anopheline-sialome-cds-pep-larger-orf55-50SimCLTL6.txt", 36)</f>
        <v>36</v>
      </c>
      <c r="BZ467">
        <f>HYPERLINK("http://exon.niaid.nih.gov/transcriptome/Anopheles_sialome/links/cluster-b/anopheline-sialome-cds-pep-larger-orf60-50SimCLU9.txt", 9)</f>
        <v>9</v>
      </c>
      <c r="CA467">
        <f>HYPERLINK("http://exon.niaid.nih.gov/transcriptome/Anopheles_sialome/links/cluster-b/anopheline-sialome-cds-pep-larger-orf60-50SimCLTL9.txt", 26)</f>
        <v>26</v>
      </c>
      <c r="CB467">
        <f>HYPERLINK("http://exon.niaid.nih.gov/transcriptome/Anopheles_sialome/links/cluster-b/anopheline-sialome-cds-pep-larger-orf65-50SimCLU6.txt", 6)</f>
        <v>6</v>
      </c>
      <c r="CC467">
        <f>HYPERLINK("http://exon.niaid.nih.gov/transcriptome/Anopheles_sialome/links/cluster-b/anopheline-sialome-cds-pep-larger-orf65-50SimCLTL6.txt", 26)</f>
        <v>26</v>
      </c>
      <c r="CD467">
        <f>HYPERLINK("http://exon.niaid.nih.gov/transcriptome/Anopheles_sialome/links/cluster-b/anopheline-sialome-cds-pep-larger-orf70-50SimCLU5.txt", 5)</f>
        <v>5</v>
      </c>
      <c r="CE467">
        <f>HYPERLINK("http://exon.niaid.nih.gov/transcriptome/Anopheles_sialome/links/cluster-b/anopheline-sialome-cds-pep-larger-orf70-50SimCLTL5.txt", 24)</f>
        <v>24</v>
      </c>
      <c r="CF467">
        <f>HYPERLINK("http://exon.niaid.nih.gov/transcriptome/Anopheles_sialome/links/cluster-b/anopheline-sialome-cds-pep-larger-orf75-50SimCLU20.txt", 20)</f>
        <v>20</v>
      </c>
      <c r="CG467">
        <f>HYPERLINK("http://exon.niaid.nih.gov/transcriptome/Anopheles_sialome/links/cluster-b/anopheline-sialome-cds-pep-larger-orf75-50SimCLTL20.txt", 15)</f>
        <v>15</v>
      </c>
      <c r="CH467">
        <v>186</v>
      </c>
      <c r="CI467">
        <v>1</v>
      </c>
      <c r="CJ467">
        <v>237</v>
      </c>
      <c r="CK467">
        <v>1</v>
      </c>
      <c r="CL467">
        <v>287</v>
      </c>
      <c r="CM467">
        <v>1</v>
      </c>
      <c r="CN467">
        <v>324</v>
      </c>
      <c r="CO467">
        <v>1</v>
      </c>
    </row>
    <row r="468" spans="1:93">
      <c r="A468" s="2" t="str">
        <f>HYPERLINK("http://exon.niaid.nih.gov/transcriptome/Anopheles_sialome/links/cds/anoalb_hyp37.7-3a-cds.txt","anoalb_hyp37.7-3a")</f>
        <v>anoalb_hyp37.7-3a</v>
      </c>
      <c r="B468">
        <v>687</v>
      </c>
      <c r="C468" t="s">
        <v>312</v>
      </c>
      <c r="D468" t="s">
        <v>7</v>
      </c>
      <c r="E468" t="s">
        <v>5</v>
      </c>
      <c r="F468" t="s">
        <v>1</v>
      </c>
      <c r="G468" t="str">
        <f>HYPERLINK("http://exon.niaid.nih.gov/transcriptome/Anopheles_sialome/links/pep/anoalb_hyp37.7-3a-pep.txt","anoalb_hyp37.7-3a")</f>
        <v>anoalb_hyp37.7-3a</v>
      </c>
      <c r="H468">
        <v>228</v>
      </c>
      <c r="I468">
        <v>1</v>
      </c>
      <c r="J468" s="3" t="str">
        <f>HYPERLINK("http://exon.niaid.nih.gov/transcriptome/Anopheles_sialome/links/Sigp/anoalb_hyp37.7-3a-SigP.txt","CYT")</f>
        <v>CYT</v>
      </c>
      <c r="K468" t="s">
        <v>128</v>
      </c>
      <c r="L468">
        <v>25.821999999999999</v>
      </c>
      <c r="M468">
        <v>6.38</v>
      </c>
      <c r="N468" t="s">
        <v>128</v>
      </c>
      <c r="O468" t="s">
        <v>128</v>
      </c>
      <c r="P468" t="s">
        <v>1177</v>
      </c>
      <c r="Q468" s="3">
        <v>0</v>
      </c>
      <c r="R468" t="s">
        <v>128</v>
      </c>
      <c r="S468" t="s">
        <v>128</v>
      </c>
      <c r="T468" t="s">
        <v>128</v>
      </c>
      <c r="U468" t="s">
        <v>128</v>
      </c>
      <c r="V468" t="s">
        <v>128</v>
      </c>
      <c r="W468" s="3" t="str">
        <f>HYPERLINK("http://exon.niaid.nih.gov/transcriptome/Anopheles_sialome/links/netoglyc/anoalb_hyp37.7-3a-netoglyc.txt","1")</f>
        <v>1</v>
      </c>
      <c r="X468">
        <v>10.1</v>
      </c>
      <c r="Y468">
        <v>4.8</v>
      </c>
      <c r="Z468">
        <v>5.7</v>
      </c>
      <c r="AA468" t="s">
        <v>654</v>
      </c>
      <c r="AB468" t="s">
        <v>128</v>
      </c>
      <c r="AC468" s="2" t="str">
        <f>HYPERLINK("http://exon.niaid.nih.gov/transcriptome/Anopheles_sialome/links/DIPTERA/anoalb_hyp37.7-3a-DIPTERA.txt","hypothetical protein AND_004853")</f>
        <v>hypothetical protein AND_004853</v>
      </c>
      <c r="AD468" t="str">
        <f>HYPERLINK("http://www.ncbi.nlm.nih.gov/sutils/blink.cgi?pid=568254462","2E-072")</f>
        <v>2E-072</v>
      </c>
      <c r="AE468" t="str">
        <f>HYPERLINK("http://www.ncbi.nlm.nih.gov/protein/568254462","gi|568254462")</f>
        <v>gi|568254462</v>
      </c>
      <c r="AF468">
        <v>83</v>
      </c>
      <c r="AG468">
        <v>89</v>
      </c>
      <c r="AH468">
        <v>19</v>
      </c>
      <c r="AI468" t="s">
        <v>2283</v>
      </c>
      <c r="AJ468" s="2" t="str">
        <f>HYPERLINK("http://exon.niaid.nih.gov/transcriptome/Anopheles_sialome/links/CULICOMORPHA/anoalb_hyp37.7-3a-CULICOMORPHA.txt","hypothetical protein AND_004853")</f>
        <v>hypothetical protein AND_004853</v>
      </c>
      <c r="AK468" t="str">
        <f>HYPERLINK("http://www.ncbi.nlm.nih.gov/sutils/blink.cgi?pid=568254462","3E-073")</f>
        <v>3E-073</v>
      </c>
      <c r="AL468" t="str">
        <f>HYPERLINK("http://www.ncbi.nlm.nih.gov/protein/568254462","gi|568254462")</f>
        <v>gi|568254462</v>
      </c>
      <c r="AM468">
        <v>83</v>
      </c>
      <c r="AN468">
        <v>89</v>
      </c>
      <c r="AO468">
        <v>19</v>
      </c>
      <c r="AP468" t="s">
        <v>2283</v>
      </c>
      <c r="AQ468" s="2" t="str">
        <f>HYPERLINK("http://exon.niaid.nih.gov/transcriptome/Anopheles_sialome/links/NR-LIGHT/anoalb_hyp37.7-3a-NR-LIGHT.txt","hypothetical protein AND_004853")</f>
        <v>hypothetical protein AND_004853</v>
      </c>
      <c r="AR468" t="str">
        <f>HYPERLINK("http://www.ncbi.nlm.nih.gov/sutils/blink.cgi?pid=568254462","4E-072")</f>
        <v>4E-072</v>
      </c>
      <c r="AS468" t="str">
        <f>HYPERLINK("http://www.ncbi.nlm.nih.gov/protein/568254462","gi|568254462")</f>
        <v>gi|568254462</v>
      </c>
      <c r="AT468">
        <v>83</v>
      </c>
      <c r="AU468">
        <v>89</v>
      </c>
      <c r="AV468">
        <v>19</v>
      </c>
      <c r="AW468" t="s">
        <v>2283</v>
      </c>
      <c r="AX468" s="2" t="str">
        <f>HYPERLINK("http://exon.niaid.nih.gov/transcriptome/Anopheles_sialome/links/CDD/anoalb_hyp37.7-3a-CDD.txt","6_hydroxyhexano")</f>
        <v>6_hydroxyhexano</v>
      </c>
      <c r="AY468" t="str">
        <f>HYPERLINK("http://www.ncbi.nlm.nih.gov/Structure/cdd/cddsrv.cgi?uid=cd08240&amp;version=v4.0","1.3")</f>
        <v>1.3</v>
      </c>
      <c r="AZ468" t="s">
        <v>2751</v>
      </c>
      <c r="BA468" s="2" t="str">
        <f>HYPERLINK("http://exon.niaid.nih.gov/transcriptome/Anopheles_sialome/links/KOG/anoalb_hyp37.7-3a-KOG.txt","Deoxyribonuclease II")</f>
        <v>Deoxyribonuclease II</v>
      </c>
      <c r="BB468" t="str">
        <f>HYPERLINK("http://www.ncbi.nlm.nih.gov/Structure/cdd/cddsrv.cgi?uid=KOG3825","0.64")</f>
        <v>0.64</v>
      </c>
      <c r="BC468" t="s">
        <v>2290</v>
      </c>
      <c r="BD468" t="str">
        <f>HYPERLINK("http://exon.niaid.nih.gov/transcriptome/Anopheles_sialome/links/KOG/anoalb_hyp37.7-3a-KOG.txt","KOG3825")</f>
        <v>KOG3825</v>
      </c>
      <c r="BE468" t="str">
        <f>HYPERLINK("http://exon.niaid.nih.gov/transcriptome/Anopheles_sialome/links/PFAM/anoalb_hyp37.7-3a-PFAM.txt","DDE_Tnp_ISAZ013")</f>
        <v>DDE_Tnp_ISAZ013</v>
      </c>
      <c r="BF468" t="str">
        <f>HYPERLINK("http://pfam.sanger.ac.uk/family?acc=PF07592","0.87")</f>
        <v>0.87</v>
      </c>
      <c r="BG468" s="2" t="str">
        <f>HYPERLINK("http://exon.niaid.nih.gov/transcriptome/Anopheles_sialome/links/SMART/anoalb_hyp37.7-3a-SMART.txt","EXOIII")</f>
        <v>EXOIII</v>
      </c>
      <c r="BH468" t="str">
        <f>HYPERLINK("http://smart.embl-heidelberg.de/smart/do_annotation.pl?DOMAIN=EXOIII&amp;BLAST=DUMMY","3.9")</f>
        <v>3.9</v>
      </c>
      <c r="BI468" t="s">
        <v>128</v>
      </c>
      <c r="BJ468" s="2" t="s">
        <v>128</v>
      </c>
      <c r="BK468" t="s">
        <v>1516</v>
      </c>
      <c r="BL468">
        <f>HYPERLINK("http://exon.niaid.nih.gov/transcriptome/Anopheles_sialome/links/cluster-b/anopheline-sialome-cds-pep-larger-orf25-50SimCLU7.txt", 7)</f>
        <v>7</v>
      </c>
      <c r="BM468">
        <f>HYPERLINK("http://exon.niaid.nih.gov/transcriptome/Anopheles_sialome/links/cluster-b/anopheline-sialome-cds-pep-larger-orf25-50SimCLTL7.txt", 40)</f>
        <v>40</v>
      </c>
      <c r="BN468">
        <f>HYPERLINK("http://exon.niaid.nih.gov/transcriptome/Anopheles_sialome/links/cluster-b/anopheline-sialome-cds-pep-larger-orf30-50SimCLU6.txt", 6)</f>
        <v>6</v>
      </c>
      <c r="BO468">
        <f>HYPERLINK("http://exon.niaid.nih.gov/transcriptome/Anopheles_sialome/links/cluster-b/anopheline-sialome-cds-pep-larger-orf30-50SimCLTL6.txt", 40)</f>
        <v>40</v>
      </c>
      <c r="BP468">
        <f>HYPERLINK("http://exon.niaid.nih.gov/transcriptome/Anopheles_sialome/links/cluster-b/anopheline-sialome-cds-pep-larger-orf35-50SimCLU7.txt", 7)</f>
        <v>7</v>
      </c>
      <c r="BQ468">
        <f>HYPERLINK("http://exon.niaid.nih.gov/transcriptome/Anopheles_sialome/links/cluster-b/anopheline-sialome-cds-pep-larger-orf35-50SimCLTL7.txt", 40)</f>
        <v>40</v>
      </c>
      <c r="BR468">
        <v>27</v>
      </c>
      <c r="BS468">
        <v>1</v>
      </c>
      <c r="BT468">
        <v>31</v>
      </c>
      <c r="BU468">
        <v>1</v>
      </c>
      <c r="BV468">
        <v>34</v>
      </c>
      <c r="BW468">
        <v>1</v>
      </c>
      <c r="BX468">
        <v>40</v>
      </c>
      <c r="BY468">
        <v>1</v>
      </c>
      <c r="BZ468">
        <v>59</v>
      </c>
      <c r="CA468">
        <v>1</v>
      </c>
      <c r="CB468">
        <v>76</v>
      </c>
      <c r="CC468">
        <v>1</v>
      </c>
      <c r="CD468">
        <v>96</v>
      </c>
      <c r="CE468">
        <v>1</v>
      </c>
      <c r="CF468">
        <v>136</v>
      </c>
      <c r="CG468">
        <v>1</v>
      </c>
      <c r="CH468">
        <v>187</v>
      </c>
      <c r="CI468">
        <v>1</v>
      </c>
      <c r="CJ468">
        <v>238</v>
      </c>
      <c r="CK468">
        <v>1</v>
      </c>
      <c r="CL468">
        <v>288</v>
      </c>
      <c r="CM468">
        <v>1</v>
      </c>
      <c r="CN468">
        <v>325</v>
      </c>
      <c r="CO468">
        <v>1</v>
      </c>
    </row>
    <row r="469" spans="1:93">
      <c r="A469" s="2" t="str">
        <f>HYPERLINK("http://exon.niaid.nih.gov/transcriptome/Anopheles_sialome/links/cds/anoalb_hyp37.7-3b-cds.txt","anoalb_hyp37.7-3b")</f>
        <v>anoalb_hyp37.7-3b</v>
      </c>
      <c r="B469">
        <v>570</v>
      </c>
      <c r="C469" t="s">
        <v>312</v>
      </c>
      <c r="D469" t="s">
        <v>7</v>
      </c>
      <c r="E469" t="s">
        <v>5</v>
      </c>
      <c r="F469" t="s">
        <v>1</v>
      </c>
      <c r="G469" t="str">
        <f>HYPERLINK("http://exon.niaid.nih.gov/transcriptome/Anopheles_sialome/links/pep/anoalb_hyp37.7-3b-pep.txt","anoalb_hyp37.7-3b")</f>
        <v>anoalb_hyp37.7-3b</v>
      </c>
      <c r="H469">
        <v>189</v>
      </c>
      <c r="I469">
        <v>1</v>
      </c>
      <c r="J469" s="3" t="str">
        <f>HYPERLINK("http://exon.niaid.nih.gov/transcriptome/Anopheles_sialome/links/Sigp/anoalb_hyp37.7-3b-SigP.txt","CYT")</f>
        <v>CYT</v>
      </c>
      <c r="K469" t="s">
        <v>128</v>
      </c>
      <c r="L469">
        <v>21.369</v>
      </c>
      <c r="M469">
        <v>6.07</v>
      </c>
      <c r="N469" t="s">
        <v>128</v>
      </c>
      <c r="O469" t="s">
        <v>128</v>
      </c>
      <c r="P469" t="s">
        <v>1479</v>
      </c>
      <c r="Q469" s="3">
        <v>0</v>
      </c>
      <c r="R469" t="s">
        <v>128</v>
      </c>
      <c r="S469" t="s">
        <v>128</v>
      </c>
      <c r="T469" t="s">
        <v>128</v>
      </c>
      <c r="U469" t="s">
        <v>128</v>
      </c>
      <c r="V469" t="s">
        <v>128</v>
      </c>
      <c r="W469" s="3" t="str">
        <f>HYPERLINK("http://exon.niaid.nih.gov/transcriptome/Anopheles_sialome/links/netoglyc/anoalb_hyp37.7-3b-netoglyc.txt","1")</f>
        <v>1</v>
      </c>
      <c r="X469">
        <v>10.6</v>
      </c>
      <c r="Y469">
        <v>8.5</v>
      </c>
      <c r="Z469">
        <v>3.7</v>
      </c>
      <c r="AA469">
        <v>1.6</v>
      </c>
      <c r="AB469" t="s">
        <v>128</v>
      </c>
      <c r="AC469" s="2" t="str">
        <f>HYPERLINK("http://exon.niaid.nih.gov/transcriptome/Anopheles_sialome/links/DIPTERA/anoalb_hyp37.7-3b-DIPTERA.txt","hypothetical protein AND_004853")</f>
        <v>hypothetical protein AND_004853</v>
      </c>
      <c r="AD469" t="str">
        <f>HYPERLINK("http://www.ncbi.nlm.nih.gov/sutils/blink.cgi?pid=568254462","8E-044")</f>
        <v>8E-044</v>
      </c>
      <c r="AE469" t="str">
        <f>HYPERLINK("http://www.ncbi.nlm.nih.gov/protein/568254462","gi|568254462")</f>
        <v>gi|568254462</v>
      </c>
      <c r="AF469">
        <v>52</v>
      </c>
      <c r="AG469">
        <v>65</v>
      </c>
      <c r="AH469">
        <v>21</v>
      </c>
      <c r="AI469" t="s">
        <v>2283</v>
      </c>
      <c r="AJ469" s="2" t="str">
        <f>HYPERLINK("http://exon.niaid.nih.gov/transcriptome/Anopheles_sialome/links/CULICOMORPHA/anoalb_hyp37.7-3b-CULICOMORPHA.txt","hypothetical protein AND_004853")</f>
        <v>hypothetical protein AND_004853</v>
      </c>
      <c r="AK469" t="str">
        <f>HYPERLINK("http://www.ncbi.nlm.nih.gov/sutils/blink.cgi?pid=568254462","2E-044")</f>
        <v>2E-044</v>
      </c>
      <c r="AL469" t="str">
        <f>HYPERLINK("http://www.ncbi.nlm.nih.gov/protein/568254462","gi|568254462")</f>
        <v>gi|568254462</v>
      </c>
      <c r="AM469">
        <v>52</v>
      </c>
      <c r="AN469">
        <v>65</v>
      </c>
      <c r="AO469">
        <v>21</v>
      </c>
      <c r="AP469" t="s">
        <v>2283</v>
      </c>
      <c r="AQ469" s="2" t="str">
        <f>HYPERLINK("http://exon.niaid.nih.gov/transcriptome/Anopheles_sialome/links/NR-LIGHT/anoalb_hyp37.7-3b-NR-LIGHT.txt","hypothetical protein AND_004853")</f>
        <v>hypothetical protein AND_004853</v>
      </c>
      <c r="AR469" t="str">
        <f>HYPERLINK("http://www.ncbi.nlm.nih.gov/sutils/blink.cgi?pid=568254462","2E-043")</f>
        <v>2E-043</v>
      </c>
      <c r="AS469" t="str">
        <f>HYPERLINK("http://www.ncbi.nlm.nih.gov/protein/568254462","gi|568254462")</f>
        <v>gi|568254462</v>
      </c>
      <c r="AT469">
        <v>52</v>
      </c>
      <c r="AU469">
        <v>65</v>
      </c>
      <c r="AV469">
        <v>21</v>
      </c>
      <c r="AW469" t="s">
        <v>2283</v>
      </c>
      <c r="AX469" s="2" t="str">
        <f>HYPERLINK("http://exon.niaid.nih.gov/transcriptome/Anopheles_sialome/links/CDD/anoalb_hyp37.7-3b-CDD.txt","RuvC")</f>
        <v>RuvC</v>
      </c>
      <c r="AY469" t="str">
        <f>HYPERLINK("http://www.ncbi.nlm.nih.gov/Structure/cdd/cddsrv.cgi?uid=COG0817&amp;version=v4.0","0.63")</f>
        <v>0.63</v>
      </c>
      <c r="AZ469" t="s">
        <v>2752</v>
      </c>
      <c r="BA469" s="2" t="str">
        <f>HYPERLINK("http://exon.niaid.nih.gov/transcriptome/Anopheles_sialome/links/KOG/anoalb_hyp37.7-3b-KOG.txt","Uncharacterized conserved protein")</f>
        <v>Uncharacterized conserved protein</v>
      </c>
      <c r="BB469" t="str">
        <f>HYPERLINK("http://www.ncbi.nlm.nih.gov/Structure/cdd/cddsrv.cgi?uid=KOG3596","2.2")</f>
        <v>2.2</v>
      </c>
      <c r="BC469" t="s">
        <v>2304</v>
      </c>
      <c r="BD469" t="str">
        <f>HYPERLINK("http://exon.niaid.nih.gov/transcriptome/Anopheles_sialome/links/KOG/anoalb_hyp37.7-3b-KOG.txt","KOG3596")</f>
        <v>KOG3596</v>
      </c>
      <c r="BE469" t="str">
        <f>HYPERLINK("http://exon.niaid.nih.gov/transcriptome/Anopheles_sialome/links/PFAM/anoalb_hyp37.7-3b-PFAM.txt","His_biosynth")</f>
        <v>His_biosynth</v>
      </c>
      <c r="BF469" t="str">
        <f>HYPERLINK("http://pfam.sanger.ac.uk/family?acc=PF00977","0.56")</f>
        <v>0.56</v>
      </c>
      <c r="BG469" s="2" t="str">
        <f>HYPERLINK("http://exon.niaid.nih.gov/transcriptome/Anopheles_sialome/links/SMART/anoalb_hyp37.7-3b-SMART.txt","FRG")</f>
        <v>FRG</v>
      </c>
      <c r="BH469" t="str">
        <f>HYPERLINK("http://smart.embl-heidelberg.de/smart/do_annotation.pl?DOMAIN=FRG&amp;BLAST=DUMMY","0.89")</f>
        <v>0.89</v>
      </c>
      <c r="BI469" t="s">
        <v>128</v>
      </c>
      <c r="BJ469" s="2" t="s">
        <v>128</v>
      </c>
      <c r="BK469" t="s">
        <v>1517</v>
      </c>
      <c r="BL469">
        <f>HYPERLINK("http://exon.niaid.nih.gov/transcriptome/Anopheles_sialome/links/cluster-b/anopheline-sialome-cds-pep-larger-orf25-50SimCLU7.txt", 7)</f>
        <v>7</v>
      </c>
      <c r="BM469">
        <f>HYPERLINK("http://exon.niaid.nih.gov/transcriptome/Anopheles_sialome/links/cluster-b/anopheline-sialome-cds-pep-larger-orf25-50SimCLTL7.txt", 40)</f>
        <v>40</v>
      </c>
      <c r="BN469">
        <f>HYPERLINK("http://exon.niaid.nih.gov/transcriptome/Anopheles_sialome/links/cluster-b/anopheline-sialome-cds-pep-larger-orf30-50SimCLU6.txt", 6)</f>
        <v>6</v>
      </c>
      <c r="BO469">
        <f>HYPERLINK("http://exon.niaid.nih.gov/transcriptome/Anopheles_sialome/links/cluster-b/anopheline-sialome-cds-pep-larger-orf30-50SimCLTL6.txt", 40)</f>
        <v>40</v>
      </c>
      <c r="BP469">
        <f>HYPERLINK("http://exon.niaid.nih.gov/transcriptome/Anopheles_sialome/links/cluster-b/anopheline-sialome-cds-pep-larger-orf35-50SimCLU7.txt", 7)</f>
        <v>7</v>
      </c>
      <c r="BQ469">
        <f>HYPERLINK("http://exon.niaid.nih.gov/transcriptome/Anopheles_sialome/links/cluster-b/anopheline-sialome-cds-pep-larger-orf35-50SimCLTL7.txt", 40)</f>
        <v>40</v>
      </c>
      <c r="BR469">
        <f>HYPERLINK("http://exon.niaid.nih.gov/transcriptome/Anopheles_sialome/links/cluster-b/anopheline-sialome-cds-pep-larger-orf40-50SimCLU6.txt", 6)</f>
        <v>6</v>
      </c>
      <c r="BS469">
        <f>HYPERLINK("http://exon.niaid.nih.gov/transcriptome/Anopheles_sialome/links/cluster-b/anopheline-sialome-cds-pep-larger-orf40-50SimCLTL6.txt", 39)</f>
        <v>39</v>
      </c>
      <c r="BT469">
        <f>HYPERLINK("http://exon.niaid.nih.gov/transcriptome/Anopheles_sialome/links/cluster-b/anopheline-sialome-cds-pep-larger-orf45-50SimCLU5.txt", 5)</f>
        <v>5</v>
      </c>
      <c r="BU469">
        <f>HYPERLINK("http://exon.niaid.nih.gov/transcriptome/Anopheles_sialome/links/cluster-b/anopheline-sialome-cds-pep-larger-orf45-50SimCLTL5.txt", 39)</f>
        <v>39</v>
      </c>
      <c r="BV469">
        <f>HYPERLINK("http://exon.niaid.nih.gov/transcriptome/Anopheles_sialome/links/cluster-b/anopheline-sialome-cds-pep-larger-orf50-50SimCLU5.txt", 5)</f>
        <v>5</v>
      </c>
      <c r="BW469">
        <f>HYPERLINK("http://exon.niaid.nih.gov/transcriptome/Anopheles_sialome/links/cluster-b/anopheline-sialome-cds-pep-larger-orf50-50SimCLTL5.txt", 39)</f>
        <v>39</v>
      </c>
      <c r="BX469">
        <v>41</v>
      </c>
      <c r="BY469">
        <v>1</v>
      </c>
      <c r="BZ469">
        <v>60</v>
      </c>
      <c r="CA469">
        <v>1</v>
      </c>
      <c r="CB469">
        <v>77</v>
      </c>
      <c r="CC469">
        <v>1</v>
      </c>
      <c r="CD469">
        <v>97</v>
      </c>
      <c r="CE469">
        <v>1</v>
      </c>
      <c r="CF469">
        <v>137</v>
      </c>
      <c r="CG469">
        <v>1</v>
      </c>
      <c r="CH469">
        <v>188</v>
      </c>
      <c r="CI469">
        <v>1</v>
      </c>
      <c r="CJ469">
        <v>239</v>
      </c>
      <c r="CK469">
        <v>1</v>
      </c>
      <c r="CL469">
        <v>289</v>
      </c>
      <c r="CM469">
        <v>1</v>
      </c>
      <c r="CN469">
        <v>326</v>
      </c>
      <c r="CO469">
        <v>1</v>
      </c>
    </row>
    <row r="470" spans="1:93">
      <c r="A470" s="2" t="str">
        <f>HYPERLINK("http://exon.niaid.nih.gov/transcriptome/Anopheles_sialome/links/cds/anodar_hyp37.7-3-cds.txt","anodar_hyp37.7-3")</f>
        <v>anodar_hyp37.7-3</v>
      </c>
      <c r="B470">
        <v>702</v>
      </c>
      <c r="C470" t="s">
        <v>4</v>
      </c>
      <c r="D470" s="8" t="s">
        <v>3178</v>
      </c>
      <c r="E470" t="s">
        <v>5</v>
      </c>
      <c r="F470" t="s">
        <v>1</v>
      </c>
      <c r="G470" t="str">
        <f>HYPERLINK("http://exon.niaid.nih.gov/transcriptome/Anopheles_sialome/links/pep/anodar_hyp37.7-3-pep.txt","anodar_hyp37.7-3")</f>
        <v>anodar_hyp37.7-3</v>
      </c>
      <c r="H470">
        <v>233</v>
      </c>
      <c r="I470">
        <v>0</v>
      </c>
      <c r="J470" s="3" t="str">
        <f>HYPERLINK("http://exon.niaid.nih.gov/transcriptome/Anopheles_sialome/links/Sigp/anodar_hyp37.7-3-SigP.txt","CYT")</f>
        <v>CYT</v>
      </c>
      <c r="K470" t="s">
        <v>128</v>
      </c>
      <c r="L470">
        <v>26.533000000000001</v>
      </c>
      <c r="M470">
        <v>9.31</v>
      </c>
      <c r="N470" t="s">
        <v>128</v>
      </c>
      <c r="O470" t="s">
        <v>128</v>
      </c>
      <c r="P470" t="s">
        <v>1025</v>
      </c>
      <c r="Q470" s="3">
        <v>0</v>
      </c>
      <c r="R470" t="s">
        <v>128</v>
      </c>
      <c r="S470" t="s">
        <v>128</v>
      </c>
      <c r="T470" t="s">
        <v>128</v>
      </c>
      <c r="U470" t="s">
        <v>128</v>
      </c>
      <c r="V470" t="s">
        <v>128</v>
      </c>
      <c r="W470" s="3" t="str">
        <f>HYPERLINK("http://exon.niaid.nih.gov/transcriptome/Anopheles_sialome/links/netoglyc/anodar_hyp37.7-3-netoglyc.txt","3")</f>
        <v>3</v>
      </c>
      <c r="X470">
        <v>9.9</v>
      </c>
      <c r="Y470">
        <v>8.6</v>
      </c>
      <c r="Z470">
        <v>2.1</v>
      </c>
      <c r="AA470" t="s">
        <v>654</v>
      </c>
      <c r="AB470" t="s">
        <v>128</v>
      </c>
      <c r="AC470" s="2" t="str">
        <f>HYPERLINK("http://exon.niaid.nih.gov/transcriptome/Anopheles_sialome/links/DIPTERA/anodar_hyp37.7-3-DIPTERA.txt","hypothetical protein AND_004853")</f>
        <v>hypothetical protein AND_004853</v>
      </c>
      <c r="AD470" t="str">
        <f>HYPERLINK("http://www.ncbi.nlm.nih.gov/sutils/blink.cgi?pid=568254462","1E-123")</f>
        <v>1E-123</v>
      </c>
      <c r="AE470" t="str">
        <f>HYPERLINK("http://www.ncbi.nlm.nih.gov/protein/568254462","gi|568254462")</f>
        <v>gi|568254462</v>
      </c>
      <c r="AF470">
        <v>99</v>
      </c>
      <c r="AG470">
        <v>100</v>
      </c>
      <c r="AH470">
        <v>25</v>
      </c>
      <c r="AI470" t="s">
        <v>2283</v>
      </c>
      <c r="AJ470" s="2" t="str">
        <f>HYPERLINK("http://exon.niaid.nih.gov/transcriptome/Anopheles_sialome/links/CULICOMORPHA/anodar_hyp37.7-3-CULICOMORPHA.txt","hypothetical protein AND_004853")</f>
        <v>hypothetical protein AND_004853</v>
      </c>
      <c r="AK470" t="str">
        <f>HYPERLINK("http://www.ncbi.nlm.nih.gov/sutils/blink.cgi?pid=568254462","1E-124")</f>
        <v>1E-124</v>
      </c>
      <c r="AL470" t="str">
        <f>HYPERLINK("http://www.ncbi.nlm.nih.gov/protein/568254462","gi|568254462")</f>
        <v>gi|568254462</v>
      </c>
      <c r="AM470">
        <v>99</v>
      </c>
      <c r="AN470">
        <v>100</v>
      </c>
      <c r="AO470">
        <v>25</v>
      </c>
      <c r="AP470" t="s">
        <v>2283</v>
      </c>
      <c r="AQ470" s="2" t="str">
        <f>HYPERLINK("http://exon.niaid.nih.gov/transcriptome/Anopheles_sialome/links/NR-LIGHT/anodar_hyp37.7-3-NR-LIGHT.txt","hypothetical protein AND_004853")</f>
        <v>hypothetical protein AND_004853</v>
      </c>
      <c r="AR470" t="str">
        <f>HYPERLINK("http://www.ncbi.nlm.nih.gov/sutils/blink.cgi?pid=568254462","1E-123")</f>
        <v>1E-123</v>
      </c>
      <c r="AS470" t="str">
        <f>HYPERLINK("http://www.ncbi.nlm.nih.gov/protein/568254462","gi|568254462")</f>
        <v>gi|568254462</v>
      </c>
      <c r="AT470">
        <v>99</v>
      </c>
      <c r="AU470">
        <v>100</v>
      </c>
      <c r="AV470">
        <v>25</v>
      </c>
      <c r="AW470" t="s">
        <v>2283</v>
      </c>
      <c r="AX470" s="2" t="str">
        <f>HYPERLINK("http://exon.niaid.nih.gov/transcriptome/Anopheles_sialome/links/CDD/anodar_hyp37.7-3-CDD.txt","PTZ00432")</f>
        <v>PTZ00432</v>
      </c>
      <c r="AY470" t="str">
        <f>HYPERLINK("http://www.ncbi.nlm.nih.gov/Structure/cdd/cddsrv.cgi?uid=PTZ00432&amp;version=v4.0","0.29")</f>
        <v>0.29</v>
      </c>
      <c r="AZ470" t="s">
        <v>2753</v>
      </c>
      <c r="BA470" s="2" t="str">
        <f>HYPERLINK("http://exon.niaid.nih.gov/transcriptome/Anopheles_sialome/links/KOG/anodar_hyp37.7-3-KOG.txt","Putative GTPase activating proteins (GAPs)")</f>
        <v>Putative GTPase activating proteins (GAPs)</v>
      </c>
      <c r="BB470" t="str">
        <f>HYPERLINK("http://www.ncbi.nlm.nih.gov/Structure/cdd/cddsrv.cgi?uid=KOG0521","1.3")</f>
        <v>1.3</v>
      </c>
      <c r="BC470" t="s">
        <v>2292</v>
      </c>
      <c r="BD470" t="str">
        <f>HYPERLINK("http://exon.niaid.nih.gov/transcriptome/Anopheles_sialome/links/KOG/anodar_hyp37.7-3-KOG.txt","KOG0521")</f>
        <v>KOG0521</v>
      </c>
      <c r="BE470" t="str">
        <f>HYPERLINK("http://exon.niaid.nih.gov/transcriptome/Anopheles_sialome/links/PFAM/anodar_hyp37.7-3-PFAM.txt","Viral_DNA_bp")</f>
        <v>Viral_DNA_bp</v>
      </c>
      <c r="BF470" t="str">
        <f>HYPERLINK("http://pfam.sanger.ac.uk/family?acc=PF00747","2.5")</f>
        <v>2.5</v>
      </c>
      <c r="BG470" s="2" t="str">
        <f>HYPERLINK("http://exon.niaid.nih.gov/transcriptome/Anopheles_sialome/links/SMART/anodar_hyp37.7-3-SMART.txt","POLBc")</f>
        <v>POLBc</v>
      </c>
      <c r="BH470" t="str">
        <f>HYPERLINK("http://smart.embl-heidelberg.de/smart/do_annotation.pl?DOMAIN=POLBc&amp;BLAST=DUMMY","0.24")</f>
        <v>0.24</v>
      </c>
      <c r="BI470" t="s">
        <v>128</v>
      </c>
      <c r="BJ470" s="2" t="s">
        <v>128</v>
      </c>
      <c r="BK470" t="s">
        <v>1518</v>
      </c>
      <c r="BL470">
        <f>HYPERLINK("http://exon.niaid.nih.gov/transcriptome/Anopheles_sialome/links/cluster-b/anopheline-sialome-cds-pep-larger-orf25-50SimCLU7.txt", 7)</f>
        <v>7</v>
      </c>
      <c r="BM470">
        <f>HYPERLINK("http://exon.niaid.nih.gov/transcriptome/Anopheles_sialome/links/cluster-b/anopheline-sialome-cds-pep-larger-orf25-50SimCLTL7.txt", 40)</f>
        <v>40</v>
      </c>
      <c r="BN470">
        <f>HYPERLINK("http://exon.niaid.nih.gov/transcriptome/Anopheles_sialome/links/cluster-b/anopheline-sialome-cds-pep-larger-orf30-50SimCLU6.txt", 6)</f>
        <v>6</v>
      </c>
      <c r="BO470">
        <f>HYPERLINK("http://exon.niaid.nih.gov/transcriptome/Anopheles_sialome/links/cluster-b/anopheline-sialome-cds-pep-larger-orf30-50SimCLTL6.txt", 40)</f>
        <v>40</v>
      </c>
      <c r="BP470">
        <f>HYPERLINK("http://exon.niaid.nih.gov/transcriptome/Anopheles_sialome/links/cluster-b/anopheline-sialome-cds-pep-larger-orf35-50SimCLU7.txt", 7)</f>
        <v>7</v>
      </c>
      <c r="BQ470">
        <f>HYPERLINK("http://exon.niaid.nih.gov/transcriptome/Anopheles_sialome/links/cluster-b/anopheline-sialome-cds-pep-larger-orf35-50SimCLTL7.txt", 40)</f>
        <v>40</v>
      </c>
      <c r="BR470">
        <f>HYPERLINK("http://exon.niaid.nih.gov/transcriptome/Anopheles_sialome/links/cluster-b/anopheline-sialome-cds-pep-larger-orf40-50SimCLU6.txt", 6)</f>
        <v>6</v>
      </c>
      <c r="BS470">
        <f>HYPERLINK("http://exon.niaid.nih.gov/transcriptome/Anopheles_sialome/links/cluster-b/anopheline-sialome-cds-pep-larger-orf40-50SimCLTL6.txt", 39)</f>
        <v>39</v>
      </c>
      <c r="BT470">
        <f>HYPERLINK("http://exon.niaid.nih.gov/transcriptome/Anopheles_sialome/links/cluster-b/anopheline-sialome-cds-pep-larger-orf45-50SimCLU5.txt", 5)</f>
        <v>5</v>
      </c>
      <c r="BU470">
        <f>HYPERLINK("http://exon.niaid.nih.gov/transcriptome/Anopheles_sialome/links/cluster-b/anopheline-sialome-cds-pep-larger-orf45-50SimCLTL5.txt", 39)</f>
        <v>39</v>
      </c>
      <c r="BV470">
        <f>HYPERLINK("http://exon.niaid.nih.gov/transcriptome/Anopheles_sialome/links/cluster-b/anopheline-sialome-cds-pep-larger-orf50-50SimCLU5.txt", 5)</f>
        <v>5</v>
      </c>
      <c r="BW470">
        <f>HYPERLINK("http://exon.niaid.nih.gov/transcriptome/Anopheles_sialome/links/cluster-b/anopheline-sialome-cds-pep-larger-orf50-50SimCLTL5.txt", 39)</f>
        <v>39</v>
      </c>
      <c r="BX470">
        <f>HYPERLINK("http://exon.niaid.nih.gov/transcriptome/Anopheles_sialome/links/cluster-b/anopheline-sialome-cds-pep-larger-orf55-50SimCLU34.txt", 34)</f>
        <v>34</v>
      </c>
      <c r="BY470">
        <f>HYPERLINK("http://exon.niaid.nih.gov/transcriptome/Anopheles_sialome/links/cluster-b/anopheline-sialome-cds-pep-larger-orf55-50SimCLTL34.txt", 2)</f>
        <v>2</v>
      </c>
      <c r="BZ470">
        <f>HYPERLINK("http://exon.niaid.nih.gov/transcriptome/Anopheles_sialome/links/cluster-b/anopheline-sialome-cds-pep-larger-orf60-50SimCLU43.txt", 43)</f>
        <v>43</v>
      </c>
      <c r="CA470">
        <f>HYPERLINK("http://exon.niaid.nih.gov/transcriptome/Anopheles_sialome/links/cluster-b/anopheline-sialome-cds-pep-larger-orf60-50SimCLTL43.txt", 2)</f>
        <v>2</v>
      </c>
      <c r="CB470">
        <f>HYPERLINK("http://exon.niaid.nih.gov/transcriptome/Anopheles_sialome/links/cluster-b/anopheline-sialome-cds-pep-larger-orf65-50SimCLU50.txt", 50)</f>
        <v>50</v>
      </c>
      <c r="CC470">
        <f>HYPERLINK("http://exon.niaid.nih.gov/transcriptome/Anopheles_sialome/links/cluster-b/anopheline-sialome-cds-pep-larger-orf65-50SimCLTL50.txt", 2)</f>
        <v>2</v>
      </c>
      <c r="CD470">
        <f>HYPERLINK("http://exon.niaid.nih.gov/transcriptome/Anopheles_sialome/links/cluster-b/anopheline-sialome-cds-pep-larger-orf70-50SimCLU57.txt", 57)</f>
        <v>57</v>
      </c>
      <c r="CE470">
        <f>HYPERLINK("http://exon.niaid.nih.gov/transcriptome/Anopheles_sialome/links/cluster-b/anopheline-sialome-cds-pep-larger-orf70-50SimCLTL57.txt", 2)</f>
        <v>2</v>
      </c>
      <c r="CF470">
        <f>HYPERLINK("http://exon.niaid.nih.gov/transcriptome/Anopheles_sialome/links/cluster-b/anopheline-sialome-cds-pep-larger-orf75-50SimCLU74.txt", 74)</f>
        <v>74</v>
      </c>
      <c r="CG470">
        <f>HYPERLINK("http://exon.niaid.nih.gov/transcriptome/Anopheles_sialome/links/cluster-b/anopheline-sialome-cds-pep-larger-orf75-50SimCLTL74.txt", 2)</f>
        <v>2</v>
      </c>
      <c r="CH470">
        <v>189</v>
      </c>
      <c r="CI470">
        <v>1</v>
      </c>
      <c r="CJ470">
        <v>240</v>
      </c>
      <c r="CK470">
        <v>1</v>
      </c>
      <c r="CL470">
        <v>290</v>
      </c>
      <c r="CM470">
        <v>1</v>
      </c>
      <c r="CN470">
        <v>327</v>
      </c>
      <c r="CO470">
        <v>1</v>
      </c>
    </row>
    <row r="471" spans="1:93">
      <c r="A471" s="15" t="s">
        <v>3155</v>
      </c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</row>
    <row r="472" spans="1:93">
      <c r="A472" s="6" t="s">
        <v>3213</v>
      </c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</row>
    <row r="473" spans="1:93">
      <c r="A473" s="2" t="str">
        <f>HYPERLINK("http://exon.niaid.nih.gov/transcriptome/Anopheles_sialome/links/cds/anoga_SG1-cds.txt","anoga_SG1")</f>
        <v>anoga_SG1</v>
      </c>
      <c r="B473">
        <v>1206</v>
      </c>
      <c r="C473" t="s">
        <v>418</v>
      </c>
      <c r="D473" t="s">
        <v>4</v>
      </c>
      <c r="E473" t="s">
        <v>5</v>
      </c>
      <c r="F473" t="s">
        <v>1</v>
      </c>
      <c r="G473" t="str">
        <f>HYPERLINK("http://exon.niaid.nih.gov/transcriptome/Anopheles_sialome/links/pep/anoga_SG1-pep.txt","anoga_SG1")</f>
        <v>anoga_SG1</v>
      </c>
      <c r="H473">
        <v>401</v>
      </c>
      <c r="I473">
        <v>0</v>
      </c>
      <c r="J473" s="3" t="str">
        <f>HYPERLINK("http://exon.niaid.nih.gov/transcriptome/Anopheles_sialome/links/Sigp/anoga_SG1-SigP.txt","SIG")</f>
        <v>SIG</v>
      </c>
      <c r="K473" t="s">
        <v>925</v>
      </c>
      <c r="L473">
        <v>46.143000000000001</v>
      </c>
      <c r="M473">
        <v>8.4</v>
      </c>
      <c r="N473">
        <v>44.231000000000002</v>
      </c>
      <c r="O473">
        <v>8.2200000000000006</v>
      </c>
      <c r="P473" t="s">
        <v>1727</v>
      </c>
      <c r="Q473" s="3">
        <v>0</v>
      </c>
      <c r="R473" t="s">
        <v>128</v>
      </c>
      <c r="S473" t="s">
        <v>128</v>
      </c>
      <c r="T473" t="s">
        <v>128</v>
      </c>
      <c r="U473" t="s">
        <v>128</v>
      </c>
      <c r="V473" t="s">
        <v>128</v>
      </c>
      <c r="W473" s="3" t="str">
        <f>HYPERLINK("http://exon.niaid.nih.gov/transcriptome/Anopheles_sialome/links/netoglyc/anoga_SG1-netoglyc.txt","0")</f>
        <v>0</v>
      </c>
      <c r="X473">
        <v>10</v>
      </c>
      <c r="Y473">
        <v>3.5</v>
      </c>
      <c r="Z473">
        <v>3.5</v>
      </c>
      <c r="AA473" t="s">
        <v>654</v>
      </c>
      <c r="AB473" t="s">
        <v>128</v>
      </c>
      <c r="AC473" s="2" t="str">
        <f>HYPERLINK("http://exon.niaid.nih.gov/transcriptome/Anopheles_sialome/links/DIPTERA/anoga_SG1-DIPTERA.txt","AGAP000612-PA")</f>
        <v>AGAP000612-PA</v>
      </c>
      <c r="AD473" t="str">
        <f t="shared" ref="AD473:AD478" si="159">HYPERLINK("http://www.ncbi.nlm.nih.gov/sutils/blink.cgi?pid=21294374","0.0")</f>
        <v>0.0</v>
      </c>
      <c r="AE473" t="str">
        <f t="shared" ref="AE473:AE488" si="160">HYPERLINK("http://www.ncbi.nlm.nih.gov/protein/21294374","gi|21294374")</f>
        <v>gi|21294374</v>
      </c>
      <c r="AF473">
        <v>100</v>
      </c>
      <c r="AG473">
        <v>100</v>
      </c>
      <c r="AH473">
        <v>100</v>
      </c>
      <c r="AI473" t="s">
        <v>2285</v>
      </c>
      <c r="AJ473" s="2" t="str">
        <f>HYPERLINK("http://exon.niaid.nih.gov/transcriptome/Anopheles_sialome/links/CULICOMORPHA/anoga_SG1-CULICOMORPHA.txt","AGAP000612-PA")</f>
        <v>AGAP000612-PA</v>
      </c>
      <c r="AK473" t="str">
        <f t="shared" ref="AK473:AK478" si="161">HYPERLINK("http://www.ncbi.nlm.nih.gov/sutils/blink.cgi?pid=21294374","0.0")</f>
        <v>0.0</v>
      </c>
      <c r="AL473" t="str">
        <f t="shared" ref="AL473:AL488" si="162">HYPERLINK("http://www.ncbi.nlm.nih.gov/protein/21294374","gi|21294374")</f>
        <v>gi|21294374</v>
      </c>
      <c r="AM473">
        <v>100</v>
      </c>
      <c r="AN473">
        <v>100</v>
      </c>
      <c r="AO473">
        <v>100</v>
      </c>
      <c r="AP473" t="s">
        <v>2285</v>
      </c>
      <c r="AQ473" s="2" t="str">
        <f>HYPERLINK("http://exon.niaid.nih.gov/transcriptome/Anopheles_sialome/links/NR-LIGHT/anoga_SG1-NR-LIGHT.txt","AGAP000612-PA")</f>
        <v>AGAP000612-PA</v>
      </c>
      <c r="AR473" t="str">
        <f t="shared" ref="AR473:AR478" si="163">HYPERLINK("http://www.ncbi.nlm.nih.gov/sutils/blink.cgi?pid=31203041","0.0")</f>
        <v>0.0</v>
      </c>
      <c r="AS473" t="str">
        <f t="shared" ref="AS473:AS488" si="164">HYPERLINK("http://www.ncbi.nlm.nih.gov/protein/31203041","gi|31203041")</f>
        <v>gi|31203041</v>
      </c>
      <c r="AT473">
        <v>100</v>
      </c>
      <c r="AU473">
        <v>100</v>
      </c>
      <c r="AV473">
        <v>100</v>
      </c>
      <c r="AW473" t="s">
        <v>2285</v>
      </c>
      <c r="AX473" s="2" t="str">
        <f>HYPERLINK("http://exon.niaid.nih.gov/transcriptome/Anopheles_sialome/links/CDD/anoga_SG1-CDD.txt","DAP_dppA")</f>
        <v>DAP_dppA</v>
      </c>
      <c r="AY473" t="str">
        <f>HYPERLINK("http://www.ncbi.nlm.nih.gov/Structure/cdd/cddsrv.cgi?uid=cd00281&amp;version=v4.0","0.90")</f>
        <v>0.90</v>
      </c>
      <c r="AZ473" t="s">
        <v>2859</v>
      </c>
      <c r="BA473" s="2" t="str">
        <f>HYPERLINK("http://exon.niaid.nih.gov/transcriptome/Anopheles_sialome/links/KOG/anoga_SG1-KOG.txt","Putative GTPase activating proteins (GAPs)")</f>
        <v>Putative GTPase activating proteins (GAPs)</v>
      </c>
      <c r="BB473" t="str">
        <f>HYPERLINK("http://www.ncbi.nlm.nih.gov/Structure/cdd/cddsrv.cgi?uid=KOG0521","1.2")</f>
        <v>1.2</v>
      </c>
      <c r="BC473" t="s">
        <v>2292</v>
      </c>
      <c r="BD473" t="str">
        <f>HYPERLINK("http://exon.niaid.nih.gov/transcriptome/Anopheles_sialome/links/KOG/anoga_SG1-KOG.txt","KOG0521")</f>
        <v>KOG0521</v>
      </c>
      <c r="BE473" t="str">
        <f>HYPERLINK("http://exon.niaid.nih.gov/transcriptome/Anopheles_sialome/links/PFAM/anoga_SG1-PFAM.txt","Tox-ART-HYD1")</f>
        <v>Tox-ART-HYD1</v>
      </c>
      <c r="BF473" t="str">
        <f>HYPERLINK("http://pfam.sanger.ac.uk/family?acc=PF15633","1.0")</f>
        <v>1.0</v>
      </c>
      <c r="BG473" s="2" t="str">
        <f>HYPERLINK("http://exon.niaid.nih.gov/transcriptome/Anopheles_sialome/links/SMART/anoga_SG1-SMART.txt","DM14")</f>
        <v>DM14</v>
      </c>
      <c r="BH473" t="str">
        <f>HYPERLINK("http://smart.embl-heidelberg.de/smart/do_annotation.pl?DOMAIN=DM14&amp;BLAST=DUMMY","0.51")</f>
        <v>0.51</v>
      </c>
      <c r="BI473" t="str">
        <f>HYPERLINK("http://exon.niaid.nih.gov/transcriptome/Anopheles_sialome/links/TICK-BLOCKS/anoga_SG1-TICK-BLOCKS.txt","SG1_full |SG1_stringent_pattern |")</f>
        <v>SG1_full |SG1_stringent_pattern |</v>
      </c>
      <c r="BJ473" s="2" t="s">
        <v>2423</v>
      </c>
      <c r="BK473" t="s">
        <v>1726</v>
      </c>
      <c r="BL473">
        <f>HYPERLINK("http://exon.niaid.nih.gov/transcriptome/Anopheles_sialome/links/cluster-b/anopheline-sialome-cds-pep-larger-orf25-50SimCLU3.txt", 3)</f>
        <v>3</v>
      </c>
      <c r="BM473">
        <f>HYPERLINK("http://exon.niaid.nih.gov/transcriptome/Anopheles_sialome/links/cluster-b/anopheline-sialome-cds-pep-larger-orf25-50SimCLTL3.txt", 119)</f>
        <v>119</v>
      </c>
      <c r="BN473">
        <f>HYPERLINK("http://exon.niaid.nih.gov/transcriptome/Anopheles_sialome/links/cluster-b/anopheline-sialome-cds-pep-larger-orf30-50SimCLU3.txt", 3)</f>
        <v>3</v>
      </c>
      <c r="BO473">
        <f>HYPERLINK("http://exon.niaid.nih.gov/transcriptome/Anopheles_sialome/links/cluster-b/anopheline-sialome-cds-pep-larger-orf30-50SimCLTL3.txt", 119)</f>
        <v>119</v>
      </c>
      <c r="BP473">
        <f>HYPERLINK("http://exon.niaid.nih.gov/transcriptome/Anopheles_sialome/links/cluster-b/anopheline-sialome-cds-pep-larger-orf35-50SimCLU2.txt", 2)</f>
        <v>2</v>
      </c>
      <c r="BQ473">
        <f>HYPERLINK("http://exon.niaid.nih.gov/transcriptome/Anopheles_sialome/links/cluster-b/anopheline-sialome-cds-pep-larger-orf35-50SimCLTL2.txt", 119)</f>
        <v>119</v>
      </c>
      <c r="BR473">
        <f>HYPERLINK("http://exon.niaid.nih.gov/transcriptome/Anopheles_sialome/links/cluster-b/anopheline-sialome-cds-pep-larger-orf40-50SimCLU1.txt", 1)</f>
        <v>1</v>
      </c>
      <c r="BS473">
        <f>HYPERLINK("http://exon.niaid.nih.gov/transcriptome/Anopheles_sialome/links/cluster-b/anopheline-sialome-cds-pep-larger-orf40-50SimCLTL1.txt", 119)</f>
        <v>119</v>
      </c>
      <c r="BT473">
        <f>HYPERLINK("http://exon.niaid.nih.gov/transcriptome/Anopheles_sialome/links/cluster-b/anopheline-sialome-cds-pep-larger-orf45-50SimCLU3.txt", 3)</f>
        <v>3</v>
      </c>
      <c r="BU473">
        <f>HYPERLINK("http://exon.niaid.nih.gov/transcriptome/Anopheles_sialome/links/cluster-b/anopheline-sialome-cds-pep-larger-orf45-50SimCLTL3.txt", 65)</f>
        <v>65</v>
      </c>
      <c r="BV473">
        <f>HYPERLINK("http://exon.niaid.nih.gov/transcriptome/Anopheles_sialome/links/cluster-b/anopheline-sialome-cds-pep-larger-orf50-50SimCLU3.txt", 3)</f>
        <v>3</v>
      </c>
      <c r="BW473">
        <f>HYPERLINK("http://exon.niaid.nih.gov/transcriptome/Anopheles_sialome/links/cluster-b/anopheline-sialome-cds-pep-larger-orf50-50SimCLTL3.txt", 48)</f>
        <v>48</v>
      </c>
      <c r="BX473">
        <f>HYPERLINK("http://exon.niaid.nih.gov/transcriptome/Anopheles_sialome/links/cluster-b/anopheline-sialome-cds-pep-larger-orf55-50SimCLU3.txt", 3)</f>
        <v>3</v>
      </c>
      <c r="BY473">
        <f>HYPERLINK("http://exon.niaid.nih.gov/transcriptome/Anopheles_sialome/links/cluster-b/anopheline-sialome-cds-pep-larger-orf55-50SimCLTL3.txt", 47)</f>
        <v>47</v>
      </c>
      <c r="BZ473">
        <f>HYPERLINK("http://exon.niaid.nih.gov/transcriptome/Anopheles_sialome/links/cluster-b/anopheline-sialome-cds-pep-larger-orf60-50SimCLU22.txt", 22)</f>
        <v>22</v>
      </c>
      <c r="CA473">
        <f>HYPERLINK("http://exon.niaid.nih.gov/transcriptome/Anopheles_sialome/links/cluster-b/anopheline-sialome-cds-pep-larger-orf60-50SimCLTL22.txt", 17)</f>
        <v>17</v>
      </c>
      <c r="CB473">
        <f>HYPERLINK("http://exon.niaid.nih.gov/transcriptome/Anopheles_sialome/links/cluster-b/anopheline-sialome-cds-pep-larger-orf65-50SimCLU28.txt", 28)</f>
        <v>28</v>
      </c>
      <c r="CC473">
        <f>HYPERLINK("http://exon.niaid.nih.gov/transcriptome/Anopheles_sialome/links/cluster-b/anopheline-sialome-cds-pep-larger-orf65-50SimCLTL28.txt", 15)</f>
        <v>15</v>
      </c>
      <c r="CD473">
        <f>HYPERLINK("http://exon.niaid.nih.gov/transcriptome/Anopheles_sialome/links/cluster-b/anopheline-sialome-cds-pep-larger-orf70-50SimCLU25.txt", 25)</f>
        <v>25</v>
      </c>
      <c r="CE473">
        <f>HYPERLINK("http://exon.niaid.nih.gov/transcriptome/Anopheles_sialome/links/cluster-b/anopheline-sialome-cds-pep-larger-orf70-50SimCLTL25.txt", 15)</f>
        <v>15</v>
      </c>
      <c r="CF473">
        <f>HYPERLINK("http://exon.niaid.nih.gov/transcriptome/Anopheles_sialome/links/cluster-b/anopheline-sialome-cds-pep-larger-orf75-50SimCLU25.txt", 25)</f>
        <v>25</v>
      </c>
      <c r="CG473">
        <f>HYPERLINK("http://exon.niaid.nih.gov/transcriptome/Anopheles_sialome/links/cluster-b/anopheline-sialome-cds-pep-larger-orf75-50SimCLTL25.txt", 13)</f>
        <v>13</v>
      </c>
      <c r="CH473">
        <f>HYPERLINK("http://exon.niaid.nih.gov/transcriptome/Anopheles_sialome/links/cluster-b/anopheline-sialome-cds-pep-larger-orf80-50SimCLU32.txt", 32)</f>
        <v>32</v>
      </c>
      <c r="CI473">
        <f>HYPERLINK("http://exon.niaid.nih.gov/transcriptome/Anopheles_sialome/links/cluster-b/anopheline-sialome-cds-pep-larger-orf80-50SimCLTL32.txt", 7)</f>
        <v>7</v>
      </c>
      <c r="CJ473">
        <f>HYPERLINK("http://exon.niaid.nih.gov/transcriptome/Anopheles_sialome/links/cluster-b/anopheline-sialome-cds-pep-larger-orf85-50SimCLU41.txt", 41)</f>
        <v>41</v>
      </c>
      <c r="CK473">
        <f>HYPERLINK("http://exon.niaid.nih.gov/transcriptome/Anopheles_sialome/links/cluster-b/anopheline-sialome-cds-pep-larger-orf85-50SimCLTL41.txt", 6)</f>
        <v>6</v>
      </c>
      <c r="CL473">
        <f>HYPERLINK("http://exon.niaid.nih.gov/transcriptome/Anopheles_sialome/links/cluster-b/anopheline-sialome-cds-pep-larger-orf90-50SimCLU32.txt", 32)</f>
        <v>32</v>
      </c>
      <c r="CM473">
        <f>HYPERLINK("http://exon.niaid.nih.gov/transcriptome/Anopheles_sialome/links/cluster-b/anopheline-sialome-cds-pep-larger-orf90-50SimCLTL32.txt", 6)</f>
        <v>6</v>
      </c>
      <c r="CN473">
        <f>HYPERLINK("http://exon.niaid.nih.gov/transcriptome/Anopheles_sialome/links/cluster-b/anopheline-sialome-cds-pep-larger-orf95-50SimCLU23.txt", 23)</f>
        <v>23</v>
      </c>
      <c r="CO473">
        <f>HYPERLINK("http://exon.niaid.nih.gov/transcriptome/Anopheles_sialome/links/cluster-b/anopheline-sialome-cds-pep-larger-orf95-50SimCLTL23.txt", 6)</f>
        <v>6</v>
      </c>
    </row>
    <row r="474" spans="1:93">
      <c r="A474" s="2" t="str">
        <f>HYPERLINK("http://exon.niaid.nih.gov/transcriptome/Anopheles_sialome/links/cds/anocol_SG1-cds.txt","anocol_SG1")</f>
        <v>anocol_SG1</v>
      </c>
      <c r="B474">
        <v>1206</v>
      </c>
      <c r="C474" t="s">
        <v>419</v>
      </c>
      <c r="D474" t="s">
        <v>4</v>
      </c>
      <c r="E474" t="s">
        <v>5</v>
      </c>
      <c r="F474" t="s">
        <v>1</v>
      </c>
      <c r="G474" t="str">
        <f>HYPERLINK("http://exon.niaid.nih.gov/transcriptome/Anopheles_sialome/links/pep/anocol_SG1-pep.txt","anocol_SG1")</f>
        <v>anocol_SG1</v>
      </c>
      <c r="H474">
        <v>401</v>
      </c>
      <c r="I474">
        <v>0</v>
      </c>
      <c r="J474" s="3" t="str">
        <f>HYPERLINK("http://exon.niaid.nih.gov/transcriptome/Anopheles_sialome/links/Sigp/anocol_SG1-SigP.txt","SIG")</f>
        <v>SIG</v>
      </c>
      <c r="K474" t="s">
        <v>925</v>
      </c>
      <c r="L474">
        <v>46.13</v>
      </c>
      <c r="M474">
        <v>8.4</v>
      </c>
      <c r="N474">
        <v>44.203000000000003</v>
      </c>
      <c r="O474">
        <v>8.2200000000000006</v>
      </c>
      <c r="P474" t="s">
        <v>1727</v>
      </c>
      <c r="Q474" s="3">
        <v>0</v>
      </c>
      <c r="R474" t="s">
        <v>128</v>
      </c>
      <c r="S474" t="s">
        <v>128</v>
      </c>
      <c r="T474" t="s">
        <v>128</v>
      </c>
      <c r="U474" t="s">
        <v>128</v>
      </c>
      <c r="V474" t="s">
        <v>128</v>
      </c>
      <c r="W474" s="3" t="str">
        <f>HYPERLINK("http://exon.niaid.nih.gov/transcriptome/Anopheles_sialome/links/netoglyc/anocol_SG1-netoglyc.txt","0")</f>
        <v>0</v>
      </c>
      <c r="X474">
        <v>10</v>
      </c>
      <c r="Y474">
        <v>3.5</v>
      </c>
      <c r="Z474">
        <v>3.5</v>
      </c>
      <c r="AA474" t="s">
        <v>654</v>
      </c>
      <c r="AB474" t="s">
        <v>128</v>
      </c>
      <c r="AC474" s="2" t="str">
        <f>HYPERLINK("http://exon.niaid.nih.gov/transcriptome/Anopheles_sialome/links/DIPTERA/anocol_SG1-DIPTERA.txt","AGAP000612-PA")</f>
        <v>AGAP000612-PA</v>
      </c>
      <c r="AD474" t="str">
        <f t="shared" si="159"/>
        <v>0.0</v>
      </c>
      <c r="AE474" t="str">
        <f t="shared" si="160"/>
        <v>gi|21294374</v>
      </c>
      <c r="AF474">
        <v>99</v>
      </c>
      <c r="AG474">
        <v>99</v>
      </c>
      <c r="AH474">
        <v>100</v>
      </c>
      <c r="AI474" t="s">
        <v>2285</v>
      </c>
      <c r="AJ474" s="2" t="str">
        <f>HYPERLINK("http://exon.niaid.nih.gov/transcriptome/Anopheles_sialome/links/CULICOMORPHA/anocol_SG1-CULICOMORPHA.txt","AGAP000612-PA")</f>
        <v>AGAP000612-PA</v>
      </c>
      <c r="AK474" t="str">
        <f t="shared" si="161"/>
        <v>0.0</v>
      </c>
      <c r="AL474" t="str">
        <f t="shared" si="162"/>
        <v>gi|21294374</v>
      </c>
      <c r="AM474">
        <v>99</v>
      </c>
      <c r="AN474">
        <v>99</v>
      </c>
      <c r="AO474">
        <v>100</v>
      </c>
      <c r="AP474" t="s">
        <v>2285</v>
      </c>
      <c r="AQ474" s="2" t="str">
        <f>HYPERLINK("http://exon.niaid.nih.gov/transcriptome/Anopheles_sialome/links/NR-LIGHT/anocol_SG1-NR-LIGHT.txt","AGAP000612-PA")</f>
        <v>AGAP000612-PA</v>
      </c>
      <c r="AR474" t="str">
        <f t="shared" si="163"/>
        <v>0.0</v>
      </c>
      <c r="AS474" t="str">
        <f t="shared" si="164"/>
        <v>gi|31203041</v>
      </c>
      <c r="AT474">
        <v>99</v>
      </c>
      <c r="AU474">
        <v>99</v>
      </c>
      <c r="AV474">
        <v>100</v>
      </c>
      <c r="AW474" t="s">
        <v>2285</v>
      </c>
      <c r="AX474" s="2" t="str">
        <f>HYPERLINK("http://exon.niaid.nih.gov/transcriptome/Anopheles_sialome/links/CDD/anocol_SG1-CDD.txt","DAP_dppA")</f>
        <v>DAP_dppA</v>
      </c>
      <c r="AY474" t="str">
        <f>HYPERLINK("http://www.ncbi.nlm.nih.gov/Structure/cdd/cddsrv.cgi?uid=cd00281&amp;version=v4.0","0.90")</f>
        <v>0.90</v>
      </c>
      <c r="AZ474" t="s">
        <v>2860</v>
      </c>
      <c r="BA474" s="2" t="str">
        <f>HYPERLINK("http://exon.niaid.nih.gov/transcriptome/Anopheles_sialome/links/KOG/anocol_SG1-KOG.txt","Putative GTPase activating proteins (GAPs)")</f>
        <v>Putative GTPase activating proteins (GAPs)</v>
      </c>
      <c r="BB474" t="str">
        <f>HYPERLINK("http://www.ncbi.nlm.nih.gov/Structure/cdd/cddsrv.cgi?uid=KOG0521","1.2")</f>
        <v>1.2</v>
      </c>
      <c r="BC474" t="s">
        <v>2292</v>
      </c>
      <c r="BD474" t="str">
        <f>HYPERLINK("http://exon.niaid.nih.gov/transcriptome/Anopheles_sialome/links/KOG/anocol_SG1-KOG.txt","KOG0521")</f>
        <v>KOG0521</v>
      </c>
      <c r="BE474" t="str">
        <f>HYPERLINK("http://exon.niaid.nih.gov/transcriptome/Anopheles_sialome/links/PFAM/anocol_SG1-PFAM.txt","Tox-ART-HYD1")</f>
        <v>Tox-ART-HYD1</v>
      </c>
      <c r="BF474" t="str">
        <f>HYPERLINK("http://pfam.sanger.ac.uk/family?acc=PF15633","1.0")</f>
        <v>1.0</v>
      </c>
      <c r="BG474" s="2" t="str">
        <f>HYPERLINK("http://exon.niaid.nih.gov/transcriptome/Anopheles_sialome/links/SMART/anocol_SG1-SMART.txt","DM14")</f>
        <v>DM14</v>
      </c>
      <c r="BH474" t="str">
        <f>HYPERLINK("http://smart.embl-heidelberg.de/smart/do_annotation.pl?DOMAIN=DM14&amp;BLAST=DUMMY","0.54")</f>
        <v>0.54</v>
      </c>
      <c r="BI474" t="str">
        <f>HYPERLINK("http://exon.niaid.nih.gov/transcriptome/Anopheles_sialome/links/TICK-BLOCKS/anocol_SG1-TICK-BLOCKS.txt","SG1_full |SG1_stringent_pattern |")</f>
        <v>SG1_full |SG1_stringent_pattern |</v>
      </c>
      <c r="BJ474" s="2" t="s">
        <v>2423</v>
      </c>
      <c r="BK474" t="s">
        <v>1728</v>
      </c>
      <c r="BL474">
        <f>HYPERLINK("http://exon.niaid.nih.gov/transcriptome/Anopheles_sialome/links/cluster-b/anopheline-sialome-cds-pep-larger-orf25-50SimCLU3.txt", 3)</f>
        <v>3</v>
      </c>
      <c r="BM474">
        <f>HYPERLINK("http://exon.niaid.nih.gov/transcriptome/Anopheles_sialome/links/cluster-b/anopheline-sialome-cds-pep-larger-orf25-50SimCLTL3.txt", 119)</f>
        <v>119</v>
      </c>
      <c r="BN474">
        <f>HYPERLINK("http://exon.niaid.nih.gov/transcriptome/Anopheles_sialome/links/cluster-b/anopheline-sialome-cds-pep-larger-orf30-50SimCLU3.txt", 3)</f>
        <v>3</v>
      </c>
      <c r="BO474">
        <f>HYPERLINK("http://exon.niaid.nih.gov/transcriptome/Anopheles_sialome/links/cluster-b/anopheline-sialome-cds-pep-larger-orf30-50SimCLTL3.txt", 119)</f>
        <v>119</v>
      </c>
      <c r="BP474">
        <f>HYPERLINK("http://exon.niaid.nih.gov/transcriptome/Anopheles_sialome/links/cluster-b/anopheline-sialome-cds-pep-larger-orf35-50SimCLU2.txt", 2)</f>
        <v>2</v>
      </c>
      <c r="BQ474">
        <f>HYPERLINK("http://exon.niaid.nih.gov/transcriptome/Anopheles_sialome/links/cluster-b/anopheline-sialome-cds-pep-larger-orf35-50SimCLTL2.txt", 119)</f>
        <v>119</v>
      </c>
      <c r="BR474">
        <f>HYPERLINK("http://exon.niaid.nih.gov/transcriptome/Anopheles_sialome/links/cluster-b/anopheline-sialome-cds-pep-larger-orf40-50SimCLU1.txt", 1)</f>
        <v>1</v>
      </c>
      <c r="BS474">
        <f>HYPERLINK("http://exon.niaid.nih.gov/transcriptome/Anopheles_sialome/links/cluster-b/anopheline-sialome-cds-pep-larger-orf40-50SimCLTL1.txt", 119)</f>
        <v>119</v>
      </c>
      <c r="BT474">
        <f>HYPERLINK("http://exon.niaid.nih.gov/transcriptome/Anopheles_sialome/links/cluster-b/anopheline-sialome-cds-pep-larger-orf45-50SimCLU3.txt", 3)</f>
        <v>3</v>
      </c>
      <c r="BU474">
        <f>HYPERLINK("http://exon.niaid.nih.gov/transcriptome/Anopheles_sialome/links/cluster-b/anopheline-sialome-cds-pep-larger-orf45-50SimCLTL3.txt", 65)</f>
        <v>65</v>
      </c>
      <c r="BV474">
        <f>HYPERLINK("http://exon.niaid.nih.gov/transcriptome/Anopheles_sialome/links/cluster-b/anopheline-sialome-cds-pep-larger-orf50-50SimCLU3.txt", 3)</f>
        <v>3</v>
      </c>
      <c r="BW474">
        <f>HYPERLINK("http://exon.niaid.nih.gov/transcriptome/Anopheles_sialome/links/cluster-b/anopheline-sialome-cds-pep-larger-orf50-50SimCLTL3.txt", 48)</f>
        <v>48</v>
      </c>
      <c r="BX474">
        <f>HYPERLINK("http://exon.niaid.nih.gov/transcriptome/Anopheles_sialome/links/cluster-b/anopheline-sialome-cds-pep-larger-orf55-50SimCLU3.txt", 3)</f>
        <v>3</v>
      </c>
      <c r="BY474">
        <f>HYPERLINK("http://exon.niaid.nih.gov/transcriptome/Anopheles_sialome/links/cluster-b/anopheline-sialome-cds-pep-larger-orf55-50SimCLTL3.txt", 47)</f>
        <v>47</v>
      </c>
      <c r="BZ474">
        <f>HYPERLINK("http://exon.niaid.nih.gov/transcriptome/Anopheles_sialome/links/cluster-b/anopheline-sialome-cds-pep-larger-orf60-50SimCLU22.txt", 22)</f>
        <v>22</v>
      </c>
      <c r="CA474">
        <f>HYPERLINK("http://exon.niaid.nih.gov/transcriptome/Anopheles_sialome/links/cluster-b/anopheline-sialome-cds-pep-larger-orf60-50SimCLTL22.txt", 17)</f>
        <v>17</v>
      </c>
      <c r="CB474">
        <f>HYPERLINK("http://exon.niaid.nih.gov/transcriptome/Anopheles_sialome/links/cluster-b/anopheline-sialome-cds-pep-larger-orf65-50SimCLU28.txt", 28)</f>
        <v>28</v>
      </c>
      <c r="CC474">
        <f>HYPERLINK("http://exon.niaid.nih.gov/transcriptome/Anopheles_sialome/links/cluster-b/anopheline-sialome-cds-pep-larger-orf65-50SimCLTL28.txt", 15)</f>
        <v>15</v>
      </c>
      <c r="CD474">
        <f>HYPERLINK("http://exon.niaid.nih.gov/transcriptome/Anopheles_sialome/links/cluster-b/anopheline-sialome-cds-pep-larger-orf70-50SimCLU25.txt", 25)</f>
        <v>25</v>
      </c>
      <c r="CE474">
        <f>HYPERLINK("http://exon.niaid.nih.gov/transcriptome/Anopheles_sialome/links/cluster-b/anopheline-sialome-cds-pep-larger-orf70-50SimCLTL25.txt", 15)</f>
        <v>15</v>
      </c>
      <c r="CF474">
        <f>HYPERLINK("http://exon.niaid.nih.gov/transcriptome/Anopheles_sialome/links/cluster-b/anopheline-sialome-cds-pep-larger-orf75-50SimCLU25.txt", 25)</f>
        <v>25</v>
      </c>
      <c r="CG474">
        <f>HYPERLINK("http://exon.niaid.nih.gov/transcriptome/Anopheles_sialome/links/cluster-b/anopheline-sialome-cds-pep-larger-orf75-50SimCLTL25.txt", 13)</f>
        <v>13</v>
      </c>
      <c r="CH474">
        <f>HYPERLINK("http://exon.niaid.nih.gov/transcriptome/Anopheles_sialome/links/cluster-b/anopheline-sialome-cds-pep-larger-orf80-50SimCLU32.txt", 32)</f>
        <v>32</v>
      </c>
      <c r="CI474">
        <f>HYPERLINK("http://exon.niaid.nih.gov/transcriptome/Anopheles_sialome/links/cluster-b/anopheline-sialome-cds-pep-larger-orf80-50SimCLTL32.txt", 7)</f>
        <v>7</v>
      </c>
      <c r="CJ474">
        <f>HYPERLINK("http://exon.niaid.nih.gov/transcriptome/Anopheles_sialome/links/cluster-b/anopheline-sialome-cds-pep-larger-orf85-50SimCLU41.txt", 41)</f>
        <v>41</v>
      </c>
      <c r="CK474">
        <f>HYPERLINK("http://exon.niaid.nih.gov/transcriptome/Anopheles_sialome/links/cluster-b/anopheline-sialome-cds-pep-larger-orf85-50SimCLTL41.txt", 6)</f>
        <v>6</v>
      </c>
      <c r="CL474">
        <f>HYPERLINK("http://exon.niaid.nih.gov/transcriptome/Anopheles_sialome/links/cluster-b/anopheline-sialome-cds-pep-larger-orf90-50SimCLU32.txt", 32)</f>
        <v>32</v>
      </c>
      <c r="CM474">
        <f>HYPERLINK("http://exon.niaid.nih.gov/transcriptome/Anopheles_sialome/links/cluster-b/anopheline-sialome-cds-pep-larger-orf90-50SimCLTL32.txt", 6)</f>
        <v>6</v>
      </c>
      <c r="CN474">
        <f>HYPERLINK("http://exon.niaid.nih.gov/transcriptome/Anopheles_sialome/links/cluster-b/anopheline-sialome-cds-pep-larger-orf95-50SimCLU23.txt", 23)</f>
        <v>23</v>
      </c>
      <c r="CO474">
        <f>HYPERLINK("http://exon.niaid.nih.gov/transcriptome/Anopheles_sialome/links/cluster-b/anopheline-sialome-cds-pep-larger-orf95-50SimCLTL23.txt", 6)</f>
        <v>6</v>
      </c>
    </row>
    <row r="475" spans="1:93">
      <c r="A475" s="2" t="str">
        <f>HYPERLINK("http://exon.niaid.nih.gov/transcriptome/Anopheles_sialome/links/cds/anoara_SG1-cds.txt","anoara_SG1")</f>
        <v>anoara_SG1</v>
      </c>
      <c r="B475">
        <v>1206</v>
      </c>
      <c r="C475" t="s">
        <v>420</v>
      </c>
      <c r="D475" t="s">
        <v>7</v>
      </c>
      <c r="E475" t="s">
        <v>5</v>
      </c>
      <c r="F475" t="s">
        <v>1</v>
      </c>
      <c r="G475" t="str">
        <f>HYPERLINK("http://exon.niaid.nih.gov/transcriptome/Anopheles_sialome/links/pep/anoara_SG1-pep.txt","anoara_SG1")</f>
        <v>anoara_SG1</v>
      </c>
      <c r="H475">
        <v>401</v>
      </c>
      <c r="I475">
        <v>1</v>
      </c>
      <c r="J475" s="3" t="str">
        <f>HYPERLINK("http://exon.niaid.nih.gov/transcriptome/Anopheles_sialome/links/Sigp/anoara_SG1-SigP.txt","SIG")</f>
        <v>SIG</v>
      </c>
      <c r="K475" t="s">
        <v>925</v>
      </c>
      <c r="L475">
        <v>46.222999999999999</v>
      </c>
      <c r="M475">
        <v>8.58</v>
      </c>
      <c r="N475">
        <v>44.29</v>
      </c>
      <c r="O475">
        <v>8.4600000000000009</v>
      </c>
      <c r="P475" t="s">
        <v>1730</v>
      </c>
      <c r="Q475" s="3">
        <v>0</v>
      </c>
      <c r="R475" t="s">
        <v>128</v>
      </c>
      <c r="S475" t="s">
        <v>128</v>
      </c>
      <c r="T475" t="s">
        <v>128</v>
      </c>
      <c r="U475" t="s">
        <v>128</v>
      </c>
      <c r="V475" t="s">
        <v>128</v>
      </c>
      <c r="W475" s="3" t="str">
        <f>HYPERLINK("http://exon.niaid.nih.gov/transcriptome/Anopheles_sialome/links/netoglyc/anoara_SG1-netoglyc.txt","0")</f>
        <v>0</v>
      </c>
      <c r="X475">
        <v>9.5</v>
      </c>
      <c r="Y475">
        <v>3.5</v>
      </c>
      <c r="Z475">
        <v>3.5</v>
      </c>
      <c r="AA475" t="s">
        <v>654</v>
      </c>
      <c r="AB475" t="s">
        <v>128</v>
      </c>
      <c r="AC475" s="2" t="str">
        <f>HYPERLINK("http://exon.niaid.nih.gov/transcriptome/Anopheles_sialome/links/DIPTERA/anoara_SG1-DIPTERA.txt","AGAP000612-PA")</f>
        <v>AGAP000612-PA</v>
      </c>
      <c r="AD475" t="str">
        <f t="shared" si="159"/>
        <v>0.0</v>
      </c>
      <c r="AE475" t="str">
        <f t="shared" si="160"/>
        <v>gi|21294374</v>
      </c>
      <c r="AF475">
        <v>94</v>
      </c>
      <c r="AG475">
        <v>96</v>
      </c>
      <c r="AH475">
        <v>100</v>
      </c>
      <c r="AI475" t="s">
        <v>2285</v>
      </c>
      <c r="AJ475" s="2" t="str">
        <f>HYPERLINK("http://exon.niaid.nih.gov/transcriptome/Anopheles_sialome/links/CULICOMORPHA/anoara_SG1-CULICOMORPHA.txt","AGAP000612-PA")</f>
        <v>AGAP000612-PA</v>
      </c>
      <c r="AK475" t="str">
        <f t="shared" si="161"/>
        <v>0.0</v>
      </c>
      <c r="AL475" t="str">
        <f t="shared" si="162"/>
        <v>gi|21294374</v>
      </c>
      <c r="AM475">
        <v>94</v>
      </c>
      <c r="AN475">
        <v>96</v>
      </c>
      <c r="AO475">
        <v>100</v>
      </c>
      <c r="AP475" t="s">
        <v>2285</v>
      </c>
      <c r="AQ475" s="2" t="str">
        <f>HYPERLINK("http://exon.niaid.nih.gov/transcriptome/Anopheles_sialome/links/NR-LIGHT/anoara_SG1-NR-LIGHT.txt","AGAP000612-PA")</f>
        <v>AGAP000612-PA</v>
      </c>
      <c r="AR475" t="str">
        <f t="shared" si="163"/>
        <v>0.0</v>
      </c>
      <c r="AS475" t="str">
        <f t="shared" si="164"/>
        <v>gi|31203041</v>
      </c>
      <c r="AT475">
        <v>94</v>
      </c>
      <c r="AU475">
        <v>96</v>
      </c>
      <c r="AV475">
        <v>100</v>
      </c>
      <c r="AW475" t="s">
        <v>2285</v>
      </c>
      <c r="AX475" s="2" t="str">
        <f>HYPERLINK("http://exon.niaid.nih.gov/transcriptome/Anopheles_sialome/links/CDD/anoara_SG1-CDD.txt","PRK07994")</f>
        <v>PRK07994</v>
      </c>
      <c r="AY475" t="str">
        <f>HYPERLINK("http://www.ncbi.nlm.nih.gov/Structure/cdd/cddsrv.cgi?uid=PRK07994&amp;version=v4.0","0.49")</f>
        <v>0.49</v>
      </c>
      <c r="AZ475" t="s">
        <v>2861</v>
      </c>
      <c r="BA475" s="2" t="str">
        <f>HYPERLINK("http://exon.niaid.nih.gov/transcriptome/Anopheles_sialome/links/KOG/anoara_SG1-KOG.txt","Predicted Ca2+-dependent phospholipid-binding protein")</f>
        <v>Predicted Ca2+-dependent phospholipid-binding protein</v>
      </c>
      <c r="BB475" t="str">
        <f>HYPERLINK("http://www.ncbi.nlm.nih.gov/Structure/cdd/cddsrv.cgi?uid=KOG1031","0.25")</f>
        <v>0.25</v>
      </c>
      <c r="BC475" t="s">
        <v>2310</v>
      </c>
      <c r="BD475" t="str">
        <f>HYPERLINK("http://exon.niaid.nih.gov/transcriptome/Anopheles_sialome/links/KOG/anoara_SG1-KOG.txt","KOG1031")</f>
        <v>KOG1031</v>
      </c>
      <c r="BE475" t="str">
        <f>HYPERLINK("http://exon.niaid.nih.gov/transcriptome/Anopheles_sialome/links/PFAM/anoara_SG1-PFAM.txt","DUF3584")</f>
        <v>DUF3584</v>
      </c>
      <c r="BF475" t="str">
        <f>HYPERLINK("http://pfam.sanger.ac.uk/family?acc=PF12128","0.69")</f>
        <v>0.69</v>
      </c>
      <c r="BG475" s="2" t="str">
        <f>HYPERLINK("http://exon.niaid.nih.gov/transcriptome/Anopheles_sialome/links/SMART/anoara_SG1-SMART.txt","LPD_N")</f>
        <v>LPD_N</v>
      </c>
      <c r="BH475" t="str">
        <f>HYPERLINK("http://smart.embl-heidelberg.de/smart/do_annotation.pl?DOMAIN=LPD_N&amp;BLAST=DUMMY","0.22")</f>
        <v>0.22</v>
      </c>
      <c r="BI475" t="str">
        <f>HYPERLINK("http://exon.niaid.nih.gov/transcriptome/Anopheles_sialome/links/TICK-BLOCKS/anoara_SG1-TICK-BLOCKS.txt","SG1_full |SG1_stringent_pattern |")</f>
        <v>SG1_full |SG1_stringent_pattern |</v>
      </c>
      <c r="BJ475" s="2" t="s">
        <v>2423</v>
      </c>
      <c r="BK475" t="s">
        <v>1729</v>
      </c>
      <c r="BL475">
        <f>HYPERLINK("http://exon.niaid.nih.gov/transcriptome/Anopheles_sialome/links/cluster-b/anopheline-sialome-cds-pep-larger-orf25-50SimCLU3.txt", 3)</f>
        <v>3</v>
      </c>
      <c r="BM475">
        <f>HYPERLINK("http://exon.niaid.nih.gov/transcriptome/Anopheles_sialome/links/cluster-b/anopheline-sialome-cds-pep-larger-orf25-50SimCLTL3.txt", 119)</f>
        <v>119</v>
      </c>
      <c r="BN475">
        <f>HYPERLINK("http://exon.niaid.nih.gov/transcriptome/Anopheles_sialome/links/cluster-b/anopheline-sialome-cds-pep-larger-orf30-50SimCLU3.txt", 3)</f>
        <v>3</v>
      </c>
      <c r="BO475">
        <f>HYPERLINK("http://exon.niaid.nih.gov/transcriptome/Anopheles_sialome/links/cluster-b/anopheline-sialome-cds-pep-larger-orf30-50SimCLTL3.txt", 119)</f>
        <v>119</v>
      </c>
      <c r="BP475">
        <f>HYPERLINK("http://exon.niaid.nih.gov/transcriptome/Anopheles_sialome/links/cluster-b/anopheline-sialome-cds-pep-larger-orf35-50SimCLU2.txt", 2)</f>
        <v>2</v>
      </c>
      <c r="BQ475">
        <f>HYPERLINK("http://exon.niaid.nih.gov/transcriptome/Anopheles_sialome/links/cluster-b/anopheline-sialome-cds-pep-larger-orf35-50SimCLTL2.txt", 119)</f>
        <v>119</v>
      </c>
      <c r="BR475">
        <f>HYPERLINK("http://exon.niaid.nih.gov/transcriptome/Anopheles_sialome/links/cluster-b/anopheline-sialome-cds-pep-larger-orf40-50SimCLU1.txt", 1)</f>
        <v>1</v>
      </c>
      <c r="BS475">
        <f>HYPERLINK("http://exon.niaid.nih.gov/transcriptome/Anopheles_sialome/links/cluster-b/anopheline-sialome-cds-pep-larger-orf40-50SimCLTL1.txt", 119)</f>
        <v>119</v>
      </c>
      <c r="BT475">
        <f>HYPERLINK("http://exon.niaid.nih.gov/transcriptome/Anopheles_sialome/links/cluster-b/anopheline-sialome-cds-pep-larger-orf45-50SimCLU3.txt", 3)</f>
        <v>3</v>
      </c>
      <c r="BU475">
        <f>HYPERLINK("http://exon.niaid.nih.gov/transcriptome/Anopheles_sialome/links/cluster-b/anopheline-sialome-cds-pep-larger-orf45-50SimCLTL3.txt", 65)</f>
        <v>65</v>
      </c>
      <c r="BV475">
        <f>HYPERLINK("http://exon.niaid.nih.gov/transcriptome/Anopheles_sialome/links/cluster-b/anopheline-sialome-cds-pep-larger-orf50-50SimCLU3.txt", 3)</f>
        <v>3</v>
      </c>
      <c r="BW475">
        <f>HYPERLINK("http://exon.niaid.nih.gov/transcriptome/Anopheles_sialome/links/cluster-b/anopheline-sialome-cds-pep-larger-orf50-50SimCLTL3.txt", 48)</f>
        <v>48</v>
      </c>
      <c r="BX475">
        <f>HYPERLINK("http://exon.niaid.nih.gov/transcriptome/Anopheles_sialome/links/cluster-b/anopheline-sialome-cds-pep-larger-orf55-50SimCLU3.txt", 3)</f>
        <v>3</v>
      </c>
      <c r="BY475">
        <f>HYPERLINK("http://exon.niaid.nih.gov/transcriptome/Anopheles_sialome/links/cluster-b/anopheline-sialome-cds-pep-larger-orf55-50SimCLTL3.txt", 47)</f>
        <v>47</v>
      </c>
      <c r="BZ475">
        <f>HYPERLINK("http://exon.niaid.nih.gov/transcriptome/Anopheles_sialome/links/cluster-b/anopheline-sialome-cds-pep-larger-orf60-50SimCLU22.txt", 22)</f>
        <v>22</v>
      </c>
      <c r="CA475">
        <f>HYPERLINK("http://exon.niaid.nih.gov/transcriptome/Anopheles_sialome/links/cluster-b/anopheline-sialome-cds-pep-larger-orf60-50SimCLTL22.txt", 17)</f>
        <v>17</v>
      </c>
      <c r="CB475">
        <f>HYPERLINK("http://exon.niaid.nih.gov/transcriptome/Anopheles_sialome/links/cluster-b/anopheline-sialome-cds-pep-larger-orf65-50SimCLU28.txt", 28)</f>
        <v>28</v>
      </c>
      <c r="CC475">
        <f>HYPERLINK("http://exon.niaid.nih.gov/transcriptome/Anopheles_sialome/links/cluster-b/anopheline-sialome-cds-pep-larger-orf65-50SimCLTL28.txt", 15)</f>
        <v>15</v>
      </c>
      <c r="CD475">
        <f>HYPERLINK("http://exon.niaid.nih.gov/transcriptome/Anopheles_sialome/links/cluster-b/anopheline-sialome-cds-pep-larger-orf70-50SimCLU25.txt", 25)</f>
        <v>25</v>
      </c>
      <c r="CE475">
        <f>HYPERLINK("http://exon.niaid.nih.gov/transcriptome/Anopheles_sialome/links/cluster-b/anopheline-sialome-cds-pep-larger-orf70-50SimCLTL25.txt", 15)</f>
        <v>15</v>
      </c>
      <c r="CF475">
        <f>HYPERLINK("http://exon.niaid.nih.gov/transcriptome/Anopheles_sialome/links/cluster-b/anopheline-sialome-cds-pep-larger-orf75-50SimCLU25.txt", 25)</f>
        <v>25</v>
      </c>
      <c r="CG475">
        <f>HYPERLINK("http://exon.niaid.nih.gov/transcriptome/Anopheles_sialome/links/cluster-b/anopheline-sialome-cds-pep-larger-orf75-50SimCLTL25.txt", 13)</f>
        <v>13</v>
      </c>
      <c r="CH475">
        <f>HYPERLINK("http://exon.niaid.nih.gov/transcriptome/Anopheles_sialome/links/cluster-b/anopheline-sialome-cds-pep-larger-orf80-50SimCLU32.txt", 32)</f>
        <v>32</v>
      </c>
      <c r="CI475">
        <f>HYPERLINK("http://exon.niaid.nih.gov/transcriptome/Anopheles_sialome/links/cluster-b/anopheline-sialome-cds-pep-larger-orf80-50SimCLTL32.txt", 7)</f>
        <v>7</v>
      </c>
      <c r="CJ475">
        <f>HYPERLINK("http://exon.niaid.nih.gov/transcriptome/Anopheles_sialome/links/cluster-b/anopheline-sialome-cds-pep-larger-orf85-50SimCLU41.txt", 41)</f>
        <v>41</v>
      </c>
      <c r="CK475">
        <f>HYPERLINK("http://exon.niaid.nih.gov/transcriptome/Anopheles_sialome/links/cluster-b/anopheline-sialome-cds-pep-larger-orf85-50SimCLTL41.txt", 6)</f>
        <v>6</v>
      </c>
      <c r="CL475">
        <f>HYPERLINK("http://exon.niaid.nih.gov/transcriptome/Anopheles_sialome/links/cluster-b/anopheline-sialome-cds-pep-larger-orf90-50SimCLU32.txt", 32)</f>
        <v>32</v>
      </c>
      <c r="CM475">
        <f>HYPERLINK("http://exon.niaid.nih.gov/transcriptome/Anopheles_sialome/links/cluster-b/anopheline-sialome-cds-pep-larger-orf90-50SimCLTL32.txt", 6)</f>
        <v>6</v>
      </c>
      <c r="CN475">
        <f>HYPERLINK("http://exon.niaid.nih.gov/transcriptome/Anopheles_sialome/links/cluster-b/anopheline-sialome-cds-pep-larger-orf95-50SimCLU23.txt", 23)</f>
        <v>23</v>
      </c>
      <c r="CO475">
        <f>HYPERLINK("http://exon.niaid.nih.gov/transcriptome/Anopheles_sialome/links/cluster-b/anopheline-sialome-cds-pep-larger-orf95-50SimCLTL23.txt", 6)</f>
        <v>6</v>
      </c>
    </row>
    <row r="476" spans="1:93">
      <c r="A476" s="2" t="str">
        <f>HYPERLINK("http://exon.niaid.nih.gov/transcriptome/Anopheles_sialome/links/cds/anoqua_SG1-cds.txt","anoqua_SG1")</f>
        <v>anoqua_SG1</v>
      </c>
      <c r="B476">
        <v>1206</v>
      </c>
      <c r="C476" t="s">
        <v>421</v>
      </c>
      <c r="D476" t="s">
        <v>7</v>
      </c>
      <c r="E476" t="s">
        <v>5</v>
      </c>
      <c r="F476" t="s">
        <v>1</v>
      </c>
      <c r="G476" t="str">
        <f>HYPERLINK("http://exon.niaid.nih.gov/transcriptome/Anopheles_sialome/links/pep/anoqua_SG1-pep.txt","anoqua_SG1")</f>
        <v>anoqua_SG1</v>
      </c>
      <c r="H476">
        <v>401</v>
      </c>
      <c r="I476">
        <v>1</v>
      </c>
      <c r="J476" s="3" t="str">
        <f>HYPERLINK("http://exon.niaid.nih.gov/transcriptome/Anopheles_sialome/links/Sigp/anoqua_SG1-SigP.txt","SIG")</f>
        <v>SIG</v>
      </c>
      <c r="K476" t="s">
        <v>925</v>
      </c>
      <c r="L476">
        <v>45.997</v>
      </c>
      <c r="M476">
        <v>8.39</v>
      </c>
      <c r="N476">
        <v>44.098999999999997</v>
      </c>
      <c r="O476">
        <v>8.2100000000000009</v>
      </c>
      <c r="P476" t="s">
        <v>1732</v>
      </c>
      <c r="Q476" s="3">
        <v>0</v>
      </c>
      <c r="R476" t="s">
        <v>128</v>
      </c>
      <c r="S476" t="s">
        <v>128</v>
      </c>
      <c r="T476" t="s">
        <v>128</v>
      </c>
      <c r="U476" t="s">
        <v>128</v>
      </c>
      <c r="V476" t="s">
        <v>128</v>
      </c>
      <c r="W476" s="3" t="str">
        <f>HYPERLINK("http://exon.niaid.nih.gov/transcriptome/Anopheles_sialome/links/netoglyc/anoqua_SG1-netoglyc.txt","0")</f>
        <v>0</v>
      </c>
      <c r="X476">
        <v>9.6999999999999993</v>
      </c>
      <c r="Y476">
        <v>3.5</v>
      </c>
      <c r="Z476">
        <v>3.7</v>
      </c>
      <c r="AA476" t="s">
        <v>654</v>
      </c>
      <c r="AB476" t="s">
        <v>128</v>
      </c>
      <c r="AC476" s="2" t="str">
        <f>HYPERLINK("http://exon.niaid.nih.gov/transcriptome/Anopheles_sialome/links/DIPTERA/anoqua_SG1-DIPTERA.txt","AGAP000612-PA")</f>
        <v>AGAP000612-PA</v>
      </c>
      <c r="AD476" t="str">
        <f t="shared" si="159"/>
        <v>0.0</v>
      </c>
      <c r="AE476" t="str">
        <f t="shared" si="160"/>
        <v>gi|21294374</v>
      </c>
      <c r="AF476">
        <v>94</v>
      </c>
      <c r="AG476">
        <v>97</v>
      </c>
      <c r="AH476">
        <v>100</v>
      </c>
      <c r="AI476" t="s">
        <v>2285</v>
      </c>
      <c r="AJ476" s="2" t="str">
        <f>HYPERLINK("http://exon.niaid.nih.gov/transcriptome/Anopheles_sialome/links/CULICOMORPHA/anoqua_SG1-CULICOMORPHA.txt","AGAP000612-PA")</f>
        <v>AGAP000612-PA</v>
      </c>
      <c r="AK476" t="str">
        <f t="shared" si="161"/>
        <v>0.0</v>
      </c>
      <c r="AL476" t="str">
        <f t="shared" si="162"/>
        <v>gi|21294374</v>
      </c>
      <c r="AM476">
        <v>94</v>
      </c>
      <c r="AN476">
        <v>97</v>
      </c>
      <c r="AO476">
        <v>100</v>
      </c>
      <c r="AP476" t="s">
        <v>2285</v>
      </c>
      <c r="AQ476" s="2" t="str">
        <f>HYPERLINK("http://exon.niaid.nih.gov/transcriptome/Anopheles_sialome/links/NR-LIGHT/anoqua_SG1-NR-LIGHT.txt","AGAP000612-PA")</f>
        <v>AGAP000612-PA</v>
      </c>
      <c r="AR476" t="str">
        <f t="shared" si="163"/>
        <v>0.0</v>
      </c>
      <c r="AS476" t="str">
        <f t="shared" si="164"/>
        <v>gi|31203041</v>
      </c>
      <c r="AT476">
        <v>94</v>
      </c>
      <c r="AU476">
        <v>97</v>
      </c>
      <c r="AV476">
        <v>100</v>
      </c>
      <c r="AW476" t="s">
        <v>2285</v>
      </c>
      <c r="AX476" s="2" t="str">
        <f>HYPERLINK("http://exon.niaid.nih.gov/transcriptome/Anopheles_sialome/links/CDD/anoqua_SG1-CDD.txt","PRK13424")</f>
        <v>PRK13424</v>
      </c>
      <c r="AY476" t="str">
        <f>HYPERLINK("http://www.ncbi.nlm.nih.gov/Structure/cdd/cddsrv.cgi?uid=PRK13424&amp;version=v4.0","0.83")</f>
        <v>0.83</v>
      </c>
      <c r="AZ476" t="s">
        <v>2862</v>
      </c>
      <c r="BA476" s="2" t="str">
        <f>HYPERLINK("http://exon.niaid.nih.gov/transcriptome/Anopheles_sialome/links/KOG/anoqua_SG1-KOG.txt","Putative GTPase activating proteins (GAPs)")</f>
        <v>Putative GTPase activating proteins (GAPs)</v>
      </c>
      <c r="BB476" t="str">
        <f>HYPERLINK("http://www.ncbi.nlm.nih.gov/Structure/cdd/cddsrv.cgi?uid=KOG0521","0.96")</f>
        <v>0.96</v>
      </c>
      <c r="BC476" t="s">
        <v>2292</v>
      </c>
      <c r="BD476" t="str">
        <f>HYPERLINK("http://exon.niaid.nih.gov/transcriptome/Anopheles_sialome/links/KOG/anoqua_SG1-KOG.txt","KOG0521")</f>
        <v>KOG0521</v>
      </c>
      <c r="BE476" t="str">
        <f>HYPERLINK("http://exon.niaid.nih.gov/transcriptome/Anopheles_sialome/links/PFAM/anoqua_SG1-PFAM.txt","Tox-ART-HYD1")</f>
        <v>Tox-ART-HYD1</v>
      </c>
      <c r="BF476" t="str">
        <f>HYPERLINK("http://pfam.sanger.ac.uk/family?acc=PF15633","1.8")</f>
        <v>1.8</v>
      </c>
      <c r="BG476" s="2" t="str">
        <f>HYPERLINK("http://exon.niaid.nih.gov/transcriptome/Anopheles_sialome/links/SMART/anoqua_SG1-SMART.txt","LPD_N")</f>
        <v>LPD_N</v>
      </c>
      <c r="BH476" t="str">
        <f>HYPERLINK("http://smart.embl-heidelberg.de/smart/do_annotation.pl?DOMAIN=LPD_N&amp;BLAST=DUMMY","0.21")</f>
        <v>0.21</v>
      </c>
      <c r="BI476" t="str">
        <f>HYPERLINK("http://exon.niaid.nih.gov/transcriptome/Anopheles_sialome/links/TICK-BLOCKS/anoqua_SG1-TICK-BLOCKS.txt","SG1_full |SG1_stringent_pattern |")</f>
        <v>SG1_full |SG1_stringent_pattern |</v>
      </c>
      <c r="BJ476" s="2" t="s">
        <v>2423</v>
      </c>
      <c r="BK476" t="s">
        <v>1731</v>
      </c>
      <c r="BL476">
        <f>HYPERLINK("http://exon.niaid.nih.gov/transcriptome/Anopheles_sialome/links/cluster-b/anopheline-sialome-cds-pep-larger-orf25-50SimCLU3.txt", 3)</f>
        <v>3</v>
      </c>
      <c r="BM476">
        <f>HYPERLINK("http://exon.niaid.nih.gov/transcriptome/Anopheles_sialome/links/cluster-b/anopheline-sialome-cds-pep-larger-orf25-50SimCLTL3.txt", 119)</f>
        <v>119</v>
      </c>
      <c r="BN476">
        <f>HYPERLINK("http://exon.niaid.nih.gov/transcriptome/Anopheles_sialome/links/cluster-b/anopheline-sialome-cds-pep-larger-orf30-50SimCLU3.txt", 3)</f>
        <v>3</v>
      </c>
      <c r="BO476">
        <f>HYPERLINK("http://exon.niaid.nih.gov/transcriptome/Anopheles_sialome/links/cluster-b/anopheline-sialome-cds-pep-larger-orf30-50SimCLTL3.txt", 119)</f>
        <v>119</v>
      </c>
      <c r="BP476">
        <f>HYPERLINK("http://exon.niaid.nih.gov/transcriptome/Anopheles_sialome/links/cluster-b/anopheline-sialome-cds-pep-larger-orf35-50SimCLU2.txt", 2)</f>
        <v>2</v>
      </c>
      <c r="BQ476">
        <f>HYPERLINK("http://exon.niaid.nih.gov/transcriptome/Anopheles_sialome/links/cluster-b/anopheline-sialome-cds-pep-larger-orf35-50SimCLTL2.txt", 119)</f>
        <v>119</v>
      </c>
      <c r="BR476">
        <f>HYPERLINK("http://exon.niaid.nih.gov/transcriptome/Anopheles_sialome/links/cluster-b/anopheline-sialome-cds-pep-larger-orf40-50SimCLU1.txt", 1)</f>
        <v>1</v>
      </c>
      <c r="BS476">
        <f>HYPERLINK("http://exon.niaid.nih.gov/transcriptome/Anopheles_sialome/links/cluster-b/anopheline-sialome-cds-pep-larger-orf40-50SimCLTL1.txt", 119)</f>
        <v>119</v>
      </c>
      <c r="BT476">
        <f>HYPERLINK("http://exon.niaid.nih.gov/transcriptome/Anopheles_sialome/links/cluster-b/anopheline-sialome-cds-pep-larger-orf45-50SimCLU3.txt", 3)</f>
        <v>3</v>
      </c>
      <c r="BU476">
        <f>HYPERLINK("http://exon.niaid.nih.gov/transcriptome/Anopheles_sialome/links/cluster-b/anopheline-sialome-cds-pep-larger-orf45-50SimCLTL3.txt", 65)</f>
        <v>65</v>
      </c>
      <c r="BV476">
        <f>HYPERLINK("http://exon.niaid.nih.gov/transcriptome/Anopheles_sialome/links/cluster-b/anopheline-sialome-cds-pep-larger-orf50-50SimCLU3.txt", 3)</f>
        <v>3</v>
      </c>
      <c r="BW476">
        <f>HYPERLINK("http://exon.niaid.nih.gov/transcriptome/Anopheles_sialome/links/cluster-b/anopheline-sialome-cds-pep-larger-orf50-50SimCLTL3.txt", 48)</f>
        <v>48</v>
      </c>
      <c r="BX476">
        <f>HYPERLINK("http://exon.niaid.nih.gov/transcriptome/Anopheles_sialome/links/cluster-b/anopheline-sialome-cds-pep-larger-orf55-50SimCLU3.txt", 3)</f>
        <v>3</v>
      </c>
      <c r="BY476">
        <f>HYPERLINK("http://exon.niaid.nih.gov/transcriptome/Anopheles_sialome/links/cluster-b/anopheline-sialome-cds-pep-larger-orf55-50SimCLTL3.txt", 47)</f>
        <v>47</v>
      </c>
      <c r="BZ476">
        <f>HYPERLINK("http://exon.niaid.nih.gov/transcriptome/Anopheles_sialome/links/cluster-b/anopheline-sialome-cds-pep-larger-orf60-50SimCLU22.txt", 22)</f>
        <v>22</v>
      </c>
      <c r="CA476">
        <f>HYPERLINK("http://exon.niaid.nih.gov/transcriptome/Anopheles_sialome/links/cluster-b/anopheline-sialome-cds-pep-larger-orf60-50SimCLTL22.txt", 17)</f>
        <v>17</v>
      </c>
      <c r="CB476">
        <f>HYPERLINK("http://exon.niaid.nih.gov/transcriptome/Anopheles_sialome/links/cluster-b/anopheline-sialome-cds-pep-larger-orf65-50SimCLU28.txt", 28)</f>
        <v>28</v>
      </c>
      <c r="CC476">
        <f>HYPERLINK("http://exon.niaid.nih.gov/transcriptome/Anopheles_sialome/links/cluster-b/anopheline-sialome-cds-pep-larger-orf65-50SimCLTL28.txt", 15)</f>
        <v>15</v>
      </c>
      <c r="CD476">
        <f>HYPERLINK("http://exon.niaid.nih.gov/transcriptome/Anopheles_sialome/links/cluster-b/anopheline-sialome-cds-pep-larger-orf70-50SimCLU25.txt", 25)</f>
        <v>25</v>
      </c>
      <c r="CE476">
        <f>HYPERLINK("http://exon.niaid.nih.gov/transcriptome/Anopheles_sialome/links/cluster-b/anopheline-sialome-cds-pep-larger-orf70-50SimCLTL25.txt", 15)</f>
        <v>15</v>
      </c>
      <c r="CF476">
        <f>HYPERLINK("http://exon.niaid.nih.gov/transcriptome/Anopheles_sialome/links/cluster-b/anopheline-sialome-cds-pep-larger-orf75-50SimCLU25.txt", 25)</f>
        <v>25</v>
      </c>
      <c r="CG476">
        <f>HYPERLINK("http://exon.niaid.nih.gov/transcriptome/Anopheles_sialome/links/cluster-b/anopheline-sialome-cds-pep-larger-orf75-50SimCLTL25.txt", 13)</f>
        <v>13</v>
      </c>
      <c r="CH476">
        <f>HYPERLINK("http://exon.niaid.nih.gov/transcriptome/Anopheles_sialome/links/cluster-b/anopheline-sialome-cds-pep-larger-orf80-50SimCLU32.txt", 32)</f>
        <v>32</v>
      </c>
      <c r="CI476">
        <f>HYPERLINK("http://exon.niaid.nih.gov/transcriptome/Anopheles_sialome/links/cluster-b/anopheline-sialome-cds-pep-larger-orf80-50SimCLTL32.txt", 7)</f>
        <v>7</v>
      </c>
      <c r="CJ476">
        <f>HYPERLINK("http://exon.niaid.nih.gov/transcriptome/Anopheles_sialome/links/cluster-b/anopheline-sialome-cds-pep-larger-orf85-50SimCLU41.txt", 41)</f>
        <v>41</v>
      </c>
      <c r="CK476">
        <f>HYPERLINK("http://exon.niaid.nih.gov/transcriptome/Anopheles_sialome/links/cluster-b/anopheline-sialome-cds-pep-larger-orf85-50SimCLTL41.txt", 6)</f>
        <v>6</v>
      </c>
      <c r="CL476">
        <f>HYPERLINK("http://exon.niaid.nih.gov/transcriptome/Anopheles_sialome/links/cluster-b/anopheline-sialome-cds-pep-larger-orf90-50SimCLU32.txt", 32)</f>
        <v>32</v>
      </c>
      <c r="CM476">
        <f>HYPERLINK("http://exon.niaid.nih.gov/transcriptome/Anopheles_sialome/links/cluster-b/anopheline-sialome-cds-pep-larger-orf90-50SimCLTL32.txt", 6)</f>
        <v>6</v>
      </c>
      <c r="CN476">
        <f>HYPERLINK("http://exon.niaid.nih.gov/transcriptome/Anopheles_sialome/links/cluster-b/anopheline-sialome-cds-pep-larger-orf95-50SimCLU23.txt", 23)</f>
        <v>23</v>
      </c>
      <c r="CO476">
        <f>HYPERLINK("http://exon.niaid.nih.gov/transcriptome/Anopheles_sialome/links/cluster-b/anopheline-sialome-cds-pep-larger-orf95-50SimCLTL23.txt", 6)</f>
        <v>6</v>
      </c>
    </row>
    <row r="477" spans="1:93">
      <c r="A477" s="2" t="str">
        <f>HYPERLINK("http://exon.niaid.nih.gov/transcriptome/Anopheles_sialome/links/cds/anomer_SG1-cds.txt","anomer_SG1")</f>
        <v>anomer_SG1</v>
      </c>
      <c r="B477">
        <v>1206</v>
      </c>
      <c r="C477" t="s">
        <v>422</v>
      </c>
      <c r="D477" t="s">
        <v>7</v>
      </c>
      <c r="E477" t="s">
        <v>5</v>
      </c>
      <c r="F477" t="s">
        <v>1</v>
      </c>
      <c r="G477" t="str">
        <f>HYPERLINK("http://exon.niaid.nih.gov/transcriptome/Anopheles_sialome/links/pep/anomer_SG1-pep.txt","anomer_SG1")</f>
        <v>anomer_SG1</v>
      </c>
      <c r="H477">
        <v>401</v>
      </c>
      <c r="I477">
        <v>1</v>
      </c>
      <c r="J477" s="3" t="str">
        <f>HYPERLINK("http://exon.niaid.nih.gov/transcriptome/Anopheles_sialome/links/Sigp/anomer_SG1-SigP.txt","SIG")</f>
        <v>SIG</v>
      </c>
      <c r="K477" t="s">
        <v>925</v>
      </c>
      <c r="L477">
        <v>46.2</v>
      </c>
      <c r="M477">
        <v>8.11</v>
      </c>
      <c r="N477">
        <v>44.316000000000003</v>
      </c>
      <c r="O477">
        <v>7.83</v>
      </c>
      <c r="P477" t="s">
        <v>1734</v>
      </c>
      <c r="Q477" s="3">
        <v>0</v>
      </c>
      <c r="R477" t="s">
        <v>128</v>
      </c>
      <c r="S477" t="s">
        <v>128</v>
      </c>
      <c r="T477" t="s">
        <v>128</v>
      </c>
      <c r="U477" t="s">
        <v>128</v>
      </c>
      <c r="V477" t="s">
        <v>128</v>
      </c>
      <c r="W477" s="3" t="str">
        <f>HYPERLINK("http://exon.niaid.nih.gov/transcriptome/Anopheles_sialome/links/netoglyc/anomer_SG1-netoglyc.txt","0")</f>
        <v>0</v>
      </c>
      <c r="X477">
        <v>9.6999999999999993</v>
      </c>
      <c r="Y477">
        <v>3.2</v>
      </c>
      <c r="Z477">
        <v>3.5</v>
      </c>
      <c r="AA477" t="s">
        <v>654</v>
      </c>
      <c r="AB477" t="s">
        <v>128</v>
      </c>
      <c r="AC477" s="2" t="str">
        <f>HYPERLINK("http://exon.niaid.nih.gov/transcriptome/Anopheles_sialome/links/DIPTERA/anomer_SG1-DIPTERA.txt","AGAP000612-PA")</f>
        <v>AGAP000612-PA</v>
      </c>
      <c r="AD477" t="str">
        <f t="shared" si="159"/>
        <v>0.0</v>
      </c>
      <c r="AE477" t="str">
        <f t="shared" si="160"/>
        <v>gi|21294374</v>
      </c>
      <c r="AF477">
        <v>93</v>
      </c>
      <c r="AG477">
        <v>95</v>
      </c>
      <c r="AH477">
        <v>100</v>
      </c>
      <c r="AI477" t="s">
        <v>2285</v>
      </c>
      <c r="AJ477" s="2" t="str">
        <f>HYPERLINK("http://exon.niaid.nih.gov/transcriptome/Anopheles_sialome/links/CULICOMORPHA/anomer_SG1-CULICOMORPHA.txt","AGAP000612-PA")</f>
        <v>AGAP000612-PA</v>
      </c>
      <c r="AK477" t="str">
        <f t="shared" si="161"/>
        <v>0.0</v>
      </c>
      <c r="AL477" t="str">
        <f t="shared" si="162"/>
        <v>gi|21294374</v>
      </c>
      <c r="AM477">
        <v>93</v>
      </c>
      <c r="AN477">
        <v>95</v>
      </c>
      <c r="AO477">
        <v>100</v>
      </c>
      <c r="AP477" t="s">
        <v>2285</v>
      </c>
      <c r="AQ477" s="2" t="str">
        <f>HYPERLINK("http://exon.niaid.nih.gov/transcriptome/Anopheles_sialome/links/NR-LIGHT/anomer_SG1-NR-LIGHT.txt","AGAP000612-PA")</f>
        <v>AGAP000612-PA</v>
      </c>
      <c r="AR477" t="str">
        <f t="shared" si="163"/>
        <v>0.0</v>
      </c>
      <c r="AS477" t="str">
        <f t="shared" si="164"/>
        <v>gi|31203041</v>
      </c>
      <c r="AT477">
        <v>93</v>
      </c>
      <c r="AU477">
        <v>95</v>
      </c>
      <c r="AV477">
        <v>100</v>
      </c>
      <c r="AW477" t="s">
        <v>2285</v>
      </c>
      <c r="AX477" s="2" t="str">
        <f>HYPERLINK("http://exon.niaid.nih.gov/transcriptome/Anopheles_sialome/links/CDD/anomer_SG1-CDD.txt","DAP_dppA")</f>
        <v>DAP_dppA</v>
      </c>
      <c r="AY477" t="str">
        <f>HYPERLINK("http://www.ncbi.nlm.nih.gov/Structure/cdd/cddsrv.cgi?uid=cd00281&amp;version=v4.0","0.091")</f>
        <v>0.091</v>
      </c>
      <c r="AZ477" t="s">
        <v>2863</v>
      </c>
      <c r="BA477" s="2" t="str">
        <f>HYPERLINK("http://exon.niaid.nih.gov/transcriptome/Anopheles_sialome/links/KOG/anomer_SG1-KOG.txt","Structural maintenance of chromosome protein 2 (chromosome condensation complex Condensin, subunit E)")</f>
        <v>Structural maintenance of chromosome protein 2 (chromosome condensation complex Condensin, subunit E)</v>
      </c>
      <c r="BB477" t="str">
        <f>HYPERLINK("http://www.ncbi.nlm.nih.gov/Structure/cdd/cddsrv.cgi?uid=KOG0933","0.29")</f>
        <v>0.29</v>
      </c>
      <c r="BC477" t="s">
        <v>2476</v>
      </c>
      <c r="BD477" t="str">
        <f>HYPERLINK("http://exon.niaid.nih.gov/transcriptome/Anopheles_sialome/links/KOG/anomer_SG1-KOG.txt","KOG0933")</f>
        <v>KOG0933</v>
      </c>
      <c r="BE477" t="str">
        <f>HYPERLINK("http://exon.niaid.nih.gov/transcriptome/Anopheles_sialome/links/PFAM/anomer_SG1-PFAM.txt","WEMBL")</f>
        <v>WEMBL</v>
      </c>
      <c r="BF477" t="str">
        <f>HYPERLINK("http://pfam.sanger.ac.uk/family?acc=PF05701","0.36")</f>
        <v>0.36</v>
      </c>
      <c r="BG477" s="2" t="str">
        <f>HYPERLINK("http://exon.niaid.nih.gov/transcriptome/Anopheles_sialome/links/SMART/anomer_SG1-SMART.txt","DM14")</f>
        <v>DM14</v>
      </c>
      <c r="BH477" t="str">
        <f>HYPERLINK("http://smart.embl-heidelberg.de/smart/do_annotation.pl?DOMAIN=DM14&amp;BLAST=DUMMY","1.3")</f>
        <v>1.3</v>
      </c>
      <c r="BI477" t="str">
        <f>HYPERLINK("http://exon.niaid.nih.gov/transcriptome/Anopheles_sialome/links/TICK-BLOCKS/anomer_SG1-TICK-BLOCKS.txt","SG1_full |SG1_stringent_pattern |")</f>
        <v>SG1_full |SG1_stringent_pattern |</v>
      </c>
      <c r="BJ477" s="2" t="s">
        <v>2423</v>
      </c>
      <c r="BK477" t="s">
        <v>1733</v>
      </c>
      <c r="BL477">
        <f>HYPERLINK("http://exon.niaid.nih.gov/transcriptome/Anopheles_sialome/links/cluster-b/anopheline-sialome-cds-pep-larger-orf25-50SimCLU3.txt", 3)</f>
        <v>3</v>
      </c>
      <c r="BM477">
        <f>HYPERLINK("http://exon.niaid.nih.gov/transcriptome/Anopheles_sialome/links/cluster-b/anopheline-sialome-cds-pep-larger-orf25-50SimCLTL3.txt", 119)</f>
        <v>119</v>
      </c>
      <c r="BN477">
        <f>HYPERLINK("http://exon.niaid.nih.gov/transcriptome/Anopheles_sialome/links/cluster-b/anopheline-sialome-cds-pep-larger-orf30-50SimCLU3.txt", 3)</f>
        <v>3</v>
      </c>
      <c r="BO477">
        <f>HYPERLINK("http://exon.niaid.nih.gov/transcriptome/Anopheles_sialome/links/cluster-b/anopheline-sialome-cds-pep-larger-orf30-50SimCLTL3.txt", 119)</f>
        <v>119</v>
      </c>
      <c r="BP477">
        <f>HYPERLINK("http://exon.niaid.nih.gov/transcriptome/Anopheles_sialome/links/cluster-b/anopheline-sialome-cds-pep-larger-orf35-50SimCLU2.txt", 2)</f>
        <v>2</v>
      </c>
      <c r="BQ477">
        <f>HYPERLINK("http://exon.niaid.nih.gov/transcriptome/Anopheles_sialome/links/cluster-b/anopheline-sialome-cds-pep-larger-orf35-50SimCLTL2.txt", 119)</f>
        <v>119</v>
      </c>
      <c r="BR477">
        <f>HYPERLINK("http://exon.niaid.nih.gov/transcriptome/Anopheles_sialome/links/cluster-b/anopheline-sialome-cds-pep-larger-orf40-50SimCLU1.txt", 1)</f>
        <v>1</v>
      </c>
      <c r="BS477">
        <f>HYPERLINK("http://exon.niaid.nih.gov/transcriptome/Anopheles_sialome/links/cluster-b/anopheline-sialome-cds-pep-larger-orf40-50SimCLTL1.txt", 119)</f>
        <v>119</v>
      </c>
      <c r="BT477">
        <f>HYPERLINK("http://exon.niaid.nih.gov/transcriptome/Anopheles_sialome/links/cluster-b/anopheline-sialome-cds-pep-larger-orf45-50SimCLU3.txt", 3)</f>
        <v>3</v>
      </c>
      <c r="BU477">
        <f>HYPERLINK("http://exon.niaid.nih.gov/transcriptome/Anopheles_sialome/links/cluster-b/anopheline-sialome-cds-pep-larger-orf45-50SimCLTL3.txt", 65)</f>
        <v>65</v>
      </c>
      <c r="BV477">
        <f>HYPERLINK("http://exon.niaid.nih.gov/transcriptome/Anopheles_sialome/links/cluster-b/anopheline-sialome-cds-pep-larger-orf50-50SimCLU3.txt", 3)</f>
        <v>3</v>
      </c>
      <c r="BW477">
        <f>HYPERLINK("http://exon.niaid.nih.gov/transcriptome/Anopheles_sialome/links/cluster-b/anopheline-sialome-cds-pep-larger-orf50-50SimCLTL3.txt", 48)</f>
        <v>48</v>
      </c>
      <c r="BX477">
        <f>HYPERLINK("http://exon.niaid.nih.gov/transcriptome/Anopheles_sialome/links/cluster-b/anopheline-sialome-cds-pep-larger-orf55-50SimCLU3.txt", 3)</f>
        <v>3</v>
      </c>
      <c r="BY477">
        <f>HYPERLINK("http://exon.niaid.nih.gov/transcriptome/Anopheles_sialome/links/cluster-b/anopheline-sialome-cds-pep-larger-orf55-50SimCLTL3.txt", 47)</f>
        <v>47</v>
      </c>
      <c r="BZ477">
        <f>HYPERLINK("http://exon.niaid.nih.gov/transcriptome/Anopheles_sialome/links/cluster-b/anopheline-sialome-cds-pep-larger-orf60-50SimCLU22.txt", 22)</f>
        <v>22</v>
      </c>
      <c r="CA477">
        <f>HYPERLINK("http://exon.niaid.nih.gov/transcriptome/Anopheles_sialome/links/cluster-b/anopheline-sialome-cds-pep-larger-orf60-50SimCLTL22.txt", 17)</f>
        <v>17</v>
      </c>
      <c r="CB477">
        <f>HYPERLINK("http://exon.niaid.nih.gov/transcriptome/Anopheles_sialome/links/cluster-b/anopheline-sialome-cds-pep-larger-orf65-50SimCLU28.txt", 28)</f>
        <v>28</v>
      </c>
      <c r="CC477">
        <f>HYPERLINK("http://exon.niaid.nih.gov/transcriptome/Anopheles_sialome/links/cluster-b/anopheline-sialome-cds-pep-larger-orf65-50SimCLTL28.txt", 15)</f>
        <v>15</v>
      </c>
      <c r="CD477">
        <f>HYPERLINK("http://exon.niaid.nih.gov/transcriptome/Anopheles_sialome/links/cluster-b/anopheline-sialome-cds-pep-larger-orf70-50SimCLU25.txt", 25)</f>
        <v>25</v>
      </c>
      <c r="CE477">
        <f>HYPERLINK("http://exon.niaid.nih.gov/transcriptome/Anopheles_sialome/links/cluster-b/anopheline-sialome-cds-pep-larger-orf70-50SimCLTL25.txt", 15)</f>
        <v>15</v>
      </c>
      <c r="CF477">
        <f>HYPERLINK("http://exon.niaid.nih.gov/transcriptome/Anopheles_sialome/links/cluster-b/anopheline-sialome-cds-pep-larger-orf75-50SimCLU25.txt", 25)</f>
        <v>25</v>
      </c>
      <c r="CG477">
        <f>HYPERLINK("http://exon.niaid.nih.gov/transcriptome/Anopheles_sialome/links/cluster-b/anopheline-sialome-cds-pep-larger-orf75-50SimCLTL25.txt", 13)</f>
        <v>13</v>
      </c>
      <c r="CH477">
        <f>HYPERLINK("http://exon.niaid.nih.gov/transcriptome/Anopheles_sialome/links/cluster-b/anopheline-sialome-cds-pep-larger-orf80-50SimCLU32.txt", 32)</f>
        <v>32</v>
      </c>
      <c r="CI477">
        <f>HYPERLINK("http://exon.niaid.nih.gov/transcriptome/Anopheles_sialome/links/cluster-b/anopheline-sialome-cds-pep-larger-orf80-50SimCLTL32.txt", 7)</f>
        <v>7</v>
      </c>
      <c r="CJ477">
        <f>HYPERLINK("http://exon.niaid.nih.gov/transcriptome/Anopheles_sialome/links/cluster-b/anopheline-sialome-cds-pep-larger-orf85-50SimCLU41.txt", 41)</f>
        <v>41</v>
      </c>
      <c r="CK477">
        <f>HYPERLINK("http://exon.niaid.nih.gov/transcriptome/Anopheles_sialome/links/cluster-b/anopheline-sialome-cds-pep-larger-orf85-50SimCLTL41.txt", 6)</f>
        <v>6</v>
      </c>
      <c r="CL477">
        <f>HYPERLINK("http://exon.niaid.nih.gov/transcriptome/Anopheles_sialome/links/cluster-b/anopheline-sialome-cds-pep-larger-orf90-50SimCLU32.txt", 32)</f>
        <v>32</v>
      </c>
      <c r="CM477">
        <f>HYPERLINK("http://exon.niaid.nih.gov/transcriptome/Anopheles_sialome/links/cluster-b/anopheline-sialome-cds-pep-larger-orf90-50SimCLTL32.txt", 6)</f>
        <v>6</v>
      </c>
      <c r="CN477">
        <f>HYPERLINK("http://exon.niaid.nih.gov/transcriptome/Anopheles_sialome/links/cluster-b/anopheline-sialome-cds-pep-larger-orf95-50SimCLU23.txt", 23)</f>
        <v>23</v>
      </c>
      <c r="CO477">
        <f>HYPERLINK("http://exon.niaid.nih.gov/transcriptome/Anopheles_sialome/links/cluster-b/anopheline-sialome-cds-pep-larger-orf95-50SimCLTL23.txt", 6)</f>
        <v>6</v>
      </c>
    </row>
    <row r="478" spans="1:93">
      <c r="A478" s="2" t="str">
        <f>HYPERLINK("http://exon.niaid.nih.gov/transcriptome/Anopheles_sialome/links/cds/anomel_SG1-cds.txt","anomel_SG1")</f>
        <v>anomel_SG1</v>
      </c>
      <c r="B478">
        <v>1206</v>
      </c>
      <c r="C478" t="s">
        <v>423</v>
      </c>
      <c r="D478" t="s">
        <v>4</v>
      </c>
      <c r="E478" t="s">
        <v>5</v>
      </c>
      <c r="F478" t="s">
        <v>1</v>
      </c>
      <c r="G478" t="str">
        <f>HYPERLINK("http://exon.niaid.nih.gov/transcriptome/Anopheles_sialome/links/pep/anomel_SG1-pep.txt","anomel_SG1")</f>
        <v>anomel_SG1</v>
      </c>
      <c r="H478">
        <v>401</v>
      </c>
      <c r="I478">
        <v>1</v>
      </c>
      <c r="J478" s="3" t="str">
        <f>HYPERLINK("http://exon.niaid.nih.gov/transcriptome/Anopheles_sialome/links/Sigp/anomel_SG1-SigP.txt","SIG")</f>
        <v>SIG</v>
      </c>
      <c r="K478" t="s">
        <v>925</v>
      </c>
      <c r="L478">
        <v>46.305</v>
      </c>
      <c r="M478">
        <v>8.4</v>
      </c>
      <c r="N478">
        <v>44.405999999999999</v>
      </c>
      <c r="O478">
        <v>8.2200000000000006</v>
      </c>
      <c r="P478" t="s">
        <v>1736</v>
      </c>
      <c r="Q478" s="3">
        <v>0</v>
      </c>
      <c r="R478" t="s">
        <v>128</v>
      </c>
      <c r="S478" t="s">
        <v>128</v>
      </c>
      <c r="T478" t="s">
        <v>128</v>
      </c>
      <c r="U478" t="s">
        <v>128</v>
      </c>
      <c r="V478" t="s">
        <v>128</v>
      </c>
      <c r="W478" s="3" t="str">
        <f>HYPERLINK("http://exon.niaid.nih.gov/transcriptome/Anopheles_sialome/links/netoglyc/anomel_SG1-netoglyc.txt","0")</f>
        <v>0</v>
      </c>
      <c r="X478">
        <v>9.1999999999999993</v>
      </c>
      <c r="Y478">
        <v>3.5</v>
      </c>
      <c r="Z478">
        <v>3.7</v>
      </c>
      <c r="AA478" t="s">
        <v>654</v>
      </c>
      <c r="AB478" t="s">
        <v>128</v>
      </c>
      <c r="AC478" s="2" t="str">
        <f>HYPERLINK("http://exon.niaid.nih.gov/transcriptome/Anopheles_sialome/links/DIPTERA/anomel_SG1-DIPTERA.txt","AGAP000612-PA")</f>
        <v>AGAP000612-PA</v>
      </c>
      <c r="AD478" t="str">
        <f t="shared" si="159"/>
        <v>0.0</v>
      </c>
      <c r="AE478" t="str">
        <f t="shared" si="160"/>
        <v>gi|21294374</v>
      </c>
      <c r="AF478">
        <v>94</v>
      </c>
      <c r="AG478">
        <v>96</v>
      </c>
      <c r="AH478">
        <v>100</v>
      </c>
      <c r="AI478" t="s">
        <v>2285</v>
      </c>
      <c r="AJ478" s="2" t="str">
        <f>HYPERLINK("http://exon.niaid.nih.gov/transcriptome/Anopheles_sialome/links/CULICOMORPHA/anomel_SG1-CULICOMORPHA.txt","AGAP000612-PA")</f>
        <v>AGAP000612-PA</v>
      </c>
      <c r="AK478" t="str">
        <f t="shared" si="161"/>
        <v>0.0</v>
      </c>
      <c r="AL478" t="str">
        <f t="shared" si="162"/>
        <v>gi|21294374</v>
      </c>
      <c r="AM478">
        <v>94</v>
      </c>
      <c r="AN478">
        <v>96</v>
      </c>
      <c r="AO478">
        <v>100</v>
      </c>
      <c r="AP478" t="s">
        <v>2285</v>
      </c>
      <c r="AQ478" s="2" t="str">
        <f>HYPERLINK("http://exon.niaid.nih.gov/transcriptome/Anopheles_sialome/links/NR-LIGHT/anomel_SG1-NR-LIGHT.txt","AGAP000612-PA")</f>
        <v>AGAP000612-PA</v>
      </c>
      <c r="AR478" t="str">
        <f t="shared" si="163"/>
        <v>0.0</v>
      </c>
      <c r="AS478" t="str">
        <f t="shared" si="164"/>
        <v>gi|31203041</v>
      </c>
      <c r="AT478">
        <v>94</v>
      </c>
      <c r="AU478">
        <v>96</v>
      </c>
      <c r="AV478">
        <v>100</v>
      </c>
      <c r="AW478" t="s">
        <v>2285</v>
      </c>
      <c r="AX478" s="2" t="str">
        <f>HYPERLINK("http://exon.niaid.nih.gov/transcriptome/Anopheles_sialome/links/CDD/anomel_SG1-CDD.txt","scpB")</f>
        <v>scpB</v>
      </c>
      <c r="AY478" t="str">
        <f>HYPERLINK("http://www.ncbi.nlm.nih.gov/Structure/cdd/cddsrv.cgi?uid=COG1386&amp;version=v4.0","0.10")</f>
        <v>0.10</v>
      </c>
      <c r="AZ478" t="s">
        <v>2864</v>
      </c>
      <c r="BA478" s="2" t="str">
        <f>HYPERLINK("http://exon.niaid.nih.gov/transcriptome/Anopheles_sialome/links/KOG/anomel_SG1-KOG.txt","Predicted Ca2+-dependent phospholipid-binding protein")</f>
        <v>Predicted Ca2+-dependent phospholipid-binding protein</v>
      </c>
      <c r="BB478" t="str">
        <f>HYPERLINK("http://www.ncbi.nlm.nih.gov/Structure/cdd/cddsrv.cgi?uid=KOG1031","0.30")</f>
        <v>0.30</v>
      </c>
      <c r="BC478" t="s">
        <v>2310</v>
      </c>
      <c r="BD478" t="str">
        <f>HYPERLINK("http://exon.niaid.nih.gov/transcriptome/Anopheles_sialome/links/KOG/anomel_SG1-KOG.txt","KOG1031")</f>
        <v>KOG1031</v>
      </c>
      <c r="BE478" t="str">
        <f>HYPERLINK("http://exon.niaid.nih.gov/transcriptome/Anopheles_sialome/links/PFAM/anomel_SG1-PFAM.txt","DUF3584")</f>
        <v>DUF3584</v>
      </c>
      <c r="BF478" t="str">
        <f>HYPERLINK("http://pfam.sanger.ac.uk/family?acc=PF12128","0.91")</f>
        <v>0.91</v>
      </c>
      <c r="BG478" s="2" t="str">
        <f>HYPERLINK("http://exon.niaid.nih.gov/transcriptome/Anopheles_sialome/links/SMART/anomel_SG1-SMART.txt","DM14")</f>
        <v>DM14</v>
      </c>
      <c r="BH478" t="str">
        <f>HYPERLINK("http://smart.embl-heidelberg.de/smart/do_annotation.pl?DOMAIN=DM14&amp;BLAST=DUMMY","1.0")</f>
        <v>1.0</v>
      </c>
      <c r="BI478" t="str">
        <f>HYPERLINK("http://exon.niaid.nih.gov/transcriptome/Anopheles_sialome/links/TICK-BLOCKS/anomel_SG1-TICK-BLOCKS.txt","SG1_full |SG1_stringent_pattern |")</f>
        <v>SG1_full |SG1_stringent_pattern |</v>
      </c>
      <c r="BJ478" s="2" t="s">
        <v>2423</v>
      </c>
      <c r="BK478" t="s">
        <v>1735</v>
      </c>
      <c r="BL478">
        <f>HYPERLINK("http://exon.niaid.nih.gov/transcriptome/Anopheles_sialome/links/cluster-b/anopheline-sialome-cds-pep-larger-orf25-50SimCLU3.txt", 3)</f>
        <v>3</v>
      </c>
      <c r="BM478">
        <f>HYPERLINK("http://exon.niaid.nih.gov/transcriptome/Anopheles_sialome/links/cluster-b/anopheline-sialome-cds-pep-larger-orf25-50SimCLTL3.txt", 119)</f>
        <v>119</v>
      </c>
      <c r="BN478">
        <f>HYPERLINK("http://exon.niaid.nih.gov/transcriptome/Anopheles_sialome/links/cluster-b/anopheline-sialome-cds-pep-larger-orf30-50SimCLU3.txt", 3)</f>
        <v>3</v>
      </c>
      <c r="BO478">
        <f>HYPERLINK("http://exon.niaid.nih.gov/transcriptome/Anopheles_sialome/links/cluster-b/anopheline-sialome-cds-pep-larger-orf30-50SimCLTL3.txt", 119)</f>
        <v>119</v>
      </c>
      <c r="BP478">
        <f>HYPERLINK("http://exon.niaid.nih.gov/transcriptome/Anopheles_sialome/links/cluster-b/anopheline-sialome-cds-pep-larger-orf35-50SimCLU2.txt", 2)</f>
        <v>2</v>
      </c>
      <c r="BQ478">
        <f>HYPERLINK("http://exon.niaid.nih.gov/transcriptome/Anopheles_sialome/links/cluster-b/anopheline-sialome-cds-pep-larger-orf35-50SimCLTL2.txt", 119)</f>
        <v>119</v>
      </c>
      <c r="BR478">
        <f>HYPERLINK("http://exon.niaid.nih.gov/transcriptome/Anopheles_sialome/links/cluster-b/anopheline-sialome-cds-pep-larger-orf40-50SimCLU1.txt", 1)</f>
        <v>1</v>
      </c>
      <c r="BS478">
        <f>HYPERLINK("http://exon.niaid.nih.gov/transcriptome/Anopheles_sialome/links/cluster-b/anopheline-sialome-cds-pep-larger-orf40-50SimCLTL1.txt", 119)</f>
        <v>119</v>
      </c>
      <c r="BT478">
        <f>HYPERLINK("http://exon.niaid.nih.gov/transcriptome/Anopheles_sialome/links/cluster-b/anopheline-sialome-cds-pep-larger-orf45-50SimCLU3.txt", 3)</f>
        <v>3</v>
      </c>
      <c r="BU478">
        <f>HYPERLINK("http://exon.niaid.nih.gov/transcriptome/Anopheles_sialome/links/cluster-b/anopheline-sialome-cds-pep-larger-orf45-50SimCLTL3.txt", 65)</f>
        <v>65</v>
      </c>
      <c r="BV478">
        <f>HYPERLINK("http://exon.niaid.nih.gov/transcriptome/Anopheles_sialome/links/cluster-b/anopheline-sialome-cds-pep-larger-orf50-50SimCLU3.txt", 3)</f>
        <v>3</v>
      </c>
      <c r="BW478">
        <f>HYPERLINK("http://exon.niaid.nih.gov/transcriptome/Anopheles_sialome/links/cluster-b/anopheline-sialome-cds-pep-larger-orf50-50SimCLTL3.txt", 48)</f>
        <v>48</v>
      </c>
      <c r="BX478">
        <f>HYPERLINK("http://exon.niaid.nih.gov/transcriptome/Anopheles_sialome/links/cluster-b/anopheline-sialome-cds-pep-larger-orf55-50SimCLU3.txt", 3)</f>
        <v>3</v>
      </c>
      <c r="BY478">
        <f>HYPERLINK("http://exon.niaid.nih.gov/transcriptome/Anopheles_sialome/links/cluster-b/anopheline-sialome-cds-pep-larger-orf55-50SimCLTL3.txt", 47)</f>
        <v>47</v>
      </c>
      <c r="BZ478">
        <f>HYPERLINK("http://exon.niaid.nih.gov/transcriptome/Anopheles_sialome/links/cluster-b/anopheline-sialome-cds-pep-larger-orf60-50SimCLU22.txt", 22)</f>
        <v>22</v>
      </c>
      <c r="CA478">
        <f>HYPERLINK("http://exon.niaid.nih.gov/transcriptome/Anopheles_sialome/links/cluster-b/anopheline-sialome-cds-pep-larger-orf60-50SimCLTL22.txt", 17)</f>
        <v>17</v>
      </c>
      <c r="CB478">
        <f>HYPERLINK("http://exon.niaid.nih.gov/transcriptome/Anopheles_sialome/links/cluster-b/anopheline-sialome-cds-pep-larger-orf65-50SimCLU28.txt", 28)</f>
        <v>28</v>
      </c>
      <c r="CC478">
        <f>HYPERLINK("http://exon.niaid.nih.gov/transcriptome/Anopheles_sialome/links/cluster-b/anopheline-sialome-cds-pep-larger-orf65-50SimCLTL28.txt", 15)</f>
        <v>15</v>
      </c>
      <c r="CD478">
        <f>HYPERLINK("http://exon.niaid.nih.gov/transcriptome/Anopheles_sialome/links/cluster-b/anopheline-sialome-cds-pep-larger-orf70-50SimCLU25.txt", 25)</f>
        <v>25</v>
      </c>
      <c r="CE478">
        <f>HYPERLINK("http://exon.niaid.nih.gov/transcriptome/Anopheles_sialome/links/cluster-b/anopheline-sialome-cds-pep-larger-orf70-50SimCLTL25.txt", 15)</f>
        <v>15</v>
      </c>
      <c r="CF478">
        <f>HYPERLINK("http://exon.niaid.nih.gov/transcriptome/Anopheles_sialome/links/cluster-b/anopheline-sialome-cds-pep-larger-orf75-50SimCLU25.txt", 25)</f>
        <v>25</v>
      </c>
      <c r="CG478">
        <f>HYPERLINK("http://exon.niaid.nih.gov/transcriptome/Anopheles_sialome/links/cluster-b/anopheline-sialome-cds-pep-larger-orf75-50SimCLTL25.txt", 13)</f>
        <v>13</v>
      </c>
      <c r="CH478">
        <f>HYPERLINK("http://exon.niaid.nih.gov/transcriptome/Anopheles_sialome/links/cluster-b/anopheline-sialome-cds-pep-larger-orf80-50SimCLU32.txt", 32)</f>
        <v>32</v>
      </c>
      <c r="CI478">
        <f>HYPERLINK("http://exon.niaid.nih.gov/transcriptome/Anopheles_sialome/links/cluster-b/anopheline-sialome-cds-pep-larger-orf80-50SimCLTL32.txt", 7)</f>
        <v>7</v>
      </c>
      <c r="CJ478">
        <f>HYPERLINK("http://exon.niaid.nih.gov/transcriptome/Anopheles_sialome/links/cluster-b/anopheline-sialome-cds-pep-larger-orf85-50SimCLU41.txt", 41)</f>
        <v>41</v>
      </c>
      <c r="CK478">
        <f>HYPERLINK("http://exon.niaid.nih.gov/transcriptome/Anopheles_sialome/links/cluster-b/anopheline-sialome-cds-pep-larger-orf85-50SimCLTL41.txt", 6)</f>
        <v>6</v>
      </c>
      <c r="CL478">
        <f>HYPERLINK("http://exon.niaid.nih.gov/transcriptome/Anopheles_sialome/links/cluster-b/anopheline-sialome-cds-pep-larger-orf90-50SimCLU32.txt", 32)</f>
        <v>32</v>
      </c>
      <c r="CM478">
        <f>HYPERLINK("http://exon.niaid.nih.gov/transcriptome/Anopheles_sialome/links/cluster-b/anopheline-sialome-cds-pep-larger-orf90-50SimCLTL32.txt", 6)</f>
        <v>6</v>
      </c>
      <c r="CN478">
        <f>HYPERLINK("http://exon.niaid.nih.gov/transcriptome/Anopheles_sialome/links/cluster-b/anopheline-sialome-cds-pep-larger-orf95-50SimCLU23.txt", 23)</f>
        <v>23</v>
      </c>
      <c r="CO478">
        <f>HYPERLINK("http://exon.niaid.nih.gov/transcriptome/Anopheles_sialome/links/cluster-b/anopheline-sialome-cds-pep-larger-orf95-50SimCLTL23.txt", 6)</f>
        <v>6</v>
      </c>
    </row>
    <row r="479" spans="1:93">
      <c r="A479" s="2" t="str">
        <f>HYPERLINK("http://exon.niaid.nih.gov/transcriptome/Anopheles_sialome/links/cds/anochris_SG1-cds.txt","anochris_SG1")</f>
        <v>anochris_SG1</v>
      </c>
      <c r="B479">
        <v>1203</v>
      </c>
      <c r="C479" t="s">
        <v>424</v>
      </c>
      <c r="D479" t="s">
        <v>7</v>
      </c>
      <c r="E479" t="s">
        <v>5</v>
      </c>
      <c r="F479" t="s">
        <v>1</v>
      </c>
      <c r="G479" t="str">
        <f>HYPERLINK("http://exon.niaid.nih.gov/transcriptome/Anopheles_sialome/links/pep/anochris_SG1-pep.txt","anochris_SG1")</f>
        <v>anochris_SG1</v>
      </c>
      <c r="H479">
        <v>400</v>
      </c>
      <c r="I479">
        <v>1</v>
      </c>
      <c r="J479" s="3" t="str">
        <f>HYPERLINK("http://exon.niaid.nih.gov/transcriptome/Anopheles_sialome/links/Sigp/anochris_SG1-SigP.txt","SIG")</f>
        <v>SIG</v>
      </c>
      <c r="K479" t="s">
        <v>925</v>
      </c>
      <c r="L479">
        <v>46.332999999999998</v>
      </c>
      <c r="M479">
        <v>7.13</v>
      </c>
      <c r="N479">
        <v>44.472999999999999</v>
      </c>
      <c r="O479">
        <v>6.85</v>
      </c>
      <c r="P479" t="s">
        <v>662</v>
      </c>
      <c r="Q479" s="3">
        <v>0</v>
      </c>
      <c r="R479" t="s">
        <v>128</v>
      </c>
      <c r="S479" t="s">
        <v>128</v>
      </c>
      <c r="T479" t="s">
        <v>128</v>
      </c>
      <c r="U479" t="s">
        <v>128</v>
      </c>
      <c r="V479" t="s">
        <v>128</v>
      </c>
      <c r="W479" s="3" t="str">
        <f>HYPERLINK("http://exon.niaid.nih.gov/transcriptome/Anopheles_sialome/links/netoglyc/anochris_SG1-netoglyc.txt","0")</f>
        <v>0</v>
      </c>
      <c r="X479">
        <v>9.8000000000000007</v>
      </c>
      <c r="Y479">
        <v>3.5</v>
      </c>
      <c r="Z479">
        <v>3.5</v>
      </c>
      <c r="AA479" t="s">
        <v>654</v>
      </c>
      <c r="AB479" t="s">
        <v>128</v>
      </c>
      <c r="AC479" s="2" t="str">
        <f>HYPERLINK("http://exon.niaid.nih.gov/transcriptome/Anopheles_sialome/links/DIPTERA/anochris_SG1-DIPTERA.txt","AGAP000612-PA")</f>
        <v>AGAP000612-PA</v>
      </c>
      <c r="AD479" t="str">
        <f>HYPERLINK("http://www.ncbi.nlm.nih.gov/sutils/blink.cgi?pid=21294374","1E-155")</f>
        <v>1E-155</v>
      </c>
      <c r="AE479" t="str">
        <f t="shared" si="160"/>
        <v>gi|21294374</v>
      </c>
      <c r="AF479">
        <v>65</v>
      </c>
      <c r="AG479">
        <v>82</v>
      </c>
      <c r="AH479">
        <v>100</v>
      </c>
      <c r="AI479" t="s">
        <v>2285</v>
      </c>
      <c r="AJ479" s="2" t="str">
        <f>HYPERLINK("http://exon.niaid.nih.gov/transcriptome/Anopheles_sialome/links/CULICOMORPHA/anochris_SG1-CULICOMORPHA.txt","AGAP000612-PA")</f>
        <v>AGAP000612-PA</v>
      </c>
      <c r="AK479" t="str">
        <f>HYPERLINK("http://www.ncbi.nlm.nih.gov/sutils/blink.cgi?pid=21294374","1E-155")</f>
        <v>1E-155</v>
      </c>
      <c r="AL479" t="str">
        <f t="shared" si="162"/>
        <v>gi|21294374</v>
      </c>
      <c r="AM479">
        <v>65</v>
      </c>
      <c r="AN479">
        <v>82</v>
      </c>
      <c r="AO479">
        <v>100</v>
      </c>
      <c r="AP479" t="s">
        <v>2285</v>
      </c>
      <c r="AQ479" s="2" t="str">
        <f>HYPERLINK("http://exon.niaid.nih.gov/transcriptome/Anopheles_sialome/links/NR-LIGHT/anochris_SG1-NR-LIGHT.txt","AGAP000612-PA")</f>
        <v>AGAP000612-PA</v>
      </c>
      <c r="AR479" t="str">
        <f>HYPERLINK("http://www.ncbi.nlm.nih.gov/sutils/blink.cgi?pid=31203041","1E-154")</f>
        <v>1E-154</v>
      </c>
      <c r="AS479" t="str">
        <f t="shared" si="164"/>
        <v>gi|31203041</v>
      </c>
      <c r="AT479">
        <v>65</v>
      </c>
      <c r="AU479">
        <v>82</v>
      </c>
      <c r="AV479">
        <v>100</v>
      </c>
      <c r="AW479" t="s">
        <v>2285</v>
      </c>
      <c r="AX479" s="2" t="str">
        <f>HYPERLINK("http://exon.niaid.nih.gov/transcriptome/Anopheles_sialome/links/CDD/anochris_SG1-CDD.txt","MPP_PP2B")</f>
        <v>MPP_PP2B</v>
      </c>
      <c r="AY479" t="str">
        <f>HYPERLINK("http://www.ncbi.nlm.nih.gov/Structure/cdd/cddsrv.cgi?uid=cd07416&amp;version=v4.0","0.42")</f>
        <v>0.42</v>
      </c>
      <c r="AZ479" t="s">
        <v>2865</v>
      </c>
      <c r="BA479" s="2" t="str">
        <f>HYPERLINK("http://exon.niaid.nih.gov/transcriptome/Anopheles_sialome/links/KOG/anochris_SG1-KOG.txt","Glutaminase (contains ankyrin repeat)")</f>
        <v>Glutaminase (contains ankyrin repeat)</v>
      </c>
      <c r="BB479" t="str">
        <f>HYPERLINK("http://www.ncbi.nlm.nih.gov/Structure/cdd/cddsrv.cgi?uid=KOG0506","0.10")</f>
        <v>0.10</v>
      </c>
      <c r="BC479" t="s">
        <v>2287</v>
      </c>
      <c r="BD479" t="str">
        <f>HYPERLINK("http://exon.niaid.nih.gov/transcriptome/Anopheles_sialome/links/KOG/anochris_SG1-KOG.txt","KOG0506")</f>
        <v>KOG0506</v>
      </c>
      <c r="BE479" t="str">
        <f>HYPERLINK("http://exon.niaid.nih.gov/transcriptome/Anopheles_sialome/links/PFAM/anochris_SG1-PFAM.txt","Glutaminase")</f>
        <v>Glutaminase</v>
      </c>
      <c r="BF479" t="str">
        <f>HYPERLINK("http://pfam.sanger.ac.uk/family?acc=PF04960","0.14")</f>
        <v>0.14</v>
      </c>
      <c r="BG479" s="2" t="str">
        <f>HYPERLINK("http://exon.niaid.nih.gov/transcriptome/Anopheles_sialome/links/SMART/anochris_SG1-SMART.txt","CY")</f>
        <v>CY</v>
      </c>
      <c r="BH479" t="str">
        <f>HYPERLINK("http://smart.embl-heidelberg.de/smart/do_annotation.pl?DOMAIN=CY&amp;BLAST=DUMMY","0.85")</f>
        <v>0.85</v>
      </c>
      <c r="BI479" t="str">
        <f>HYPERLINK("http://exon.niaid.nih.gov/transcriptome/Anopheles_sialome/links/TICK-BLOCKS/anochris_SG1-TICK-BLOCKS.txt","SG1_full |SG1_stringent_pattern |")</f>
        <v>SG1_full |SG1_stringent_pattern |</v>
      </c>
      <c r="BJ479" s="2" t="s">
        <v>2423</v>
      </c>
      <c r="BK479" t="s">
        <v>1737</v>
      </c>
      <c r="BL479">
        <f>HYPERLINK("http://exon.niaid.nih.gov/transcriptome/Anopheles_sialome/links/cluster-b/anopheline-sialome-cds-pep-larger-orf25-50SimCLU3.txt", 3)</f>
        <v>3</v>
      </c>
      <c r="BM479">
        <f>HYPERLINK("http://exon.niaid.nih.gov/transcriptome/Anopheles_sialome/links/cluster-b/anopheline-sialome-cds-pep-larger-orf25-50SimCLTL3.txt", 119)</f>
        <v>119</v>
      </c>
      <c r="BN479">
        <f>HYPERLINK("http://exon.niaid.nih.gov/transcriptome/Anopheles_sialome/links/cluster-b/anopheline-sialome-cds-pep-larger-orf30-50SimCLU3.txt", 3)</f>
        <v>3</v>
      </c>
      <c r="BO479">
        <f>HYPERLINK("http://exon.niaid.nih.gov/transcriptome/Anopheles_sialome/links/cluster-b/anopheline-sialome-cds-pep-larger-orf30-50SimCLTL3.txt", 119)</f>
        <v>119</v>
      </c>
      <c r="BP479">
        <f>HYPERLINK("http://exon.niaid.nih.gov/transcriptome/Anopheles_sialome/links/cluster-b/anopheline-sialome-cds-pep-larger-orf35-50SimCLU2.txt", 2)</f>
        <v>2</v>
      </c>
      <c r="BQ479">
        <f>HYPERLINK("http://exon.niaid.nih.gov/transcriptome/Anopheles_sialome/links/cluster-b/anopheline-sialome-cds-pep-larger-orf35-50SimCLTL2.txt", 119)</f>
        <v>119</v>
      </c>
      <c r="BR479">
        <f>HYPERLINK("http://exon.niaid.nih.gov/transcriptome/Anopheles_sialome/links/cluster-b/anopheline-sialome-cds-pep-larger-orf40-50SimCLU1.txt", 1)</f>
        <v>1</v>
      </c>
      <c r="BS479">
        <f>HYPERLINK("http://exon.niaid.nih.gov/transcriptome/Anopheles_sialome/links/cluster-b/anopheline-sialome-cds-pep-larger-orf40-50SimCLTL1.txt", 119)</f>
        <v>119</v>
      </c>
      <c r="BT479">
        <f>HYPERLINK("http://exon.niaid.nih.gov/transcriptome/Anopheles_sialome/links/cluster-b/anopheline-sialome-cds-pep-larger-orf45-50SimCLU3.txt", 3)</f>
        <v>3</v>
      </c>
      <c r="BU479">
        <f>HYPERLINK("http://exon.niaid.nih.gov/transcriptome/Anopheles_sialome/links/cluster-b/anopheline-sialome-cds-pep-larger-orf45-50SimCLTL3.txt", 65)</f>
        <v>65</v>
      </c>
      <c r="BV479">
        <f>HYPERLINK("http://exon.niaid.nih.gov/transcriptome/Anopheles_sialome/links/cluster-b/anopheline-sialome-cds-pep-larger-orf50-50SimCLU3.txt", 3)</f>
        <v>3</v>
      </c>
      <c r="BW479">
        <f>HYPERLINK("http://exon.niaid.nih.gov/transcriptome/Anopheles_sialome/links/cluster-b/anopheline-sialome-cds-pep-larger-orf50-50SimCLTL3.txt", 48)</f>
        <v>48</v>
      </c>
      <c r="BX479">
        <f>HYPERLINK("http://exon.niaid.nih.gov/transcriptome/Anopheles_sialome/links/cluster-b/anopheline-sialome-cds-pep-larger-orf55-50SimCLU3.txt", 3)</f>
        <v>3</v>
      </c>
      <c r="BY479">
        <f>HYPERLINK("http://exon.niaid.nih.gov/transcriptome/Anopheles_sialome/links/cluster-b/anopheline-sialome-cds-pep-larger-orf55-50SimCLTL3.txt", 47)</f>
        <v>47</v>
      </c>
      <c r="BZ479">
        <f>HYPERLINK("http://exon.niaid.nih.gov/transcriptome/Anopheles_sialome/links/cluster-b/anopheline-sialome-cds-pep-larger-orf60-50SimCLU22.txt", 22)</f>
        <v>22</v>
      </c>
      <c r="CA479">
        <f>HYPERLINK("http://exon.niaid.nih.gov/transcriptome/Anopheles_sialome/links/cluster-b/anopheline-sialome-cds-pep-larger-orf60-50SimCLTL22.txt", 17)</f>
        <v>17</v>
      </c>
      <c r="CB479">
        <f>HYPERLINK("http://exon.niaid.nih.gov/transcriptome/Anopheles_sialome/links/cluster-b/anopheline-sialome-cds-pep-larger-orf65-50SimCLU28.txt", 28)</f>
        <v>28</v>
      </c>
      <c r="CC479">
        <f>HYPERLINK("http://exon.niaid.nih.gov/transcriptome/Anopheles_sialome/links/cluster-b/anopheline-sialome-cds-pep-larger-orf65-50SimCLTL28.txt", 15)</f>
        <v>15</v>
      </c>
      <c r="CD479">
        <f>HYPERLINK("http://exon.niaid.nih.gov/transcriptome/Anopheles_sialome/links/cluster-b/anopheline-sialome-cds-pep-larger-orf70-50SimCLU25.txt", 25)</f>
        <v>25</v>
      </c>
      <c r="CE479">
        <f>HYPERLINK("http://exon.niaid.nih.gov/transcriptome/Anopheles_sialome/links/cluster-b/anopheline-sialome-cds-pep-larger-orf70-50SimCLTL25.txt", 15)</f>
        <v>15</v>
      </c>
      <c r="CF479">
        <f>HYPERLINK("http://exon.niaid.nih.gov/transcriptome/Anopheles_sialome/links/cluster-b/anopheline-sialome-cds-pep-larger-orf75-50SimCLU25.txt", 25)</f>
        <v>25</v>
      </c>
      <c r="CG479">
        <f>HYPERLINK("http://exon.niaid.nih.gov/transcriptome/Anopheles_sialome/links/cluster-b/anopheline-sialome-cds-pep-larger-orf75-50SimCLTL25.txt", 13)</f>
        <v>13</v>
      </c>
      <c r="CH479">
        <f>HYPERLINK("http://exon.niaid.nih.gov/transcriptome/Anopheles_sialome/links/cluster-b/anopheline-sialome-cds-pep-larger-orf80-50SimCLU32.txt", 32)</f>
        <v>32</v>
      </c>
      <c r="CI479">
        <f>HYPERLINK("http://exon.niaid.nih.gov/transcriptome/Anopheles_sialome/links/cluster-b/anopheline-sialome-cds-pep-larger-orf80-50SimCLTL32.txt", 7)</f>
        <v>7</v>
      </c>
      <c r="CJ479">
        <v>251</v>
      </c>
      <c r="CK479">
        <v>1</v>
      </c>
      <c r="CL479">
        <v>316</v>
      </c>
      <c r="CM479">
        <v>1</v>
      </c>
      <c r="CN479">
        <v>387</v>
      </c>
      <c r="CO479">
        <v>1</v>
      </c>
    </row>
    <row r="480" spans="1:93">
      <c r="A480" s="2" t="str">
        <f>HYPERLINK("http://exon.niaid.nih.gov/transcriptome/Anopheles_sialome/links/cds/anoepi_SG1-cds.txt","anoepi_SG1")</f>
        <v>anoepi_SG1</v>
      </c>
      <c r="B480">
        <v>1221</v>
      </c>
      <c r="C480" t="s">
        <v>425</v>
      </c>
      <c r="D480" t="s">
        <v>7</v>
      </c>
      <c r="E480" t="s">
        <v>5</v>
      </c>
      <c r="F480" t="s">
        <v>1</v>
      </c>
      <c r="G480" t="str">
        <f>HYPERLINK("http://exon.niaid.nih.gov/transcriptome/Anopheles_sialome/links/pep/anoepi_SG1-pep.txt","anoepi_SG1")</f>
        <v>anoepi_SG1</v>
      </c>
      <c r="H480">
        <v>406</v>
      </c>
      <c r="I480">
        <v>1</v>
      </c>
      <c r="J480" s="3" t="str">
        <f>HYPERLINK("http://exon.niaid.nih.gov/transcriptome/Anopheles_sialome/links/Sigp/anoepi_SG1-SigP.txt","SIG")</f>
        <v>SIG</v>
      </c>
      <c r="K480" t="s">
        <v>925</v>
      </c>
      <c r="L480">
        <v>46.851999999999997</v>
      </c>
      <c r="M480">
        <v>6.65</v>
      </c>
      <c r="N480">
        <v>44.984000000000002</v>
      </c>
      <c r="O480">
        <v>6.5</v>
      </c>
      <c r="P480" t="s">
        <v>1739</v>
      </c>
      <c r="Q480" s="3">
        <v>0</v>
      </c>
      <c r="R480" t="s">
        <v>128</v>
      </c>
      <c r="S480" t="s">
        <v>128</v>
      </c>
      <c r="T480" t="s">
        <v>128</v>
      </c>
      <c r="U480" t="s">
        <v>128</v>
      </c>
      <c r="V480" t="s">
        <v>128</v>
      </c>
      <c r="W480" s="3" t="str">
        <f>HYPERLINK("http://exon.niaid.nih.gov/transcriptome/Anopheles_sialome/links/netoglyc/anoepi_SG1-netoglyc.txt","0")</f>
        <v>0</v>
      </c>
      <c r="X480">
        <v>11.1</v>
      </c>
      <c r="Y480">
        <v>3</v>
      </c>
      <c r="Z480">
        <v>2.5</v>
      </c>
      <c r="AA480" t="s">
        <v>654</v>
      </c>
      <c r="AB480" t="s">
        <v>128</v>
      </c>
      <c r="AC480" s="2" t="str">
        <f>HYPERLINK("http://exon.niaid.nih.gov/transcriptome/Anopheles_sialome/links/DIPTERA/anoepi_SG1-DIPTERA.txt","AGAP000612-PA")</f>
        <v>AGAP000612-PA</v>
      </c>
      <c r="AD480" t="str">
        <f>HYPERLINK("http://www.ncbi.nlm.nih.gov/sutils/blink.cgi?pid=21294374","1E-129")</f>
        <v>1E-129</v>
      </c>
      <c r="AE480" t="str">
        <f t="shared" si="160"/>
        <v>gi|21294374</v>
      </c>
      <c r="AF480">
        <v>58</v>
      </c>
      <c r="AG480">
        <v>76</v>
      </c>
      <c r="AH480">
        <v>100</v>
      </c>
      <c r="AI480" t="s">
        <v>2285</v>
      </c>
      <c r="AJ480" s="2" t="str">
        <f>HYPERLINK("http://exon.niaid.nih.gov/transcriptome/Anopheles_sialome/links/CULICOMORPHA/anoepi_SG1-CULICOMORPHA.txt","AGAP000612-PA")</f>
        <v>AGAP000612-PA</v>
      </c>
      <c r="AK480" t="str">
        <f>HYPERLINK("http://www.ncbi.nlm.nih.gov/sutils/blink.cgi?pid=21294374","1E-130")</f>
        <v>1E-130</v>
      </c>
      <c r="AL480" t="str">
        <f t="shared" si="162"/>
        <v>gi|21294374</v>
      </c>
      <c r="AM480">
        <v>58</v>
      </c>
      <c r="AN480">
        <v>76</v>
      </c>
      <c r="AO480">
        <v>100</v>
      </c>
      <c r="AP480" t="s">
        <v>2285</v>
      </c>
      <c r="AQ480" s="2" t="str">
        <f>HYPERLINK("http://exon.niaid.nih.gov/transcriptome/Anopheles_sialome/links/NR-LIGHT/anoepi_SG1-NR-LIGHT.txt","AGAP000612-PA")</f>
        <v>AGAP000612-PA</v>
      </c>
      <c r="AR480" t="str">
        <f>HYPERLINK("http://www.ncbi.nlm.nih.gov/sutils/blink.cgi?pid=31203041","1E-129")</f>
        <v>1E-129</v>
      </c>
      <c r="AS480" t="str">
        <f t="shared" si="164"/>
        <v>gi|31203041</v>
      </c>
      <c r="AT480">
        <v>58</v>
      </c>
      <c r="AU480">
        <v>76</v>
      </c>
      <c r="AV480">
        <v>100</v>
      </c>
      <c r="AW480" t="s">
        <v>2285</v>
      </c>
      <c r="AX480" s="2" t="str">
        <f>HYPERLINK("http://exon.niaid.nih.gov/transcriptome/Anopheles_sialome/links/CDD/anoepi_SG1-CDD.txt","SLC5sbd_NIS-SMV")</f>
        <v>SLC5sbd_NIS-SMV</v>
      </c>
      <c r="AY480" t="str">
        <f>HYPERLINK("http://www.ncbi.nlm.nih.gov/Structure/cdd/cddsrv.cgi?uid=cd11492&amp;version=v4.0","0.036")</f>
        <v>0.036</v>
      </c>
      <c r="AZ480" t="s">
        <v>2866</v>
      </c>
      <c r="BA480" s="2" t="str">
        <f>HYPERLINK("http://exon.niaid.nih.gov/transcriptome/Anopheles_sialome/links/KOG/anoepi_SG1-KOG.txt","Microtubule binding protein YTM1 (contains WD40 repeats)")</f>
        <v>Microtubule binding protein YTM1 (contains WD40 repeats)</v>
      </c>
      <c r="BB480" t="str">
        <f>HYPERLINK("http://www.ncbi.nlm.nih.gov/Structure/cdd/cddsrv.cgi?uid=KOG0313","0.003")</f>
        <v>0.003</v>
      </c>
      <c r="BC480" t="s">
        <v>2312</v>
      </c>
      <c r="BD480" t="str">
        <f>HYPERLINK("http://exon.niaid.nih.gov/transcriptome/Anopheles_sialome/links/KOG/anoepi_SG1-KOG.txt","KOG0313")</f>
        <v>KOG0313</v>
      </c>
      <c r="BE480" t="str">
        <f>HYPERLINK("http://exon.niaid.nih.gov/transcriptome/Anopheles_sialome/links/PFAM/anoepi_SG1-PFAM.txt","Flavokinase")</f>
        <v>Flavokinase</v>
      </c>
      <c r="BF480" t="str">
        <f>HYPERLINK("http://pfam.sanger.ac.uk/family?acc=PF01687","0.41")</f>
        <v>0.41</v>
      </c>
      <c r="BG480" s="2" t="str">
        <f>HYPERLINK("http://exon.niaid.nih.gov/transcriptome/Anopheles_sialome/links/SMART/anoepi_SG1-SMART.txt","Flavokinase")</f>
        <v>Flavokinase</v>
      </c>
      <c r="BH480" t="str">
        <f>HYPERLINK("http://smart.embl-heidelberg.de/smart/do_annotation.pl?DOMAIN=Flavokinase&amp;BLAST=DUMMY","0.13")</f>
        <v>0.13</v>
      </c>
      <c r="BI480" t="str">
        <f>HYPERLINK("http://exon.niaid.nih.gov/transcriptome/Anopheles_sialome/links/TICK-BLOCKS/anoepi_SG1-TICK-BLOCKS.txt","SG1_full |SG1_stringent_pattern |")</f>
        <v>SG1_full |SG1_stringent_pattern |</v>
      </c>
      <c r="BJ480" s="2" t="s">
        <v>2423</v>
      </c>
      <c r="BK480" t="s">
        <v>1738</v>
      </c>
      <c r="BL480">
        <f>HYPERLINK("http://exon.niaid.nih.gov/transcriptome/Anopheles_sialome/links/cluster-b/anopheline-sialome-cds-pep-larger-orf25-50SimCLU3.txt", 3)</f>
        <v>3</v>
      </c>
      <c r="BM480">
        <f>HYPERLINK("http://exon.niaid.nih.gov/transcriptome/Anopheles_sialome/links/cluster-b/anopheline-sialome-cds-pep-larger-orf25-50SimCLTL3.txt", 119)</f>
        <v>119</v>
      </c>
      <c r="BN480">
        <f>HYPERLINK("http://exon.niaid.nih.gov/transcriptome/Anopheles_sialome/links/cluster-b/anopheline-sialome-cds-pep-larger-orf30-50SimCLU3.txt", 3)</f>
        <v>3</v>
      </c>
      <c r="BO480">
        <f>HYPERLINK("http://exon.niaid.nih.gov/transcriptome/Anopheles_sialome/links/cluster-b/anopheline-sialome-cds-pep-larger-orf30-50SimCLTL3.txt", 119)</f>
        <v>119</v>
      </c>
      <c r="BP480">
        <f>HYPERLINK("http://exon.niaid.nih.gov/transcriptome/Anopheles_sialome/links/cluster-b/anopheline-sialome-cds-pep-larger-orf35-50SimCLU2.txt", 2)</f>
        <v>2</v>
      </c>
      <c r="BQ480">
        <f>HYPERLINK("http://exon.niaid.nih.gov/transcriptome/Anopheles_sialome/links/cluster-b/anopheline-sialome-cds-pep-larger-orf35-50SimCLTL2.txt", 119)</f>
        <v>119</v>
      </c>
      <c r="BR480">
        <f>HYPERLINK("http://exon.niaid.nih.gov/transcriptome/Anopheles_sialome/links/cluster-b/anopheline-sialome-cds-pep-larger-orf40-50SimCLU1.txt", 1)</f>
        <v>1</v>
      </c>
      <c r="BS480">
        <f>HYPERLINK("http://exon.niaid.nih.gov/transcriptome/Anopheles_sialome/links/cluster-b/anopheline-sialome-cds-pep-larger-orf40-50SimCLTL1.txt", 119)</f>
        <v>119</v>
      </c>
      <c r="BT480">
        <f>HYPERLINK("http://exon.niaid.nih.gov/transcriptome/Anopheles_sialome/links/cluster-b/anopheline-sialome-cds-pep-larger-orf45-50SimCLU3.txt", 3)</f>
        <v>3</v>
      </c>
      <c r="BU480">
        <f>HYPERLINK("http://exon.niaid.nih.gov/transcriptome/Anopheles_sialome/links/cluster-b/anopheline-sialome-cds-pep-larger-orf45-50SimCLTL3.txt", 65)</f>
        <v>65</v>
      </c>
      <c r="BV480">
        <f>HYPERLINK("http://exon.niaid.nih.gov/transcriptome/Anopheles_sialome/links/cluster-b/anopheline-sialome-cds-pep-larger-orf50-50SimCLU3.txt", 3)</f>
        <v>3</v>
      </c>
      <c r="BW480">
        <f>HYPERLINK("http://exon.niaid.nih.gov/transcriptome/Anopheles_sialome/links/cluster-b/anopheline-sialome-cds-pep-larger-orf50-50SimCLTL3.txt", 48)</f>
        <v>48</v>
      </c>
      <c r="BX480">
        <f>HYPERLINK("http://exon.niaid.nih.gov/transcriptome/Anopheles_sialome/links/cluster-b/anopheline-sialome-cds-pep-larger-orf55-50SimCLU3.txt", 3)</f>
        <v>3</v>
      </c>
      <c r="BY480">
        <f>HYPERLINK("http://exon.niaid.nih.gov/transcriptome/Anopheles_sialome/links/cluster-b/anopheline-sialome-cds-pep-larger-orf55-50SimCLTL3.txt", 47)</f>
        <v>47</v>
      </c>
      <c r="BZ480">
        <f>HYPERLINK("http://exon.niaid.nih.gov/transcriptome/Anopheles_sialome/links/cluster-b/anopheline-sialome-cds-pep-larger-orf60-50SimCLU22.txt", 22)</f>
        <v>22</v>
      </c>
      <c r="CA480">
        <f>HYPERLINK("http://exon.niaid.nih.gov/transcriptome/Anopheles_sialome/links/cluster-b/anopheline-sialome-cds-pep-larger-orf60-50SimCLTL22.txt", 17)</f>
        <v>17</v>
      </c>
      <c r="CB480">
        <f>HYPERLINK("http://exon.niaid.nih.gov/transcriptome/Anopheles_sialome/links/cluster-b/anopheline-sialome-cds-pep-larger-orf65-50SimCLU28.txt", 28)</f>
        <v>28</v>
      </c>
      <c r="CC480">
        <f>HYPERLINK("http://exon.niaid.nih.gov/transcriptome/Anopheles_sialome/links/cluster-b/anopheline-sialome-cds-pep-larger-orf65-50SimCLTL28.txt", 15)</f>
        <v>15</v>
      </c>
      <c r="CD480">
        <f>HYPERLINK("http://exon.niaid.nih.gov/transcriptome/Anopheles_sialome/links/cluster-b/anopheline-sialome-cds-pep-larger-orf70-50SimCLU25.txt", 25)</f>
        <v>25</v>
      </c>
      <c r="CE480">
        <f>HYPERLINK("http://exon.niaid.nih.gov/transcriptome/Anopheles_sialome/links/cluster-b/anopheline-sialome-cds-pep-larger-orf70-50SimCLTL25.txt", 15)</f>
        <v>15</v>
      </c>
      <c r="CF480">
        <f>HYPERLINK("http://exon.niaid.nih.gov/transcriptome/Anopheles_sialome/links/cluster-b/anopheline-sialome-cds-pep-larger-orf75-50SimCLU25.txt", 25)</f>
        <v>25</v>
      </c>
      <c r="CG480">
        <f>HYPERLINK("http://exon.niaid.nih.gov/transcriptome/Anopheles_sialome/links/cluster-b/anopheline-sialome-cds-pep-larger-orf75-50SimCLTL25.txt", 13)</f>
        <v>13</v>
      </c>
      <c r="CH480">
        <v>192</v>
      </c>
      <c r="CI480">
        <v>1</v>
      </c>
      <c r="CJ480">
        <v>252</v>
      </c>
      <c r="CK480">
        <v>1</v>
      </c>
      <c r="CL480">
        <v>317</v>
      </c>
      <c r="CM480">
        <v>1</v>
      </c>
      <c r="CN480">
        <v>388</v>
      </c>
      <c r="CO480">
        <v>1</v>
      </c>
    </row>
    <row r="481" spans="1:93">
      <c r="A481" s="2" t="str">
        <f>HYPERLINK("http://exon.niaid.nih.gov/transcriptome/Anopheles_sialome/links/cds/anofun_SG1-cds.txt","anofun_SG1")</f>
        <v>anofun_SG1</v>
      </c>
      <c r="B481">
        <v>1197</v>
      </c>
      <c r="C481" t="s">
        <v>426</v>
      </c>
      <c r="D481" t="s">
        <v>7</v>
      </c>
      <c r="E481" t="s">
        <v>5</v>
      </c>
      <c r="F481" t="s">
        <v>1</v>
      </c>
      <c r="G481" t="str">
        <f>HYPERLINK("http://exon.niaid.nih.gov/transcriptome/Anopheles_sialome/links/pep/anofun_SG1-pep.txt","anofun_SG1")</f>
        <v>anofun_SG1</v>
      </c>
      <c r="H481">
        <v>398</v>
      </c>
      <c r="I481">
        <v>2</v>
      </c>
      <c r="J481" s="3" t="str">
        <f>HYPERLINK("http://exon.niaid.nih.gov/transcriptome/Anopheles_sialome/links/Sigp/anofun_SG1-SigP.txt","SIG")</f>
        <v>SIG</v>
      </c>
      <c r="K481" t="s">
        <v>925</v>
      </c>
      <c r="L481">
        <v>46.484000000000002</v>
      </c>
      <c r="M481">
        <v>9.24</v>
      </c>
      <c r="N481">
        <v>44.514000000000003</v>
      </c>
      <c r="O481">
        <v>9.24</v>
      </c>
      <c r="P481" t="s">
        <v>1741</v>
      </c>
      <c r="Q481" s="3">
        <v>0</v>
      </c>
      <c r="R481" t="s">
        <v>128</v>
      </c>
      <c r="S481" t="s">
        <v>128</v>
      </c>
      <c r="T481" t="s">
        <v>128</v>
      </c>
      <c r="U481" t="s">
        <v>128</v>
      </c>
      <c r="V481" t="s">
        <v>128</v>
      </c>
      <c r="W481" s="3" t="str">
        <f>HYPERLINK("http://exon.niaid.nih.gov/transcriptome/Anopheles_sialome/links/netoglyc/anofun_SG1-netoglyc.txt","0")</f>
        <v>0</v>
      </c>
      <c r="X481">
        <v>9.8000000000000007</v>
      </c>
      <c r="Y481">
        <v>3.5</v>
      </c>
      <c r="Z481">
        <v>4</v>
      </c>
      <c r="AA481" t="s">
        <v>654</v>
      </c>
      <c r="AB481" t="s">
        <v>128</v>
      </c>
      <c r="AC481" s="2" t="str">
        <f>HYPERLINK("http://exon.niaid.nih.gov/transcriptome/Anopheles_sialome/links/DIPTERA/anofun_SG1-DIPTERA.txt","AGAP000612-PA")</f>
        <v>AGAP000612-PA</v>
      </c>
      <c r="AD481" t="str">
        <f>HYPERLINK("http://www.ncbi.nlm.nih.gov/sutils/blink.cgi?pid=21294374","1E-110")</f>
        <v>1E-110</v>
      </c>
      <c r="AE481" t="str">
        <f t="shared" si="160"/>
        <v>gi|21294374</v>
      </c>
      <c r="AF481">
        <v>49</v>
      </c>
      <c r="AG481">
        <v>69</v>
      </c>
      <c r="AH481">
        <v>100</v>
      </c>
      <c r="AI481" t="s">
        <v>2285</v>
      </c>
      <c r="AJ481" s="2" t="str">
        <f>HYPERLINK("http://exon.niaid.nih.gov/transcriptome/Anopheles_sialome/links/CULICOMORPHA/anofun_SG1-CULICOMORPHA.txt","AGAP000612-PA")</f>
        <v>AGAP000612-PA</v>
      </c>
      <c r="AK481" t="str">
        <f>HYPERLINK("http://www.ncbi.nlm.nih.gov/sutils/blink.cgi?pid=21294374","1E-111")</f>
        <v>1E-111</v>
      </c>
      <c r="AL481" t="str">
        <f t="shared" si="162"/>
        <v>gi|21294374</v>
      </c>
      <c r="AM481">
        <v>49</v>
      </c>
      <c r="AN481">
        <v>69</v>
      </c>
      <c r="AO481">
        <v>100</v>
      </c>
      <c r="AP481" t="s">
        <v>2285</v>
      </c>
      <c r="AQ481" s="2" t="str">
        <f>HYPERLINK("http://exon.niaid.nih.gov/transcriptome/Anopheles_sialome/links/NR-LIGHT/anofun_SG1-NR-LIGHT.txt","AGAP000612-PA")</f>
        <v>AGAP000612-PA</v>
      </c>
      <c r="AR481" t="str">
        <f>HYPERLINK("http://www.ncbi.nlm.nih.gov/sutils/blink.cgi?pid=31203041","1E-110")</f>
        <v>1E-110</v>
      </c>
      <c r="AS481" t="str">
        <f t="shared" si="164"/>
        <v>gi|31203041</v>
      </c>
      <c r="AT481">
        <v>49</v>
      </c>
      <c r="AU481">
        <v>69</v>
      </c>
      <c r="AV481">
        <v>100</v>
      </c>
      <c r="AW481" t="s">
        <v>2285</v>
      </c>
      <c r="AX481" s="2" t="str">
        <f>HYPERLINK("http://exon.niaid.nih.gov/transcriptome/Anopheles_sialome/links/CDD/anofun_SG1-CDD.txt","Glutaminase_1")</f>
        <v>Glutaminase_1</v>
      </c>
      <c r="AY481" t="str">
        <f>HYPERLINK("http://www.ncbi.nlm.nih.gov/Structure/cdd/cddsrv.cgi?uid=TIGR03814&amp;version=v4.0","0.084")</f>
        <v>0.084</v>
      </c>
      <c r="AZ481" t="s">
        <v>2867</v>
      </c>
      <c r="BA481" s="2" t="str">
        <f>HYPERLINK("http://exon.niaid.nih.gov/transcriptome/Anopheles_sialome/links/KOG/anofun_SG1-KOG.txt","Nuclear export receptor CSE1/CAS (importin beta superfamily)")</f>
        <v>Nuclear export receptor CSE1/CAS (importin beta superfamily)</v>
      </c>
      <c r="BB481" t="str">
        <f>HYPERLINK("http://www.ncbi.nlm.nih.gov/Structure/cdd/cddsrv.cgi?uid=KOG1992","0.61")</f>
        <v>0.61</v>
      </c>
      <c r="BC481" t="s">
        <v>2451</v>
      </c>
      <c r="BD481" t="str">
        <f>HYPERLINK("http://exon.niaid.nih.gov/transcriptome/Anopheles_sialome/links/KOG/anofun_SG1-KOG.txt","KOG1992")</f>
        <v>KOG1992</v>
      </c>
      <c r="BE481" t="str">
        <f>HYPERLINK("http://exon.niaid.nih.gov/transcriptome/Anopheles_sialome/links/PFAM/anofun_SG1-PFAM.txt","Cytidylate_kin2")</f>
        <v>Cytidylate_kin2</v>
      </c>
      <c r="BF481" t="str">
        <f>HYPERLINK("http://pfam.sanger.ac.uk/family?acc=PF13189","0.73")</f>
        <v>0.73</v>
      </c>
      <c r="BG481" s="2" t="str">
        <f>HYPERLINK("http://exon.niaid.nih.gov/transcriptome/Anopheles_sialome/links/SMART/anofun_SG1-SMART.txt","BAR")</f>
        <v>BAR</v>
      </c>
      <c r="BH481" t="str">
        <f>HYPERLINK("http://smart.embl-heidelberg.de/smart/do_annotation.pl?DOMAIN=BAR&amp;BLAST=DUMMY","1.0")</f>
        <v>1.0</v>
      </c>
      <c r="BI481" t="str">
        <f>HYPERLINK("http://exon.niaid.nih.gov/transcriptome/Anopheles_sialome/links/TICK-BLOCKS/anofun_SG1-TICK-BLOCKS.txt","SG1_full |SG1_stringent_pattern |")</f>
        <v>SG1_full |SG1_stringent_pattern |</v>
      </c>
      <c r="BJ481" s="2" t="s">
        <v>2423</v>
      </c>
      <c r="BK481" t="s">
        <v>1740</v>
      </c>
      <c r="BL481">
        <f>HYPERLINK("http://exon.niaid.nih.gov/transcriptome/Anopheles_sialome/links/cluster-b/anopheline-sialome-cds-pep-larger-orf25-50SimCLU3.txt", 3)</f>
        <v>3</v>
      </c>
      <c r="BM481">
        <f>HYPERLINK("http://exon.niaid.nih.gov/transcriptome/Anopheles_sialome/links/cluster-b/anopheline-sialome-cds-pep-larger-orf25-50SimCLTL3.txt", 119)</f>
        <v>119</v>
      </c>
      <c r="BN481">
        <f>HYPERLINK("http://exon.niaid.nih.gov/transcriptome/Anopheles_sialome/links/cluster-b/anopheline-sialome-cds-pep-larger-orf30-50SimCLU3.txt", 3)</f>
        <v>3</v>
      </c>
      <c r="BO481">
        <f>HYPERLINK("http://exon.niaid.nih.gov/transcriptome/Anopheles_sialome/links/cluster-b/anopheline-sialome-cds-pep-larger-orf30-50SimCLTL3.txt", 119)</f>
        <v>119</v>
      </c>
      <c r="BP481">
        <f>HYPERLINK("http://exon.niaid.nih.gov/transcriptome/Anopheles_sialome/links/cluster-b/anopheline-sialome-cds-pep-larger-orf35-50SimCLU2.txt", 2)</f>
        <v>2</v>
      </c>
      <c r="BQ481">
        <f>HYPERLINK("http://exon.niaid.nih.gov/transcriptome/Anopheles_sialome/links/cluster-b/anopheline-sialome-cds-pep-larger-orf35-50SimCLTL2.txt", 119)</f>
        <v>119</v>
      </c>
      <c r="BR481">
        <f>HYPERLINK("http://exon.niaid.nih.gov/transcriptome/Anopheles_sialome/links/cluster-b/anopheline-sialome-cds-pep-larger-orf40-50SimCLU1.txt", 1)</f>
        <v>1</v>
      </c>
      <c r="BS481">
        <f>HYPERLINK("http://exon.niaid.nih.gov/transcriptome/Anopheles_sialome/links/cluster-b/anopheline-sialome-cds-pep-larger-orf40-50SimCLTL1.txt", 119)</f>
        <v>119</v>
      </c>
      <c r="BT481">
        <f>HYPERLINK("http://exon.niaid.nih.gov/transcriptome/Anopheles_sialome/links/cluster-b/anopheline-sialome-cds-pep-larger-orf45-50SimCLU3.txt", 3)</f>
        <v>3</v>
      </c>
      <c r="BU481">
        <f>HYPERLINK("http://exon.niaid.nih.gov/transcriptome/Anopheles_sialome/links/cluster-b/anopheline-sialome-cds-pep-larger-orf45-50SimCLTL3.txt", 65)</f>
        <v>65</v>
      </c>
      <c r="BV481">
        <f>HYPERLINK("http://exon.niaid.nih.gov/transcriptome/Anopheles_sialome/links/cluster-b/anopheline-sialome-cds-pep-larger-orf50-50SimCLU3.txt", 3)</f>
        <v>3</v>
      </c>
      <c r="BW481">
        <f>HYPERLINK("http://exon.niaid.nih.gov/transcriptome/Anopheles_sialome/links/cluster-b/anopheline-sialome-cds-pep-larger-orf50-50SimCLTL3.txt", 48)</f>
        <v>48</v>
      </c>
      <c r="BX481">
        <f>HYPERLINK("http://exon.niaid.nih.gov/transcriptome/Anopheles_sialome/links/cluster-b/anopheline-sialome-cds-pep-larger-orf55-50SimCLU3.txt", 3)</f>
        <v>3</v>
      </c>
      <c r="BY481">
        <f>HYPERLINK("http://exon.niaid.nih.gov/transcriptome/Anopheles_sialome/links/cluster-b/anopheline-sialome-cds-pep-larger-orf55-50SimCLTL3.txt", 47)</f>
        <v>47</v>
      </c>
      <c r="BZ481">
        <f>HYPERLINK("http://exon.niaid.nih.gov/transcriptome/Anopheles_sialome/links/cluster-b/anopheline-sialome-cds-pep-larger-orf60-50SimCLU22.txt", 22)</f>
        <v>22</v>
      </c>
      <c r="CA481">
        <f>HYPERLINK("http://exon.niaid.nih.gov/transcriptome/Anopheles_sialome/links/cluster-b/anopheline-sialome-cds-pep-larger-orf60-50SimCLTL22.txt", 17)</f>
        <v>17</v>
      </c>
      <c r="CB481">
        <f>HYPERLINK("http://exon.niaid.nih.gov/transcriptome/Anopheles_sialome/links/cluster-b/anopheline-sialome-cds-pep-larger-orf65-50SimCLU28.txt", 28)</f>
        <v>28</v>
      </c>
      <c r="CC481">
        <f>HYPERLINK("http://exon.niaid.nih.gov/transcriptome/Anopheles_sialome/links/cluster-b/anopheline-sialome-cds-pep-larger-orf65-50SimCLTL28.txt", 15)</f>
        <v>15</v>
      </c>
      <c r="CD481">
        <f>HYPERLINK("http://exon.niaid.nih.gov/transcriptome/Anopheles_sialome/links/cluster-b/anopheline-sialome-cds-pep-larger-orf70-50SimCLU25.txt", 25)</f>
        <v>25</v>
      </c>
      <c r="CE481">
        <f>HYPERLINK("http://exon.niaid.nih.gov/transcriptome/Anopheles_sialome/links/cluster-b/anopheline-sialome-cds-pep-larger-orf70-50SimCLTL25.txt", 15)</f>
        <v>15</v>
      </c>
      <c r="CF481">
        <f>HYPERLINK("http://exon.niaid.nih.gov/transcriptome/Anopheles_sialome/links/cluster-b/anopheline-sialome-cds-pep-larger-orf75-50SimCLU25.txt", 25)</f>
        <v>25</v>
      </c>
      <c r="CG481">
        <f>HYPERLINK("http://exon.niaid.nih.gov/transcriptome/Anopheles_sialome/links/cluster-b/anopheline-sialome-cds-pep-larger-orf75-50SimCLTL25.txt", 13)</f>
        <v>13</v>
      </c>
      <c r="CH481">
        <f>HYPERLINK("http://exon.niaid.nih.gov/transcriptome/Anopheles_sialome/links/cluster-b/anopheline-sialome-cds-pep-larger-orf80-50SimCLU57.txt", 57)</f>
        <v>57</v>
      </c>
      <c r="CI481">
        <f>HYPERLINK("http://exon.niaid.nih.gov/transcriptome/Anopheles_sialome/links/cluster-b/anopheline-sialome-cds-pep-larger-orf80-50SimCLTL57.txt", 3)</f>
        <v>3</v>
      </c>
      <c r="CJ481">
        <v>253</v>
      </c>
      <c r="CK481">
        <v>1</v>
      </c>
      <c r="CL481">
        <v>318</v>
      </c>
      <c r="CM481">
        <v>1</v>
      </c>
      <c r="CN481">
        <v>389</v>
      </c>
      <c r="CO481">
        <v>1</v>
      </c>
    </row>
    <row r="482" spans="1:93">
      <c r="A482" s="2" t="str">
        <f>HYPERLINK("http://exon.niaid.nih.gov/transcriptome/Anopheles_sialome/links/cds/anomin_SG1-cds.txt","anomin_SG1")</f>
        <v>anomin_SG1</v>
      </c>
      <c r="B482">
        <v>1200</v>
      </c>
      <c r="C482" t="s">
        <v>427</v>
      </c>
      <c r="D482" t="s">
        <v>7</v>
      </c>
      <c r="E482" t="s">
        <v>5</v>
      </c>
      <c r="F482" t="s">
        <v>1</v>
      </c>
      <c r="G482" t="str">
        <f>HYPERLINK("http://exon.niaid.nih.gov/transcriptome/Anopheles_sialome/links/pep/anomin_SG1-pep.txt","anomin_SG1")</f>
        <v>anomin_SG1</v>
      </c>
      <c r="H482">
        <v>399</v>
      </c>
      <c r="I482">
        <v>3</v>
      </c>
      <c r="J482" s="3" t="str">
        <f>HYPERLINK("http://exon.niaid.nih.gov/transcriptome/Anopheles_sialome/links/Sigp/anomin_SG1-SigP.txt","SIG")</f>
        <v>SIG</v>
      </c>
      <c r="K482" t="s">
        <v>925</v>
      </c>
      <c r="L482">
        <v>46.091999999999999</v>
      </c>
      <c r="M482">
        <v>9.06</v>
      </c>
      <c r="N482">
        <v>44.225999999999999</v>
      </c>
      <c r="O482">
        <v>8.99</v>
      </c>
      <c r="P482" t="s">
        <v>1743</v>
      </c>
      <c r="Q482" s="3">
        <v>0</v>
      </c>
      <c r="R482" t="s">
        <v>128</v>
      </c>
      <c r="S482" t="s">
        <v>128</v>
      </c>
      <c r="T482" t="s">
        <v>128</v>
      </c>
      <c r="U482" t="s">
        <v>128</v>
      </c>
      <c r="V482" t="s">
        <v>128</v>
      </c>
      <c r="W482" s="3" t="str">
        <f>HYPERLINK("http://exon.niaid.nih.gov/transcriptome/Anopheles_sialome/links/netoglyc/anomin_SG1-netoglyc.txt","0")</f>
        <v>0</v>
      </c>
      <c r="X482">
        <v>11.5</v>
      </c>
      <c r="Y482">
        <v>4.3</v>
      </c>
      <c r="Z482">
        <v>3.3</v>
      </c>
      <c r="AA482" t="s">
        <v>654</v>
      </c>
      <c r="AB482" t="s">
        <v>128</v>
      </c>
      <c r="AC482" s="2" t="str">
        <f>HYPERLINK("http://exon.niaid.nih.gov/transcriptome/Anopheles_sialome/links/DIPTERA/anomin_SG1-DIPTERA.txt","AGAP000612-PA")</f>
        <v>AGAP000612-PA</v>
      </c>
      <c r="AD482" t="str">
        <f>HYPERLINK("http://www.ncbi.nlm.nih.gov/sutils/blink.cgi?pid=21294374","1E-105")</f>
        <v>1E-105</v>
      </c>
      <c r="AE482" t="str">
        <f t="shared" si="160"/>
        <v>gi|21294374</v>
      </c>
      <c r="AF482">
        <v>47</v>
      </c>
      <c r="AG482">
        <v>68</v>
      </c>
      <c r="AH482">
        <v>100</v>
      </c>
      <c r="AI482" t="s">
        <v>2285</v>
      </c>
      <c r="AJ482" s="2" t="str">
        <f>HYPERLINK("http://exon.niaid.nih.gov/transcriptome/Anopheles_sialome/links/CULICOMORPHA/anomin_SG1-CULICOMORPHA.txt","AGAP000612-PA")</f>
        <v>AGAP000612-PA</v>
      </c>
      <c r="AK482" t="str">
        <f>HYPERLINK("http://www.ncbi.nlm.nih.gov/sutils/blink.cgi?pid=21294374","1E-106")</f>
        <v>1E-106</v>
      </c>
      <c r="AL482" t="str">
        <f t="shared" si="162"/>
        <v>gi|21294374</v>
      </c>
      <c r="AM482">
        <v>47</v>
      </c>
      <c r="AN482">
        <v>68</v>
      </c>
      <c r="AO482">
        <v>100</v>
      </c>
      <c r="AP482" t="s">
        <v>2285</v>
      </c>
      <c r="AQ482" s="2" t="str">
        <f>HYPERLINK("http://exon.niaid.nih.gov/transcriptome/Anopheles_sialome/links/NR-LIGHT/anomin_SG1-NR-LIGHT.txt","AGAP000612-PA")</f>
        <v>AGAP000612-PA</v>
      </c>
      <c r="AR482" t="str">
        <f>HYPERLINK("http://www.ncbi.nlm.nih.gov/sutils/blink.cgi?pid=31203041","1E-105")</f>
        <v>1E-105</v>
      </c>
      <c r="AS482" t="str">
        <f t="shared" si="164"/>
        <v>gi|31203041</v>
      </c>
      <c r="AT482">
        <v>47</v>
      </c>
      <c r="AU482">
        <v>68</v>
      </c>
      <c r="AV482">
        <v>100</v>
      </c>
      <c r="AW482" t="s">
        <v>2285</v>
      </c>
      <c r="AX482" s="2" t="str">
        <f>HYPERLINK("http://exon.niaid.nih.gov/transcriptome/Anopheles_sialome/links/CDD/anomin_SG1-CDD.txt","AXE1")</f>
        <v>AXE1</v>
      </c>
      <c r="AY482" t="str">
        <f>HYPERLINK("http://www.ncbi.nlm.nih.gov/Structure/cdd/cddsrv.cgi?uid=pfam05448&amp;version=v4.0","0.38")</f>
        <v>0.38</v>
      </c>
      <c r="AZ482" t="s">
        <v>2868</v>
      </c>
      <c r="BA482" s="2" t="str">
        <f>HYPERLINK("http://exon.niaid.nih.gov/transcriptome/Anopheles_sialome/links/KOG/anomin_SG1-KOG.txt","Predicted nucleoside-diphosphate sugar epimerase")</f>
        <v>Predicted nucleoside-diphosphate sugar epimerase</v>
      </c>
      <c r="BB482" t="str">
        <f>HYPERLINK("http://www.ncbi.nlm.nih.gov/Structure/cdd/cddsrv.cgi?uid=KOG3019","0.13")</f>
        <v>0.13</v>
      </c>
      <c r="BC482" t="s">
        <v>2398</v>
      </c>
      <c r="BD482" t="str">
        <f>HYPERLINK("http://exon.niaid.nih.gov/transcriptome/Anopheles_sialome/links/KOG/anomin_SG1-KOG.txt","KOG3019")</f>
        <v>KOG3019</v>
      </c>
      <c r="BE482" t="str">
        <f>HYPERLINK("http://exon.niaid.nih.gov/transcriptome/Anopheles_sialome/links/PFAM/anomin_SG1-PFAM.txt","AXE1")</f>
        <v>AXE1</v>
      </c>
      <c r="BF482" t="str">
        <f>HYPERLINK("http://pfam.sanger.ac.uk/family?acc=PF05448","0.074")</f>
        <v>0.074</v>
      </c>
      <c r="BG482" s="2" t="str">
        <f>HYPERLINK("http://exon.niaid.nih.gov/transcriptome/Anopheles_sialome/links/SMART/anomin_SG1-SMART.txt","CDC48_2")</f>
        <v>CDC48_2</v>
      </c>
      <c r="BH482" t="str">
        <f>HYPERLINK("http://smart.embl-heidelberg.de/smart/do_annotation.pl?DOMAIN=CDC48_2&amp;BLAST=DUMMY","0.56")</f>
        <v>0.56</v>
      </c>
      <c r="BI482" t="str">
        <f>HYPERLINK("http://exon.niaid.nih.gov/transcriptome/Anopheles_sialome/links/TICK-BLOCKS/anomin_SG1-TICK-BLOCKS.txt","SG1_full |SG1_stringent_pattern |")</f>
        <v>SG1_full |SG1_stringent_pattern |</v>
      </c>
      <c r="BJ482" s="2" t="s">
        <v>2423</v>
      </c>
      <c r="BK482" t="s">
        <v>1742</v>
      </c>
      <c r="BL482">
        <f>HYPERLINK("http://exon.niaid.nih.gov/transcriptome/Anopheles_sialome/links/cluster-b/anopheline-sialome-cds-pep-larger-orf25-50SimCLU3.txt", 3)</f>
        <v>3</v>
      </c>
      <c r="BM482">
        <f>HYPERLINK("http://exon.niaid.nih.gov/transcriptome/Anopheles_sialome/links/cluster-b/anopheline-sialome-cds-pep-larger-orf25-50SimCLTL3.txt", 119)</f>
        <v>119</v>
      </c>
      <c r="BN482">
        <f>HYPERLINK("http://exon.niaid.nih.gov/transcriptome/Anopheles_sialome/links/cluster-b/anopheline-sialome-cds-pep-larger-orf30-50SimCLU3.txt", 3)</f>
        <v>3</v>
      </c>
      <c r="BO482">
        <f>HYPERLINK("http://exon.niaid.nih.gov/transcriptome/Anopheles_sialome/links/cluster-b/anopheline-sialome-cds-pep-larger-orf30-50SimCLTL3.txt", 119)</f>
        <v>119</v>
      </c>
      <c r="BP482">
        <f>HYPERLINK("http://exon.niaid.nih.gov/transcriptome/Anopheles_sialome/links/cluster-b/anopheline-sialome-cds-pep-larger-orf35-50SimCLU2.txt", 2)</f>
        <v>2</v>
      </c>
      <c r="BQ482">
        <f>HYPERLINK("http://exon.niaid.nih.gov/transcriptome/Anopheles_sialome/links/cluster-b/anopheline-sialome-cds-pep-larger-orf35-50SimCLTL2.txt", 119)</f>
        <v>119</v>
      </c>
      <c r="BR482">
        <f>HYPERLINK("http://exon.niaid.nih.gov/transcriptome/Anopheles_sialome/links/cluster-b/anopheline-sialome-cds-pep-larger-orf40-50SimCLU1.txt", 1)</f>
        <v>1</v>
      </c>
      <c r="BS482">
        <f>HYPERLINK("http://exon.niaid.nih.gov/transcriptome/Anopheles_sialome/links/cluster-b/anopheline-sialome-cds-pep-larger-orf40-50SimCLTL1.txt", 119)</f>
        <v>119</v>
      </c>
      <c r="BT482">
        <f>HYPERLINK("http://exon.niaid.nih.gov/transcriptome/Anopheles_sialome/links/cluster-b/anopheline-sialome-cds-pep-larger-orf45-50SimCLU3.txt", 3)</f>
        <v>3</v>
      </c>
      <c r="BU482">
        <f>HYPERLINK("http://exon.niaid.nih.gov/transcriptome/Anopheles_sialome/links/cluster-b/anopheline-sialome-cds-pep-larger-orf45-50SimCLTL3.txt", 65)</f>
        <v>65</v>
      </c>
      <c r="BV482">
        <f>HYPERLINK("http://exon.niaid.nih.gov/transcriptome/Anopheles_sialome/links/cluster-b/anopheline-sialome-cds-pep-larger-orf50-50SimCLU3.txt", 3)</f>
        <v>3</v>
      </c>
      <c r="BW482">
        <f>HYPERLINK("http://exon.niaid.nih.gov/transcriptome/Anopheles_sialome/links/cluster-b/anopheline-sialome-cds-pep-larger-orf50-50SimCLTL3.txt", 48)</f>
        <v>48</v>
      </c>
      <c r="BX482">
        <f>HYPERLINK("http://exon.niaid.nih.gov/transcriptome/Anopheles_sialome/links/cluster-b/anopheline-sialome-cds-pep-larger-orf55-50SimCLU3.txt", 3)</f>
        <v>3</v>
      </c>
      <c r="BY482">
        <f>HYPERLINK("http://exon.niaid.nih.gov/transcriptome/Anopheles_sialome/links/cluster-b/anopheline-sialome-cds-pep-larger-orf55-50SimCLTL3.txt", 47)</f>
        <v>47</v>
      </c>
      <c r="BZ482">
        <f>HYPERLINK("http://exon.niaid.nih.gov/transcriptome/Anopheles_sialome/links/cluster-b/anopheline-sialome-cds-pep-larger-orf60-50SimCLU22.txt", 22)</f>
        <v>22</v>
      </c>
      <c r="CA482">
        <f>HYPERLINK("http://exon.niaid.nih.gov/transcriptome/Anopheles_sialome/links/cluster-b/anopheline-sialome-cds-pep-larger-orf60-50SimCLTL22.txt", 17)</f>
        <v>17</v>
      </c>
      <c r="CB482">
        <f>HYPERLINK("http://exon.niaid.nih.gov/transcriptome/Anopheles_sialome/links/cluster-b/anopheline-sialome-cds-pep-larger-orf65-50SimCLU28.txt", 28)</f>
        <v>28</v>
      </c>
      <c r="CC482">
        <f>HYPERLINK("http://exon.niaid.nih.gov/transcriptome/Anopheles_sialome/links/cluster-b/anopheline-sialome-cds-pep-larger-orf65-50SimCLTL28.txt", 15)</f>
        <v>15</v>
      </c>
      <c r="CD482">
        <f>HYPERLINK("http://exon.niaid.nih.gov/transcriptome/Anopheles_sialome/links/cluster-b/anopheline-sialome-cds-pep-larger-orf70-50SimCLU25.txt", 25)</f>
        <v>25</v>
      </c>
      <c r="CE482">
        <f>HYPERLINK("http://exon.niaid.nih.gov/transcriptome/Anopheles_sialome/links/cluster-b/anopheline-sialome-cds-pep-larger-orf70-50SimCLTL25.txt", 15)</f>
        <v>15</v>
      </c>
      <c r="CF482">
        <f>HYPERLINK("http://exon.niaid.nih.gov/transcriptome/Anopheles_sialome/links/cluster-b/anopheline-sialome-cds-pep-larger-orf75-50SimCLU25.txt", 25)</f>
        <v>25</v>
      </c>
      <c r="CG482">
        <f>HYPERLINK("http://exon.niaid.nih.gov/transcriptome/Anopheles_sialome/links/cluster-b/anopheline-sialome-cds-pep-larger-orf75-50SimCLTL25.txt", 13)</f>
        <v>13</v>
      </c>
      <c r="CH482">
        <f>HYPERLINK("http://exon.niaid.nih.gov/transcriptome/Anopheles_sialome/links/cluster-b/anopheline-sialome-cds-pep-larger-orf80-50SimCLU57.txt", 57)</f>
        <v>57</v>
      </c>
      <c r="CI482">
        <f>HYPERLINK("http://exon.niaid.nih.gov/transcriptome/Anopheles_sialome/links/cluster-b/anopheline-sialome-cds-pep-larger-orf80-50SimCLTL57.txt", 3)</f>
        <v>3</v>
      </c>
      <c r="CJ482">
        <v>254</v>
      </c>
      <c r="CK482">
        <v>1</v>
      </c>
      <c r="CL482">
        <v>319</v>
      </c>
      <c r="CM482">
        <v>1</v>
      </c>
      <c r="CN482">
        <v>390</v>
      </c>
      <c r="CO482">
        <v>1</v>
      </c>
    </row>
    <row r="483" spans="1:93">
      <c r="A483" s="2" t="str">
        <f>HYPERLINK("http://exon.niaid.nih.gov/transcriptome/Anopheles_sialome/links/cds/anocul_SG1-cds.txt","anocul_SG1")</f>
        <v>anocul_SG1</v>
      </c>
      <c r="B483">
        <v>1200</v>
      </c>
      <c r="C483" t="s">
        <v>428</v>
      </c>
      <c r="D483" t="s">
        <v>7</v>
      </c>
      <c r="E483" t="s">
        <v>5</v>
      </c>
      <c r="F483" t="s">
        <v>1</v>
      </c>
      <c r="G483" t="str">
        <f>HYPERLINK("http://exon.niaid.nih.gov/transcriptome/Anopheles_sialome/links/pep/anocul_SG1-pep.txt","anocul_SG1")</f>
        <v>anocul_SG1</v>
      </c>
      <c r="H483">
        <v>399</v>
      </c>
      <c r="I483">
        <v>1</v>
      </c>
      <c r="J483" s="3" t="str">
        <f>HYPERLINK("http://exon.niaid.nih.gov/transcriptome/Anopheles_sialome/links/Sigp/anocul_SG1-SigP.txt","SIG")</f>
        <v>SIG</v>
      </c>
      <c r="K483" t="s">
        <v>925</v>
      </c>
      <c r="L483">
        <v>46.002000000000002</v>
      </c>
      <c r="M483">
        <v>8.11</v>
      </c>
      <c r="N483">
        <v>44.146999999999998</v>
      </c>
      <c r="O483">
        <v>7.81</v>
      </c>
      <c r="P483" t="s">
        <v>1745</v>
      </c>
      <c r="Q483" s="3">
        <v>0</v>
      </c>
      <c r="R483" t="s">
        <v>128</v>
      </c>
      <c r="S483" t="s">
        <v>128</v>
      </c>
      <c r="T483" t="s">
        <v>128</v>
      </c>
      <c r="U483" t="s">
        <v>128</v>
      </c>
      <c r="V483" t="s">
        <v>128</v>
      </c>
      <c r="W483" s="3" t="str">
        <f>HYPERLINK("http://exon.niaid.nih.gov/transcriptome/Anopheles_sialome/links/netoglyc/anocul_SG1-netoglyc.txt","0")</f>
        <v>0</v>
      </c>
      <c r="X483">
        <v>10.5</v>
      </c>
      <c r="Y483">
        <v>4</v>
      </c>
      <c r="Z483">
        <v>2.8</v>
      </c>
      <c r="AA483" t="s">
        <v>654</v>
      </c>
      <c r="AB483" t="s">
        <v>128</v>
      </c>
      <c r="AC483" s="2" t="str">
        <f>HYPERLINK("http://exon.niaid.nih.gov/transcriptome/Anopheles_sialome/links/DIPTERA/anocul_SG1-DIPTERA.txt","AGAP000612-PA")</f>
        <v>AGAP000612-PA</v>
      </c>
      <c r="AD483" t="str">
        <f>HYPERLINK("http://www.ncbi.nlm.nih.gov/sutils/blink.cgi?pid=21294374","1E-103")</f>
        <v>1E-103</v>
      </c>
      <c r="AE483" t="str">
        <f t="shared" si="160"/>
        <v>gi|21294374</v>
      </c>
      <c r="AF483">
        <v>46</v>
      </c>
      <c r="AG483">
        <v>67</v>
      </c>
      <c r="AH483">
        <v>100</v>
      </c>
      <c r="AI483" t="s">
        <v>2285</v>
      </c>
      <c r="AJ483" s="2" t="str">
        <f>HYPERLINK("http://exon.niaid.nih.gov/transcriptome/Anopheles_sialome/links/CULICOMORPHA/anocul_SG1-CULICOMORPHA.txt","AGAP000612-PA")</f>
        <v>AGAP000612-PA</v>
      </c>
      <c r="AK483" t="str">
        <f>HYPERLINK("http://www.ncbi.nlm.nih.gov/sutils/blink.cgi?pid=21294374","1E-103")</f>
        <v>1E-103</v>
      </c>
      <c r="AL483" t="str">
        <f t="shared" si="162"/>
        <v>gi|21294374</v>
      </c>
      <c r="AM483">
        <v>46</v>
      </c>
      <c r="AN483">
        <v>67</v>
      </c>
      <c r="AO483">
        <v>100</v>
      </c>
      <c r="AP483" t="s">
        <v>2285</v>
      </c>
      <c r="AQ483" s="2" t="str">
        <f>HYPERLINK("http://exon.niaid.nih.gov/transcriptome/Anopheles_sialome/links/NR-LIGHT/anocul_SG1-NR-LIGHT.txt","AGAP000612-PA")</f>
        <v>AGAP000612-PA</v>
      </c>
      <c r="AR483" t="str">
        <f>HYPERLINK("http://www.ncbi.nlm.nih.gov/sutils/blink.cgi?pid=31203041","1E-102")</f>
        <v>1E-102</v>
      </c>
      <c r="AS483" t="str">
        <f t="shared" si="164"/>
        <v>gi|31203041</v>
      </c>
      <c r="AT483">
        <v>46</v>
      </c>
      <c r="AU483">
        <v>67</v>
      </c>
      <c r="AV483">
        <v>100</v>
      </c>
      <c r="AW483" t="s">
        <v>2285</v>
      </c>
      <c r="AX483" s="2" t="str">
        <f>HYPERLINK("http://exon.niaid.nih.gov/transcriptome/Anopheles_sialome/links/CDD/anocul_SG1-CDD.txt","RecB")</f>
        <v>RecB</v>
      </c>
      <c r="AY483" t="str">
        <f>HYPERLINK("http://www.ncbi.nlm.nih.gov/Structure/cdd/cddsrv.cgi?uid=COG1074&amp;version=v4.0","0.41")</f>
        <v>0.41</v>
      </c>
      <c r="AZ483" t="s">
        <v>2869</v>
      </c>
      <c r="BA483" s="2" t="str">
        <f>HYPERLINK("http://exon.niaid.nih.gov/transcriptome/Anopheles_sialome/links/KOG/anocul_SG1-KOG.txt","Phospholipase C")</f>
        <v>Phospholipase C</v>
      </c>
      <c r="BB483" t="str">
        <f>HYPERLINK("http://www.ncbi.nlm.nih.gov/Structure/cdd/cddsrv.cgi?uid=KOG1265","0.13")</f>
        <v>0.13</v>
      </c>
      <c r="BC483" t="s">
        <v>2298</v>
      </c>
      <c r="BD483" t="str">
        <f>HYPERLINK("http://exon.niaid.nih.gov/transcriptome/Anopheles_sialome/links/KOG/anocul_SG1-KOG.txt","KOG1265")</f>
        <v>KOG1265</v>
      </c>
      <c r="BE483" t="str">
        <f>HYPERLINK("http://exon.niaid.nih.gov/transcriptome/Anopheles_sialome/links/PFAM/anocul_SG1-PFAM.txt","Flavokinase")</f>
        <v>Flavokinase</v>
      </c>
      <c r="BF483" t="str">
        <f>HYPERLINK("http://pfam.sanger.ac.uk/family?acc=PF01687","0.19")</f>
        <v>0.19</v>
      </c>
      <c r="BG483" s="2" t="str">
        <f>HYPERLINK("http://exon.niaid.nih.gov/transcriptome/Anopheles_sialome/links/SMART/anocul_SG1-SMART.txt","OmpH")</f>
        <v>OmpH</v>
      </c>
      <c r="BH483" t="str">
        <f>HYPERLINK("http://smart.embl-heidelberg.de/smart/do_annotation.pl?DOMAIN=OmpH&amp;BLAST=DUMMY","0.100")</f>
        <v>0.100</v>
      </c>
      <c r="BI483" t="str">
        <f>HYPERLINK("http://exon.niaid.nih.gov/transcriptome/Anopheles_sialome/links/TICK-BLOCKS/anocul_SG1-TICK-BLOCKS.txt","SG1_full |SG1_stringent_pattern |")</f>
        <v>SG1_full |SG1_stringent_pattern |</v>
      </c>
      <c r="BJ483" s="2" t="s">
        <v>2423</v>
      </c>
      <c r="BK483" t="s">
        <v>1744</v>
      </c>
      <c r="BL483">
        <f>HYPERLINK("http://exon.niaid.nih.gov/transcriptome/Anopheles_sialome/links/cluster-b/anopheline-sialome-cds-pep-larger-orf25-50SimCLU3.txt", 3)</f>
        <v>3</v>
      </c>
      <c r="BM483">
        <f>HYPERLINK("http://exon.niaid.nih.gov/transcriptome/Anopheles_sialome/links/cluster-b/anopheline-sialome-cds-pep-larger-orf25-50SimCLTL3.txt", 119)</f>
        <v>119</v>
      </c>
      <c r="BN483">
        <f>HYPERLINK("http://exon.niaid.nih.gov/transcriptome/Anopheles_sialome/links/cluster-b/anopheline-sialome-cds-pep-larger-orf30-50SimCLU3.txt", 3)</f>
        <v>3</v>
      </c>
      <c r="BO483">
        <f>HYPERLINK("http://exon.niaid.nih.gov/transcriptome/Anopheles_sialome/links/cluster-b/anopheline-sialome-cds-pep-larger-orf30-50SimCLTL3.txt", 119)</f>
        <v>119</v>
      </c>
      <c r="BP483">
        <f>HYPERLINK("http://exon.niaid.nih.gov/transcriptome/Anopheles_sialome/links/cluster-b/anopheline-sialome-cds-pep-larger-orf35-50SimCLU2.txt", 2)</f>
        <v>2</v>
      </c>
      <c r="BQ483">
        <f>HYPERLINK("http://exon.niaid.nih.gov/transcriptome/Anopheles_sialome/links/cluster-b/anopheline-sialome-cds-pep-larger-orf35-50SimCLTL2.txt", 119)</f>
        <v>119</v>
      </c>
      <c r="BR483">
        <f>HYPERLINK("http://exon.niaid.nih.gov/transcriptome/Anopheles_sialome/links/cluster-b/anopheline-sialome-cds-pep-larger-orf40-50SimCLU1.txt", 1)</f>
        <v>1</v>
      </c>
      <c r="BS483">
        <f>HYPERLINK("http://exon.niaid.nih.gov/transcriptome/Anopheles_sialome/links/cluster-b/anopheline-sialome-cds-pep-larger-orf40-50SimCLTL1.txt", 119)</f>
        <v>119</v>
      </c>
      <c r="BT483">
        <f>HYPERLINK("http://exon.niaid.nih.gov/transcriptome/Anopheles_sialome/links/cluster-b/anopheline-sialome-cds-pep-larger-orf45-50SimCLU3.txt", 3)</f>
        <v>3</v>
      </c>
      <c r="BU483">
        <f>HYPERLINK("http://exon.niaid.nih.gov/transcriptome/Anopheles_sialome/links/cluster-b/anopheline-sialome-cds-pep-larger-orf45-50SimCLTL3.txt", 65)</f>
        <v>65</v>
      </c>
      <c r="BV483">
        <f>HYPERLINK("http://exon.niaid.nih.gov/transcriptome/Anopheles_sialome/links/cluster-b/anopheline-sialome-cds-pep-larger-orf50-50SimCLU3.txt", 3)</f>
        <v>3</v>
      </c>
      <c r="BW483">
        <f>HYPERLINK("http://exon.niaid.nih.gov/transcriptome/Anopheles_sialome/links/cluster-b/anopheline-sialome-cds-pep-larger-orf50-50SimCLTL3.txt", 48)</f>
        <v>48</v>
      </c>
      <c r="BX483">
        <f>HYPERLINK("http://exon.niaid.nih.gov/transcriptome/Anopheles_sialome/links/cluster-b/anopheline-sialome-cds-pep-larger-orf55-50SimCLU3.txt", 3)</f>
        <v>3</v>
      </c>
      <c r="BY483">
        <f>HYPERLINK("http://exon.niaid.nih.gov/transcriptome/Anopheles_sialome/links/cluster-b/anopheline-sialome-cds-pep-larger-orf55-50SimCLTL3.txt", 47)</f>
        <v>47</v>
      </c>
      <c r="BZ483">
        <f>HYPERLINK("http://exon.niaid.nih.gov/transcriptome/Anopheles_sialome/links/cluster-b/anopheline-sialome-cds-pep-larger-orf60-50SimCLU22.txt", 22)</f>
        <v>22</v>
      </c>
      <c r="CA483">
        <f>HYPERLINK("http://exon.niaid.nih.gov/transcriptome/Anopheles_sialome/links/cluster-b/anopheline-sialome-cds-pep-larger-orf60-50SimCLTL22.txt", 17)</f>
        <v>17</v>
      </c>
      <c r="CB483">
        <f>HYPERLINK("http://exon.niaid.nih.gov/transcriptome/Anopheles_sialome/links/cluster-b/anopheline-sialome-cds-pep-larger-orf65-50SimCLU28.txt", 28)</f>
        <v>28</v>
      </c>
      <c r="CC483">
        <f>HYPERLINK("http://exon.niaid.nih.gov/transcriptome/Anopheles_sialome/links/cluster-b/anopheline-sialome-cds-pep-larger-orf65-50SimCLTL28.txt", 15)</f>
        <v>15</v>
      </c>
      <c r="CD483">
        <f>HYPERLINK("http://exon.niaid.nih.gov/transcriptome/Anopheles_sialome/links/cluster-b/anopheline-sialome-cds-pep-larger-orf70-50SimCLU25.txt", 25)</f>
        <v>25</v>
      </c>
      <c r="CE483">
        <f>HYPERLINK("http://exon.niaid.nih.gov/transcriptome/Anopheles_sialome/links/cluster-b/anopheline-sialome-cds-pep-larger-orf70-50SimCLTL25.txt", 15)</f>
        <v>15</v>
      </c>
      <c r="CF483">
        <f>HYPERLINK("http://exon.niaid.nih.gov/transcriptome/Anopheles_sialome/links/cluster-b/anopheline-sialome-cds-pep-larger-orf75-50SimCLU25.txt", 25)</f>
        <v>25</v>
      </c>
      <c r="CG483">
        <f>HYPERLINK("http://exon.niaid.nih.gov/transcriptome/Anopheles_sialome/links/cluster-b/anopheline-sialome-cds-pep-larger-orf75-50SimCLTL25.txt", 13)</f>
        <v>13</v>
      </c>
      <c r="CH483">
        <f>HYPERLINK("http://exon.niaid.nih.gov/transcriptome/Anopheles_sialome/links/cluster-b/anopheline-sialome-cds-pep-larger-orf80-50SimCLU57.txt", 57)</f>
        <v>57</v>
      </c>
      <c r="CI483">
        <f>HYPERLINK("http://exon.niaid.nih.gov/transcriptome/Anopheles_sialome/links/cluster-b/anopheline-sialome-cds-pep-larger-orf80-50SimCLTL57.txt", 3)</f>
        <v>3</v>
      </c>
      <c r="CJ483">
        <v>255</v>
      </c>
      <c r="CK483">
        <v>1</v>
      </c>
      <c r="CL483">
        <v>320</v>
      </c>
      <c r="CM483">
        <v>1</v>
      </c>
      <c r="CN483">
        <v>391</v>
      </c>
      <c r="CO483">
        <v>1</v>
      </c>
    </row>
    <row r="484" spans="1:93">
      <c r="A484" s="2" t="str">
        <f>HYPERLINK("http://exon.niaid.nih.gov/transcriptome/Anopheles_sialome/links/cds/anoste_SG1-cds.txt","anoste_SG1")</f>
        <v>anoste_SG1</v>
      </c>
      <c r="B484">
        <v>1200</v>
      </c>
      <c r="C484" t="s">
        <v>429</v>
      </c>
      <c r="D484" t="s">
        <v>7</v>
      </c>
      <c r="E484" t="s">
        <v>5</v>
      </c>
      <c r="F484" t="s">
        <v>1</v>
      </c>
      <c r="G484" t="str">
        <f>HYPERLINK("http://exon.niaid.nih.gov/transcriptome/Anopheles_sialome/links/pep/anoste_SG1-pep.txt","anoste_SG1")</f>
        <v>anoste_SG1</v>
      </c>
      <c r="H484">
        <v>399</v>
      </c>
      <c r="I484">
        <v>2</v>
      </c>
      <c r="J484" s="3" t="str">
        <f>HYPERLINK("http://exon.niaid.nih.gov/transcriptome/Anopheles_sialome/links/Sigp/anoste_SG1-SigP.txt","SIG")</f>
        <v>SIG</v>
      </c>
      <c r="K484" t="s">
        <v>925</v>
      </c>
      <c r="L484">
        <v>47.072000000000003</v>
      </c>
      <c r="M484">
        <v>8.7799999999999994</v>
      </c>
      <c r="N484">
        <v>45.158000000000001</v>
      </c>
      <c r="O484">
        <v>8.64</v>
      </c>
      <c r="P484" t="s">
        <v>687</v>
      </c>
      <c r="Q484" s="3">
        <v>0</v>
      </c>
      <c r="R484" t="s">
        <v>128</v>
      </c>
      <c r="S484" t="s">
        <v>128</v>
      </c>
      <c r="T484" t="s">
        <v>128</v>
      </c>
      <c r="U484" t="s">
        <v>128</v>
      </c>
      <c r="V484" t="s">
        <v>128</v>
      </c>
      <c r="W484" s="3" t="str">
        <f>HYPERLINK("http://exon.niaid.nih.gov/transcriptome/Anopheles_sialome/links/netoglyc/anoste_SG1-netoglyc.txt","2")</f>
        <v>2</v>
      </c>
      <c r="X484">
        <v>10.3</v>
      </c>
      <c r="Y484">
        <v>2.5</v>
      </c>
      <c r="Z484">
        <v>3.8</v>
      </c>
      <c r="AA484" t="s">
        <v>654</v>
      </c>
      <c r="AB484" t="s">
        <v>128</v>
      </c>
      <c r="AC484" s="2" t="str">
        <f>HYPERLINK("http://exon.niaid.nih.gov/transcriptome/Anopheles_sialome/links/DIPTERA/anoste_SG1-DIPTERA.txt","AGAP000612-PA")</f>
        <v>AGAP000612-PA</v>
      </c>
      <c r="AD484" t="str">
        <f>HYPERLINK("http://www.ncbi.nlm.nih.gov/sutils/blink.cgi?pid=21294374","1E-102")</f>
        <v>1E-102</v>
      </c>
      <c r="AE484" t="str">
        <f t="shared" si="160"/>
        <v>gi|21294374</v>
      </c>
      <c r="AF484">
        <v>46</v>
      </c>
      <c r="AG484">
        <v>66</v>
      </c>
      <c r="AH484">
        <v>100</v>
      </c>
      <c r="AI484" t="s">
        <v>2285</v>
      </c>
      <c r="AJ484" s="2" t="str">
        <f>HYPERLINK("http://exon.niaid.nih.gov/transcriptome/Anopheles_sialome/links/CULICOMORPHA/anoste_SG1-CULICOMORPHA.txt","AGAP000612-PA")</f>
        <v>AGAP000612-PA</v>
      </c>
      <c r="AK484" t="str">
        <f>HYPERLINK("http://www.ncbi.nlm.nih.gov/sutils/blink.cgi?pid=21294374","1E-103")</f>
        <v>1E-103</v>
      </c>
      <c r="AL484" t="str">
        <f t="shared" si="162"/>
        <v>gi|21294374</v>
      </c>
      <c r="AM484">
        <v>46</v>
      </c>
      <c r="AN484">
        <v>66</v>
      </c>
      <c r="AO484">
        <v>100</v>
      </c>
      <c r="AP484" t="s">
        <v>2285</v>
      </c>
      <c r="AQ484" s="2" t="str">
        <f>HYPERLINK("http://exon.niaid.nih.gov/transcriptome/Anopheles_sialome/links/NR-LIGHT/anoste_SG1-NR-LIGHT.txt","AGAP000612-PA")</f>
        <v>AGAP000612-PA</v>
      </c>
      <c r="AR484" t="str">
        <f>HYPERLINK("http://www.ncbi.nlm.nih.gov/sutils/blink.cgi?pid=31203041","1E-102")</f>
        <v>1E-102</v>
      </c>
      <c r="AS484" t="str">
        <f t="shared" si="164"/>
        <v>gi|31203041</v>
      </c>
      <c r="AT484">
        <v>46</v>
      </c>
      <c r="AU484">
        <v>66</v>
      </c>
      <c r="AV484">
        <v>100</v>
      </c>
      <c r="AW484" t="s">
        <v>2285</v>
      </c>
      <c r="AX484" s="2" t="str">
        <f>HYPERLINK("http://exon.niaid.nih.gov/transcriptome/Anopheles_sialome/links/CDD/anoste_SG1-CDD.txt","hypothetical_pr")</f>
        <v>hypothetical_pr</v>
      </c>
      <c r="AY484" t="str">
        <f>HYPERLINK("http://www.ncbi.nlm.nih.gov/Structure/cdd/cddsrv.cgi?uid=TIGR04439&amp;version=v4.0","1.8")</f>
        <v>1.8</v>
      </c>
      <c r="AZ484" t="s">
        <v>2870</v>
      </c>
      <c r="BA484" s="2" t="str">
        <f>HYPERLINK("http://exon.niaid.nih.gov/transcriptome/Anopheles_sialome/links/KOG/anoste_SG1-KOG.txt","CAATT-binding transcription factor/60S ribosomal subunit biogenesis protein")</f>
        <v>CAATT-binding transcription factor/60S ribosomal subunit biogenesis protein</v>
      </c>
      <c r="BB484" t="str">
        <f>HYPERLINK("http://www.ncbi.nlm.nih.gov/Structure/cdd/cddsrv.cgi?uid=KOG2038","2.6")</f>
        <v>2.6</v>
      </c>
      <c r="BC484" t="s">
        <v>2871</v>
      </c>
      <c r="BD484" t="str">
        <f>HYPERLINK("http://exon.niaid.nih.gov/transcriptome/Anopheles_sialome/links/KOG/anoste_SG1-KOG.txt","KOG2038")</f>
        <v>KOG2038</v>
      </c>
      <c r="BE484" t="str">
        <f>HYPERLINK("http://exon.niaid.nih.gov/transcriptome/Anopheles_sialome/links/PFAM/anoste_SG1-PFAM.txt","Anthrax-tox_M")</f>
        <v>Anthrax-tox_M</v>
      </c>
      <c r="BF484" t="str">
        <f>HYPERLINK("http://pfam.sanger.ac.uk/family?acc=PF09156","0.57")</f>
        <v>0.57</v>
      </c>
      <c r="BG484" s="2" t="str">
        <f>HYPERLINK("http://exon.niaid.nih.gov/transcriptome/Anopheles_sialome/links/SMART/anoste_SG1-SMART.txt","RhoGAP")</f>
        <v>RhoGAP</v>
      </c>
      <c r="BH484" t="str">
        <f>HYPERLINK("http://smart.embl-heidelberg.de/smart/do_annotation.pl?DOMAIN=RhoGAP&amp;BLAST=DUMMY","1.6")</f>
        <v>1.6</v>
      </c>
      <c r="BI484" t="str">
        <f>HYPERLINK("http://exon.niaid.nih.gov/transcriptome/Anopheles_sialome/links/TICK-BLOCKS/anoste_SG1-TICK-BLOCKS.txt","SG1_full |SG1_stringent_pattern |")</f>
        <v>SG1_full |SG1_stringent_pattern |</v>
      </c>
      <c r="BJ484" s="2" t="s">
        <v>2423</v>
      </c>
      <c r="BK484" t="s">
        <v>1746</v>
      </c>
      <c r="BL484">
        <f>HYPERLINK("http://exon.niaid.nih.gov/transcriptome/Anopheles_sialome/links/cluster-b/anopheline-sialome-cds-pep-larger-orf25-50SimCLU3.txt", 3)</f>
        <v>3</v>
      </c>
      <c r="BM484">
        <f>HYPERLINK("http://exon.niaid.nih.gov/transcriptome/Anopheles_sialome/links/cluster-b/anopheline-sialome-cds-pep-larger-orf25-50SimCLTL3.txt", 119)</f>
        <v>119</v>
      </c>
      <c r="BN484">
        <f>HYPERLINK("http://exon.niaid.nih.gov/transcriptome/Anopheles_sialome/links/cluster-b/anopheline-sialome-cds-pep-larger-orf30-50SimCLU3.txt", 3)</f>
        <v>3</v>
      </c>
      <c r="BO484">
        <f>HYPERLINK("http://exon.niaid.nih.gov/transcriptome/Anopheles_sialome/links/cluster-b/anopheline-sialome-cds-pep-larger-orf30-50SimCLTL3.txt", 119)</f>
        <v>119</v>
      </c>
      <c r="BP484">
        <f>HYPERLINK("http://exon.niaid.nih.gov/transcriptome/Anopheles_sialome/links/cluster-b/anopheline-sialome-cds-pep-larger-orf35-50SimCLU2.txt", 2)</f>
        <v>2</v>
      </c>
      <c r="BQ484">
        <f>HYPERLINK("http://exon.niaid.nih.gov/transcriptome/Anopheles_sialome/links/cluster-b/anopheline-sialome-cds-pep-larger-orf35-50SimCLTL2.txt", 119)</f>
        <v>119</v>
      </c>
      <c r="BR484">
        <f>HYPERLINK("http://exon.niaid.nih.gov/transcriptome/Anopheles_sialome/links/cluster-b/anopheline-sialome-cds-pep-larger-orf40-50SimCLU1.txt", 1)</f>
        <v>1</v>
      </c>
      <c r="BS484">
        <f>HYPERLINK("http://exon.niaid.nih.gov/transcriptome/Anopheles_sialome/links/cluster-b/anopheline-sialome-cds-pep-larger-orf40-50SimCLTL1.txt", 119)</f>
        <v>119</v>
      </c>
      <c r="BT484">
        <f>HYPERLINK("http://exon.niaid.nih.gov/transcriptome/Anopheles_sialome/links/cluster-b/anopheline-sialome-cds-pep-larger-orf45-50SimCLU3.txt", 3)</f>
        <v>3</v>
      </c>
      <c r="BU484">
        <f>HYPERLINK("http://exon.niaid.nih.gov/transcriptome/Anopheles_sialome/links/cluster-b/anopheline-sialome-cds-pep-larger-orf45-50SimCLTL3.txt", 65)</f>
        <v>65</v>
      </c>
      <c r="BV484">
        <f>HYPERLINK("http://exon.niaid.nih.gov/transcriptome/Anopheles_sialome/links/cluster-b/anopheline-sialome-cds-pep-larger-orf50-50SimCLU3.txt", 3)</f>
        <v>3</v>
      </c>
      <c r="BW484">
        <f>HYPERLINK("http://exon.niaid.nih.gov/transcriptome/Anopheles_sialome/links/cluster-b/anopheline-sialome-cds-pep-larger-orf50-50SimCLTL3.txt", 48)</f>
        <v>48</v>
      </c>
      <c r="BX484">
        <f>HYPERLINK("http://exon.niaid.nih.gov/transcriptome/Anopheles_sialome/links/cluster-b/anopheline-sialome-cds-pep-larger-orf55-50SimCLU3.txt", 3)</f>
        <v>3</v>
      </c>
      <c r="BY484">
        <f>HYPERLINK("http://exon.niaid.nih.gov/transcriptome/Anopheles_sialome/links/cluster-b/anopheline-sialome-cds-pep-larger-orf55-50SimCLTL3.txt", 47)</f>
        <v>47</v>
      </c>
      <c r="BZ484">
        <f>HYPERLINK("http://exon.niaid.nih.gov/transcriptome/Anopheles_sialome/links/cluster-b/anopheline-sialome-cds-pep-larger-orf60-50SimCLU22.txt", 22)</f>
        <v>22</v>
      </c>
      <c r="CA484">
        <f>HYPERLINK("http://exon.niaid.nih.gov/transcriptome/Anopheles_sialome/links/cluster-b/anopheline-sialome-cds-pep-larger-orf60-50SimCLTL22.txt", 17)</f>
        <v>17</v>
      </c>
      <c r="CB484">
        <f>HYPERLINK("http://exon.niaid.nih.gov/transcriptome/Anopheles_sialome/links/cluster-b/anopheline-sialome-cds-pep-larger-orf65-50SimCLU28.txt", 28)</f>
        <v>28</v>
      </c>
      <c r="CC484">
        <f>HYPERLINK("http://exon.niaid.nih.gov/transcriptome/Anopheles_sialome/links/cluster-b/anopheline-sialome-cds-pep-larger-orf65-50SimCLTL28.txt", 15)</f>
        <v>15</v>
      </c>
      <c r="CD484">
        <f>HYPERLINK("http://exon.niaid.nih.gov/transcriptome/Anopheles_sialome/links/cluster-b/anopheline-sialome-cds-pep-larger-orf70-50SimCLU25.txt", 25)</f>
        <v>25</v>
      </c>
      <c r="CE484">
        <f>HYPERLINK("http://exon.niaid.nih.gov/transcriptome/Anopheles_sialome/links/cluster-b/anopheline-sialome-cds-pep-larger-orf70-50SimCLTL25.txt", 15)</f>
        <v>15</v>
      </c>
      <c r="CF484">
        <f>HYPERLINK("http://exon.niaid.nih.gov/transcriptome/Anopheles_sialome/links/cluster-b/anopheline-sialome-cds-pep-larger-orf75-50SimCLU25.txt", 25)</f>
        <v>25</v>
      </c>
      <c r="CG484">
        <f>HYPERLINK("http://exon.niaid.nih.gov/transcriptome/Anopheles_sialome/links/cluster-b/anopheline-sialome-cds-pep-larger-orf75-50SimCLTL25.txt", 13)</f>
        <v>13</v>
      </c>
      <c r="CH484">
        <f>HYPERLINK("http://exon.niaid.nih.gov/transcriptome/Anopheles_sialome/links/cluster-b/anopheline-sialome-cds-pep-larger-orf80-50SimCLU91.txt", 91)</f>
        <v>91</v>
      </c>
      <c r="CI484">
        <f>HYPERLINK("http://exon.niaid.nih.gov/transcriptome/Anopheles_sialome/links/cluster-b/anopheline-sialome-cds-pep-larger-orf80-50SimCLTL91.txt", 2)</f>
        <v>2</v>
      </c>
      <c r="CJ484">
        <f>HYPERLINK("http://exon.niaid.nih.gov/transcriptome/Anopheles_sialome/links/cluster-b/anopheline-sialome-cds-pep-larger-orf85-50SimCLU93.txt", 93)</f>
        <v>93</v>
      </c>
      <c r="CK484">
        <f>HYPERLINK("http://exon.niaid.nih.gov/transcriptome/Anopheles_sialome/links/cluster-b/anopheline-sialome-cds-pep-larger-orf85-50SimCLTL93.txt", 2)</f>
        <v>2</v>
      </c>
      <c r="CL484">
        <v>321</v>
      </c>
      <c r="CM484">
        <v>1</v>
      </c>
      <c r="CN484">
        <v>392</v>
      </c>
      <c r="CO484">
        <v>1</v>
      </c>
    </row>
    <row r="485" spans="1:93">
      <c r="A485" s="2" t="str">
        <f>HYPERLINK("http://exon.niaid.nih.gov/transcriptome/Anopheles_sialome/links/cds/anomac_SG1-cds.txt","anomac_SG1")</f>
        <v>anomac_SG1</v>
      </c>
      <c r="B485">
        <v>1206</v>
      </c>
      <c r="C485" t="s">
        <v>430</v>
      </c>
      <c r="D485" t="s">
        <v>7</v>
      </c>
      <c r="E485" t="s">
        <v>5</v>
      </c>
      <c r="F485" t="s">
        <v>1</v>
      </c>
      <c r="G485" t="str">
        <f>HYPERLINK("http://exon.niaid.nih.gov/transcriptome/Anopheles_sialome/links/pep/anomac_SG1-pep.txt","anomac_SG1")</f>
        <v>anomac_SG1</v>
      </c>
      <c r="H485">
        <v>401</v>
      </c>
      <c r="I485">
        <v>2</v>
      </c>
      <c r="J485" s="3" t="str">
        <f>HYPERLINK("http://exon.niaid.nih.gov/transcriptome/Anopheles_sialome/links/Sigp/anomac_SG1-SigP.txt","SIG")</f>
        <v>SIG</v>
      </c>
      <c r="K485" t="s">
        <v>925</v>
      </c>
      <c r="L485">
        <v>46.847999999999999</v>
      </c>
      <c r="M485">
        <v>8.7799999999999994</v>
      </c>
      <c r="N485">
        <v>44.988999999999997</v>
      </c>
      <c r="O485">
        <v>8.64</v>
      </c>
      <c r="P485" t="s">
        <v>1748</v>
      </c>
      <c r="Q485" s="3">
        <v>0</v>
      </c>
      <c r="R485" t="s">
        <v>128</v>
      </c>
      <c r="S485" t="s">
        <v>128</v>
      </c>
      <c r="T485" t="s">
        <v>128</v>
      </c>
      <c r="U485" t="s">
        <v>128</v>
      </c>
      <c r="V485" t="s">
        <v>128</v>
      </c>
      <c r="W485" s="3" t="str">
        <f>HYPERLINK("http://exon.niaid.nih.gov/transcriptome/Anopheles_sialome/links/netoglyc/anomac_SG1-netoglyc.txt","0")</f>
        <v>0</v>
      </c>
      <c r="X485">
        <v>9.1999999999999993</v>
      </c>
      <c r="Y485">
        <v>2.5</v>
      </c>
      <c r="Z485">
        <v>3.7</v>
      </c>
      <c r="AA485" t="s">
        <v>654</v>
      </c>
      <c r="AB485" t="s">
        <v>1749</v>
      </c>
      <c r="AC485" s="2" t="str">
        <f>HYPERLINK("http://exon.niaid.nih.gov/transcriptome/Anopheles_sialome/links/DIPTERA/anomac_SG1-DIPTERA.txt","AGAP000612-PA")</f>
        <v>AGAP000612-PA</v>
      </c>
      <c r="AD485" t="str">
        <f>HYPERLINK("http://www.ncbi.nlm.nih.gov/sutils/blink.cgi?pid=21294374","1E-103")</f>
        <v>1E-103</v>
      </c>
      <c r="AE485" t="str">
        <f t="shared" si="160"/>
        <v>gi|21294374</v>
      </c>
      <c r="AF485">
        <v>45</v>
      </c>
      <c r="AG485">
        <v>65</v>
      </c>
      <c r="AH485">
        <v>100</v>
      </c>
      <c r="AI485" t="s">
        <v>2285</v>
      </c>
      <c r="AJ485" s="2" t="str">
        <f>HYPERLINK("http://exon.niaid.nih.gov/transcriptome/Anopheles_sialome/links/CULICOMORPHA/anomac_SG1-CULICOMORPHA.txt","AGAP000612-PA")</f>
        <v>AGAP000612-PA</v>
      </c>
      <c r="AK485" t="str">
        <f>HYPERLINK("http://www.ncbi.nlm.nih.gov/sutils/blink.cgi?pid=21294374","1E-104")</f>
        <v>1E-104</v>
      </c>
      <c r="AL485" t="str">
        <f t="shared" si="162"/>
        <v>gi|21294374</v>
      </c>
      <c r="AM485">
        <v>45</v>
      </c>
      <c r="AN485">
        <v>65</v>
      </c>
      <c r="AO485">
        <v>100</v>
      </c>
      <c r="AP485" t="s">
        <v>2285</v>
      </c>
      <c r="AQ485" s="2" t="str">
        <f>HYPERLINK("http://exon.niaid.nih.gov/transcriptome/Anopheles_sialome/links/NR-LIGHT/anomac_SG1-NR-LIGHT.txt","AGAP000612-PA")</f>
        <v>AGAP000612-PA</v>
      </c>
      <c r="AR485" t="str">
        <f>HYPERLINK("http://www.ncbi.nlm.nih.gov/sutils/blink.cgi?pid=31203041","1E-102")</f>
        <v>1E-102</v>
      </c>
      <c r="AS485" t="str">
        <f t="shared" si="164"/>
        <v>gi|31203041</v>
      </c>
      <c r="AT485">
        <v>45</v>
      </c>
      <c r="AU485">
        <v>65</v>
      </c>
      <c r="AV485">
        <v>100</v>
      </c>
      <c r="AW485" t="s">
        <v>2285</v>
      </c>
      <c r="AX485" s="2" t="str">
        <f>HYPERLINK("http://exon.niaid.nih.gov/transcriptome/Anopheles_sialome/links/CDD/anomac_SG1-CDD.txt","DUF3131")</f>
        <v>DUF3131</v>
      </c>
      <c r="AY485" t="str">
        <f>HYPERLINK("http://www.ncbi.nlm.nih.gov/Structure/cdd/cddsrv.cgi?uid=pfam11329&amp;version=v4.0","0.078")</f>
        <v>0.078</v>
      </c>
      <c r="AZ485" t="s">
        <v>2872</v>
      </c>
      <c r="BA485" s="2" t="str">
        <f>HYPERLINK("http://exon.niaid.nih.gov/transcriptome/Anopheles_sialome/links/KOG/anomac_SG1-KOG.txt","Predicted K+/H+-antiporter")</f>
        <v>Predicted K+/H+-antiporter</v>
      </c>
      <c r="BB485" t="str">
        <f>HYPERLINK("http://www.ncbi.nlm.nih.gov/Structure/cdd/cddsrv.cgi?uid=KOG1650","0.086")</f>
        <v>0.086</v>
      </c>
      <c r="BC485" t="s">
        <v>2447</v>
      </c>
      <c r="BD485" t="str">
        <f>HYPERLINK("http://exon.niaid.nih.gov/transcriptome/Anopheles_sialome/links/KOG/anomac_SG1-KOG.txt","KOG1650")</f>
        <v>KOG1650</v>
      </c>
      <c r="BE485" t="str">
        <f>HYPERLINK("http://exon.niaid.nih.gov/transcriptome/Anopheles_sialome/links/PFAM/anomac_SG1-PFAM.txt","DUF3131")</f>
        <v>DUF3131</v>
      </c>
      <c r="BF485" t="str">
        <f>HYPERLINK("http://pfam.sanger.ac.uk/family?acc=PF11329","0.015")</f>
        <v>0.015</v>
      </c>
      <c r="BG485" s="2" t="str">
        <f>HYPERLINK("http://exon.niaid.nih.gov/transcriptome/Anopheles_sialome/links/SMART/anomac_SG1-SMART.txt","BTAD")</f>
        <v>BTAD</v>
      </c>
      <c r="BH485" t="str">
        <f>HYPERLINK("http://smart.embl-heidelberg.de/smart/do_annotation.pl?DOMAIN=BTAD&amp;BLAST=DUMMY","0.42")</f>
        <v>0.42</v>
      </c>
      <c r="BI485" t="str">
        <f>HYPERLINK("http://exon.niaid.nih.gov/transcriptome/Anopheles_sialome/links/TICK-BLOCKS/anomac_SG1-TICK-BLOCKS.txt","SG1_full |SG1_stringent_pattern |")</f>
        <v>SG1_full |SG1_stringent_pattern |</v>
      </c>
      <c r="BJ485" s="2" t="s">
        <v>2423</v>
      </c>
      <c r="BK485" t="s">
        <v>1747</v>
      </c>
      <c r="BL485">
        <f>HYPERLINK("http://exon.niaid.nih.gov/transcriptome/Anopheles_sialome/links/cluster-b/anopheline-sialome-cds-pep-larger-orf25-50SimCLU3.txt", 3)</f>
        <v>3</v>
      </c>
      <c r="BM485">
        <f>HYPERLINK("http://exon.niaid.nih.gov/transcriptome/Anopheles_sialome/links/cluster-b/anopheline-sialome-cds-pep-larger-orf25-50SimCLTL3.txt", 119)</f>
        <v>119</v>
      </c>
      <c r="BN485">
        <f>HYPERLINK("http://exon.niaid.nih.gov/transcriptome/Anopheles_sialome/links/cluster-b/anopheline-sialome-cds-pep-larger-orf30-50SimCLU3.txt", 3)</f>
        <v>3</v>
      </c>
      <c r="BO485">
        <f>HYPERLINK("http://exon.niaid.nih.gov/transcriptome/Anopheles_sialome/links/cluster-b/anopheline-sialome-cds-pep-larger-orf30-50SimCLTL3.txt", 119)</f>
        <v>119</v>
      </c>
      <c r="BP485">
        <f>HYPERLINK("http://exon.niaid.nih.gov/transcriptome/Anopheles_sialome/links/cluster-b/anopheline-sialome-cds-pep-larger-orf35-50SimCLU2.txt", 2)</f>
        <v>2</v>
      </c>
      <c r="BQ485">
        <f>HYPERLINK("http://exon.niaid.nih.gov/transcriptome/Anopheles_sialome/links/cluster-b/anopheline-sialome-cds-pep-larger-orf35-50SimCLTL2.txt", 119)</f>
        <v>119</v>
      </c>
      <c r="BR485">
        <f>HYPERLINK("http://exon.niaid.nih.gov/transcriptome/Anopheles_sialome/links/cluster-b/anopheline-sialome-cds-pep-larger-orf40-50SimCLU1.txt", 1)</f>
        <v>1</v>
      </c>
      <c r="BS485">
        <f>HYPERLINK("http://exon.niaid.nih.gov/transcriptome/Anopheles_sialome/links/cluster-b/anopheline-sialome-cds-pep-larger-orf40-50SimCLTL1.txt", 119)</f>
        <v>119</v>
      </c>
      <c r="BT485">
        <f>HYPERLINK("http://exon.niaid.nih.gov/transcriptome/Anopheles_sialome/links/cluster-b/anopheline-sialome-cds-pep-larger-orf45-50SimCLU3.txt", 3)</f>
        <v>3</v>
      </c>
      <c r="BU485">
        <f>HYPERLINK("http://exon.niaid.nih.gov/transcriptome/Anopheles_sialome/links/cluster-b/anopheline-sialome-cds-pep-larger-orf45-50SimCLTL3.txt", 65)</f>
        <v>65</v>
      </c>
      <c r="BV485">
        <f>HYPERLINK("http://exon.niaid.nih.gov/transcriptome/Anopheles_sialome/links/cluster-b/anopheline-sialome-cds-pep-larger-orf50-50SimCLU3.txt", 3)</f>
        <v>3</v>
      </c>
      <c r="BW485">
        <f>HYPERLINK("http://exon.niaid.nih.gov/transcriptome/Anopheles_sialome/links/cluster-b/anopheline-sialome-cds-pep-larger-orf50-50SimCLTL3.txt", 48)</f>
        <v>48</v>
      </c>
      <c r="BX485">
        <f>HYPERLINK("http://exon.niaid.nih.gov/transcriptome/Anopheles_sialome/links/cluster-b/anopheline-sialome-cds-pep-larger-orf55-50SimCLU3.txt", 3)</f>
        <v>3</v>
      </c>
      <c r="BY485">
        <f>HYPERLINK("http://exon.niaid.nih.gov/transcriptome/Anopheles_sialome/links/cluster-b/anopheline-sialome-cds-pep-larger-orf55-50SimCLTL3.txt", 47)</f>
        <v>47</v>
      </c>
      <c r="BZ485">
        <f>HYPERLINK("http://exon.niaid.nih.gov/transcriptome/Anopheles_sialome/links/cluster-b/anopheline-sialome-cds-pep-larger-orf60-50SimCLU22.txt", 22)</f>
        <v>22</v>
      </c>
      <c r="CA485">
        <f>HYPERLINK("http://exon.niaid.nih.gov/transcriptome/Anopheles_sialome/links/cluster-b/anopheline-sialome-cds-pep-larger-orf60-50SimCLTL22.txt", 17)</f>
        <v>17</v>
      </c>
      <c r="CB485">
        <f>HYPERLINK("http://exon.niaid.nih.gov/transcriptome/Anopheles_sialome/links/cluster-b/anopheline-sialome-cds-pep-larger-orf65-50SimCLU28.txt", 28)</f>
        <v>28</v>
      </c>
      <c r="CC485">
        <f>HYPERLINK("http://exon.niaid.nih.gov/transcriptome/Anopheles_sialome/links/cluster-b/anopheline-sialome-cds-pep-larger-orf65-50SimCLTL28.txt", 15)</f>
        <v>15</v>
      </c>
      <c r="CD485">
        <f>HYPERLINK("http://exon.niaid.nih.gov/transcriptome/Anopheles_sialome/links/cluster-b/anopheline-sialome-cds-pep-larger-orf70-50SimCLU25.txt", 25)</f>
        <v>25</v>
      </c>
      <c r="CE485">
        <f>HYPERLINK("http://exon.niaid.nih.gov/transcriptome/Anopheles_sialome/links/cluster-b/anopheline-sialome-cds-pep-larger-orf70-50SimCLTL25.txt", 15)</f>
        <v>15</v>
      </c>
      <c r="CF485">
        <f>HYPERLINK("http://exon.niaid.nih.gov/transcriptome/Anopheles_sialome/links/cluster-b/anopheline-sialome-cds-pep-larger-orf75-50SimCLU25.txt", 25)</f>
        <v>25</v>
      </c>
      <c r="CG485">
        <f>HYPERLINK("http://exon.niaid.nih.gov/transcriptome/Anopheles_sialome/links/cluster-b/anopheline-sialome-cds-pep-larger-orf75-50SimCLTL25.txt", 13)</f>
        <v>13</v>
      </c>
      <c r="CH485">
        <f>HYPERLINK("http://exon.niaid.nih.gov/transcriptome/Anopheles_sialome/links/cluster-b/anopheline-sialome-cds-pep-larger-orf80-50SimCLU91.txt", 91)</f>
        <v>91</v>
      </c>
      <c r="CI485">
        <f>HYPERLINK("http://exon.niaid.nih.gov/transcriptome/Anopheles_sialome/links/cluster-b/anopheline-sialome-cds-pep-larger-orf80-50SimCLTL91.txt", 2)</f>
        <v>2</v>
      </c>
      <c r="CJ485">
        <f>HYPERLINK("http://exon.niaid.nih.gov/transcriptome/Anopheles_sialome/links/cluster-b/anopheline-sialome-cds-pep-larger-orf85-50SimCLU93.txt", 93)</f>
        <v>93</v>
      </c>
      <c r="CK485">
        <f>HYPERLINK("http://exon.niaid.nih.gov/transcriptome/Anopheles_sialome/links/cluster-b/anopheline-sialome-cds-pep-larger-orf85-50SimCLTL93.txt", 2)</f>
        <v>2</v>
      </c>
      <c r="CL485">
        <v>322</v>
      </c>
      <c r="CM485">
        <v>1</v>
      </c>
      <c r="CN485">
        <v>393</v>
      </c>
      <c r="CO485">
        <v>1</v>
      </c>
    </row>
    <row r="486" spans="1:93">
      <c r="A486" s="2" t="str">
        <f>HYPERLINK("http://exon.niaid.nih.gov/transcriptome/Anopheles_sialome/links/cds/anofar_SG1-cds.txt","anofar_SG1")</f>
        <v>anofar_SG1</v>
      </c>
      <c r="B486">
        <v>1221</v>
      </c>
      <c r="C486" t="s">
        <v>431</v>
      </c>
      <c r="D486" t="s">
        <v>7</v>
      </c>
      <c r="E486" t="s">
        <v>5</v>
      </c>
      <c r="F486" t="s">
        <v>1</v>
      </c>
      <c r="G486" t="str">
        <f>HYPERLINK("http://exon.niaid.nih.gov/transcriptome/Anopheles_sialome/links/pep/anofar_SG1-pep.txt","anofar_SG1")</f>
        <v>anofar_SG1</v>
      </c>
      <c r="H486">
        <v>406</v>
      </c>
      <c r="I486">
        <v>2</v>
      </c>
      <c r="J486" s="3" t="str">
        <f>HYPERLINK("http://exon.niaid.nih.gov/transcriptome/Anopheles_sialome/links/Sigp/anofar_SG1-SigP.txt","SIG")</f>
        <v>SIG</v>
      </c>
      <c r="K486" t="s">
        <v>708</v>
      </c>
      <c r="L486">
        <v>46.951999999999998</v>
      </c>
      <c r="M486">
        <v>6.81</v>
      </c>
      <c r="N486">
        <v>44.393000000000001</v>
      </c>
      <c r="O486">
        <v>6.62</v>
      </c>
      <c r="P486" t="s">
        <v>1751</v>
      </c>
      <c r="Q486" s="3">
        <v>0</v>
      </c>
      <c r="R486" t="s">
        <v>128</v>
      </c>
      <c r="S486" t="s">
        <v>128</v>
      </c>
      <c r="T486" t="s">
        <v>128</v>
      </c>
      <c r="U486" t="s">
        <v>128</v>
      </c>
      <c r="V486" t="s">
        <v>128</v>
      </c>
      <c r="W486" s="3" t="str">
        <f>HYPERLINK("http://exon.niaid.nih.gov/transcriptome/Anopheles_sialome/links/netoglyc/anofar_SG1-netoglyc.txt","0")</f>
        <v>0</v>
      </c>
      <c r="X486">
        <v>7.4</v>
      </c>
      <c r="Y486">
        <v>5.9</v>
      </c>
      <c r="Z486">
        <v>3</v>
      </c>
      <c r="AA486" t="s">
        <v>654</v>
      </c>
      <c r="AB486" t="s">
        <v>128</v>
      </c>
      <c r="AC486" s="2" t="str">
        <f>HYPERLINK("http://exon.niaid.nih.gov/transcriptome/Anopheles_sialome/links/DIPTERA/anofar_SG1-DIPTERA.txt","AGAP000612-PA")</f>
        <v>AGAP000612-PA</v>
      </c>
      <c r="AD486" t="str">
        <f>HYPERLINK("http://www.ncbi.nlm.nih.gov/sutils/blink.cgi?pid=21294374","1E-100")</f>
        <v>1E-100</v>
      </c>
      <c r="AE486" t="str">
        <f t="shared" si="160"/>
        <v>gi|21294374</v>
      </c>
      <c r="AF486">
        <v>45</v>
      </c>
      <c r="AG486">
        <v>65</v>
      </c>
      <c r="AH486">
        <v>100</v>
      </c>
      <c r="AI486" t="s">
        <v>2285</v>
      </c>
      <c r="AJ486" s="2" t="str">
        <f>HYPERLINK("http://exon.niaid.nih.gov/transcriptome/Anopheles_sialome/links/CULICOMORPHA/anofar_SG1-CULICOMORPHA.txt","AGAP000612-PA")</f>
        <v>AGAP000612-PA</v>
      </c>
      <c r="AK486" t="str">
        <f>HYPERLINK("http://www.ncbi.nlm.nih.gov/sutils/blink.cgi?pid=21294374","1E-100")</f>
        <v>1E-100</v>
      </c>
      <c r="AL486" t="str">
        <f t="shared" si="162"/>
        <v>gi|21294374</v>
      </c>
      <c r="AM486">
        <v>45</v>
      </c>
      <c r="AN486">
        <v>65</v>
      </c>
      <c r="AO486">
        <v>100</v>
      </c>
      <c r="AP486" t="s">
        <v>2285</v>
      </c>
      <c r="AQ486" s="2" t="str">
        <f>HYPERLINK("http://exon.niaid.nih.gov/transcriptome/Anopheles_sialome/links/NR-LIGHT/anofar_SG1-NR-LIGHT.txt","AGAP000612-PA")</f>
        <v>AGAP000612-PA</v>
      </c>
      <c r="AR486" t="str">
        <f>HYPERLINK("http://www.ncbi.nlm.nih.gov/sutils/blink.cgi?pid=31203041","2E-099")</f>
        <v>2E-099</v>
      </c>
      <c r="AS486" t="str">
        <f t="shared" si="164"/>
        <v>gi|31203041</v>
      </c>
      <c r="AT486">
        <v>45</v>
      </c>
      <c r="AU486">
        <v>65</v>
      </c>
      <c r="AV486">
        <v>100</v>
      </c>
      <c r="AW486" t="s">
        <v>2285</v>
      </c>
      <c r="AX486" s="2" t="str">
        <f>HYPERLINK("http://exon.niaid.nih.gov/transcriptome/Anopheles_sialome/links/CDD/anofar_SG1-CDD.txt","XseA")</f>
        <v>XseA</v>
      </c>
      <c r="AY486" t="str">
        <f>HYPERLINK("http://www.ncbi.nlm.nih.gov/Structure/cdd/cddsrv.cgi?uid=COG1570&amp;version=v4.0","0.067")</f>
        <v>0.067</v>
      </c>
      <c r="AZ486" t="s">
        <v>2873</v>
      </c>
      <c r="BA486" s="2" t="str">
        <f>HYPERLINK("http://exon.niaid.nih.gov/transcriptome/Anopheles_sialome/links/KOG/anofar_SG1-KOG.txt","Cell-cycle nuclear protein, contains WD-40 repeats")</f>
        <v>Cell-cycle nuclear protein, contains WD-40 repeats</v>
      </c>
      <c r="BB486" t="str">
        <f>HYPERLINK("http://www.ncbi.nlm.nih.gov/Structure/cdd/cddsrv.cgi?uid=KOG0642","0.040")</f>
        <v>0.040</v>
      </c>
      <c r="BC486" t="s">
        <v>2256</v>
      </c>
      <c r="BD486" t="str">
        <f>HYPERLINK("http://exon.niaid.nih.gov/transcriptome/Anopheles_sialome/links/KOG/anofar_SG1-KOG.txt","KOG0642")</f>
        <v>KOG0642</v>
      </c>
      <c r="BE486" t="str">
        <f>HYPERLINK("http://exon.niaid.nih.gov/transcriptome/Anopheles_sialome/links/PFAM/anofar_SG1-PFAM.txt","Phage_sheath_1")</f>
        <v>Phage_sheath_1</v>
      </c>
      <c r="BF486" t="str">
        <f>HYPERLINK("http://pfam.sanger.ac.uk/family?acc=PF04984","0.038")</f>
        <v>0.038</v>
      </c>
      <c r="BG486" s="2" t="str">
        <f>HYPERLINK("http://exon.niaid.nih.gov/transcriptome/Anopheles_sialome/links/SMART/anofar_SG1-SMART.txt","CDC37_N")</f>
        <v>CDC37_N</v>
      </c>
      <c r="BH486" t="str">
        <f>HYPERLINK("http://smart.embl-heidelberg.de/smart/do_annotation.pl?DOMAIN=CDC37_N&amp;BLAST=DUMMY","0.36")</f>
        <v>0.36</v>
      </c>
      <c r="BI486" t="str">
        <f>HYPERLINK("http://exon.niaid.nih.gov/transcriptome/Anopheles_sialome/links/TICK-BLOCKS/anofar_SG1-TICK-BLOCKS.txt","SG1_full |SG1_stringent_pattern |")</f>
        <v>SG1_full |SG1_stringent_pattern |</v>
      </c>
      <c r="BJ486" s="2" t="s">
        <v>2423</v>
      </c>
      <c r="BK486" t="s">
        <v>1750</v>
      </c>
      <c r="BL486">
        <f>HYPERLINK("http://exon.niaid.nih.gov/transcriptome/Anopheles_sialome/links/cluster-b/anopheline-sialome-cds-pep-larger-orf25-50SimCLU3.txt", 3)</f>
        <v>3</v>
      </c>
      <c r="BM486">
        <f>HYPERLINK("http://exon.niaid.nih.gov/transcriptome/Anopheles_sialome/links/cluster-b/anopheline-sialome-cds-pep-larger-orf25-50SimCLTL3.txt", 119)</f>
        <v>119</v>
      </c>
      <c r="BN486">
        <f>HYPERLINK("http://exon.niaid.nih.gov/transcriptome/Anopheles_sialome/links/cluster-b/anopheline-sialome-cds-pep-larger-orf30-50SimCLU3.txt", 3)</f>
        <v>3</v>
      </c>
      <c r="BO486">
        <f>HYPERLINK("http://exon.niaid.nih.gov/transcriptome/Anopheles_sialome/links/cluster-b/anopheline-sialome-cds-pep-larger-orf30-50SimCLTL3.txt", 119)</f>
        <v>119</v>
      </c>
      <c r="BP486">
        <f>HYPERLINK("http://exon.niaid.nih.gov/transcriptome/Anopheles_sialome/links/cluster-b/anopheline-sialome-cds-pep-larger-orf35-50SimCLU2.txt", 2)</f>
        <v>2</v>
      </c>
      <c r="BQ486">
        <f>HYPERLINK("http://exon.niaid.nih.gov/transcriptome/Anopheles_sialome/links/cluster-b/anopheline-sialome-cds-pep-larger-orf35-50SimCLTL2.txt", 119)</f>
        <v>119</v>
      </c>
      <c r="BR486">
        <f>HYPERLINK("http://exon.niaid.nih.gov/transcriptome/Anopheles_sialome/links/cluster-b/anopheline-sialome-cds-pep-larger-orf40-50SimCLU1.txt", 1)</f>
        <v>1</v>
      </c>
      <c r="BS486">
        <f>HYPERLINK("http://exon.niaid.nih.gov/transcriptome/Anopheles_sialome/links/cluster-b/anopheline-sialome-cds-pep-larger-orf40-50SimCLTL1.txt", 119)</f>
        <v>119</v>
      </c>
      <c r="BT486">
        <f>HYPERLINK("http://exon.niaid.nih.gov/transcriptome/Anopheles_sialome/links/cluster-b/anopheline-sialome-cds-pep-larger-orf45-50SimCLU3.txt", 3)</f>
        <v>3</v>
      </c>
      <c r="BU486">
        <f>HYPERLINK("http://exon.niaid.nih.gov/transcriptome/Anopheles_sialome/links/cluster-b/anopheline-sialome-cds-pep-larger-orf45-50SimCLTL3.txt", 65)</f>
        <v>65</v>
      </c>
      <c r="BV486">
        <f>HYPERLINK("http://exon.niaid.nih.gov/transcriptome/Anopheles_sialome/links/cluster-b/anopheline-sialome-cds-pep-larger-orf50-50SimCLU3.txt", 3)</f>
        <v>3</v>
      </c>
      <c r="BW486">
        <f>HYPERLINK("http://exon.niaid.nih.gov/transcriptome/Anopheles_sialome/links/cluster-b/anopheline-sialome-cds-pep-larger-orf50-50SimCLTL3.txt", 48)</f>
        <v>48</v>
      </c>
      <c r="BX486">
        <f>HYPERLINK("http://exon.niaid.nih.gov/transcriptome/Anopheles_sialome/links/cluster-b/anopheline-sialome-cds-pep-larger-orf55-50SimCLU3.txt", 3)</f>
        <v>3</v>
      </c>
      <c r="BY486">
        <f>HYPERLINK("http://exon.niaid.nih.gov/transcriptome/Anopheles_sialome/links/cluster-b/anopheline-sialome-cds-pep-larger-orf55-50SimCLTL3.txt", 47)</f>
        <v>47</v>
      </c>
      <c r="BZ486">
        <f>HYPERLINK("http://exon.niaid.nih.gov/transcriptome/Anopheles_sialome/links/cluster-b/anopheline-sialome-cds-pep-larger-orf60-50SimCLU22.txt", 22)</f>
        <v>22</v>
      </c>
      <c r="CA486">
        <f>HYPERLINK("http://exon.niaid.nih.gov/transcriptome/Anopheles_sialome/links/cluster-b/anopheline-sialome-cds-pep-larger-orf60-50SimCLTL22.txt", 17)</f>
        <v>17</v>
      </c>
      <c r="CB486">
        <f>HYPERLINK("http://exon.niaid.nih.gov/transcriptome/Anopheles_sialome/links/cluster-b/anopheline-sialome-cds-pep-larger-orf65-50SimCLU28.txt", 28)</f>
        <v>28</v>
      </c>
      <c r="CC486">
        <f>HYPERLINK("http://exon.niaid.nih.gov/transcriptome/Anopheles_sialome/links/cluster-b/anopheline-sialome-cds-pep-larger-orf65-50SimCLTL28.txt", 15)</f>
        <v>15</v>
      </c>
      <c r="CD486">
        <f>HYPERLINK("http://exon.niaid.nih.gov/transcriptome/Anopheles_sialome/links/cluster-b/anopheline-sialome-cds-pep-larger-orf70-50SimCLU25.txt", 25)</f>
        <v>25</v>
      </c>
      <c r="CE486">
        <f>HYPERLINK("http://exon.niaid.nih.gov/transcriptome/Anopheles_sialome/links/cluster-b/anopheline-sialome-cds-pep-larger-orf70-50SimCLTL25.txt", 15)</f>
        <v>15</v>
      </c>
      <c r="CF486">
        <v>138</v>
      </c>
      <c r="CG486">
        <v>1</v>
      </c>
      <c r="CH486">
        <v>193</v>
      </c>
      <c r="CI486">
        <v>1</v>
      </c>
      <c r="CJ486">
        <v>256</v>
      </c>
      <c r="CK486">
        <v>1</v>
      </c>
      <c r="CL486">
        <v>323</v>
      </c>
      <c r="CM486">
        <v>1</v>
      </c>
      <c r="CN486">
        <v>394</v>
      </c>
      <c r="CO486">
        <v>1</v>
      </c>
    </row>
    <row r="487" spans="1:93">
      <c r="A487" s="2" t="str">
        <f>HYPERLINK("http://exon.niaid.nih.gov/transcriptome/Anopheles_sialome/links/cds/anodir_SG1-cds.txt","anodir_SG1")</f>
        <v>anodir_SG1</v>
      </c>
      <c r="B487">
        <v>1218</v>
      </c>
      <c r="C487" t="s">
        <v>432</v>
      </c>
      <c r="D487" t="s">
        <v>7</v>
      </c>
      <c r="E487" t="s">
        <v>5</v>
      </c>
      <c r="F487" t="s">
        <v>1</v>
      </c>
      <c r="G487" t="str">
        <f>HYPERLINK("http://exon.niaid.nih.gov/transcriptome/Anopheles_sialome/links/pep/anodir_SG1-pep.txt","anodir_SG1")</f>
        <v>anodir_SG1</v>
      </c>
      <c r="H487">
        <v>405</v>
      </c>
      <c r="I487">
        <v>1</v>
      </c>
      <c r="J487" s="3" t="str">
        <f>HYPERLINK("http://exon.niaid.nih.gov/transcriptome/Anopheles_sialome/links/Sigp/anodir_SG1-SigP.txt","SIG")</f>
        <v>SIG</v>
      </c>
      <c r="K487" t="s">
        <v>695</v>
      </c>
      <c r="L487">
        <v>46.619</v>
      </c>
      <c r="M487">
        <v>9.41</v>
      </c>
      <c r="N487">
        <v>44.393999999999998</v>
      </c>
      <c r="O487">
        <v>9.35</v>
      </c>
      <c r="P487" t="s">
        <v>1753</v>
      </c>
      <c r="Q487" s="3">
        <v>0</v>
      </c>
      <c r="R487" t="s">
        <v>128</v>
      </c>
      <c r="S487" t="s">
        <v>128</v>
      </c>
      <c r="T487" t="s">
        <v>128</v>
      </c>
      <c r="U487" t="s">
        <v>128</v>
      </c>
      <c r="V487" t="s">
        <v>128</v>
      </c>
      <c r="W487" s="3" t="str">
        <f>HYPERLINK("http://exon.niaid.nih.gov/transcriptome/Anopheles_sialome/links/netoglyc/anodir_SG1-netoglyc.txt","0")</f>
        <v>0</v>
      </c>
      <c r="X487">
        <v>6.4</v>
      </c>
      <c r="Y487">
        <v>4.7</v>
      </c>
      <c r="Z487">
        <v>4</v>
      </c>
      <c r="AA487" t="s">
        <v>654</v>
      </c>
      <c r="AB487" t="s">
        <v>128</v>
      </c>
      <c r="AC487" s="2" t="str">
        <f>HYPERLINK("http://exon.niaid.nih.gov/transcriptome/Anopheles_sialome/links/DIPTERA/anodir_SG1-DIPTERA.txt","AGAP000612-PA")</f>
        <v>AGAP000612-PA</v>
      </c>
      <c r="AD487" t="str">
        <f>HYPERLINK("http://www.ncbi.nlm.nih.gov/sutils/blink.cgi?pid=21294374","1E-103")</f>
        <v>1E-103</v>
      </c>
      <c r="AE487" t="str">
        <f t="shared" si="160"/>
        <v>gi|21294374</v>
      </c>
      <c r="AF487">
        <v>47</v>
      </c>
      <c r="AG487">
        <v>66</v>
      </c>
      <c r="AH487">
        <v>101</v>
      </c>
      <c r="AI487" t="s">
        <v>2285</v>
      </c>
      <c r="AJ487" s="2" t="str">
        <f>HYPERLINK("http://exon.niaid.nih.gov/transcriptome/Anopheles_sialome/links/CULICOMORPHA/anodir_SG1-CULICOMORPHA.txt","AGAP000612-PA")</f>
        <v>AGAP000612-PA</v>
      </c>
      <c r="AK487" t="str">
        <f>HYPERLINK("http://www.ncbi.nlm.nih.gov/sutils/blink.cgi?pid=21294374","1E-104")</f>
        <v>1E-104</v>
      </c>
      <c r="AL487" t="str">
        <f t="shared" si="162"/>
        <v>gi|21294374</v>
      </c>
      <c r="AM487">
        <v>47</v>
      </c>
      <c r="AN487">
        <v>66</v>
      </c>
      <c r="AO487">
        <v>101</v>
      </c>
      <c r="AP487" t="s">
        <v>2285</v>
      </c>
      <c r="AQ487" s="2" t="str">
        <f>HYPERLINK("http://exon.niaid.nih.gov/transcriptome/Anopheles_sialome/links/NR-LIGHT/anodir_SG1-NR-LIGHT.txt","AGAP000612-PA")</f>
        <v>AGAP000612-PA</v>
      </c>
      <c r="AR487" t="str">
        <f>HYPERLINK("http://www.ncbi.nlm.nih.gov/sutils/blink.cgi?pid=31203041","1E-102")</f>
        <v>1E-102</v>
      </c>
      <c r="AS487" t="str">
        <f t="shared" si="164"/>
        <v>gi|31203041</v>
      </c>
      <c r="AT487">
        <v>47</v>
      </c>
      <c r="AU487">
        <v>66</v>
      </c>
      <c r="AV487">
        <v>101</v>
      </c>
      <c r="AW487" t="s">
        <v>2285</v>
      </c>
      <c r="AX487" s="2" t="str">
        <f>HYPERLINK("http://exon.niaid.nih.gov/transcriptome/Anopheles_sialome/links/CDD/anodir_SG1-CDD.txt","PRK11281")</f>
        <v>PRK11281</v>
      </c>
      <c r="AY487" t="str">
        <f>HYPERLINK("http://www.ncbi.nlm.nih.gov/Structure/cdd/cddsrv.cgi?uid=PRK11281&amp;version=v4.0","0.47")</f>
        <v>0.47</v>
      </c>
      <c r="AZ487" t="s">
        <v>2874</v>
      </c>
      <c r="BA487" s="2" t="str">
        <f>HYPERLINK("http://exon.niaid.nih.gov/transcriptome/Anopheles_sialome/links/KOG/anodir_SG1-KOG.txt","CCAAT displacement protein and related homeoproteins")</f>
        <v>CCAAT displacement protein and related homeoproteins</v>
      </c>
      <c r="BB487" t="str">
        <f>HYPERLINK("http://www.ncbi.nlm.nih.gov/Structure/cdd/cddsrv.cgi?uid=KOG2252","0.44")</f>
        <v>0.44</v>
      </c>
      <c r="BC487" t="s">
        <v>2262</v>
      </c>
      <c r="BD487" t="str">
        <f>HYPERLINK("http://exon.niaid.nih.gov/transcriptome/Anopheles_sialome/links/KOG/anodir_SG1-KOG.txt","KOG2252")</f>
        <v>KOG2252</v>
      </c>
      <c r="BE487" t="str">
        <f>HYPERLINK("http://exon.niaid.nih.gov/transcriptome/Anopheles_sialome/links/PFAM/anodir_SG1-PFAM.txt","DUF4631")</f>
        <v>DUF4631</v>
      </c>
      <c r="BF487" t="str">
        <f>HYPERLINK("http://pfam.sanger.ac.uk/family?acc=PF15450","1.3")</f>
        <v>1.3</v>
      </c>
      <c r="BG487" s="2" t="str">
        <f>HYPERLINK("http://exon.niaid.nih.gov/transcriptome/Anopheles_sialome/links/SMART/anodir_SG1-SMART.txt","DM6")</f>
        <v>DM6</v>
      </c>
      <c r="BH487" t="str">
        <f>HYPERLINK("http://smart.embl-heidelberg.de/smart/do_annotation.pl?DOMAIN=DM6&amp;BLAST=DUMMY","0.96")</f>
        <v>0.96</v>
      </c>
      <c r="BI487" t="str">
        <f>HYPERLINK("http://exon.niaid.nih.gov/transcriptome/Anopheles_sialome/links/TICK-BLOCKS/anodir_SG1-TICK-BLOCKS.txt","SG1_full |SG1_stringent_pattern |")</f>
        <v>SG1_full |SG1_stringent_pattern |</v>
      </c>
      <c r="BJ487" s="2" t="s">
        <v>2423</v>
      </c>
      <c r="BK487" t="s">
        <v>1752</v>
      </c>
      <c r="BL487">
        <f>HYPERLINK("http://exon.niaid.nih.gov/transcriptome/Anopheles_sialome/links/cluster-b/anopheline-sialome-cds-pep-larger-orf25-50SimCLU3.txt", 3)</f>
        <v>3</v>
      </c>
      <c r="BM487">
        <f>HYPERLINK("http://exon.niaid.nih.gov/transcriptome/Anopheles_sialome/links/cluster-b/anopheline-sialome-cds-pep-larger-orf25-50SimCLTL3.txt", 119)</f>
        <v>119</v>
      </c>
      <c r="BN487">
        <f>HYPERLINK("http://exon.niaid.nih.gov/transcriptome/Anopheles_sialome/links/cluster-b/anopheline-sialome-cds-pep-larger-orf30-50SimCLU3.txt", 3)</f>
        <v>3</v>
      </c>
      <c r="BO487">
        <f>HYPERLINK("http://exon.niaid.nih.gov/transcriptome/Anopheles_sialome/links/cluster-b/anopheline-sialome-cds-pep-larger-orf30-50SimCLTL3.txt", 119)</f>
        <v>119</v>
      </c>
      <c r="BP487">
        <f>HYPERLINK("http://exon.niaid.nih.gov/transcriptome/Anopheles_sialome/links/cluster-b/anopheline-sialome-cds-pep-larger-orf35-50SimCLU2.txt", 2)</f>
        <v>2</v>
      </c>
      <c r="BQ487">
        <f>HYPERLINK("http://exon.niaid.nih.gov/transcriptome/Anopheles_sialome/links/cluster-b/anopheline-sialome-cds-pep-larger-orf35-50SimCLTL2.txt", 119)</f>
        <v>119</v>
      </c>
      <c r="BR487">
        <f>HYPERLINK("http://exon.niaid.nih.gov/transcriptome/Anopheles_sialome/links/cluster-b/anopheline-sialome-cds-pep-larger-orf40-50SimCLU1.txt", 1)</f>
        <v>1</v>
      </c>
      <c r="BS487">
        <f>HYPERLINK("http://exon.niaid.nih.gov/transcriptome/Anopheles_sialome/links/cluster-b/anopheline-sialome-cds-pep-larger-orf40-50SimCLTL1.txt", 119)</f>
        <v>119</v>
      </c>
      <c r="BT487">
        <f>HYPERLINK("http://exon.niaid.nih.gov/transcriptome/Anopheles_sialome/links/cluster-b/anopheline-sialome-cds-pep-larger-orf45-50SimCLU3.txt", 3)</f>
        <v>3</v>
      </c>
      <c r="BU487">
        <f>HYPERLINK("http://exon.niaid.nih.gov/transcriptome/Anopheles_sialome/links/cluster-b/anopheline-sialome-cds-pep-larger-orf45-50SimCLTL3.txt", 65)</f>
        <v>65</v>
      </c>
      <c r="BV487">
        <f>HYPERLINK("http://exon.niaid.nih.gov/transcriptome/Anopheles_sialome/links/cluster-b/anopheline-sialome-cds-pep-larger-orf50-50SimCLU3.txt", 3)</f>
        <v>3</v>
      </c>
      <c r="BW487">
        <f>HYPERLINK("http://exon.niaid.nih.gov/transcriptome/Anopheles_sialome/links/cluster-b/anopheline-sialome-cds-pep-larger-orf50-50SimCLTL3.txt", 48)</f>
        <v>48</v>
      </c>
      <c r="BX487">
        <f>HYPERLINK("http://exon.niaid.nih.gov/transcriptome/Anopheles_sialome/links/cluster-b/anopheline-sialome-cds-pep-larger-orf55-50SimCLU3.txt", 3)</f>
        <v>3</v>
      </c>
      <c r="BY487">
        <f>HYPERLINK("http://exon.niaid.nih.gov/transcriptome/Anopheles_sialome/links/cluster-b/anopheline-sialome-cds-pep-larger-orf55-50SimCLTL3.txt", 47)</f>
        <v>47</v>
      </c>
      <c r="BZ487">
        <f>HYPERLINK("http://exon.niaid.nih.gov/transcriptome/Anopheles_sialome/links/cluster-b/anopheline-sialome-cds-pep-larger-orf60-50SimCLU22.txt", 22)</f>
        <v>22</v>
      </c>
      <c r="CA487">
        <f>HYPERLINK("http://exon.niaid.nih.gov/transcriptome/Anopheles_sialome/links/cluster-b/anopheline-sialome-cds-pep-larger-orf60-50SimCLTL22.txt", 17)</f>
        <v>17</v>
      </c>
      <c r="CB487">
        <f>HYPERLINK("http://exon.niaid.nih.gov/transcriptome/Anopheles_sialome/links/cluster-b/anopheline-sialome-cds-pep-larger-orf65-50SimCLU28.txt", 28)</f>
        <v>28</v>
      </c>
      <c r="CC487">
        <f>HYPERLINK("http://exon.niaid.nih.gov/transcriptome/Anopheles_sialome/links/cluster-b/anopheline-sialome-cds-pep-larger-orf65-50SimCLTL28.txt", 15)</f>
        <v>15</v>
      </c>
      <c r="CD487">
        <f>HYPERLINK("http://exon.niaid.nih.gov/transcriptome/Anopheles_sialome/links/cluster-b/anopheline-sialome-cds-pep-larger-orf70-50SimCLU25.txt", 25)</f>
        <v>25</v>
      </c>
      <c r="CE487">
        <f>HYPERLINK("http://exon.niaid.nih.gov/transcriptome/Anopheles_sialome/links/cluster-b/anopheline-sialome-cds-pep-larger-orf70-50SimCLTL25.txt", 15)</f>
        <v>15</v>
      </c>
      <c r="CF487">
        <v>139</v>
      </c>
      <c r="CG487">
        <v>1</v>
      </c>
      <c r="CH487">
        <v>194</v>
      </c>
      <c r="CI487">
        <v>1</v>
      </c>
      <c r="CJ487">
        <v>257</v>
      </c>
      <c r="CK487">
        <v>1</v>
      </c>
      <c r="CL487">
        <v>324</v>
      </c>
      <c r="CM487">
        <v>1</v>
      </c>
      <c r="CN487">
        <v>395</v>
      </c>
      <c r="CO487">
        <v>1</v>
      </c>
    </row>
    <row r="488" spans="1:93">
      <c r="A488" s="2" t="str">
        <f>HYPERLINK("http://exon.niaid.nih.gov/transcriptome/Anopheles_sialome/links/cds/anoatro_SG1-cds.txt","anoatro_SG1")</f>
        <v>anoatro_SG1</v>
      </c>
      <c r="B488">
        <v>1233</v>
      </c>
      <c r="C488" t="s">
        <v>433</v>
      </c>
      <c r="D488" t="s">
        <v>7</v>
      </c>
      <c r="E488" t="s">
        <v>5</v>
      </c>
      <c r="F488" t="s">
        <v>1</v>
      </c>
      <c r="G488" t="str">
        <f>HYPERLINK("http://exon.niaid.nih.gov/transcriptome/Anopheles_sialome/links/pep/anoatro_SG1-pep.txt","anoatro_SG1")</f>
        <v>anoatro_SG1</v>
      </c>
      <c r="H488">
        <v>410</v>
      </c>
      <c r="I488">
        <v>1</v>
      </c>
      <c r="J488" s="3" t="str">
        <f>HYPERLINK("http://exon.niaid.nih.gov/transcriptome/Anopheles_sialome/links/Sigp/anoatro_SG1-SigP.txt","SIG")</f>
        <v>SIG</v>
      </c>
      <c r="K488" t="s">
        <v>1182</v>
      </c>
      <c r="L488">
        <v>47.848999999999997</v>
      </c>
      <c r="M488">
        <v>6.78</v>
      </c>
      <c r="N488">
        <v>45.118000000000002</v>
      </c>
      <c r="O488">
        <v>6.87</v>
      </c>
      <c r="P488" t="s">
        <v>1755</v>
      </c>
      <c r="Q488" s="3">
        <v>0</v>
      </c>
      <c r="R488" t="s">
        <v>128</v>
      </c>
      <c r="S488" t="s">
        <v>128</v>
      </c>
      <c r="T488" t="s">
        <v>128</v>
      </c>
      <c r="U488" t="s">
        <v>128</v>
      </c>
      <c r="V488" t="s">
        <v>128</v>
      </c>
      <c r="W488" s="3" t="str">
        <f>HYPERLINK("http://exon.niaid.nih.gov/transcriptome/Anopheles_sialome/links/netoglyc/anoatro_SG1-netoglyc.txt","1")</f>
        <v>1</v>
      </c>
      <c r="X488">
        <v>8.8000000000000007</v>
      </c>
      <c r="Y488">
        <v>4.4000000000000004</v>
      </c>
      <c r="Z488">
        <v>4.4000000000000004</v>
      </c>
      <c r="AA488" t="s">
        <v>654</v>
      </c>
      <c r="AB488" t="s">
        <v>128</v>
      </c>
      <c r="AC488" s="2" t="str">
        <f>HYPERLINK("http://exon.niaid.nih.gov/transcriptome/Anopheles_sialome/links/DIPTERA/anoatro_SG1-DIPTERA.txt","AGAP000612-PA")</f>
        <v>AGAP000612-PA</v>
      </c>
      <c r="AD488" t="str">
        <f>HYPERLINK("http://www.ncbi.nlm.nih.gov/sutils/blink.cgi?pid=21294374","2E-083")</f>
        <v>2E-083</v>
      </c>
      <c r="AE488" t="str">
        <f t="shared" si="160"/>
        <v>gi|21294374</v>
      </c>
      <c r="AF488">
        <v>40</v>
      </c>
      <c r="AG488">
        <v>59</v>
      </c>
      <c r="AH488">
        <v>96</v>
      </c>
      <c r="AI488" t="s">
        <v>2285</v>
      </c>
      <c r="AJ488" s="2" t="str">
        <f>HYPERLINK("http://exon.niaid.nih.gov/transcriptome/Anopheles_sialome/links/CULICOMORPHA/anoatro_SG1-CULICOMORPHA.txt","AGAP000612-PA")</f>
        <v>AGAP000612-PA</v>
      </c>
      <c r="AK488" t="str">
        <f>HYPERLINK("http://www.ncbi.nlm.nih.gov/sutils/blink.cgi?pid=21294374","3E-084")</f>
        <v>3E-084</v>
      </c>
      <c r="AL488" t="str">
        <f t="shared" si="162"/>
        <v>gi|21294374</v>
      </c>
      <c r="AM488">
        <v>40</v>
      </c>
      <c r="AN488">
        <v>59</v>
      </c>
      <c r="AO488">
        <v>96</v>
      </c>
      <c r="AP488" t="s">
        <v>2285</v>
      </c>
      <c r="AQ488" s="2" t="str">
        <f>HYPERLINK("http://exon.niaid.nih.gov/transcriptome/Anopheles_sialome/links/NR-LIGHT/anoatro_SG1-NR-LIGHT.txt","AGAP000612-PA")</f>
        <v>AGAP000612-PA</v>
      </c>
      <c r="AR488" t="str">
        <f>HYPERLINK("http://www.ncbi.nlm.nih.gov/sutils/blink.cgi?pid=31203041","5E-083")</f>
        <v>5E-083</v>
      </c>
      <c r="AS488" t="str">
        <f t="shared" si="164"/>
        <v>gi|31203041</v>
      </c>
      <c r="AT488">
        <v>40</v>
      </c>
      <c r="AU488">
        <v>59</v>
      </c>
      <c r="AV488">
        <v>96</v>
      </c>
      <c r="AW488" t="s">
        <v>2285</v>
      </c>
      <c r="AX488" s="2" t="str">
        <f>HYPERLINK("http://exon.niaid.nih.gov/transcriptome/Anopheles_sialome/links/CDD/anoatro_SG1-CDD.txt","Lipoprotein_X")</f>
        <v>Lipoprotein_X</v>
      </c>
      <c r="AY488" t="str">
        <f>HYPERLINK("http://www.ncbi.nlm.nih.gov/Structure/cdd/cddsrv.cgi?uid=pfam03305&amp;version=v4.0","1.1")</f>
        <v>1.1</v>
      </c>
      <c r="AZ488" t="s">
        <v>2875</v>
      </c>
      <c r="BA488" s="2" t="str">
        <f>HYPERLINK("http://exon.niaid.nih.gov/transcriptome/Anopheles_sialome/links/KOG/anoatro_SG1-KOG.txt","Tripeptidyl peptidase II")</f>
        <v>Tripeptidyl peptidase II</v>
      </c>
      <c r="BB488" t="str">
        <f>HYPERLINK("http://www.ncbi.nlm.nih.gov/Structure/cdd/cddsrv.cgi?uid=KOG1114","0.51")</f>
        <v>0.51</v>
      </c>
      <c r="BC488" t="s">
        <v>2296</v>
      </c>
      <c r="BD488" t="str">
        <f>HYPERLINK("http://exon.niaid.nih.gov/transcriptome/Anopheles_sialome/links/KOG/anoatro_SG1-KOG.txt","KOG1114")</f>
        <v>KOG1114</v>
      </c>
      <c r="BE488" t="str">
        <f>HYPERLINK("http://exon.niaid.nih.gov/transcriptome/Anopheles_sialome/links/PFAM/anoatro_SG1-PFAM.txt","Lipoprotein_X")</f>
        <v>Lipoprotein_X</v>
      </c>
      <c r="BF488" t="str">
        <f>HYPERLINK("http://pfam.sanger.ac.uk/family?acc=PF03305","0.22")</f>
        <v>0.22</v>
      </c>
      <c r="BG488" s="2" t="str">
        <f>HYPERLINK("http://exon.niaid.nih.gov/transcriptome/Anopheles_sialome/links/SMART/anoatro_SG1-SMART.txt","SHR3_chaperone")</f>
        <v>SHR3_chaperone</v>
      </c>
      <c r="BH488" t="str">
        <f>HYPERLINK("http://smart.embl-heidelberg.de/smart/do_annotation.pl?DOMAIN=SHR3_chaperone&amp;BLAST=DUMMY","0.74")</f>
        <v>0.74</v>
      </c>
      <c r="BI488" t="s">
        <v>128</v>
      </c>
      <c r="BJ488" s="2" t="s">
        <v>128</v>
      </c>
      <c r="BK488" t="s">
        <v>1754</v>
      </c>
      <c r="BL488">
        <f>HYPERLINK("http://exon.niaid.nih.gov/transcriptome/Anopheles_sialome/links/cluster-b/anopheline-sialome-cds-pep-larger-orf25-50SimCLU3.txt", 3)</f>
        <v>3</v>
      </c>
      <c r="BM488">
        <f>HYPERLINK("http://exon.niaid.nih.gov/transcriptome/Anopheles_sialome/links/cluster-b/anopheline-sialome-cds-pep-larger-orf25-50SimCLTL3.txt", 119)</f>
        <v>119</v>
      </c>
      <c r="BN488">
        <f>HYPERLINK("http://exon.niaid.nih.gov/transcriptome/Anopheles_sialome/links/cluster-b/anopheline-sialome-cds-pep-larger-orf30-50SimCLU3.txt", 3)</f>
        <v>3</v>
      </c>
      <c r="BO488">
        <f>HYPERLINK("http://exon.niaid.nih.gov/transcriptome/Anopheles_sialome/links/cluster-b/anopheline-sialome-cds-pep-larger-orf30-50SimCLTL3.txt", 119)</f>
        <v>119</v>
      </c>
      <c r="BP488">
        <f>HYPERLINK("http://exon.niaid.nih.gov/transcriptome/Anopheles_sialome/links/cluster-b/anopheline-sialome-cds-pep-larger-orf35-50SimCLU2.txt", 2)</f>
        <v>2</v>
      </c>
      <c r="BQ488">
        <f>HYPERLINK("http://exon.niaid.nih.gov/transcriptome/Anopheles_sialome/links/cluster-b/anopheline-sialome-cds-pep-larger-orf35-50SimCLTL2.txt", 119)</f>
        <v>119</v>
      </c>
      <c r="BR488">
        <f>HYPERLINK("http://exon.niaid.nih.gov/transcriptome/Anopheles_sialome/links/cluster-b/anopheline-sialome-cds-pep-larger-orf40-50SimCLU1.txt", 1)</f>
        <v>1</v>
      </c>
      <c r="BS488">
        <f>HYPERLINK("http://exon.niaid.nih.gov/transcriptome/Anopheles_sialome/links/cluster-b/anopheline-sialome-cds-pep-larger-orf40-50SimCLTL1.txt", 119)</f>
        <v>119</v>
      </c>
      <c r="BT488">
        <f>HYPERLINK("http://exon.niaid.nih.gov/transcriptome/Anopheles_sialome/links/cluster-b/anopheline-sialome-cds-pep-larger-orf45-50SimCLU3.txt", 3)</f>
        <v>3</v>
      </c>
      <c r="BU488">
        <f>HYPERLINK("http://exon.niaid.nih.gov/transcriptome/Anopheles_sialome/links/cluster-b/anopheline-sialome-cds-pep-larger-orf45-50SimCLTL3.txt", 65)</f>
        <v>65</v>
      </c>
      <c r="BV488">
        <f>HYPERLINK("http://exon.niaid.nih.gov/transcriptome/Anopheles_sialome/links/cluster-b/anopheline-sialome-cds-pep-larger-orf50-50SimCLU3.txt", 3)</f>
        <v>3</v>
      </c>
      <c r="BW488">
        <f>HYPERLINK("http://exon.niaid.nih.gov/transcriptome/Anopheles_sialome/links/cluster-b/anopheline-sialome-cds-pep-larger-orf50-50SimCLTL3.txt", 48)</f>
        <v>48</v>
      </c>
      <c r="BX488">
        <f>HYPERLINK("http://exon.niaid.nih.gov/transcriptome/Anopheles_sialome/links/cluster-b/anopheline-sialome-cds-pep-larger-orf55-50SimCLU3.txt", 3)</f>
        <v>3</v>
      </c>
      <c r="BY488">
        <f>HYPERLINK("http://exon.niaid.nih.gov/transcriptome/Anopheles_sialome/links/cluster-b/anopheline-sialome-cds-pep-larger-orf55-50SimCLTL3.txt", 47)</f>
        <v>47</v>
      </c>
      <c r="BZ488">
        <f>HYPERLINK("http://exon.niaid.nih.gov/transcriptome/Anopheles_sialome/links/cluster-b/anopheline-sialome-cds-pep-larger-orf60-50SimCLU22.txt", 22)</f>
        <v>22</v>
      </c>
      <c r="CA488">
        <f>HYPERLINK("http://exon.niaid.nih.gov/transcriptome/Anopheles_sialome/links/cluster-b/anopheline-sialome-cds-pep-larger-orf60-50SimCLTL22.txt", 17)</f>
        <v>17</v>
      </c>
      <c r="CB488">
        <f>HYPERLINK("http://exon.niaid.nih.gov/transcriptome/Anopheles_sialome/links/cluster-b/anopheline-sialome-cds-pep-larger-orf65-50SimCLU51.txt", 51)</f>
        <v>51</v>
      </c>
      <c r="CC488">
        <f>HYPERLINK("http://exon.niaid.nih.gov/transcriptome/Anopheles_sialome/links/cluster-b/anopheline-sialome-cds-pep-larger-orf65-50SimCLTL51.txt", 2)</f>
        <v>2</v>
      </c>
      <c r="CD488">
        <f>HYPERLINK("http://exon.niaid.nih.gov/transcriptome/Anopheles_sialome/links/cluster-b/anopheline-sialome-cds-pep-larger-orf70-50SimCLU61.txt", 61)</f>
        <v>61</v>
      </c>
      <c r="CE488">
        <f>HYPERLINK("http://exon.niaid.nih.gov/transcriptome/Anopheles_sialome/links/cluster-b/anopheline-sialome-cds-pep-larger-orf70-50SimCLTL61.txt", 2)</f>
        <v>2</v>
      </c>
      <c r="CF488">
        <f>HYPERLINK("http://exon.niaid.nih.gov/transcriptome/Anopheles_sialome/links/cluster-b/anopheline-sialome-cds-pep-larger-orf75-50SimCLU79.txt", 79)</f>
        <v>79</v>
      </c>
      <c r="CG488">
        <f>HYPERLINK("http://exon.niaid.nih.gov/transcriptome/Anopheles_sialome/links/cluster-b/anopheline-sialome-cds-pep-larger-orf75-50SimCLTL79.txt", 2)</f>
        <v>2</v>
      </c>
      <c r="CH488">
        <f>HYPERLINK("http://exon.niaid.nih.gov/transcriptome/Anopheles_sialome/links/cluster-b/anopheline-sialome-cds-pep-larger-orf80-50SimCLU92.txt", 92)</f>
        <v>92</v>
      </c>
      <c r="CI488">
        <f>HYPERLINK("http://exon.niaid.nih.gov/transcriptome/Anopheles_sialome/links/cluster-b/anopheline-sialome-cds-pep-larger-orf80-50SimCLTL92.txt", 2)</f>
        <v>2</v>
      </c>
      <c r="CJ488">
        <f>HYPERLINK("http://exon.niaid.nih.gov/transcriptome/Anopheles_sialome/links/cluster-b/anopheline-sialome-cds-pep-larger-orf85-50SimCLU94.txt", 94)</f>
        <v>94</v>
      </c>
      <c r="CK488">
        <f>HYPERLINK("http://exon.niaid.nih.gov/transcriptome/Anopheles_sialome/links/cluster-b/anopheline-sialome-cds-pep-larger-orf85-50SimCLTL94.txt", 2)</f>
        <v>2</v>
      </c>
      <c r="CL488">
        <v>325</v>
      </c>
      <c r="CM488">
        <v>1</v>
      </c>
      <c r="CN488">
        <v>396</v>
      </c>
      <c r="CO488">
        <v>1</v>
      </c>
    </row>
    <row r="489" spans="1:93">
      <c r="A489" s="2" t="str">
        <f>HYPERLINK("http://exon.niaid.nih.gov/transcriptome/Anopheles_sialome/links/cds/anosin_SG1-cds.txt","anosin_SG1")</f>
        <v>anosin_SG1</v>
      </c>
      <c r="B489">
        <v>1245</v>
      </c>
      <c r="C489" t="s">
        <v>434</v>
      </c>
      <c r="D489" t="s">
        <v>7</v>
      </c>
      <c r="E489" t="s">
        <v>5</v>
      </c>
      <c r="F489" t="s">
        <v>1</v>
      </c>
      <c r="G489" t="str">
        <f>HYPERLINK("http://exon.niaid.nih.gov/transcriptome/Anopheles_sialome/links/pep/anosin_SG1-pep.txt","anosin_SG1")</f>
        <v>anosin_SG1</v>
      </c>
      <c r="H489">
        <v>414</v>
      </c>
      <c r="I489">
        <v>1</v>
      </c>
      <c r="J489" s="3" t="str">
        <f>HYPERLINK("http://exon.niaid.nih.gov/transcriptome/Anopheles_sialome/links/Sigp/anosin_SG1-SigP.txt","SIG")</f>
        <v>SIG</v>
      </c>
      <c r="K489" t="s">
        <v>1199</v>
      </c>
      <c r="L489">
        <v>48.421999999999997</v>
      </c>
      <c r="M489">
        <v>6.25</v>
      </c>
      <c r="N489">
        <v>45.19</v>
      </c>
      <c r="O489">
        <v>6.27</v>
      </c>
      <c r="P489" t="s">
        <v>1757</v>
      </c>
      <c r="Q489" s="3" t="str">
        <f>HYPERLINK("http://exon.niaid.nih.gov/transcriptome/Anopheles_sialome/links/tmhmm/anosin_SG1-tmhmm.txt","1")</f>
        <v>1</v>
      </c>
      <c r="R489">
        <v>4.5999999999999996</v>
      </c>
      <c r="S489">
        <v>94.2</v>
      </c>
      <c r="T489">
        <v>1.2</v>
      </c>
      <c r="U489" t="s">
        <v>128</v>
      </c>
      <c r="V489">
        <v>390</v>
      </c>
      <c r="W489" s="3" t="str">
        <f>HYPERLINK("http://exon.niaid.nih.gov/transcriptome/Anopheles_sialome/links/netoglyc/anosin_SG1-netoglyc.txt","0")</f>
        <v>0</v>
      </c>
      <c r="X489">
        <v>9.4</v>
      </c>
      <c r="Y489">
        <v>4.3</v>
      </c>
      <c r="Z489">
        <v>3.9</v>
      </c>
      <c r="AA489" t="s">
        <v>654</v>
      </c>
      <c r="AB489" t="s">
        <v>128</v>
      </c>
      <c r="AC489" s="2" t="str">
        <f>HYPERLINK("http://exon.niaid.nih.gov/transcriptome/Anopheles_sialome/links/DIPTERA/anosin_SG1-DIPTERA.txt","SG1 protein")</f>
        <v>SG1 protein</v>
      </c>
      <c r="AD489" t="str">
        <f>HYPERLINK("http://www.ncbi.nlm.nih.gov/sutils/blink.cgi?pid=4210615","5E-078")</f>
        <v>5E-078</v>
      </c>
      <c r="AE489" t="str">
        <f>HYPERLINK("http://www.ncbi.nlm.nih.gov/protein/4210615","gi|4210615")</f>
        <v>gi|4210615</v>
      </c>
      <c r="AF489">
        <v>39</v>
      </c>
      <c r="AG489">
        <v>58</v>
      </c>
      <c r="AH489">
        <v>95</v>
      </c>
      <c r="AI489" t="s">
        <v>2254</v>
      </c>
      <c r="AJ489" s="2" t="str">
        <f>HYPERLINK("http://exon.niaid.nih.gov/transcriptome/Anopheles_sialome/links/CULICOMORPHA/anosin_SG1-CULICOMORPHA.txt","SG1 protein")</f>
        <v>SG1 protein</v>
      </c>
      <c r="AK489" t="str">
        <f>HYPERLINK("http://www.ncbi.nlm.nih.gov/sutils/blink.cgi?pid=4210615","9E-079")</f>
        <v>9E-079</v>
      </c>
      <c r="AL489" t="str">
        <f>HYPERLINK("http://www.ncbi.nlm.nih.gov/protein/4210615","gi|4210615")</f>
        <v>gi|4210615</v>
      </c>
      <c r="AM489">
        <v>39</v>
      </c>
      <c r="AN489">
        <v>58</v>
      </c>
      <c r="AO489">
        <v>95</v>
      </c>
      <c r="AP489" t="s">
        <v>2254</v>
      </c>
      <c r="AQ489" s="2" t="str">
        <f>HYPERLINK("http://exon.niaid.nih.gov/transcriptome/Anopheles_sialome/links/NR-LIGHT/anosin_SG1-NR-LIGHT.txt","SG1 protein")</f>
        <v>SG1 protein</v>
      </c>
      <c r="AR489" t="str">
        <f>HYPERLINK("http://www.ncbi.nlm.nih.gov/sutils/blink.cgi?pid=4210615","1E-077")</f>
        <v>1E-077</v>
      </c>
      <c r="AS489" t="str">
        <f>HYPERLINK("http://www.ncbi.nlm.nih.gov/protein/4210615","gi|4210615")</f>
        <v>gi|4210615</v>
      </c>
      <c r="AT489">
        <v>39</v>
      </c>
      <c r="AU489">
        <v>58</v>
      </c>
      <c r="AV489">
        <v>95</v>
      </c>
      <c r="AW489" t="s">
        <v>2254</v>
      </c>
      <c r="AX489" s="2" t="str">
        <f>HYPERLINK("http://exon.niaid.nih.gov/transcriptome/Anopheles_sialome/links/CDD/anosin_SG1-CDD.txt","PGA_TPR_OMP")</f>
        <v>PGA_TPR_OMP</v>
      </c>
      <c r="AY489" t="str">
        <f>HYPERLINK("http://www.ncbi.nlm.nih.gov/Structure/cdd/cddsrv.cgi?uid=TIGR03939&amp;version=v4.0","0.12")</f>
        <v>0.12</v>
      </c>
      <c r="AZ489" t="s">
        <v>2876</v>
      </c>
      <c r="BA489" s="2" t="str">
        <f>HYPERLINK("http://exon.niaid.nih.gov/transcriptome/Anopheles_sialome/links/KOG/anosin_SG1-KOG.txt","Mitochondrial GTPase")</f>
        <v>Mitochondrial GTPase</v>
      </c>
      <c r="BB489" t="str">
        <f>HYPERLINK("http://www.ncbi.nlm.nih.gov/Structure/cdd/cddsrv.cgi?uid=KOG1191","0.22")</f>
        <v>0.22</v>
      </c>
      <c r="BC489" t="s">
        <v>2260</v>
      </c>
      <c r="BD489" t="str">
        <f>HYPERLINK("http://exon.niaid.nih.gov/transcriptome/Anopheles_sialome/links/KOG/anosin_SG1-KOG.txt","KOG1191")</f>
        <v>KOG1191</v>
      </c>
      <c r="BE489" t="str">
        <f>HYPERLINK("http://exon.niaid.nih.gov/transcriptome/Anopheles_sialome/links/PFAM/anosin_SG1-PFAM.txt","DUF677")</f>
        <v>DUF677</v>
      </c>
      <c r="BF489" t="str">
        <f>HYPERLINK("http://pfam.sanger.ac.uk/family?acc=PF05055","0.69")</f>
        <v>0.69</v>
      </c>
      <c r="BG489" s="2" t="str">
        <f>HYPERLINK("http://exon.niaid.nih.gov/transcriptome/Anopheles_sialome/links/SMART/anosin_SG1-SMART.txt","OmpH")</f>
        <v>OmpH</v>
      </c>
      <c r="BH489" t="str">
        <f>HYPERLINK("http://smart.embl-heidelberg.de/smart/do_annotation.pl?DOMAIN=OmpH&amp;BLAST=DUMMY","0.74")</f>
        <v>0.74</v>
      </c>
      <c r="BI489" t="s">
        <v>128</v>
      </c>
      <c r="BJ489" s="2" t="s">
        <v>128</v>
      </c>
      <c r="BK489" t="s">
        <v>1756</v>
      </c>
      <c r="BL489">
        <f>HYPERLINK("http://exon.niaid.nih.gov/transcriptome/Anopheles_sialome/links/cluster-b/anopheline-sialome-cds-pep-larger-orf25-50SimCLU3.txt", 3)</f>
        <v>3</v>
      </c>
      <c r="BM489">
        <f>HYPERLINK("http://exon.niaid.nih.gov/transcriptome/Anopheles_sialome/links/cluster-b/anopheline-sialome-cds-pep-larger-orf25-50SimCLTL3.txt", 119)</f>
        <v>119</v>
      </c>
      <c r="BN489">
        <f>HYPERLINK("http://exon.niaid.nih.gov/transcriptome/Anopheles_sialome/links/cluster-b/anopheline-sialome-cds-pep-larger-orf30-50SimCLU3.txt", 3)</f>
        <v>3</v>
      </c>
      <c r="BO489">
        <f>HYPERLINK("http://exon.niaid.nih.gov/transcriptome/Anopheles_sialome/links/cluster-b/anopheline-sialome-cds-pep-larger-orf30-50SimCLTL3.txt", 119)</f>
        <v>119</v>
      </c>
      <c r="BP489">
        <f>HYPERLINK("http://exon.niaid.nih.gov/transcriptome/Anopheles_sialome/links/cluster-b/anopheline-sialome-cds-pep-larger-orf35-50SimCLU2.txt", 2)</f>
        <v>2</v>
      </c>
      <c r="BQ489">
        <f>HYPERLINK("http://exon.niaid.nih.gov/transcriptome/Anopheles_sialome/links/cluster-b/anopheline-sialome-cds-pep-larger-orf35-50SimCLTL2.txt", 119)</f>
        <v>119</v>
      </c>
      <c r="BR489">
        <f>HYPERLINK("http://exon.niaid.nih.gov/transcriptome/Anopheles_sialome/links/cluster-b/anopheline-sialome-cds-pep-larger-orf40-50SimCLU1.txt", 1)</f>
        <v>1</v>
      </c>
      <c r="BS489">
        <f>HYPERLINK("http://exon.niaid.nih.gov/transcriptome/Anopheles_sialome/links/cluster-b/anopheline-sialome-cds-pep-larger-orf40-50SimCLTL1.txt", 119)</f>
        <v>119</v>
      </c>
      <c r="BT489">
        <f>HYPERLINK("http://exon.niaid.nih.gov/transcriptome/Anopheles_sialome/links/cluster-b/anopheline-sialome-cds-pep-larger-orf45-50SimCLU3.txt", 3)</f>
        <v>3</v>
      </c>
      <c r="BU489">
        <f>HYPERLINK("http://exon.niaid.nih.gov/transcriptome/Anopheles_sialome/links/cluster-b/anopheline-sialome-cds-pep-larger-orf45-50SimCLTL3.txt", 65)</f>
        <v>65</v>
      </c>
      <c r="BV489">
        <f>HYPERLINK("http://exon.niaid.nih.gov/transcriptome/Anopheles_sialome/links/cluster-b/anopheline-sialome-cds-pep-larger-orf50-50SimCLU3.txt", 3)</f>
        <v>3</v>
      </c>
      <c r="BW489">
        <f>HYPERLINK("http://exon.niaid.nih.gov/transcriptome/Anopheles_sialome/links/cluster-b/anopheline-sialome-cds-pep-larger-orf50-50SimCLTL3.txt", 48)</f>
        <v>48</v>
      </c>
      <c r="BX489">
        <f>HYPERLINK("http://exon.niaid.nih.gov/transcriptome/Anopheles_sialome/links/cluster-b/anopheline-sialome-cds-pep-larger-orf55-50SimCLU3.txt", 3)</f>
        <v>3</v>
      </c>
      <c r="BY489">
        <f>HYPERLINK("http://exon.niaid.nih.gov/transcriptome/Anopheles_sialome/links/cluster-b/anopheline-sialome-cds-pep-larger-orf55-50SimCLTL3.txt", 47)</f>
        <v>47</v>
      </c>
      <c r="BZ489">
        <f>HYPERLINK("http://exon.niaid.nih.gov/transcriptome/Anopheles_sialome/links/cluster-b/anopheline-sialome-cds-pep-larger-orf60-50SimCLU22.txt", 22)</f>
        <v>22</v>
      </c>
      <c r="CA489">
        <f>HYPERLINK("http://exon.niaid.nih.gov/transcriptome/Anopheles_sialome/links/cluster-b/anopheline-sialome-cds-pep-larger-orf60-50SimCLTL22.txt", 17)</f>
        <v>17</v>
      </c>
      <c r="CB489">
        <f>HYPERLINK("http://exon.niaid.nih.gov/transcriptome/Anopheles_sialome/links/cluster-b/anopheline-sialome-cds-pep-larger-orf65-50SimCLU51.txt", 51)</f>
        <v>51</v>
      </c>
      <c r="CC489">
        <f>HYPERLINK("http://exon.niaid.nih.gov/transcriptome/Anopheles_sialome/links/cluster-b/anopheline-sialome-cds-pep-larger-orf65-50SimCLTL51.txt", 2)</f>
        <v>2</v>
      </c>
      <c r="CD489">
        <f>HYPERLINK("http://exon.niaid.nih.gov/transcriptome/Anopheles_sialome/links/cluster-b/anopheline-sialome-cds-pep-larger-orf70-50SimCLU61.txt", 61)</f>
        <v>61</v>
      </c>
      <c r="CE489">
        <f>HYPERLINK("http://exon.niaid.nih.gov/transcriptome/Anopheles_sialome/links/cluster-b/anopheline-sialome-cds-pep-larger-orf70-50SimCLTL61.txt", 2)</f>
        <v>2</v>
      </c>
      <c r="CF489">
        <f>HYPERLINK("http://exon.niaid.nih.gov/transcriptome/Anopheles_sialome/links/cluster-b/anopheline-sialome-cds-pep-larger-orf75-50SimCLU79.txt", 79)</f>
        <v>79</v>
      </c>
      <c r="CG489">
        <f>HYPERLINK("http://exon.niaid.nih.gov/transcriptome/Anopheles_sialome/links/cluster-b/anopheline-sialome-cds-pep-larger-orf75-50SimCLTL79.txt", 2)</f>
        <v>2</v>
      </c>
      <c r="CH489">
        <f>HYPERLINK("http://exon.niaid.nih.gov/transcriptome/Anopheles_sialome/links/cluster-b/anopheline-sialome-cds-pep-larger-orf80-50SimCLU92.txt", 92)</f>
        <v>92</v>
      </c>
      <c r="CI489">
        <f>HYPERLINK("http://exon.niaid.nih.gov/transcriptome/Anopheles_sialome/links/cluster-b/anopheline-sialome-cds-pep-larger-orf80-50SimCLTL92.txt", 2)</f>
        <v>2</v>
      </c>
      <c r="CJ489">
        <f>HYPERLINK("http://exon.niaid.nih.gov/transcriptome/Anopheles_sialome/links/cluster-b/anopheline-sialome-cds-pep-larger-orf85-50SimCLU94.txt", 94)</f>
        <v>94</v>
      </c>
      <c r="CK489">
        <f>HYPERLINK("http://exon.niaid.nih.gov/transcriptome/Anopheles_sialome/links/cluster-b/anopheline-sialome-cds-pep-larger-orf85-50SimCLTL94.txt", 2)</f>
        <v>2</v>
      </c>
      <c r="CL489">
        <v>326</v>
      </c>
      <c r="CM489">
        <v>1</v>
      </c>
      <c r="CN489">
        <v>397</v>
      </c>
      <c r="CO489">
        <v>1</v>
      </c>
    </row>
    <row r="490" spans="1:93">
      <c r="A490" s="6" t="s">
        <v>3214</v>
      </c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</row>
    <row r="491" spans="1:93">
      <c r="A491" s="2" t="str">
        <f>HYPERLINK("http://exon.niaid.nih.gov/transcriptome/Anopheles_sialome/links/cds/anoga_SG1a-cds.txt","anoga_SG1a")</f>
        <v>anoga_SG1a</v>
      </c>
      <c r="B491">
        <v>1248</v>
      </c>
      <c r="C491" t="s">
        <v>435</v>
      </c>
      <c r="D491" t="s">
        <v>4</v>
      </c>
      <c r="E491" t="s">
        <v>5</v>
      </c>
      <c r="F491" t="s">
        <v>1</v>
      </c>
      <c r="G491" t="str">
        <f>HYPERLINK("http://exon.niaid.nih.gov/transcriptome/Anopheles_sialome/links/pep/anoga_SG1a-pep.txt","anoga_SG1a")</f>
        <v>anoga_SG1a</v>
      </c>
      <c r="H491">
        <v>415</v>
      </c>
      <c r="I491">
        <v>0</v>
      </c>
      <c r="J491" s="3" t="str">
        <f>HYPERLINK("http://exon.niaid.nih.gov/transcriptome/Anopheles_sialome/links/Sigp/anoga_SG1a-SigP.txt","CYT")</f>
        <v>CYT</v>
      </c>
      <c r="K491" t="s">
        <v>128</v>
      </c>
      <c r="L491">
        <v>48.341999999999999</v>
      </c>
      <c r="M491">
        <v>9.73</v>
      </c>
      <c r="N491" t="s">
        <v>128</v>
      </c>
      <c r="O491" t="s">
        <v>128</v>
      </c>
      <c r="P491" t="s">
        <v>922</v>
      </c>
      <c r="Q491" s="3">
        <v>0</v>
      </c>
      <c r="R491" t="s">
        <v>128</v>
      </c>
      <c r="S491" t="s">
        <v>128</v>
      </c>
      <c r="T491" t="s">
        <v>128</v>
      </c>
      <c r="U491" t="s">
        <v>128</v>
      </c>
      <c r="V491" t="s">
        <v>128</v>
      </c>
      <c r="W491" s="3" t="str">
        <f>HYPERLINK("http://exon.niaid.nih.gov/transcriptome/Anopheles_sialome/links/netoglyc/anoga_SG1a-netoglyc.txt","0")</f>
        <v>0</v>
      </c>
      <c r="X491">
        <v>7.2</v>
      </c>
      <c r="Y491">
        <v>3.9</v>
      </c>
      <c r="Z491">
        <v>4.3</v>
      </c>
      <c r="AA491" t="s">
        <v>654</v>
      </c>
      <c r="AB491" t="s">
        <v>128</v>
      </c>
      <c r="AC491" s="2" t="str">
        <f>HYPERLINK("http://exon.niaid.nih.gov/transcriptome/Anopheles_sialome/links/DIPTERA/anoga_SG1a-DIPTERA.txt","AGAP000611-PA")</f>
        <v>AGAP000611-PA</v>
      </c>
      <c r="AD491" t="str">
        <f>HYPERLINK("http://www.ncbi.nlm.nih.gov/sutils/blink.cgi?pid=333466866","0.0")</f>
        <v>0.0</v>
      </c>
      <c r="AE491" t="str">
        <f t="shared" ref="AE491:AE504" si="165">HYPERLINK("http://www.ncbi.nlm.nih.gov/protein/333466866","gi|333466866")</f>
        <v>gi|333466866</v>
      </c>
      <c r="AF491">
        <v>100</v>
      </c>
      <c r="AG491">
        <v>100</v>
      </c>
      <c r="AH491">
        <v>100</v>
      </c>
      <c r="AI491" t="s">
        <v>2285</v>
      </c>
      <c r="AJ491" s="2" t="str">
        <f>HYPERLINK("http://exon.niaid.nih.gov/transcriptome/Anopheles_sialome/links/CULICOMORPHA/anoga_SG1a-CULICOMORPHA.txt","AGAP000611-PA")</f>
        <v>AGAP000611-PA</v>
      </c>
      <c r="AK491" t="str">
        <f>HYPERLINK("http://www.ncbi.nlm.nih.gov/sutils/blink.cgi?pid=333466866","0.0")</f>
        <v>0.0</v>
      </c>
      <c r="AL491" t="str">
        <f t="shared" ref="AL491:AL504" si="166">HYPERLINK("http://www.ncbi.nlm.nih.gov/protein/333466866","gi|333466866")</f>
        <v>gi|333466866</v>
      </c>
      <c r="AM491">
        <v>100</v>
      </c>
      <c r="AN491">
        <v>100</v>
      </c>
      <c r="AO491">
        <v>100</v>
      </c>
      <c r="AP491" t="s">
        <v>2285</v>
      </c>
      <c r="AQ491" s="2" t="str">
        <f>HYPERLINK("http://exon.niaid.nih.gov/transcriptome/Anopheles_sialome/links/NR-LIGHT/anoga_SG1a-NR-LIGHT.txt","AGAP000611-PA")</f>
        <v>AGAP000611-PA</v>
      </c>
      <c r="AR491" t="str">
        <f>HYPERLINK("http://www.ncbi.nlm.nih.gov/sutils/blink.cgi?pid=347964151","0.0")</f>
        <v>0.0</v>
      </c>
      <c r="AS491" t="str">
        <f t="shared" ref="AS491:AS504" si="167">HYPERLINK("http://www.ncbi.nlm.nih.gov/protein/347964151","gi|347964151")</f>
        <v>gi|347964151</v>
      </c>
      <c r="AT491">
        <v>100</v>
      </c>
      <c r="AU491">
        <v>100</v>
      </c>
      <c r="AV491">
        <v>100</v>
      </c>
      <c r="AW491" t="s">
        <v>2285</v>
      </c>
      <c r="AX491" s="2" t="str">
        <f>HYPERLINK("http://exon.niaid.nih.gov/transcriptome/Anopheles_sialome/links/CDD/anoga_SG1a-CDD.txt","xseA")</f>
        <v>xseA</v>
      </c>
      <c r="AY491" t="str">
        <f>HYPERLINK("http://www.ncbi.nlm.nih.gov/Structure/cdd/cddsrv.cgi?uid=PRK00286&amp;version=v4.0","0.024")</f>
        <v>0.024</v>
      </c>
      <c r="AZ491" t="s">
        <v>2877</v>
      </c>
      <c r="BA491" s="2" t="str">
        <f>HYPERLINK("http://exon.niaid.nih.gov/transcriptome/Anopheles_sialome/links/KOG/anoga_SG1a-KOG.txt","NAD-dependent histone deacetylases and class I sirtuins (SIR2 family)")</f>
        <v>NAD-dependent histone deacetylases and class I sirtuins (SIR2 family)</v>
      </c>
      <c r="BB491" t="str">
        <f>HYPERLINK("http://www.ncbi.nlm.nih.gov/Structure/cdd/cddsrv.cgi?uid=KOG2682","1.2")</f>
        <v>1.2</v>
      </c>
      <c r="BC491" t="s">
        <v>2467</v>
      </c>
      <c r="BD491" t="str">
        <f>HYPERLINK("http://exon.niaid.nih.gov/transcriptome/Anopheles_sialome/links/KOG/anoga_SG1a-KOG.txt","KOG2682")</f>
        <v>KOG2682</v>
      </c>
      <c r="BE491" t="str">
        <f>HYPERLINK("http://exon.niaid.nih.gov/transcriptome/Anopheles_sialome/links/PFAM/anoga_SG1a-PFAM.txt","PDEase_I")</f>
        <v>PDEase_I</v>
      </c>
      <c r="BF491" t="str">
        <f>HYPERLINK("http://pfam.sanger.ac.uk/family?acc=PF00233","0.056")</f>
        <v>0.056</v>
      </c>
      <c r="BG491" s="2" t="str">
        <f>HYPERLINK("http://exon.niaid.nih.gov/transcriptome/Anopheles_sialome/links/SMART/anoga_SG1a-SMART.txt","Zn_dep_PLPC")</f>
        <v>Zn_dep_PLPC</v>
      </c>
      <c r="BH491" t="str">
        <f>HYPERLINK("http://smart.embl-heidelberg.de/smart/do_annotation.pl?DOMAIN=Zn_dep_PLPC&amp;BLAST=DUMMY","0.065")</f>
        <v>0.065</v>
      </c>
      <c r="BI491" t="str">
        <f>HYPERLINK("http://exon.niaid.nih.gov/transcriptome/Anopheles_sialome/links/TICK-BLOCKS/anoga_SG1a-TICK-BLOCKS.txt","SG1_full |SG1_stringent_pattern |")</f>
        <v>SG1_full |SG1_stringent_pattern |</v>
      </c>
      <c r="BJ491" s="2" t="s">
        <v>2423</v>
      </c>
      <c r="BK491" t="s">
        <v>1758</v>
      </c>
      <c r="BL491">
        <f>HYPERLINK("http://exon.niaid.nih.gov/transcriptome/Anopheles_sialome/links/cluster-b/anopheline-sialome-cds-pep-larger-orf25-50SimCLU3.txt", 3)</f>
        <v>3</v>
      </c>
      <c r="BM491">
        <f>HYPERLINK("http://exon.niaid.nih.gov/transcriptome/Anopheles_sialome/links/cluster-b/anopheline-sialome-cds-pep-larger-orf25-50SimCLTL3.txt", 119)</f>
        <v>119</v>
      </c>
      <c r="BN491">
        <f>HYPERLINK("http://exon.niaid.nih.gov/transcriptome/Anopheles_sialome/links/cluster-b/anopheline-sialome-cds-pep-larger-orf30-50SimCLU3.txt", 3)</f>
        <v>3</v>
      </c>
      <c r="BO491">
        <f>HYPERLINK("http://exon.niaid.nih.gov/transcriptome/Anopheles_sialome/links/cluster-b/anopheline-sialome-cds-pep-larger-orf30-50SimCLTL3.txt", 119)</f>
        <v>119</v>
      </c>
      <c r="BP491">
        <f>HYPERLINK("http://exon.niaid.nih.gov/transcriptome/Anopheles_sialome/links/cluster-b/anopheline-sialome-cds-pep-larger-orf35-50SimCLU2.txt", 2)</f>
        <v>2</v>
      </c>
      <c r="BQ491">
        <f>HYPERLINK("http://exon.niaid.nih.gov/transcriptome/Anopheles_sialome/links/cluster-b/anopheline-sialome-cds-pep-larger-orf35-50SimCLTL2.txt", 119)</f>
        <v>119</v>
      </c>
      <c r="BR491">
        <f>HYPERLINK("http://exon.niaid.nih.gov/transcriptome/Anopheles_sialome/links/cluster-b/anopheline-sialome-cds-pep-larger-orf40-50SimCLU1.txt", 1)</f>
        <v>1</v>
      </c>
      <c r="BS491">
        <f>HYPERLINK("http://exon.niaid.nih.gov/transcriptome/Anopheles_sialome/links/cluster-b/anopheline-sialome-cds-pep-larger-orf40-50SimCLTL1.txt", 119)</f>
        <v>119</v>
      </c>
      <c r="BT491">
        <f>HYPERLINK("http://exon.niaid.nih.gov/transcriptome/Anopheles_sialome/links/cluster-b/anopheline-sialome-cds-pep-larger-orf45-50SimCLU3.txt", 3)</f>
        <v>3</v>
      </c>
      <c r="BU491">
        <f>HYPERLINK("http://exon.niaid.nih.gov/transcriptome/Anopheles_sialome/links/cluster-b/anopheline-sialome-cds-pep-larger-orf45-50SimCLTL3.txt", 65)</f>
        <v>65</v>
      </c>
      <c r="BV491">
        <f>HYPERLINK("http://exon.niaid.nih.gov/transcriptome/Anopheles_sialome/links/cluster-b/anopheline-sialome-cds-pep-larger-orf50-50SimCLU3.txt", 3)</f>
        <v>3</v>
      </c>
      <c r="BW491">
        <f>HYPERLINK("http://exon.niaid.nih.gov/transcriptome/Anopheles_sialome/links/cluster-b/anopheline-sialome-cds-pep-larger-orf50-50SimCLTL3.txt", 48)</f>
        <v>48</v>
      </c>
      <c r="BX491">
        <f>HYPERLINK("http://exon.niaid.nih.gov/transcriptome/Anopheles_sialome/links/cluster-b/anopheline-sialome-cds-pep-larger-orf55-50SimCLU3.txt", 3)</f>
        <v>3</v>
      </c>
      <c r="BY491">
        <f>HYPERLINK("http://exon.niaid.nih.gov/transcriptome/Anopheles_sialome/links/cluster-b/anopheline-sialome-cds-pep-larger-orf55-50SimCLTL3.txt", 47)</f>
        <v>47</v>
      </c>
      <c r="BZ491">
        <f>HYPERLINK("http://exon.niaid.nih.gov/transcriptome/Anopheles_sialome/links/cluster-b/anopheline-sialome-cds-pep-larger-orf60-50SimCLU31.txt", 31)</f>
        <v>31</v>
      </c>
      <c r="CA491">
        <f>HYPERLINK("http://exon.niaid.nih.gov/transcriptome/Anopheles_sialome/links/cluster-b/anopheline-sialome-cds-pep-larger-orf60-50SimCLTL31.txt", 14)</f>
        <v>14</v>
      </c>
      <c r="CB491">
        <f>HYPERLINK("http://exon.niaid.nih.gov/transcriptome/Anopheles_sialome/links/cluster-b/anopheline-sialome-cds-pep-larger-orf65-50SimCLU36.txt", 36)</f>
        <v>36</v>
      </c>
      <c r="CC491">
        <f>HYPERLINK("http://exon.niaid.nih.gov/transcriptome/Anopheles_sialome/links/cluster-b/anopheline-sialome-cds-pep-larger-orf65-50SimCLTL36.txt", 12)</f>
        <v>12</v>
      </c>
      <c r="CD491">
        <f>HYPERLINK("http://exon.niaid.nih.gov/transcriptome/Anopheles_sialome/links/cluster-b/anopheline-sialome-cds-pep-larger-orf70-50SimCLU38.txt", 38)</f>
        <v>38</v>
      </c>
      <c r="CE491">
        <f>HYPERLINK("http://exon.niaid.nih.gov/transcriptome/Anopheles_sialome/links/cluster-b/anopheline-sialome-cds-pep-larger-orf70-50SimCLTL38.txt", 12)</f>
        <v>12</v>
      </c>
      <c r="CF491">
        <f>HYPERLINK("http://exon.niaid.nih.gov/transcriptome/Anopheles_sialome/links/cluster-b/anopheline-sialome-cds-pep-larger-orf75-50SimCLU39.txt", 39)</f>
        <v>39</v>
      </c>
      <c r="CG491">
        <f>HYPERLINK("http://exon.niaid.nih.gov/transcriptome/Anopheles_sialome/links/cluster-b/anopheline-sialome-cds-pep-larger-orf75-50SimCLTL39.txt", 7)</f>
        <v>7</v>
      </c>
      <c r="CH491">
        <f>HYPERLINK("http://exon.niaid.nih.gov/transcriptome/Anopheles_sialome/links/cluster-b/anopheline-sialome-cds-pep-larger-orf80-50SimCLU47.txt", 47)</f>
        <v>47</v>
      </c>
      <c r="CI491">
        <f>HYPERLINK("http://exon.niaid.nih.gov/transcriptome/Anopheles_sialome/links/cluster-b/anopheline-sialome-cds-pep-larger-orf80-50SimCLTL47.txt", 5)</f>
        <v>5</v>
      </c>
      <c r="CJ491">
        <f>HYPERLINK("http://exon.niaid.nih.gov/transcriptome/Anopheles_sialome/links/cluster-b/anopheline-sialome-cds-pep-larger-orf85-50SimCLU47.txt", 47)</f>
        <v>47</v>
      </c>
      <c r="CK491">
        <f>HYPERLINK("http://exon.niaid.nih.gov/transcriptome/Anopheles_sialome/links/cluster-b/anopheline-sialome-cds-pep-larger-orf85-50SimCLTL47.txt", 5)</f>
        <v>5</v>
      </c>
      <c r="CL491">
        <f>HYPERLINK("http://exon.niaid.nih.gov/transcriptome/Anopheles_sialome/links/cluster-b/anopheline-sialome-cds-pep-larger-orf90-50SimCLU45.txt", 45)</f>
        <v>45</v>
      </c>
      <c r="CM491">
        <f>HYPERLINK("http://exon.niaid.nih.gov/transcriptome/Anopheles_sialome/links/cluster-b/anopheline-sialome-cds-pep-larger-orf90-50SimCLTL45.txt", 5)</f>
        <v>5</v>
      </c>
      <c r="CN491">
        <f>HYPERLINK("http://exon.niaid.nih.gov/transcriptome/Anopheles_sialome/links/cluster-b/anopheline-sialome-cds-pep-larger-orf95-50SimCLU42.txt", 42)</f>
        <v>42</v>
      </c>
      <c r="CO491">
        <f>HYPERLINK("http://exon.niaid.nih.gov/transcriptome/Anopheles_sialome/links/cluster-b/anopheline-sialome-cds-pep-larger-orf95-50SimCLTL42.txt", 5)</f>
        <v>5</v>
      </c>
    </row>
    <row r="492" spans="1:93">
      <c r="A492" s="2" t="str">
        <f>HYPERLINK("http://exon.niaid.nih.gov/transcriptome/Anopheles_sialome/links/cds/anoara_SG1a-cds.txt","anoara_SG1a")</f>
        <v>anoara_SG1a</v>
      </c>
      <c r="B492">
        <v>1248</v>
      </c>
      <c r="C492" t="s">
        <v>420</v>
      </c>
      <c r="D492" t="s">
        <v>7</v>
      </c>
      <c r="E492" t="s">
        <v>5</v>
      </c>
      <c r="F492" t="s">
        <v>1</v>
      </c>
      <c r="G492" t="str">
        <f>HYPERLINK("http://exon.niaid.nih.gov/transcriptome/Anopheles_sialome/links/pep/anoara_SG1a-pep.txt","anoara_SG1a")</f>
        <v>anoara_SG1a</v>
      </c>
      <c r="H492">
        <v>415</v>
      </c>
      <c r="I492">
        <v>0</v>
      </c>
      <c r="J492" s="3" t="str">
        <f>HYPERLINK("http://exon.niaid.nih.gov/transcriptome/Anopheles_sialome/links/Sigp/anoara_SG1a-SigP.txt","CYT")</f>
        <v>CYT</v>
      </c>
      <c r="K492" t="s">
        <v>128</v>
      </c>
      <c r="L492">
        <v>48.258000000000003</v>
      </c>
      <c r="M492">
        <v>9.77</v>
      </c>
      <c r="N492" t="s">
        <v>128</v>
      </c>
      <c r="O492" t="s">
        <v>128</v>
      </c>
      <c r="P492" t="s">
        <v>1025</v>
      </c>
      <c r="Q492" s="3">
        <v>0</v>
      </c>
      <c r="R492" t="s">
        <v>128</v>
      </c>
      <c r="S492" t="s">
        <v>128</v>
      </c>
      <c r="T492" t="s">
        <v>128</v>
      </c>
      <c r="U492" t="s">
        <v>128</v>
      </c>
      <c r="V492" t="s">
        <v>128</v>
      </c>
      <c r="W492" s="3" t="str">
        <f>HYPERLINK("http://exon.niaid.nih.gov/transcriptome/Anopheles_sialome/links/netoglyc/anoara_SG1a-netoglyc.txt","0")</f>
        <v>0</v>
      </c>
      <c r="X492">
        <v>8</v>
      </c>
      <c r="Y492">
        <v>4.0999999999999996</v>
      </c>
      <c r="Z492">
        <v>3.4</v>
      </c>
      <c r="AA492" t="s">
        <v>654</v>
      </c>
      <c r="AB492" t="s">
        <v>128</v>
      </c>
      <c r="AC492" s="2" t="str">
        <f>HYPERLINK("http://exon.niaid.nih.gov/transcriptome/Anopheles_sialome/links/DIPTERA/anoara_SG1a-DIPTERA.txt","AGAP000611-PA")</f>
        <v>AGAP000611-PA</v>
      </c>
      <c r="AD492" t="str">
        <f>HYPERLINK("http://www.ncbi.nlm.nih.gov/sutils/blink.cgi?pid=333466866","0.0")</f>
        <v>0.0</v>
      </c>
      <c r="AE492" t="str">
        <f t="shared" si="165"/>
        <v>gi|333466866</v>
      </c>
      <c r="AF492">
        <v>92</v>
      </c>
      <c r="AG492">
        <v>94</v>
      </c>
      <c r="AH492">
        <v>100</v>
      </c>
      <c r="AI492" t="s">
        <v>2285</v>
      </c>
      <c r="AJ492" s="2" t="str">
        <f>HYPERLINK("http://exon.niaid.nih.gov/transcriptome/Anopheles_sialome/links/CULICOMORPHA/anoara_SG1a-CULICOMORPHA.txt","AGAP000611-PA")</f>
        <v>AGAP000611-PA</v>
      </c>
      <c r="AK492" t="str">
        <f>HYPERLINK("http://www.ncbi.nlm.nih.gov/sutils/blink.cgi?pid=333466866","0.0")</f>
        <v>0.0</v>
      </c>
      <c r="AL492" t="str">
        <f t="shared" si="166"/>
        <v>gi|333466866</v>
      </c>
      <c r="AM492">
        <v>92</v>
      </c>
      <c r="AN492">
        <v>94</v>
      </c>
      <c r="AO492">
        <v>100</v>
      </c>
      <c r="AP492" t="s">
        <v>2285</v>
      </c>
      <c r="AQ492" s="2" t="str">
        <f>HYPERLINK("http://exon.niaid.nih.gov/transcriptome/Anopheles_sialome/links/NR-LIGHT/anoara_SG1a-NR-LIGHT.txt","AGAP000611-PA")</f>
        <v>AGAP000611-PA</v>
      </c>
      <c r="AR492" t="str">
        <f>HYPERLINK("http://www.ncbi.nlm.nih.gov/sutils/blink.cgi?pid=347964151","0.0")</f>
        <v>0.0</v>
      </c>
      <c r="AS492" t="str">
        <f t="shared" si="167"/>
        <v>gi|347964151</v>
      </c>
      <c r="AT492">
        <v>92</v>
      </c>
      <c r="AU492">
        <v>94</v>
      </c>
      <c r="AV492">
        <v>100</v>
      </c>
      <c r="AW492" t="s">
        <v>2285</v>
      </c>
      <c r="AX492" s="2" t="str">
        <f>HYPERLINK("http://exon.niaid.nih.gov/transcriptome/Anopheles_sialome/links/CDD/anoara_SG1a-CDD.txt","xseA")</f>
        <v>xseA</v>
      </c>
      <c r="AY492" t="str">
        <f>HYPERLINK("http://www.ncbi.nlm.nih.gov/Structure/cdd/cddsrv.cgi?uid=PRK00286&amp;version=v4.0","0.012")</f>
        <v>0.012</v>
      </c>
      <c r="AZ492" t="s">
        <v>2878</v>
      </c>
      <c r="BA492" s="2" t="str">
        <f>HYPERLINK("http://exon.niaid.nih.gov/transcriptome/Anopheles_sialome/links/KOG/anoara_SG1a-KOG.txt","Isocitrate lyase")</f>
        <v>Isocitrate lyase</v>
      </c>
      <c r="BB492" t="str">
        <f>HYPERLINK("http://www.ncbi.nlm.nih.gov/Structure/cdd/cddsrv.cgi?uid=KOG1260","0.74")</f>
        <v>0.74</v>
      </c>
      <c r="BC492" t="s">
        <v>2516</v>
      </c>
      <c r="BD492" t="str">
        <f>HYPERLINK("http://exon.niaid.nih.gov/transcriptome/Anopheles_sialome/links/KOG/anoara_SG1a-KOG.txt","KOG1260")</f>
        <v>KOG1260</v>
      </c>
      <c r="BE492" t="str">
        <f>HYPERLINK("http://exon.niaid.nih.gov/transcriptome/Anopheles_sialome/links/PFAM/anoara_SG1a-PFAM.txt","DUF563")</f>
        <v>DUF563</v>
      </c>
      <c r="BF492" t="str">
        <f>HYPERLINK("http://pfam.sanger.ac.uk/family?acc=PF04577","1.2")</f>
        <v>1.2</v>
      </c>
      <c r="BG492" s="2" t="str">
        <f>HYPERLINK("http://exon.niaid.nih.gov/transcriptome/Anopheles_sialome/links/SMART/anoara_SG1a-SMART.txt","Zn_dep_PLPC")</f>
        <v>Zn_dep_PLPC</v>
      </c>
      <c r="BH492" t="str">
        <f>HYPERLINK("http://smart.embl-heidelberg.de/smart/do_annotation.pl?DOMAIN=Zn_dep_PLPC&amp;BLAST=DUMMY","0.073")</f>
        <v>0.073</v>
      </c>
      <c r="BI492" t="str">
        <f>HYPERLINK("http://exon.niaid.nih.gov/transcriptome/Anopheles_sialome/links/TICK-BLOCKS/anoara_SG1a-TICK-BLOCKS.txt","SG1_full |SG1_stringent_pattern |")</f>
        <v>SG1_full |SG1_stringent_pattern |</v>
      </c>
      <c r="BJ492" s="2" t="s">
        <v>2423</v>
      </c>
      <c r="BK492" t="s">
        <v>1759</v>
      </c>
      <c r="BL492">
        <f>HYPERLINK("http://exon.niaid.nih.gov/transcriptome/Anopheles_sialome/links/cluster-b/anopheline-sialome-cds-pep-larger-orf25-50SimCLU3.txt", 3)</f>
        <v>3</v>
      </c>
      <c r="BM492">
        <f>HYPERLINK("http://exon.niaid.nih.gov/transcriptome/Anopheles_sialome/links/cluster-b/anopheline-sialome-cds-pep-larger-orf25-50SimCLTL3.txt", 119)</f>
        <v>119</v>
      </c>
      <c r="BN492">
        <f>HYPERLINK("http://exon.niaid.nih.gov/transcriptome/Anopheles_sialome/links/cluster-b/anopheline-sialome-cds-pep-larger-orf30-50SimCLU3.txt", 3)</f>
        <v>3</v>
      </c>
      <c r="BO492">
        <f>HYPERLINK("http://exon.niaid.nih.gov/transcriptome/Anopheles_sialome/links/cluster-b/anopheline-sialome-cds-pep-larger-orf30-50SimCLTL3.txt", 119)</f>
        <v>119</v>
      </c>
      <c r="BP492">
        <f>HYPERLINK("http://exon.niaid.nih.gov/transcriptome/Anopheles_sialome/links/cluster-b/anopheline-sialome-cds-pep-larger-orf35-50SimCLU2.txt", 2)</f>
        <v>2</v>
      </c>
      <c r="BQ492">
        <f>HYPERLINK("http://exon.niaid.nih.gov/transcriptome/Anopheles_sialome/links/cluster-b/anopheline-sialome-cds-pep-larger-orf35-50SimCLTL2.txt", 119)</f>
        <v>119</v>
      </c>
      <c r="BR492">
        <f>HYPERLINK("http://exon.niaid.nih.gov/transcriptome/Anopheles_sialome/links/cluster-b/anopheline-sialome-cds-pep-larger-orf40-50SimCLU1.txt", 1)</f>
        <v>1</v>
      </c>
      <c r="BS492">
        <f>HYPERLINK("http://exon.niaid.nih.gov/transcriptome/Anopheles_sialome/links/cluster-b/anopheline-sialome-cds-pep-larger-orf40-50SimCLTL1.txt", 119)</f>
        <v>119</v>
      </c>
      <c r="BT492">
        <f>HYPERLINK("http://exon.niaid.nih.gov/transcriptome/Anopheles_sialome/links/cluster-b/anopheline-sialome-cds-pep-larger-orf45-50SimCLU3.txt", 3)</f>
        <v>3</v>
      </c>
      <c r="BU492">
        <f>HYPERLINK("http://exon.niaid.nih.gov/transcriptome/Anopheles_sialome/links/cluster-b/anopheline-sialome-cds-pep-larger-orf45-50SimCLTL3.txt", 65)</f>
        <v>65</v>
      </c>
      <c r="BV492">
        <f>HYPERLINK("http://exon.niaid.nih.gov/transcriptome/Anopheles_sialome/links/cluster-b/anopheline-sialome-cds-pep-larger-orf50-50SimCLU3.txt", 3)</f>
        <v>3</v>
      </c>
      <c r="BW492">
        <f>HYPERLINK("http://exon.niaid.nih.gov/transcriptome/Anopheles_sialome/links/cluster-b/anopheline-sialome-cds-pep-larger-orf50-50SimCLTL3.txt", 48)</f>
        <v>48</v>
      </c>
      <c r="BX492">
        <f>HYPERLINK("http://exon.niaid.nih.gov/transcriptome/Anopheles_sialome/links/cluster-b/anopheline-sialome-cds-pep-larger-orf55-50SimCLU3.txt", 3)</f>
        <v>3</v>
      </c>
      <c r="BY492">
        <f>HYPERLINK("http://exon.niaid.nih.gov/transcriptome/Anopheles_sialome/links/cluster-b/anopheline-sialome-cds-pep-larger-orf55-50SimCLTL3.txt", 47)</f>
        <v>47</v>
      </c>
      <c r="BZ492">
        <f>HYPERLINK("http://exon.niaid.nih.gov/transcriptome/Anopheles_sialome/links/cluster-b/anopheline-sialome-cds-pep-larger-orf60-50SimCLU31.txt", 31)</f>
        <v>31</v>
      </c>
      <c r="CA492">
        <f>HYPERLINK("http://exon.niaid.nih.gov/transcriptome/Anopheles_sialome/links/cluster-b/anopheline-sialome-cds-pep-larger-orf60-50SimCLTL31.txt", 14)</f>
        <v>14</v>
      </c>
      <c r="CB492">
        <f>HYPERLINK("http://exon.niaid.nih.gov/transcriptome/Anopheles_sialome/links/cluster-b/anopheline-sialome-cds-pep-larger-orf65-50SimCLU36.txt", 36)</f>
        <v>36</v>
      </c>
      <c r="CC492">
        <f>HYPERLINK("http://exon.niaid.nih.gov/transcriptome/Anopheles_sialome/links/cluster-b/anopheline-sialome-cds-pep-larger-orf65-50SimCLTL36.txt", 12)</f>
        <v>12</v>
      </c>
      <c r="CD492">
        <f>HYPERLINK("http://exon.niaid.nih.gov/transcriptome/Anopheles_sialome/links/cluster-b/anopheline-sialome-cds-pep-larger-orf70-50SimCLU38.txt", 38)</f>
        <v>38</v>
      </c>
      <c r="CE492">
        <f>HYPERLINK("http://exon.niaid.nih.gov/transcriptome/Anopheles_sialome/links/cluster-b/anopheline-sialome-cds-pep-larger-orf70-50SimCLTL38.txt", 12)</f>
        <v>12</v>
      </c>
      <c r="CF492">
        <f>HYPERLINK("http://exon.niaid.nih.gov/transcriptome/Anopheles_sialome/links/cluster-b/anopheline-sialome-cds-pep-larger-orf75-50SimCLU39.txt", 39)</f>
        <v>39</v>
      </c>
      <c r="CG492">
        <f>HYPERLINK("http://exon.niaid.nih.gov/transcriptome/Anopheles_sialome/links/cluster-b/anopheline-sialome-cds-pep-larger-orf75-50SimCLTL39.txt", 7)</f>
        <v>7</v>
      </c>
      <c r="CH492">
        <f>HYPERLINK("http://exon.niaid.nih.gov/transcriptome/Anopheles_sialome/links/cluster-b/anopheline-sialome-cds-pep-larger-orf80-50SimCLU47.txt", 47)</f>
        <v>47</v>
      </c>
      <c r="CI492">
        <f>HYPERLINK("http://exon.niaid.nih.gov/transcriptome/Anopheles_sialome/links/cluster-b/anopheline-sialome-cds-pep-larger-orf80-50SimCLTL47.txt", 5)</f>
        <v>5</v>
      </c>
      <c r="CJ492">
        <f>HYPERLINK("http://exon.niaid.nih.gov/transcriptome/Anopheles_sialome/links/cluster-b/anopheline-sialome-cds-pep-larger-orf85-50SimCLU47.txt", 47)</f>
        <v>47</v>
      </c>
      <c r="CK492">
        <f>HYPERLINK("http://exon.niaid.nih.gov/transcriptome/Anopheles_sialome/links/cluster-b/anopheline-sialome-cds-pep-larger-orf85-50SimCLTL47.txt", 5)</f>
        <v>5</v>
      </c>
      <c r="CL492">
        <f>HYPERLINK("http://exon.niaid.nih.gov/transcriptome/Anopheles_sialome/links/cluster-b/anopheline-sialome-cds-pep-larger-orf90-50SimCLU45.txt", 45)</f>
        <v>45</v>
      </c>
      <c r="CM492">
        <f>HYPERLINK("http://exon.niaid.nih.gov/transcriptome/Anopheles_sialome/links/cluster-b/anopheline-sialome-cds-pep-larger-orf90-50SimCLTL45.txt", 5)</f>
        <v>5</v>
      </c>
      <c r="CN492">
        <f>HYPERLINK("http://exon.niaid.nih.gov/transcriptome/Anopheles_sialome/links/cluster-b/anopheline-sialome-cds-pep-larger-orf95-50SimCLU42.txt", 42)</f>
        <v>42</v>
      </c>
      <c r="CO492">
        <f>HYPERLINK("http://exon.niaid.nih.gov/transcriptome/Anopheles_sialome/links/cluster-b/anopheline-sialome-cds-pep-larger-orf95-50SimCLTL42.txt", 5)</f>
        <v>5</v>
      </c>
    </row>
    <row r="493" spans="1:93">
      <c r="A493" s="2" t="str">
        <f>HYPERLINK("http://exon.niaid.nih.gov/transcriptome/Anopheles_sialome/links/cds/anoqua_SG1a-cds.txt","anoqua_SG1a")</f>
        <v>anoqua_SG1a</v>
      </c>
      <c r="B493">
        <v>1248</v>
      </c>
      <c r="C493" t="s">
        <v>421</v>
      </c>
      <c r="D493" t="s">
        <v>7</v>
      </c>
      <c r="E493" t="s">
        <v>5</v>
      </c>
      <c r="F493" t="s">
        <v>1</v>
      </c>
      <c r="G493" t="str">
        <f>HYPERLINK("http://exon.niaid.nih.gov/transcriptome/Anopheles_sialome/links/pep/anoqua_SG1a-pep.txt","anoqua_SG1a")</f>
        <v>anoqua_SG1a</v>
      </c>
      <c r="H493">
        <v>415</v>
      </c>
      <c r="I493">
        <v>0</v>
      </c>
      <c r="J493" s="3" t="str">
        <f>HYPERLINK("http://exon.niaid.nih.gov/transcriptome/Anopheles_sialome/links/Sigp/anoqua_SG1a-SigP.txt","CYT")</f>
        <v>CYT</v>
      </c>
      <c r="K493" t="s">
        <v>128</v>
      </c>
      <c r="L493">
        <v>48.387</v>
      </c>
      <c r="M493">
        <v>9.77</v>
      </c>
      <c r="N493" t="s">
        <v>128</v>
      </c>
      <c r="O493" t="s">
        <v>128</v>
      </c>
      <c r="P493" t="s">
        <v>1025</v>
      </c>
      <c r="Q493" s="3">
        <v>0</v>
      </c>
      <c r="R493" t="s">
        <v>128</v>
      </c>
      <c r="S493" t="s">
        <v>128</v>
      </c>
      <c r="T493" t="s">
        <v>128</v>
      </c>
      <c r="U493" t="s">
        <v>128</v>
      </c>
      <c r="V493" t="s">
        <v>128</v>
      </c>
      <c r="W493" s="3" t="str">
        <f>HYPERLINK("http://exon.niaid.nih.gov/transcriptome/Anopheles_sialome/links/netoglyc/anoqua_SG1a-netoglyc.txt","0")</f>
        <v>0</v>
      </c>
      <c r="X493">
        <v>9.1999999999999993</v>
      </c>
      <c r="Y493">
        <v>4.0999999999999996</v>
      </c>
      <c r="Z493">
        <v>2.9</v>
      </c>
      <c r="AA493" t="s">
        <v>654</v>
      </c>
      <c r="AB493" t="s">
        <v>128</v>
      </c>
      <c r="AC493" s="2" t="str">
        <f>HYPERLINK("http://exon.niaid.nih.gov/transcriptome/Anopheles_sialome/links/DIPTERA/anoqua_SG1a-DIPTERA.txt","AGAP000611-PA")</f>
        <v>AGAP000611-PA</v>
      </c>
      <c r="AD493" t="str">
        <f>HYPERLINK("http://www.ncbi.nlm.nih.gov/sutils/blink.cgi?pid=333466866","0.0")</f>
        <v>0.0</v>
      </c>
      <c r="AE493" t="str">
        <f t="shared" si="165"/>
        <v>gi|333466866</v>
      </c>
      <c r="AF493">
        <v>92</v>
      </c>
      <c r="AG493">
        <v>94</v>
      </c>
      <c r="AH493">
        <v>100</v>
      </c>
      <c r="AI493" t="s">
        <v>2285</v>
      </c>
      <c r="AJ493" s="2" t="str">
        <f>HYPERLINK("http://exon.niaid.nih.gov/transcriptome/Anopheles_sialome/links/CULICOMORPHA/anoqua_SG1a-CULICOMORPHA.txt","AGAP000611-PA")</f>
        <v>AGAP000611-PA</v>
      </c>
      <c r="AK493" t="str">
        <f>HYPERLINK("http://www.ncbi.nlm.nih.gov/sutils/blink.cgi?pid=333466866","0.0")</f>
        <v>0.0</v>
      </c>
      <c r="AL493" t="str">
        <f t="shared" si="166"/>
        <v>gi|333466866</v>
      </c>
      <c r="AM493">
        <v>92</v>
      </c>
      <c r="AN493">
        <v>94</v>
      </c>
      <c r="AO493">
        <v>100</v>
      </c>
      <c r="AP493" t="s">
        <v>2285</v>
      </c>
      <c r="AQ493" s="2" t="str">
        <f>HYPERLINK("http://exon.niaid.nih.gov/transcriptome/Anopheles_sialome/links/NR-LIGHT/anoqua_SG1a-NR-LIGHT.txt","AGAP000611-PA")</f>
        <v>AGAP000611-PA</v>
      </c>
      <c r="AR493" t="str">
        <f>HYPERLINK("http://www.ncbi.nlm.nih.gov/sutils/blink.cgi?pid=347964151","0.0")</f>
        <v>0.0</v>
      </c>
      <c r="AS493" t="str">
        <f t="shared" si="167"/>
        <v>gi|347964151</v>
      </c>
      <c r="AT493">
        <v>92</v>
      </c>
      <c r="AU493">
        <v>94</v>
      </c>
      <c r="AV493">
        <v>100</v>
      </c>
      <c r="AW493" t="s">
        <v>2285</v>
      </c>
      <c r="AX493" s="2" t="str">
        <f>HYPERLINK("http://exon.niaid.nih.gov/transcriptome/Anopheles_sialome/links/CDD/anoqua_SG1a-CDD.txt","xseA")</f>
        <v>xseA</v>
      </c>
      <c r="AY493" t="str">
        <f>HYPERLINK("http://www.ncbi.nlm.nih.gov/Structure/cdd/cddsrv.cgi?uid=PRK00286&amp;version=v4.0","0.004")</f>
        <v>0.004</v>
      </c>
      <c r="AZ493" t="s">
        <v>2879</v>
      </c>
      <c r="BA493" s="2" t="str">
        <f>HYPERLINK("http://exon.niaid.nih.gov/transcriptome/Anopheles_sialome/links/KOG/anoqua_SG1a-KOG.txt","DNA repair protein RAD18 (SMC family protein)")</f>
        <v>DNA repair protein RAD18 (SMC family protein)</v>
      </c>
      <c r="BB493" t="str">
        <f>HYPERLINK("http://www.ncbi.nlm.nih.gov/Structure/cdd/cddsrv.cgi?uid=KOG0250","0.54")</f>
        <v>0.54</v>
      </c>
      <c r="BC493" t="s">
        <v>2290</v>
      </c>
      <c r="BD493" t="str">
        <f>HYPERLINK("http://exon.niaid.nih.gov/transcriptome/Anopheles_sialome/links/KOG/anoqua_SG1a-KOG.txt","KOG0250")</f>
        <v>KOG0250</v>
      </c>
      <c r="BE493" t="str">
        <f>HYPERLINK("http://exon.niaid.nih.gov/transcriptome/Anopheles_sialome/links/PFAM/anoqua_SG1a-PFAM.txt","PDEase_I")</f>
        <v>PDEase_I</v>
      </c>
      <c r="BF493" t="str">
        <f>HYPERLINK("http://pfam.sanger.ac.uk/family?acc=PF00233","0.082")</f>
        <v>0.082</v>
      </c>
      <c r="BG493" s="2" t="str">
        <f>HYPERLINK("http://exon.niaid.nih.gov/transcriptome/Anopheles_sialome/links/SMART/anoqua_SG1a-SMART.txt","Zn_dep_PLPC")</f>
        <v>Zn_dep_PLPC</v>
      </c>
      <c r="BH493" t="str">
        <f>HYPERLINK("http://smart.embl-heidelberg.de/smart/do_annotation.pl?DOMAIN=Zn_dep_PLPC&amp;BLAST=DUMMY","0.14")</f>
        <v>0.14</v>
      </c>
      <c r="BI493" t="str">
        <f>HYPERLINK("http://exon.niaid.nih.gov/transcriptome/Anopheles_sialome/links/TICK-BLOCKS/anoqua_SG1a-TICK-BLOCKS.txt","SG1_full |SG1_stringent_pattern |")</f>
        <v>SG1_full |SG1_stringent_pattern |</v>
      </c>
      <c r="BJ493" s="2" t="s">
        <v>2423</v>
      </c>
      <c r="BK493" t="s">
        <v>1760</v>
      </c>
      <c r="BL493">
        <f>HYPERLINK("http://exon.niaid.nih.gov/transcriptome/Anopheles_sialome/links/cluster-b/anopheline-sialome-cds-pep-larger-orf25-50SimCLU3.txt", 3)</f>
        <v>3</v>
      </c>
      <c r="BM493">
        <f>HYPERLINK("http://exon.niaid.nih.gov/transcriptome/Anopheles_sialome/links/cluster-b/anopheline-sialome-cds-pep-larger-orf25-50SimCLTL3.txt", 119)</f>
        <v>119</v>
      </c>
      <c r="BN493">
        <f>HYPERLINK("http://exon.niaid.nih.gov/transcriptome/Anopheles_sialome/links/cluster-b/anopheline-sialome-cds-pep-larger-orf30-50SimCLU3.txt", 3)</f>
        <v>3</v>
      </c>
      <c r="BO493">
        <f>HYPERLINK("http://exon.niaid.nih.gov/transcriptome/Anopheles_sialome/links/cluster-b/anopheline-sialome-cds-pep-larger-orf30-50SimCLTL3.txt", 119)</f>
        <v>119</v>
      </c>
      <c r="BP493">
        <f>HYPERLINK("http://exon.niaid.nih.gov/transcriptome/Anopheles_sialome/links/cluster-b/anopheline-sialome-cds-pep-larger-orf35-50SimCLU2.txt", 2)</f>
        <v>2</v>
      </c>
      <c r="BQ493">
        <f>HYPERLINK("http://exon.niaid.nih.gov/transcriptome/Anopheles_sialome/links/cluster-b/anopheline-sialome-cds-pep-larger-orf35-50SimCLTL2.txt", 119)</f>
        <v>119</v>
      </c>
      <c r="BR493">
        <f>HYPERLINK("http://exon.niaid.nih.gov/transcriptome/Anopheles_sialome/links/cluster-b/anopheline-sialome-cds-pep-larger-orf40-50SimCLU1.txt", 1)</f>
        <v>1</v>
      </c>
      <c r="BS493">
        <f>HYPERLINK("http://exon.niaid.nih.gov/transcriptome/Anopheles_sialome/links/cluster-b/anopheline-sialome-cds-pep-larger-orf40-50SimCLTL1.txt", 119)</f>
        <v>119</v>
      </c>
      <c r="BT493">
        <f>HYPERLINK("http://exon.niaid.nih.gov/transcriptome/Anopheles_sialome/links/cluster-b/anopheline-sialome-cds-pep-larger-orf45-50SimCLU3.txt", 3)</f>
        <v>3</v>
      </c>
      <c r="BU493">
        <f>HYPERLINK("http://exon.niaid.nih.gov/transcriptome/Anopheles_sialome/links/cluster-b/anopheline-sialome-cds-pep-larger-orf45-50SimCLTL3.txt", 65)</f>
        <v>65</v>
      </c>
      <c r="BV493">
        <f>HYPERLINK("http://exon.niaid.nih.gov/transcriptome/Anopheles_sialome/links/cluster-b/anopheline-sialome-cds-pep-larger-orf50-50SimCLU3.txt", 3)</f>
        <v>3</v>
      </c>
      <c r="BW493">
        <f>HYPERLINK("http://exon.niaid.nih.gov/transcriptome/Anopheles_sialome/links/cluster-b/anopheline-sialome-cds-pep-larger-orf50-50SimCLTL3.txt", 48)</f>
        <v>48</v>
      </c>
      <c r="BX493">
        <f>HYPERLINK("http://exon.niaid.nih.gov/transcriptome/Anopheles_sialome/links/cluster-b/anopheline-sialome-cds-pep-larger-orf55-50SimCLU3.txt", 3)</f>
        <v>3</v>
      </c>
      <c r="BY493">
        <f>HYPERLINK("http://exon.niaid.nih.gov/transcriptome/Anopheles_sialome/links/cluster-b/anopheline-sialome-cds-pep-larger-orf55-50SimCLTL3.txt", 47)</f>
        <v>47</v>
      </c>
      <c r="BZ493">
        <f>HYPERLINK("http://exon.niaid.nih.gov/transcriptome/Anopheles_sialome/links/cluster-b/anopheline-sialome-cds-pep-larger-orf60-50SimCLU31.txt", 31)</f>
        <v>31</v>
      </c>
      <c r="CA493">
        <f>HYPERLINK("http://exon.niaid.nih.gov/transcriptome/Anopheles_sialome/links/cluster-b/anopheline-sialome-cds-pep-larger-orf60-50SimCLTL31.txt", 14)</f>
        <v>14</v>
      </c>
      <c r="CB493">
        <f>HYPERLINK("http://exon.niaid.nih.gov/transcriptome/Anopheles_sialome/links/cluster-b/anopheline-sialome-cds-pep-larger-orf65-50SimCLU36.txt", 36)</f>
        <v>36</v>
      </c>
      <c r="CC493">
        <f>HYPERLINK("http://exon.niaid.nih.gov/transcriptome/Anopheles_sialome/links/cluster-b/anopheline-sialome-cds-pep-larger-orf65-50SimCLTL36.txt", 12)</f>
        <v>12</v>
      </c>
      <c r="CD493">
        <f>HYPERLINK("http://exon.niaid.nih.gov/transcriptome/Anopheles_sialome/links/cluster-b/anopheline-sialome-cds-pep-larger-orf70-50SimCLU38.txt", 38)</f>
        <v>38</v>
      </c>
      <c r="CE493">
        <f>HYPERLINK("http://exon.niaid.nih.gov/transcriptome/Anopheles_sialome/links/cluster-b/anopheline-sialome-cds-pep-larger-orf70-50SimCLTL38.txt", 12)</f>
        <v>12</v>
      </c>
      <c r="CF493">
        <f>HYPERLINK("http://exon.niaid.nih.gov/transcriptome/Anopheles_sialome/links/cluster-b/anopheline-sialome-cds-pep-larger-orf75-50SimCLU39.txt", 39)</f>
        <v>39</v>
      </c>
      <c r="CG493">
        <f>HYPERLINK("http://exon.niaid.nih.gov/transcriptome/Anopheles_sialome/links/cluster-b/anopheline-sialome-cds-pep-larger-orf75-50SimCLTL39.txt", 7)</f>
        <v>7</v>
      </c>
      <c r="CH493">
        <f>HYPERLINK("http://exon.niaid.nih.gov/transcriptome/Anopheles_sialome/links/cluster-b/anopheline-sialome-cds-pep-larger-orf80-50SimCLU47.txt", 47)</f>
        <v>47</v>
      </c>
      <c r="CI493">
        <f>HYPERLINK("http://exon.niaid.nih.gov/transcriptome/Anopheles_sialome/links/cluster-b/anopheline-sialome-cds-pep-larger-orf80-50SimCLTL47.txt", 5)</f>
        <v>5</v>
      </c>
      <c r="CJ493">
        <f>HYPERLINK("http://exon.niaid.nih.gov/transcriptome/Anopheles_sialome/links/cluster-b/anopheline-sialome-cds-pep-larger-orf85-50SimCLU47.txt", 47)</f>
        <v>47</v>
      </c>
      <c r="CK493">
        <f>HYPERLINK("http://exon.niaid.nih.gov/transcriptome/Anopheles_sialome/links/cluster-b/anopheline-sialome-cds-pep-larger-orf85-50SimCLTL47.txt", 5)</f>
        <v>5</v>
      </c>
      <c r="CL493">
        <f>HYPERLINK("http://exon.niaid.nih.gov/transcriptome/Anopheles_sialome/links/cluster-b/anopheline-sialome-cds-pep-larger-orf90-50SimCLU45.txt", 45)</f>
        <v>45</v>
      </c>
      <c r="CM493">
        <f>HYPERLINK("http://exon.niaid.nih.gov/transcriptome/Anopheles_sialome/links/cluster-b/anopheline-sialome-cds-pep-larger-orf90-50SimCLTL45.txt", 5)</f>
        <v>5</v>
      </c>
      <c r="CN493">
        <f>HYPERLINK("http://exon.niaid.nih.gov/transcriptome/Anopheles_sialome/links/cluster-b/anopheline-sialome-cds-pep-larger-orf95-50SimCLU42.txt", 42)</f>
        <v>42</v>
      </c>
      <c r="CO493">
        <f>HYPERLINK("http://exon.niaid.nih.gov/transcriptome/Anopheles_sialome/links/cluster-b/anopheline-sialome-cds-pep-larger-orf95-50SimCLTL42.txt", 5)</f>
        <v>5</v>
      </c>
    </row>
    <row r="494" spans="1:93">
      <c r="A494" s="2" t="str">
        <f>HYPERLINK("http://exon.niaid.nih.gov/transcriptome/Anopheles_sialome/links/cds/anomer_SG1a-cds.txt","anomer_SG1a")</f>
        <v>anomer_SG1a</v>
      </c>
      <c r="B494">
        <v>1248</v>
      </c>
      <c r="C494" t="s">
        <v>436</v>
      </c>
      <c r="D494" t="s">
        <v>7</v>
      </c>
      <c r="E494" t="s">
        <v>5</v>
      </c>
      <c r="F494" t="s">
        <v>1</v>
      </c>
      <c r="G494" t="str">
        <f>HYPERLINK("http://exon.niaid.nih.gov/transcriptome/Anopheles_sialome/links/pep/anomer_SG1a-pep.txt","anomer_SG1a")</f>
        <v>anomer_SG1a</v>
      </c>
      <c r="H494">
        <v>415</v>
      </c>
      <c r="I494">
        <v>1</v>
      </c>
      <c r="J494" s="3" t="str">
        <f>HYPERLINK("http://exon.niaid.nih.gov/transcriptome/Anopheles_sialome/links/Sigp/anomer_SG1a-SigP.txt","CYT")</f>
        <v>CYT</v>
      </c>
      <c r="K494" t="s">
        <v>128</v>
      </c>
      <c r="L494">
        <v>48.341000000000001</v>
      </c>
      <c r="M494">
        <v>9.64</v>
      </c>
      <c r="N494" t="s">
        <v>128</v>
      </c>
      <c r="O494" t="s">
        <v>128</v>
      </c>
      <c r="P494" t="s">
        <v>1025</v>
      </c>
      <c r="Q494" s="3">
        <v>0</v>
      </c>
      <c r="R494" t="s">
        <v>128</v>
      </c>
      <c r="S494" t="s">
        <v>128</v>
      </c>
      <c r="T494" t="s">
        <v>128</v>
      </c>
      <c r="U494" t="s">
        <v>128</v>
      </c>
      <c r="V494" t="s">
        <v>128</v>
      </c>
      <c r="W494" s="3" t="str">
        <f>HYPERLINK("http://exon.niaid.nih.gov/transcriptome/Anopheles_sialome/links/netoglyc/anomer_SG1a-netoglyc.txt","3")</f>
        <v>3</v>
      </c>
      <c r="X494">
        <v>8</v>
      </c>
      <c r="Y494">
        <v>3.4</v>
      </c>
      <c r="Z494">
        <v>4.3</v>
      </c>
      <c r="AA494" t="s">
        <v>654</v>
      </c>
      <c r="AB494" t="s">
        <v>128</v>
      </c>
      <c r="AC494" s="2" t="str">
        <f>HYPERLINK("http://exon.niaid.nih.gov/transcriptome/Anopheles_sialome/links/DIPTERA/anomer_SG1a-DIPTERA.txt","AGAP000611-PA")</f>
        <v>AGAP000611-PA</v>
      </c>
      <c r="AD494" t="str">
        <f>HYPERLINK("http://www.ncbi.nlm.nih.gov/sutils/blink.cgi?pid=333466866","0.0")</f>
        <v>0.0</v>
      </c>
      <c r="AE494" t="str">
        <f t="shared" si="165"/>
        <v>gi|333466866</v>
      </c>
      <c r="AF494">
        <v>91</v>
      </c>
      <c r="AG494">
        <v>95</v>
      </c>
      <c r="AH494">
        <v>100</v>
      </c>
      <c r="AI494" t="s">
        <v>2285</v>
      </c>
      <c r="AJ494" s="2" t="str">
        <f>HYPERLINK("http://exon.niaid.nih.gov/transcriptome/Anopheles_sialome/links/CULICOMORPHA/anomer_SG1a-CULICOMORPHA.txt","AGAP000611-PA")</f>
        <v>AGAP000611-PA</v>
      </c>
      <c r="AK494" t="str">
        <f>HYPERLINK("http://www.ncbi.nlm.nih.gov/sutils/blink.cgi?pid=333466866","0.0")</f>
        <v>0.0</v>
      </c>
      <c r="AL494" t="str">
        <f t="shared" si="166"/>
        <v>gi|333466866</v>
      </c>
      <c r="AM494">
        <v>91</v>
      </c>
      <c r="AN494">
        <v>95</v>
      </c>
      <c r="AO494">
        <v>100</v>
      </c>
      <c r="AP494" t="s">
        <v>2285</v>
      </c>
      <c r="AQ494" s="2" t="str">
        <f>HYPERLINK("http://exon.niaid.nih.gov/transcriptome/Anopheles_sialome/links/NR-LIGHT/anomer_SG1a-NR-LIGHT.txt","AGAP000611-PA")</f>
        <v>AGAP000611-PA</v>
      </c>
      <c r="AR494" t="str">
        <f>HYPERLINK("http://www.ncbi.nlm.nih.gov/sutils/blink.cgi?pid=347964151","0.0")</f>
        <v>0.0</v>
      </c>
      <c r="AS494" t="str">
        <f t="shared" si="167"/>
        <v>gi|347964151</v>
      </c>
      <c r="AT494">
        <v>91</v>
      </c>
      <c r="AU494">
        <v>95</v>
      </c>
      <c r="AV494">
        <v>100</v>
      </c>
      <c r="AW494" t="s">
        <v>2285</v>
      </c>
      <c r="AX494" s="2" t="str">
        <f>HYPERLINK("http://exon.niaid.nih.gov/transcriptome/Anopheles_sialome/links/CDD/anomer_SG1a-CDD.txt","PolC")</f>
        <v>PolC</v>
      </c>
      <c r="AY494" t="str">
        <f>HYPERLINK("http://www.ncbi.nlm.nih.gov/Structure/cdd/cddsrv.cgi?uid=COG2176&amp;version=v4.0","0.14")</f>
        <v>0.14</v>
      </c>
      <c r="AZ494" t="s">
        <v>2880</v>
      </c>
      <c r="BA494" s="2" t="str">
        <f>HYPERLINK("http://exon.niaid.nih.gov/transcriptome/Anopheles_sialome/links/KOG/anomer_SG1a-KOG.txt","Checkpoint kinase and related serine/threonine protein kinases")</f>
        <v>Checkpoint kinase and related serine/threonine protein kinases</v>
      </c>
      <c r="BB494" t="str">
        <f>HYPERLINK("http://www.ncbi.nlm.nih.gov/Structure/cdd/cddsrv.cgi?uid=KOG0590","0.30")</f>
        <v>0.30</v>
      </c>
      <c r="BC494" t="s">
        <v>2256</v>
      </c>
      <c r="BD494" t="str">
        <f>HYPERLINK("http://exon.niaid.nih.gov/transcriptome/Anopheles_sialome/links/KOG/anomer_SG1a-KOG.txt","KOG0590")</f>
        <v>KOG0590</v>
      </c>
      <c r="BE494" t="str">
        <f>HYPERLINK("http://exon.niaid.nih.gov/transcriptome/Anopheles_sialome/links/PFAM/anomer_SG1a-PFAM.txt","DUF2352")</f>
        <v>DUF2352</v>
      </c>
      <c r="BF494" t="str">
        <f>HYPERLINK("http://pfam.sanger.ac.uk/family?acc=PF09817","0.044")</f>
        <v>0.044</v>
      </c>
      <c r="BG494" s="2" t="str">
        <f>HYPERLINK("http://exon.niaid.nih.gov/transcriptome/Anopheles_sialome/links/SMART/anomer_SG1a-SMART.txt","Zn_dep_PLPC")</f>
        <v>Zn_dep_PLPC</v>
      </c>
      <c r="BH494" t="str">
        <f>HYPERLINK("http://smart.embl-heidelberg.de/smart/do_annotation.pl?DOMAIN=Zn_dep_PLPC&amp;BLAST=DUMMY","0.057")</f>
        <v>0.057</v>
      </c>
      <c r="BI494" t="str">
        <f>HYPERLINK("http://exon.niaid.nih.gov/transcriptome/Anopheles_sialome/links/TICK-BLOCKS/anomer_SG1a-TICK-BLOCKS.txt","SG1_full |SG1_stringent_pattern |")</f>
        <v>SG1_full |SG1_stringent_pattern |</v>
      </c>
      <c r="BJ494" s="2" t="s">
        <v>2423</v>
      </c>
      <c r="BK494" t="s">
        <v>1761</v>
      </c>
      <c r="BL494">
        <f>HYPERLINK("http://exon.niaid.nih.gov/transcriptome/Anopheles_sialome/links/cluster-b/anopheline-sialome-cds-pep-larger-orf25-50SimCLU3.txt", 3)</f>
        <v>3</v>
      </c>
      <c r="BM494">
        <f>HYPERLINK("http://exon.niaid.nih.gov/transcriptome/Anopheles_sialome/links/cluster-b/anopheline-sialome-cds-pep-larger-orf25-50SimCLTL3.txt", 119)</f>
        <v>119</v>
      </c>
      <c r="BN494">
        <f>HYPERLINK("http://exon.niaid.nih.gov/transcriptome/Anopheles_sialome/links/cluster-b/anopheline-sialome-cds-pep-larger-orf30-50SimCLU3.txt", 3)</f>
        <v>3</v>
      </c>
      <c r="BO494">
        <f>HYPERLINK("http://exon.niaid.nih.gov/transcriptome/Anopheles_sialome/links/cluster-b/anopheline-sialome-cds-pep-larger-orf30-50SimCLTL3.txt", 119)</f>
        <v>119</v>
      </c>
      <c r="BP494">
        <f>HYPERLINK("http://exon.niaid.nih.gov/transcriptome/Anopheles_sialome/links/cluster-b/anopheline-sialome-cds-pep-larger-orf35-50SimCLU2.txt", 2)</f>
        <v>2</v>
      </c>
      <c r="BQ494">
        <f>HYPERLINK("http://exon.niaid.nih.gov/transcriptome/Anopheles_sialome/links/cluster-b/anopheline-sialome-cds-pep-larger-orf35-50SimCLTL2.txt", 119)</f>
        <v>119</v>
      </c>
      <c r="BR494">
        <f>HYPERLINK("http://exon.niaid.nih.gov/transcriptome/Anopheles_sialome/links/cluster-b/anopheline-sialome-cds-pep-larger-orf40-50SimCLU1.txt", 1)</f>
        <v>1</v>
      </c>
      <c r="BS494">
        <f>HYPERLINK("http://exon.niaid.nih.gov/transcriptome/Anopheles_sialome/links/cluster-b/anopheline-sialome-cds-pep-larger-orf40-50SimCLTL1.txt", 119)</f>
        <v>119</v>
      </c>
      <c r="BT494">
        <f>HYPERLINK("http://exon.niaid.nih.gov/transcriptome/Anopheles_sialome/links/cluster-b/anopheline-sialome-cds-pep-larger-orf45-50SimCLU3.txt", 3)</f>
        <v>3</v>
      </c>
      <c r="BU494">
        <f>HYPERLINK("http://exon.niaid.nih.gov/transcriptome/Anopheles_sialome/links/cluster-b/anopheline-sialome-cds-pep-larger-orf45-50SimCLTL3.txt", 65)</f>
        <v>65</v>
      </c>
      <c r="BV494">
        <f>HYPERLINK("http://exon.niaid.nih.gov/transcriptome/Anopheles_sialome/links/cluster-b/anopheline-sialome-cds-pep-larger-orf50-50SimCLU3.txt", 3)</f>
        <v>3</v>
      </c>
      <c r="BW494">
        <f>HYPERLINK("http://exon.niaid.nih.gov/transcriptome/Anopheles_sialome/links/cluster-b/anopheline-sialome-cds-pep-larger-orf50-50SimCLTL3.txt", 48)</f>
        <v>48</v>
      </c>
      <c r="BX494">
        <f>HYPERLINK("http://exon.niaid.nih.gov/transcriptome/Anopheles_sialome/links/cluster-b/anopheline-sialome-cds-pep-larger-orf55-50SimCLU3.txt", 3)</f>
        <v>3</v>
      </c>
      <c r="BY494">
        <f>HYPERLINK("http://exon.niaid.nih.gov/transcriptome/Anopheles_sialome/links/cluster-b/anopheline-sialome-cds-pep-larger-orf55-50SimCLTL3.txt", 47)</f>
        <v>47</v>
      </c>
      <c r="BZ494">
        <f>HYPERLINK("http://exon.niaid.nih.gov/transcriptome/Anopheles_sialome/links/cluster-b/anopheline-sialome-cds-pep-larger-orf60-50SimCLU31.txt", 31)</f>
        <v>31</v>
      </c>
      <c r="CA494">
        <f>HYPERLINK("http://exon.niaid.nih.gov/transcriptome/Anopheles_sialome/links/cluster-b/anopheline-sialome-cds-pep-larger-orf60-50SimCLTL31.txt", 14)</f>
        <v>14</v>
      </c>
      <c r="CB494">
        <f>HYPERLINK("http://exon.niaid.nih.gov/transcriptome/Anopheles_sialome/links/cluster-b/anopheline-sialome-cds-pep-larger-orf65-50SimCLU36.txt", 36)</f>
        <v>36</v>
      </c>
      <c r="CC494">
        <f>HYPERLINK("http://exon.niaid.nih.gov/transcriptome/Anopheles_sialome/links/cluster-b/anopheline-sialome-cds-pep-larger-orf65-50SimCLTL36.txt", 12)</f>
        <v>12</v>
      </c>
      <c r="CD494">
        <f>HYPERLINK("http://exon.niaid.nih.gov/transcriptome/Anopheles_sialome/links/cluster-b/anopheline-sialome-cds-pep-larger-orf70-50SimCLU38.txt", 38)</f>
        <v>38</v>
      </c>
      <c r="CE494">
        <f>HYPERLINK("http://exon.niaid.nih.gov/transcriptome/Anopheles_sialome/links/cluster-b/anopheline-sialome-cds-pep-larger-orf70-50SimCLTL38.txt", 12)</f>
        <v>12</v>
      </c>
      <c r="CF494">
        <f>HYPERLINK("http://exon.niaid.nih.gov/transcriptome/Anopheles_sialome/links/cluster-b/anopheline-sialome-cds-pep-larger-orf75-50SimCLU39.txt", 39)</f>
        <v>39</v>
      </c>
      <c r="CG494">
        <f>HYPERLINK("http://exon.niaid.nih.gov/transcriptome/Anopheles_sialome/links/cluster-b/anopheline-sialome-cds-pep-larger-orf75-50SimCLTL39.txt", 7)</f>
        <v>7</v>
      </c>
      <c r="CH494">
        <f>HYPERLINK("http://exon.niaid.nih.gov/transcriptome/Anopheles_sialome/links/cluster-b/anopheline-sialome-cds-pep-larger-orf80-50SimCLU47.txt", 47)</f>
        <v>47</v>
      </c>
      <c r="CI494">
        <f>HYPERLINK("http://exon.niaid.nih.gov/transcriptome/Anopheles_sialome/links/cluster-b/anopheline-sialome-cds-pep-larger-orf80-50SimCLTL47.txt", 5)</f>
        <v>5</v>
      </c>
      <c r="CJ494">
        <f>HYPERLINK("http://exon.niaid.nih.gov/transcriptome/Anopheles_sialome/links/cluster-b/anopheline-sialome-cds-pep-larger-orf85-50SimCLU47.txt", 47)</f>
        <v>47</v>
      </c>
      <c r="CK494">
        <f>HYPERLINK("http://exon.niaid.nih.gov/transcriptome/Anopheles_sialome/links/cluster-b/anopheline-sialome-cds-pep-larger-orf85-50SimCLTL47.txt", 5)</f>
        <v>5</v>
      </c>
      <c r="CL494">
        <f>HYPERLINK("http://exon.niaid.nih.gov/transcriptome/Anopheles_sialome/links/cluster-b/anopheline-sialome-cds-pep-larger-orf90-50SimCLU45.txt", 45)</f>
        <v>45</v>
      </c>
      <c r="CM494">
        <f>HYPERLINK("http://exon.niaid.nih.gov/transcriptome/Anopheles_sialome/links/cluster-b/anopheline-sialome-cds-pep-larger-orf90-50SimCLTL45.txt", 5)</f>
        <v>5</v>
      </c>
      <c r="CN494">
        <f>HYPERLINK("http://exon.niaid.nih.gov/transcriptome/Anopheles_sialome/links/cluster-b/anopheline-sialome-cds-pep-larger-orf95-50SimCLU42.txt", 42)</f>
        <v>42</v>
      </c>
      <c r="CO494">
        <f>HYPERLINK("http://exon.niaid.nih.gov/transcriptome/Anopheles_sialome/links/cluster-b/anopheline-sialome-cds-pep-larger-orf95-50SimCLTL42.txt", 5)</f>
        <v>5</v>
      </c>
    </row>
    <row r="495" spans="1:93">
      <c r="A495" s="2" t="str">
        <f>HYPERLINK("http://exon.niaid.nih.gov/transcriptome/Anopheles_sialome/links/cds/anomel_SG1a-cds.txt","anomel_SG1a")</f>
        <v>anomel_SG1a</v>
      </c>
      <c r="B495">
        <v>1248</v>
      </c>
      <c r="C495" t="s">
        <v>437</v>
      </c>
      <c r="D495" t="s">
        <v>4</v>
      </c>
      <c r="E495" t="s">
        <v>5</v>
      </c>
      <c r="F495" t="s">
        <v>1</v>
      </c>
      <c r="G495" t="str">
        <f>HYPERLINK("http://exon.niaid.nih.gov/transcriptome/Anopheles_sialome/links/pep/anomel_SG1a-pep.txt","anomel_SG1a")</f>
        <v>anomel_SG1a</v>
      </c>
      <c r="H495">
        <v>415</v>
      </c>
      <c r="I495">
        <v>0</v>
      </c>
      <c r="J495" s="3" t="str">
        <f>HYPERLINK("http://exon.niaid.nih.gov/transcriptome/Anopheles_sialome/links/Sigp/anomel_SG1a-SigP.txt","CYT")</f>
        <v>CYT</v>
      </c>
      <c r="K495" t="s">
        <v>128</v>
      </c>
      <c r="L495">
        <v>48.515000000000001</v>
      </c>
      <c r="M495">
        <v>9.7899999999999991</v>
      </c>
      <c r="N495" t="s">
        <v>128</v>
      </c>
      <c r="O495" t="s">
        <v>128</v>
      </c>
      <c r="P495" t="s">
        <v>1025</v>
      </c>
      <c r="Q495" s="3">
        <v>0</v>
      </c>
      <c r="R495" t="s">
        <v>128</v>
      </c>
      <c r="S495" t="s">
        <v>128</v>
      </c>
      <c r="T495" t="s">
        <v>128</v>
      </c>
      <c r="U495" t="s">
        <v>128</v>
      </c>
      <c r="V495" t="s">
        <v>128</v>
      </c>
      <c r="W495" s="3" t="str">
        <f>HYPERLINK("http://exon.niaid.nih.gov/transcriptome/Anopheles_sialome/links/netoglyc/anomel_SG1a-netoglyc.txt","1")</f>
        <v>1</v>
      </c>
      <c r="X495">
        <v>8.6999999999999993</v>
      </c>
      <c r="Y495">
        <v>4.0999999999999996</v>
      </c>
      <c r="Z495">
        <v>3.6</v>
      </c>
      <c r="AA495" t="s">
        <v>654</v>
      </c>
      <c r="AB495" t="s">
        <v>128</v>
      </c>
      <c r="AC495" s="2" t="str">
        <f>HYPERLINK("http://exon.niaid.nih.gov/transcriptome/Anopheles_sialome/links/DIPTERA/anomel_SG1a-DIPTERA.txt","AGAP000611-PA")</f>
        <v>AGAP000611-PA</v>
      </c>
      <c r="AD495" t="str">
        <f>HYPERLINK("http://www.ncbi.nlm.nih.gov/sutils/blink.cgi?pid=333466866","0.0")</f>
        <v>0.0</v>
      </c>
      <c r="AE495" t="str">
        <f t="shared" si="165"/>
        <v>gi|333466866</v>
      </c>
      <c r="AF495">
        <v>92</v>
      </c>
      <c r="AG495">
        <v>94</v>
      </c>
      <c r="AH495">
        <v>100</v>
      </c>
      <c r="AI495" t="s">
        <v>2285</v>
      </c>
      <c r="AJ495" s="2" t="str">
        <f>HYPERLINK("http://exon.niaid.nih.gov/transcriptome/Anopheles_sialome/links/CULICOMORPHA/anomel_SG1a-CULICOMORPHA.txt","AGAP000611-PA")</f>
        <v>AGAP000611-PA</v>
      </c>
      <c r="AK495" t="str">
        <f>HYPERLINK("http://www.ncbi.nlm.nih.gov/sutils/blink.cgi?pid=333466866","0.0")</f>
        <v>0.0</v>
      </c>
      <c r="AL495" t="str">
        <f t="shared" si="166"/>
        <v>gi|333466866</v>
      </c>
      <c r="AM495">
        <v>92</v>
      </c>
      <c r="AN495">
        <v>94</v>
      </c>
      <c r="AO495">
        <v>100</v>
      </c>
      <c r="AP495" t="s">
        <v>2285</v>
      </c>
      <c r="AQ495" s="2" t="str">
        <f>HYPERLINK("http://exon.niaid.nih.gov/transcriptome/Anopheles_sialome/links/NR-LIGHT/anomel_SG1a-NR-LIGHT.txt","AGAP000611-PA")</f>
        <v>AGAP000611-PA</v>
      </c>
      <c r="AR495" t="str">
        <f>HYPERLINK("http://www.ncbi.nlm.nih.gov/sutils/blink.cgi?pid=347964151","0.0")</f>
        <v>0.0</v>
      </c>
      <c r="AS495" t="str">
        <f t="shared" si="167"/>
        <v>gi|347964151</v>
      </c>
      <c r="AT495">
        <v>92</v>
      </c>
      <c r="AU495">
        <v>94</v>
      </c>
      <c r="AV495">
        <v>100</v>
      </c>
      <c r="AW495" t="s">
        <v>2285</v>
      </c>
      <c r="AX495" s="2" t="str">
        <f>HYPERLINK("http://exon.niaid.nih.gov/transcriptome/Anopheles_sialome/links/CDD/anomel_SG1a-CDD.txt","XseA")</f>
        <v>XseA</v>
      </c>
      <c r="AY495" t="str">
        <f>HYPERLINK("http://www.ncbi.nlm.nih.gov/Structure/cdd/cddsrv.cgi?uid=COG1570&amp;version=v4.0","0.083")</f>
        <v>0.083</v>
      </c>
      <c r="AZ495" t="s">
        <v>2881</v>
      </c>
      <c r="BA495" s="2" t="str">
        <f>HYPERLINK("http://exon.niaid.nih.gov/transcriptome/Anopheles_sialome/links/KOG/anomel_SG1a-KOG.txt","Isocitrate lyase")</f>
        <v>Isocitrate lyase</v>
      </c>
      <c r="BB495" t="str">
        <f>HYPERLINK("http://www.ncbi.nlm.nih.gov/Structure/cdd/cddsrv.cgi?uid=KOG1260","0.62")</f>
        <v>0.62</v>
      </c>
      <c r="BC495" t="s">
        <v>2516</v>
      </c>
      <c r="BD495" t="str">
        <f>HYPERLINK("http://exon.niaid.nih.gov/transcriptome/Anopheles_sialome/links/KOG/anomel_SG1a-KOG.txt","KOG1260")</f>
        <v>KOG1260</v>
      </c>
      <c r="BE495" t="str">
        <f>HYPERLINK("http://exon.niaid.nih.gov/transcriptome/Anopheles_sialome/links/PFAM/anomel_SG1a-PFAM.txt","DUF2352")</f>
        <v>DUF2352</v>
      </c>
      <c r="BF495" t="str">
        <f>HYPERLINK("http://pfam.sanger.ac.uk/family?acc=PF09817","0.099")</f>
        <v>0.099</v>
      </c>
      <c r="BG495" s="2" t="str">
        <f>HYPERLINK("http://exon.niaid.nih.gov/transcriptome/Anopheles_sialome/links/SMART/anomel_SG1a-SMART.txt","Zn_dep_PLPC")</f>
        <v>Zn_dep_PLPC</v>
      </c>
      <c r="BH495" t="str">
        <f>HYPERLINK("http://smart.embl-heidelberg.de/smart/do_annotation.pl?DOMAIN=Zn_dep_PLPC&amp;BLAST=DUMMY","0.065")</f>
        <v>0.065</v>
      </c>
      <c r="BI495" t="str">
        <f>HYPERLINK("http://exon.niaid.nih.gov/transcriptome/Anopheles_sialome/links/TICK-BLOCKS/anomel_SG1a-TICK-BLOCKS.txt","SG1_stringent_pattern |")</f>
        <v>SG1_stringent_pattern |</v>
      </c>
      <c r="BJ495" s="2" t="s">
        <v>128</v>
      </c>
      <c r="BK495" t="s">
        <v>1762</v>
      </c>
      <c r="BL495">
        <f>HYPERLINK("http://exon.niaid.nih.gov/transcriptome/Anopheles_sialome/links/cluster-b/anopheline-sialome-cds-pep-larger-orf25-50SimCLU3.txt", 3)</f>
        <v>3</v>
      </c>
      <c r="BM495">
        <f>HYPERLINK("http://exon.niaid.nih.gov/transcriptome/Anopheles_sialome/links/cluster-b/anopheline-sialome-cds-pep-larger-orf25-50SimCLTL3.txt", 119)</f>
        <v>119</v>
      </c>
      <c r="BN495">
        <f>HYPERLINK("http://exon.niaid.nih.gov/transcriptome/Anopheles_sialome/links/cluster-b/anopheline-sialome-cds-pep-larger-orf30-50SimCLU3.txt", 3)</f>
        <v>3</v>
      </c>
      <c r="BO495">
        <f>HYPERLINK("http://exon.niaid.nih.gov/transcriptome/Anopheles_sialome/links/cluster-b/anopheline-sialome-cds-pep-larger-orf30-50SimCLTL3.txt", 119)</f>
        <v>119</v>
      </c>
      <c r="BP495">
        <f>HYPERLINK("http://exon.niaid.nih.gov/transcriptome/Anopheles_sialome/links/cluster-b/anopheline-sialome-cds-pep-larger-orf35-50SimCLU2.txt", 2)</f>
        <v>2</v>
      </c>
      <c r="BQ495">
        <f>HYPERLINK("http://exon.niaid.nih.gov/transcriptome/Anopheles_sialome/links/cluster-b/anopheline-sialome-cds-pep-larger-orf35-50SimCLTL2.txt", 119)</f>
        <v>119</v>
      </c>
      <c r="BR495">
        <f>HYPERLINK("http://exon.niaid.nih.gov/transcriptome/Anopheles_sialome/links/cluster-b/anopheline-sialome-cds-pep-larger-orf40-50SimCLU1.txt", 1)</f>
        <v>1</v>
      </c>
      <c r="BS495">
        <f>HYPERLINK("http://exon.niaid.nih.gov/transcriptome/Anopheles_sialome/links/cluster-b/anopheline-sialome-cds-pep-larger-orf40-50SimCLTL1.txt", 119)</f>
        <v>119</v>
      </c>
      <c r="BT495">
        <f>HYPERLINK("http://exon.niaid.nih.gov/transcriptome/Anopheles_sialome/links/cluster-b/anopheline-sialome-cds-pep-larger-orf45-50SimCLU3.txt", 3)</f>
        <v>3</v>
      </c>
      <c r="BU495">
        <f>HYPERLINK("http://exon.niaid.nih.gov/transcriptome/Anopheles_sialome/links/cluster-b/anopheline-sialome-cds-pep-larger-orf45-50SimCLTL3.txt", 65)</f>
        <v>65</v>
      </c>
      <c r="BV495">
        <f>HYPERLINK("http://exon.niaid.nih.gov/transcriptome/Anopheles_sialome/links/cluster-b/anopheline-sialome-cds-pep-larger-orf50-50SimCLU3.txt", 3)</f>
        <v>3</v>
      </c>
      <c r="BW495">
        <f>HYPERLINK("http://exon.niaid.nih.gov/transcriptome/Anopheles_sialome/links/cluster-b/anopheline-sialome-cds-pep-larger-orf50-50SimCLTL3.txt", 48)</f>
        <v>48</v>
      </c>
      <c r="BX495">
        <f>HYPERLINK("http://exon.niaid.nih.gov/transcriptome/Anopheles_sialome/links/cluster-b/anopheline-sialome-cds-pep-larger-orf55-50SimCLU3.txt", 3)</f>
        <v>3</v>
      </c>
      <c r="BY495">
        <f>HYPERLINK("http://exon.niaid.nih.gov/transcriptome/Anopheles_sialome/links/cluster-b/anopheline-sialome-cds-pep-larger-orf55-50SimCLTL3.txt", 47)</f>
        <v>47</v>
      </c>
      <c r="BZ495">
        <f>HYPERLINK("http://exon.niaid.nih.gov/transcriptome/Anopheles_sialome/links/cluster-b/anopheline-sialome-cds-pep-larger-orf60-50SimCLU31.txt", 31)</f>
        <v>31</v>
      </c>
      <c r="CA495">
        <f>HYPERLINK("http://exon.niaid.nih.gov/transcriptome/Anopheles_sialome/links/cluster-b/anopheline-sialome-cds-pep-larger-orf60-50SimCLTL31.txt", 14)</f>
        <v>14</v>
      </c>
      <c r="CB495">
        <f>HYPERLINK("http://exon.niaid.nih.gov/transcriptome/Anopheles_sialome/links/cluster-b/anopheline-sialome-cds-pep-larger-orf65-50SimCLU36.txt", 36)</f>
        <v>36</v>
      </c>
      <c r="CC495">
        <f>HYPERLINK("http://exon.niaid.nih.gov/transcriptome/Anopheles_sialome/links/cluster-b/anopheline-sialome-cds-pep-larger-orf65-50SimCLTL36.txt", 12)</f>
        <v>12</v>
      </c>
      <c r="CD495">
        <f>HYPERLINK("http://exon.niaid.nih.gov/transcriptome/Anopheles_sialome/links/cluster-b/anopheline-sialome-cds-pep-larger-orf70-50SimCLU38.txt", 38)</f>
        <v>38</v>
      </c>
      <c r="CE495">
        <f>HYPERLINK("http://exon.niaid.nih.gov/transcriptome/Anopheles_sialome/links/cluster-b/anopheline-sialome-cds-pep-larger-orf70-50SimCLTL38.txt", 12)</f>
        <v>12</v>
      </c>
      <c r="CF495">
        <f>HYPERLINK("http://exon.niaid.nih.gov/transcriptome/Anopheles_sialome/links/cluster-b/anopheline-sialome-cds-pep-larger-orf75-50SimCLU39.txt", 39)</f>
        <v>39</v>
      </c>
      <c r="CG495">
        <f>HYPERLINK("http://exon.niaid.nih.gov/transcriptome/Anopheles_sialome/links/cluster-b/anopheline-sialome-cds-pep-larger-orf75-50SimCLTL39.txt", 7)</f>
        <v>7</v>
      </c>
      <c r="CH495">
        <f>HYPERLINK("http://exon.niaid.nih.gov/transcriptome/Anopheles_sialome/links/cluster-b/anopheline-sialome-cds-pep-larger-orf80-50SimCLU47.txt", 47)</f>
        <v>47</v>
      </c>
      <c r="CI495">
        <f>HYPERLINK("http://exon.niaid.nih.gov/transcriptome/Anopheles_sialome/links/cluster-b/anopheline-sialome-cds-pep-larger-orf80-50SimCLTL47.txt", 5)</f>
        <v>5</v>
      </c>
      <c r="CJ495">
        <f>HYPERLINK("http://exon.niaid.nih.gov/transcriptome/Anopheles_sialome/links/cluster-b/anopheline-sialome-cds-pep-larger-orf85-50SimCLU47.txt", 47)</f>
        <v>47</v>
      </c>
      <c r="CK495">
        <f>HYPERLINK("http://exon.niaid.nih.gov/transcriptome/Anopheles_sialome/links/cluster-b/anopheline-sialome-cds-pep-larger-orf85-50SimCLTL47.txt", 5)</f>
        <v>5</v>
      </c>
      <c r="CL495">
        <f>HYPERLINK("http://exon.niaid.nih.gov/transcriptome/Anopheles_sialome/links/cluster-b/anopheline-sialome-cds-pep-larger-orf90-50SimCLU45.txt", 45)</f>
        <v>45</v>
      </c>
      <c r="CM495">
        <f>HYPERLINK("http://exon.niaid.nih.gov/transcriptome/Anopheles_sialome/links/cluster-b/anopheline-sialome-cds-pep-larger-orf90-50SimCLTL45.txt", 5)</f>
        <v>5</v>
      </c>
      <c r="CN495">
        <f>HYPERLINK("http://exon.niaid.nih.gov/transcriptome/Anopheles_sialome/links/cluster-b/anopheline-sialome-cds-pep-larger-orf95-50SimCLU42.txt", 42)</f>
        <v>42</v>
      </c>
      <c r="CO495">
        <f>HYPERLINK("http://exon.niaid.nih.gov/transcriptome/Anopheles_sialome/links/cluster-b/anopheline-sialome-cds-pep-larger-orf95-50SimCLTL42.txt", 5)</f>
        <v>5</v>
      </c>
    </row>
    <row r="496" spans="1:93">
      <c r="A496" s="2" t="str">
        <f>HYPERLINK("http://exon.niaid.nih.gov/transcriptome/Anopheles_sialome/links/cds/anochris_SG1a-cds.txt","anochris_SG1a")</f>
        <v>anochris_SG1a</v>
      </c>
      <c r="B496">
        <v>1263</v>
      </c>
      <c r="C496" t="s">
        <v>424</v>
      </c>
      <c r="D496" t="s">
        <v>7</v>
      </c>
      <c r="E496" t="s">
        <v>5</v>
      </c>
      <c r="F496" t="s">
        <v>1</v>
      </c>
      <c r="G496" t="str">
        <f>HYPERLINK("http://exon.niaid.nih.gov/transcriptome/Anopheles_sialome/links/pep/anochris_SG1a-pep.txt","anochris_SG1a")</f>
        <v>anochris_SG1a</v>
      </c>
      <c r="H496">
        <v>420</v>
      </c>
      <c r="I496">
        <v>1</v>
      </c>
      <c r="J496" s="3" t="str">
        <f>HYPERLINK("http://exon.niaid.nih.gov/transcriptome/Anopheles_sialome/links/Sigp/anochris_SG1a-SigP.txt","SIG")</f>
        <v>SIG</v>
      </c>
      <c r="K496" t="s">
        <v>718</v>
      </c>
      <c r="L496">
        <v>49.424999999999997</v>
      </c>
      <c r="M496">
        <v>9.77</v>
      </c>
      <c r="N496">
        <v>47.627000000000002</v>
      </c>
      <c r="O496">
        <v>9.8000000000000007</v>
      </c>
      <c r="P496" t="s">
        <v>1764</v>
      </c>
      <c r="Q496" s="3">
        <v>0</v>
      </c>
      <c r="R496" t="s">
        <v>128</v>
      </c>
      <c r="S496" t="s">
        <v>128</v>
      </c>
      <c r="T496" t="s">
        <v>128</v>
      </c>
      <c r="U496" t="s">
        <v>128</v>
      </c>
      <c r="V496" t="s">
        <v>128</v>
      </c>
      <c r="W496" s="3" t="str">
        <f>HYPERLINK("http://exon.niaid.nih.gov/transcriptome/Anopheles_sialome/links/netoglyc/anochris_SG1a-netoglyc.txt","0")</f>
        <v>0</v>
      </c>
      <c r="X496">
        <v>10.7</v>
      </c>
      <c r="Y496">
        <v>3.8</v>
      </c>
      <c r="Z496">
        <v>2.9</v>
      </c>
      <c r="AA496" t="s">
        <v>654</v>
      </c>
      <c r="AB496" t="s">
        <v>1765</v>
      </c>
      <c r="AC496" s="2" t="str">
        <f>HYPERLINK("http://exon.niaid.nih.gov/transcriptome/Anopheles_sialome/links/DIPTERA/anochris_SG1a-DIPTERA.txt","AGAP000611-PA")</f>
        <v>AGAP000611-PA</v>
      </c>
      <c r="AD496" t="str">
        <f>HYPERLINK("http://www.ncbi.nlm.nih.gov/sutils/blink.cgi?pid=333466866","1E-139")</f>
        <v>1E-139</v>
      </c>
      <c r="AE496" t="str">
        <f t="shared" si="165"/>
        <v>gi|333466866</v>
      </c>
      <c r="AF496">
        <v>59</v>
      </c>
      <c r="AG496">
        <v>77</v>
      </c>
      <c r="AH496">
        <v>100</v>
      </c>
      <c r="AI496" t="s">
        <v>2285</v>
      </c>
      <c r="AJ496" s="2" t="str">
        <f>HYPERLINK("http://exon.niaid.nih.gov/transcriptome/Anopheles_sialome/links/CULICOMORPHA/anochris_SG1a-CULICOMORPHA.txt","AGAP000611-PA")</f>
        <v>AGAP000611-PA</v>
      </c>
      <c r="AK496" t="str">
        <f>HYPERLINK("http://www.ncbi.nlm.nih.gov/sutils/blink.cgi?pid=333466866","1E-139")</f>
        <v>1E-139</v>
      </c>
      <c r="AL496" t="str">
        <f t="shared" si="166"/>
        <v>gi|333466866</v>
      </c>
      <c r="AM496">
        <v>59</v>
      </c>
      <c r="AN496">
        <v>77</v>
      </c>
      <c r="AO496">
        <v>100</v>
      </c>
      <c r="AP496" t="s">
        <v>2285</v>
      </c>
      <c r="AQ496" s="2" t="str">
        <f>HYPERLINK("http://exon.niaid.nih.gov/transcriptome/Anopheles_sialome/links/NR-LIGHT/anochris_SG1a-NR-LIGHT.txt","AGAP000611-PA")</f>
        <v>AGAP000611-PA</v>
      </c>
      <c r="AR496" t="str">
        <f>HYPERLINK("http://www.ncbi.nlm.nih.gov/sutils/blink.cgi?pid=347964151","1E-138")</f>
        <v>1E-138</v>
      </c>
      <c r="AS496" t="str">
        <f t="shared" si="167"/>
        <v>gi|347964151</v>
      </c>
      <c r="AT496">
        <v>59</v>
      </c>
      <c r="AU496">
        <v>77</v>
      </c>
      <c r="AV496">
        <v>100</v>
      </c>
      <c r="AW496" t="s">
        <v>2285</v>
      </c>
      <c r="AX496" s="2" t="str">
        <f>HYPERLINK("http://exon.niaid.nih.gov/transcriptome/Anopheles_sialome/links/CDD/anochris_SG1a-CDD.txt","ArpD")</f>
        <v>ArpD</v>
      </c>
      <c r="AY496" t="str">
        <f>HYPERLINK("http://www.ncbi.nlm.nih.gov/Structure/cdd/cddsrv.cgi?uid=COG4618&amp;version=v4.0","0.27")</f>
        <v>0.27</v>
      </c>
      <c r="AZ496" t="s">
        <v>2882</v>
      </c>
      <c r="BA496" s="2" t="str">
        <f>HYPERLINK("http://exon.niaid.nih.gov/transcriptome/Anopheles_sialome/links/KOG/anochris_SG1a-KOG.txt","Centromere-associated protein HEC1")</f>
        <v>Centromere-associated protein HEC1</v>
      </c>
      <c r="BB496" t="str">
        <f>HYPERLINK("http://www.ncbi.nlm.nih.gov/Structure/cdd/cddsrv.cgi?uid=KOG0995","0.69")</f>
        <v>0.69</v>
      </c>
      <c r="BC496" t="s">
        <v>2256</v>
      </c>
      <c r="BD496" t="str">
        <f>HYPERLINK("http://exon.niaid.nih.gov/transcriptome/Anopheles_sialome/links/KOG/anochris_SG1a-KOG.txt","KOG0995")</f>
        <v>KOG0995</v>
      </c>
      <c r="BE496" t="str">
        <f>HYPERLINK("http://exon.niaid.nih.gov/transcriptome/Anopheles_sialome/links/PFAM/anochris_SG1a-PFAM.txt","DUF3529")</f>
        <v>DUF3529</v>
      </c>
      <c r="BF496" t="str">
        <f>HYPERLINK("http://pfam.sanger.ac.uk/family?acc=PF12046","0.13")</f>
        <v>0.13</v>
      </c>
      <c r="BG496" s="2" t="str">
        <f>HYPERLINK("http://exon.niaid.nih.gov/transcriptome/Anopheles_sialome/links/SMART/anochris_SG1a-SMART.txt","OmpH")</f>
        <v>OmpH</v>
      </c>
      <c r="BH496" t="str">
        <f>HYPERLINK("http://smart.embl-heidelberg.de/smart/do_annotation.pl?DOMAIN=OmpH&amp;BLAST=DUMMY","0.029")</f>
        <v>0.029</v>
      </c>
      <c r="BI496" t="str">
        <f>HYPERLINK("http://exon.niaid.nih.gov/transcriptome/Anopheles_sialome/links/TICK-BLOCKS/anochris_SG1a-TICK-BLOCKS.txt","SG1_full |SG1_stringent_pattern |")</f>
        <v>SG1_full |SG1_stringent_pattern |</v>
      </c>
      <c r="BJ496" s="2" t="s">
        <v>2423</v>
      </c>
      <c r="BK496" t="s">
        <v>1763</v>
      </c>
      <c r="BL496">
        <f>HYPERLINK("http://exon.niaid.nih.gov/transcriptome/Anopheles_sialome/links/cluster-b/anopheline-sialome-cds-pep-larger-orf25-50SimCLU3.txt", 3)</f>
        <v>3</v>
      </c>
      <c r="BM496">
        <f>HYPERLINK("http://exon.niaid.nih.gov/transcriptome/Anopheles_sialome/links/cluster-b/anopheline-sialome-cds-pep-larger-orf25-50SimCLTL3.txt", 119)</f>
        <v>119</v>
      </c>
      <c r="BN496">
        <f>HYPERLINK("http://exon.niaid.nih.gov/transcriptome/Anopheles_sialome/links/cluster-b/anopheline-sialome-cds-pep-larger-orf30-50SimCLU3.txt", 3)</f>
        <v>3</v>
      </c>
      <c r="BO496">
        <f>HYPERLINK("http://exon.niaid.nih.gov/transcriptome/Anopheles_sialome/links/cluster-b/anopheline-sialome-cds-pep-larger-orf30-50SimCLTL3.txt", 119)</f>
        <v>119</v>
      </c>
      <c r="BP496">
        <f>HYPERLINK("http://exon.niaid.nih.gov/transcriptome/Anopheles_sialome/links/cluster-b/anopheline-sialome-cds-pep-larger-orf35-50SimCLU2.txt", 2)</f>
        <v>2</v>
      </c>
      <c r="BQ496">
        <f>HYPERLINK("http://exon.niaid.nih.gov/transcriptome/Anopheles_sialome/links/cluster-b/anopheline-sialome-cds-pep-larger-orf35-50SimCLTL2.txt", 119)</f>
        <v>119</v>
      </c>
      <c r="BR496">
        <f>HYPERLINK("http://exon.niaid.nih.gov/transcriptome/Anopheles_sialome/links/cluster-b/anopheline-sialome-cds-pep-larger-orf40-50SimCLU1.txt", 1)</f>
        <v>1</v>
      </c>
      <c r="BS496">
        <f>HYPERLINK("http://exon.niaid.nih.gov/transcriptome/Anopheles_sialome/links/cluster-b/anopheline-sialome-cds-pep-larger-orf40-50SimCLTL1.txt", 119)</f>
        <v>119</v>
      </c>
      <c r="BT496">
        <f>HYPERLINK("http://exon.niaid.nih.gov/transcriptome/Anopheles_sialome/links/cluster-b/anopheline-sialome-cds-pep-larger-orf45-50SimCLU3.txt", 3)</f>
        <v>3</v>
      </c>
      <c r="BU496">
        <f>HYPERLINK("http://exon.niaid.nih.gov/transcriptome/Anopheles_sialome/links/cluster-b/anopheline-sialome-cds-pep-larger-orf45-50SimCLTL3.txt", 65)</f>
        <v>65</v>
      </c>
      <c r="BV496">
        <f>HYPERLINK("http://exon.niaid.nih.gov/transcriptome/Anopheles_sialome/links/cluster-b/anopheline-sialome-cds-pep-larger-orf50-50SimCLU3.txt", 3)</f>
        <v>3</v>
      </c>
      <c r="BW496">
        <f>HYPERLINK("http://exon.niaid.nih.gov/transcriptome/Anopheles_sialome/links/cluster-b/anopheline-sialome-cds-pep-larger-orf50-50SimCLTL3.txt", 48)</f>
        <v>48</v>
      </c>
      <c r="BX496">
        <f>HYPERLINK("http://exon.niaid.nih.gov/transcriptome/Anopheles_sialome/links/cluster-b/anopheline-sialome-cds-pep-larger-orf55-50SimCLU3.txt", 3)</f>
        <v>3</v>
      </c>
      <c r="BY496">
        <f>HYPERLINK("http://exon.niaid.nih.gov/transcriptome/Anopheles_sialome/links/cluster-b/anopheline-sialome-cds-pep-larger-orf55-50SimCLTL3.txt", 47)</f>
        <v>47</v>
      </c>
      <c r="BZ496">
        <f>HYPERLINK("http://exon.niaid.nih.gov/transcriptome/Anopheles_sialome/links/cluster-b/anopheline-sialome-cds-pep-larger-orf60-50SimCLU31.txt", 31)</f>
        <v>31</v>
      </c>
      <c r="CA496">
        <f>HYPERLINK("http://exon.niaid.nih.gov/transcriptome/Anopheles_sialome/links/cluster-b/anopheline-sialome-cds-pep-larger-orf60-50SimCLTL31.txt", 14)</f>
        <v>14</v>
      </c>
      <c r="CB496">
        <f>HYPERLINK("http://exon.niaid.nih.gov/transcriptome/Anopheles_sialome/links/cluster-b/anopheline-sialome-cds-pep-larger-orf65-50SimCLU36.txt", 36)</f>
        <v>36</v>
      </c>
      <c r="CC496">
        <f>HYPERLINK("http://exon.niaid.nih.gov/transcriptome/Anopheles_sialome/links/cluster-b/anopheline-sialome-cds-pep-larger-orf65-50SimCLTL36.txt", 12)</f>
        <v>12</v>
      </c>
      <c r="CD496">
        <f>HYPERLINK("http://exon.niaid.nih.gov/transcriptome/Anopheles_sialome/links/cluster-b/anopheline-sialome-cds-pep-larger-orf70-50SimCLU38.txt", 38)</f>
        <v>38</v>
      </c>
      <c r="CE496">
        <f>HYPERLINK("http://exon.niaid.nih.gov/transcriptome/Anopheles_sialome/links/cluster-b/anopheline-sialome-cds-pep-larger-orf70-50SimCLTL38.txt", 12)</f>
        <v>12</v>
      </c>
      <c r="CF496">
        <f>HYPERLINK("http://exon.niaid.nih.gov/transcriptome/Anopheles_sialome/links/cluster-b/anopheline-sialome-cds-pep-larger-orf75-50SimCLU39.txt", 39)</f>
        <v>39</v>
      </c>
      <c r="CG496">
        <f>HYPERLINK("http://exon.niaid.nih.gov/transcriptome/Anopheles_sialome/links/cluster-b/anopheline-sialome-cds-pep-larger-orf75-50SimCLTL39.txt", 7)</f>
        <v>7</v>
      </c>
      <c r="CH496">
        <v>195</v>
      </c>
      <c r="CI496">
        <v>1</v>
      </c>
      <c r="CJ496">
        <v>258</v>
      </c>
      <c r="CK496">
        <v>1</v>
      </c>
      <c r="CL496">
        <v>327</v>
      </c>
      <c r="CM496">
        <v>1</v>
      </c>
      <c r="CN496">
        <v>398</v>
      </c>
      <c r="CO496">
        <v>1</v>
      </c>
    </row>
    <row r="497" spans="1:93">
      <c r="A497" s="2" t="str">
        <f>HYPERLINK("http://exon.niaid.nih.gov/transcriptome/Anopheles_sialome/links/cds/anoepi_SG1a-cds.txt","anoepi_SG1a")</f>
        <v>anoepi_SG1a</v>
      </c>
      <c r="B497">
        <v>1278</v>
      </c>
      <c r="C497" t="s">
        <v>425</v>
      </c>
      <c r="D497" t="s">
        <v>7</v>
      </c>
      <c r="E497" t="s">
        <v>5</v>
      </c>
      <c r="F497" t="s">
        <v>1</v>
      </c>
      <c r="G497" t="str">
        <f>HYPERLINK("http://exon.niaid.nih.gov/transcriptome/Anopheles_sialome/links/pep/anoepi_SG1a-pep.txt","anoepi_SG1a")</f>
        <v>anoepi_SG1a</v>
      </c>
      <c r="H497">
        <v>425</v>
      </c>
      <c r="I497">
        <v>0</v>
      </c>
      <c r="J497" s="3" t="str">
        <f>HYPERLINK("http://exon.niaid.nih.gov/transcriptome/Anopheles_sialome/links/Sigp/anoepi_SG1a-SigP.txt","SIG")</f>
        <v>SIG</v>
      </c>
      <c r="K497" t="s">
        <v>689</v>
      </c>
      <c r="L497">
        <v>50.116</v>
      </c>
      <c r="M497">
        <v>9.4</v>
      </c>
      <c r="N497">
        <v>47.607999999999997</v>
      </c>
      <c r="O497">
        <v>9.49</v>
      </c>
      <c r="P497" t="s">
        <v>1767</v>
      </c>
      <c r="Q497" s="3">
        <v>0</v>
      </c>
      <c r="R497" t="s">
        <v>128</v>
      </c>
      <c r="S497" t="s">
        <v>128</v>
      </c>
      <c r="T497" t="s">
        <v>128</v>
      </c>
      <c r="U497" t="s">
        <v>128</v>
      </c>
      <c r="V497" t="s">
        <v>128</v>
      </c>
      <c r="W497" s="3" t="str">
        <f>HYPERLINK("http://exon.niaid.nih.gov/transcriptome/Anopheles_sialome/links/netoglyc/anoepi_SG1a-netoglyc.txt","0")</f>
        <v>0</v>
      </c>
      <c r="X497">
        <v>12</v>
      </c>
      <c r="Y497">
        <v>3.8</v>
      </c>
      <c r="Z497">
        <v>3.1</v>
      </c>
      <c r="AA497" t="s">
        <v>654</v>
      </c>
      <c r="AB497" t="s">
        <v>1768</v>
      </c>
      <c r="AC497" s="2" t="str">
        <f>HYPERLINK("http://exon.niaid.nih.gov/transcriptome/Anopheles_sialome/links/DIPTERA/anoepi_SG1a-DIPTERA.txt","AGAP000611-PA")</f>
        <v>AGAP000611-PA</v>
      </c>
      <c r="AD497" t="str">
        <f>HYPERLINK("http://www.ncbi.nlm.nih.gov/sutils/blink.cgi?pid=333466866","1E-129")</f>
        <v>1E-129</v>
      </c>
      <c r="AE497" t="str">
        <f t="shared" si="165"/>
        <v>gi|333466866</v>
      </c>
      <c r="AF497">
        <v>55</v>
      </c>
      <c r="AG497">
        <v>73</v>
      </c>
      <c r="AH497">
        <v>100</v>
      </c>
      <c r="AI497" t="s">
        <v>2285</v>
      </c>
      <c r="AJ497" s="2" t="str">
        <f>HYPERLINK("http://exon.niaid.nih.gov/transcriptome/Anopheles_sialome/links/CULICOMORPHA/anoepi_SG1a-CULICOMORPHA.txt","AGAP000611-PA")</f>
        <v>AGAP000611-PA</v>
      </c>
      <c r="AK497" t="str">
        <f>HYPERLINK("http://www.ncbi.nlm.nih.gov/sutils/blink.cgi?pid=333466866","1E-129")</f>
        <v>1E-129</v>
      </c>
      <c r="AL497" t="str">
        <f t="shared" si="166"/>
        <v>gi|333466866</v>
      </c>
      <c r="AM497">
        <v>55</v>
      </c>
      <c r="AN497">
        <v>73</v>
      </c>
      <c r="AO497">
        <v>100</v>
      </c>
      <c r="AP497" t="s">
        <v>2285</v>
      </c>
      <c r="AQ497" s="2" t="str">
        <f>HYPERLINK("http://exon.niaid.nih.gov/transcriptome/Anopheles_sialome/links/NR-LIGHT/anoepi_SG1a-NR-LIGHT.txt","AGAP000611-PA")</f>
        <v>AGAP000611-PA</v>
      </c>
      <c r="AR497" t="str">
        <f>HYPERLINK("http://www.ncbi.nlm.nih.gov/sutils/blink.cgi?pid=347964151","1E-128")</f>
        <v>1E-128</v>
      </c>
      <c r="AS497" t="str">
        <f t="shared" si="167"/>
        <v>gi|347964151</v>
      </c>
      <c r="AT497">
        <v>55</v>
      </c>
      <c r="AU497">
        <v>73</v>
      </c>
      <c r="AV497">
        <v>100</v>
      </c>
      <c r="AW497" t="s">
        <v>2285</v>
      </c>
      <c r="AX497" s="2" t="str">
        <f>HYPERLINK("http://exon.niaid.nih.gov/transcriptome/Anopheles_sialome/links/CDD/anoepi_SG1a-CDD.txt","COG3329")</f>
        <v>COG3329</v>
      </c>
      <c r="AY497" t="str">
        <f>HYPERLINK("http://www.ncbi.nlm.nih.gov/Structure/cdd/cddsrv.cgi?uid=COG3329&amp;version=v4.0","0.041")</f>
        <v>0.041</v>
      </c>
      <c r="AZ497" t="s">
        <v>2883</v>
      </c>
      <c r="BA497" s="2" t="str">
        <f>HYPERLINK("http://exon.niaid.nih.gov/transcriptome/Anopheles_sialome/links/KOG/anoepi_SG1a-KOG.txt","Transcription factor TMF, TATA element modulatory factor")</f>
        <v>Transcription factor TMF, TATA element modulatory factor</v>
      </c>
      <c r="BB497" t="str">
        <f>HYPERLINK("http://www.ncbi.nlm.nih.gov/Structure/cdd/cddsrv.cgi?uid=KOG4673","0.26")</f>
        <v>0.26</v>
      </c>
      <c r="BC497" t="s">
        <v>2262</v>
      </c>
      <c r="BD497" t="str">
        <f>HYPERLINK("http://exon.niaid.nih.gov/transcriptome/Anopheles_sialome/links/KOG/anoepi_SG1a-KOG.txt","KOG4673")</f>
        <v>KOG4673</v>
      </c>
      <c r="BE497" t="str">
        <f>HYPERLINK("http://exon.niaid.nih.gov/transcriptome/Anopheles_sialome/links/PFAM/anoepi_SG1a-PFAM.txt","DUF4349")</f>
        <v>DUF4349</v>
      </c>
      <c r="BF497" t="str">
        <f>HYPERLINK("http://pfam.sanger.ac.uk/family?acc=PF14257","0.69")</f>
        <v>0.69</v>
      </c>
      <c r="BG497" s="2" t="str">
        <f>HYPERLINK("http://exon.niaid.nih.gov/transcriptome/Anopheles_sialome/links/SMART/anoepi_SG1a-SMART.txt","Zn_dep_PLPC")</f>
        <v>Zn_dep_PLPC</v>
      </c>
      <c r="BH497" t="str">
        <f>HYPERLINK("http://smart.embl-heidelberg.de/smart/do_annotation.pl?DOMAIN=Zn_dep_PLPC&amp;BLAST=DUMMY","1.2")</f>
        <v>1.2</v>
      </c>
      <c r="BI497" t="str">
        <f>HYPERLINK("http://exon.niaid.nih.gov/transcriptome/Anopheles_sialome/links/TICK-BLOCKS/anoepi_SG1a-TICK-BLOCKS.txt","SG1_full |SG1_stringent_pattern |")</f>
        <v>SG1_full |SG1_stringent_pattern |</v>
      </c>
      <c r="BJ497" s="2" t="s">
        <v>2423</v>
      </c>
      <c r="BK497" t="s">
        <v>1766</v>
      </c>
      <c r="BL497">
        <f>HYPERLINK("http://exon.niaid.nih.gov/transcriptome/Anopheles_sialome/links/cluster-b/anopheline-sialome-cds-pep-larger-orf25-50SimCLU3.txt", 3)</f>
        <v>3</v>
      </c>
      <c r="BM497">
        <f>HYPERLINK("http://exon.niaid.nih.gov/transcriptome/Anopheles_sialome/links/cluster-b/anopheline-sialome-cds-pep-larger-orf25-50SimCLTL3.txt", 119)</f>
        <v>119</v>
      </c>
      <c r="BN497">
        <f>HYPERLINK("http://exon.niaid.nih.gov/transcriptome/Anopheles_sialome/links/cluster-b/anopheline-sialome-cds-pep-larger-orf30-50SimCLU3.txt", 3)</f>
        <v>3</v>
      </c>
      <c r="BO497">
        <f>HYPERLINK("http://exon.niaid.nih.gov/transcriptome/Anopheles_sialome/links/cluster-b/anopheline-sialome-cds-pep-larger-orf30-50SimCLTL3.txt", 119)</f>
        <v>119</v>
      </c>
      <c r="BP497">
        <f>HYPERLINK("http://exon.niaid.nih.gov/transcriptome/Anopheles_sialome/links/cluster-b/anopheline-sialome-cds-pep-larger-orf35-50SimCLU2.txt", 2)</f>
        <v>2</v>
      </c>
      <c r="BQ497">
        <f>HYPERLINK("http://exon.niaid.nih.gov/transcriptome/Anopheles_sialome/links/cluster-b/anopheline-sialome-cds-pep-larger-orf35-50SimCLTL2.txt", 119)</f>
        <v>119</v>
      </c>
      <c r="BR497">
        <f>HYPERLINK("http://exon.niaid.nih.gov/transcriptome/Anopheles_sialome/links/cluster-b/anopheline-sialome-cds-pep-larger-orf40-50SimCLU1.txt", 1)</f>
        <v>1</v>
      </c>
      <c r="BS497">
        <f>HYPERLINK("http://exon.niaid.nih.gov/transcriptome/Anopheles_sialome/links/cluster-b/anopheline-sialome-cds-pep-larger-orf40-50SimCLTL1.txt", 119)</f>
        <v>119</v>
      </c>
      <c r="BT497">
        <f>HYPERLINK("http://exon.niaid.nih.gov/transcriptome/Anopheles_sialome/links/cluster-b/anopheline-sialome-cds-pep-larger-orf45-50SimCLU3.txt", 3)</f>
        <v>3</v>
      </c>
      <c r="BU497">
        <f>HYPERLINK("http://exon.niaid.nih.gov/transcriptome/Anopheles_sialome/links/cluster-b/anopheline-sialome-cds-pep-larger-orf45-50SimCLTL3.txt", 65)</f>
        <v>65</v>
      </c>
      <c r="BV497">
        <f>HYPERLINK("http://exon.niaid.nih.gov/transcriptome/Anopheles_sialome/links/cluster-b/anopheline-sialome-cds-pep-larger-orf50-50SimCLU3.txt", 3)</f>
        <v>3</v>
      </c>
      <c r="BW497">
        <f>HYPERLINK("http://exon.niaid.nih.gov/transcriptome/Anopheles_sialome/links/cluster-b/anopheline-sialome-cds-pep-larger-orf50-50SimCLTL3.txt", 48)</f>
        <v>48</v>
      </c>
      <c r="BX497">
        <f>HYPERLINK("http://exon.niaid.nih.gov/transcriptome/Anopheles_sialome/links/cluster-b/anopheline-sialome-cds-pep-larger-orf55-50SimCLU3.txt", 3)</f>
        <v>3</v>
      </c>
      <c r="BY497">
        <f>HYPERLINK("http://exon.niaid.nih.gov/transcriptome/Anopheles_sialome/links/cluster-b/anopheline-sialome-cds-pep-larger-orf55-50SimCLTL3.txt", 47)</f>
        <v>47</v>
      </c>
      <c r="BZ497">
        <f>HYPERLINK("http://exon.niaid.nih.gov/transcriptome/Anopheles_sialome/links/cluster-b/anopheline-sialome-cds-pep-larger-orf60-50SimCLU31.txt", 31)</f>
        <v>31</v>
      </c>
      <c r="CA497">
        <f>HYPERLINK("http://exon.niaid.nih.gov/transcriptome/Anopheles_sialome/links/cluster-b/anopheline-sialome-cds-pep-larger-orf60-50SimCLTL31.txt", 14)</f>
        <v>14</v>
      </c>
      <c r="CB497">
        <f>HYPERLINK("http://exon.niaid.nih.gov/transcriptome/Anopheles_sialome/links/cluster-b/anopheline-sialome-cds-pep-larger-orf65-50SimCLU36.txt", 36)</f>
        <v>36</v>
      </c>
      <c r="CC497">
        <f>HYPERLINK("http://exon.niaid.nih.gov/transcriptome/Anopheles_sialome/links/cluster-b/anopheline-sialome-cds-pep-larger-orf65-50SimCLTL36.txt", 12)</f>
        <v>12</v>
      </c>
      <c r="CD497">
        <f>HYPERLINK("http://exon.niaid.nih.gov/transcriptome/Anopheles_sialome/links/cluster-b/anopheline-sialome-cds-pep-larger-orf70-50SimCLU38.txt", 38)</f>
        <v>38</v>
      </c>
      <c r="CE497">
        <f>HYPERLINK("http://exon.niaid.nih.gov/transcriptome/Anopheles_sialome/links/cluster-b/anopheline-sialome-cds-pep-larger-orf70-50SimCLTL38.txt", 12)</f>
        <v>12</v>
      </c>
      <c r="CF497">
        <f>HYPERLINK("http://exon.niaid.nih.gov/transcriptome/Anopheles_sialome/links/cluster-b/anopheline-sialome-cds-pep-larger-orf75-50SimCLU39.txt", 39)</f>
        <v>39</v>
      </c>
      <c r="CG497">
        <f>HYPERLINK("http://exon.niaid.nih.gov/transcriptome/Anopheles_sialome/links/cluster-b/anopheline-sialome-cds-pep-larger-orf75-50SimCLTL39.txt", 7)</f>
        <v>7</v>
      </c>
      <c r="CH497">
        <v>196</v>
      </c>
      <c r="CI497">
        <v>1</v>
      </c>
      <c r="CJ497">
        <v>259</v>
      </c>
      <c r="CK497">
        <v>1</v>
      </c>
      <c r="CL497">
        <v>328</v>
      </c>
      <c r="CM497">
        <v>1</v>
      </c>
      <c r="CN497">
        <v>399</v>
      </c>
      <c r="CO497">
        <v>1</v>
      </c>
    </row>
    <row r="498" spans="1:93">
      <c r="A498" s="2" t="str">
        <f>HYPERLINK("http://exon.niaid.nih.gov/transcriptome/Anopheles_sialome/links/cds/anofun_SG1a-cds.txt","anofun_SG1a")</f>
        <v>anofun_SG1a</v>
      </c>
      <c r="B498">
        <v>1233</v>
      </c>
      <c r="C498" t="s">
        <v>438</v>
      </c>
      <c r="D498" t="s">
        <v>7</v>
      </c>
      <c r="E498" t="s">
        <v>5</v>
      </c>
      <c r="F498" t="s">
        <v>1</v>
      </c>
      <c r="G498" t="str">
        <f>HYPERLINK("http://exon.niaid.nih.gov/transcriptome/Anopheles_sialome/links/pep/anofun_SG1a-pep.txt","anofun_SG1a")</f>
        <v>anofun_SG1a</v>
      </c>
      <c r="H498">
        <v>410</v>
      </c>
      <c r="I498">
        <v>0</v>
      </c>
      <c r="J498" s="3" t="str">
        <f>HYPERLINK("http://exon.niaid.nih.gov/transcriptome/Anopheles_sialome/links/Sigp/anofun_SG1a-SigP.txt","CYT")</f>
        <v>CYT</v>
      </c>
      <c r="K498" t="s">
        <v>128</v>
      </c>
      <c r="L498">
        <v>48.825000000000003</v>
      </c>
      <c r="M498">
        <v>9.5399999999999991</v>
      </c>
      <c r="N498" t="s">
        <v>128</v>
      </c>
      <c r="O498" t="s">
        <v>128</v>
      </c>
      <c r="P498" t="s">
        <v>922</v>
      </c>
      <c r="Q498" s="3">
        <v>0</v>
      </c>
      <c r="R498" t="s">
        <v>128</v>
      </c>
      <c r="S498" t="s">
        <v>128</v>
      </c>
      <c r="T498" t="s">
        <v>128</v>
      </c>
      <c r="U498" t="s">
        <v>128</v>
      </c>
      <c r="V498" t="s">
        <v>128</v>
      </c>
      <c r="W498" s="3" t="str">
        <f>HYPERLINK("http://exon.niaid.nih.gov/transcriptome/Anopheles_sialome/links/netoglyc/anofun_SG1a-netoglyc.txt","2")</f>
        <v>2</v>
      </c>
      <c r="X498">
        <v>10</v>
      </c>
      <c r="Y498">
        <v>3.2</v>
      </c>
      <c r="Z498">
        <v>4.0999999999999996</v>
      </c>
      <c r="AA498" t="s">
        <v>654</v>
      </c>
      <c r="AB498" t="s">
        <v>128</v>
      </c>
      <c r="AC498" s="2" t="str">
        <f>HYPERLINK("http://exon.niaid.nih.gov/transcriptome/Anopheles_sialome/links/DIPTERA/anofun_SG1a-DIPTERA.txt","AGAP000611-PA")</f>
        <v>AGAP000611-PA</v>
      </c>
      <c r="AD498" t="str">
        <f>HYPERLINK("http://www.ncbi.nlm.nih.gov/sutils/blink.cgi?pid=333466866","2E-099")</f>
        <v>2E-099</v>
      </c>
      <c r="AE498" t="str">
        <f t="shared" si="165"/>
        <v>gi|333466866</v>
      </c>
      <c r="AF498">
        <v>45</v>
      </c>
      <c r="AG498">
        <v>67</v>
      </c>
      <c r="AH498">
        <v>99</v>
      </c>
      <c r="AI498" t="s">
        <v>2285</v>
      </c>
      <c r="AJ498" s="2" t="str">
        <f>HYPERLINK("http://exon.niaid.nih.gov/transcriptome/Anopheles_sialome/links/CULICOMORPHA/anofun_SG1a-CULICOMORPHA.txt","AGAP000611-PA")</f>
        <v>AGAP000611-PA</v>
      </c>
      <c r="AK498" t="str">
        <f>HYPERLINK("http://www.ncbi.nlm.nih.gov/sutils/blink.cgi?pid=333466866","1E-100")</f>
        <v>1E-100</v>
      </c>
      <c r="AL498" t="str">
        <f t="shared" si="166"/>
        <v>gi|333466866</v>
      </c>
      <c r="AM498">
        <v>45</v>
      </c>
      <c r="AN498">
        <v>67</v>
      </c>
      <c r="AO498">
        <v>99</v>
      </c>
      <c r="AP498" t="s">
        <v>2285</v>
      </c>
      <c r="AQ498" s="2" t="str">
        <f>HYPERLINK("http://exon.niaid.nih.gov/transcriptome/Anopheles_sialome/links/NR-LIGHT/anofun_SG1a-NR-LIGHT.txt","AGAP000611-PA")</f>
        <v>AGAP000611-PA</v>
      </c>
      <c r="AR498" t="str">
        <f>HYPERLINK("http://www.ncbi.nlm.nih.gov/sutils/blink.cgi?pid=347964151","5E-099")</f>
        <v>5E-099</v>
      </c>
      <c r="AS498" t="str">
        <f t="shared" si="167"/>
        <v>gi|347964151</v>
      </c>
      <c r="AT498">
        <v>45</v>
      </c>
      <c r="AU498">
        <v>67</v>
      </c>
      <c r="AV498">
        <v>99</v>
      </c>
      <c r="AW498" t="s">
        <v>2285</v>
      </c>
      <c r="AX498" s="2" t="str">
        <f>HYPERLINK("http://exon.niaid.nih.gov/transcriptome/Anopheles_sialome/links/CDD/anofun_SG1a-CDD.txt","PRK01156")</f>
        <v>PRK01156</v>
      </c>
      <c r="AY498" t="str">
        <f>HYPERLINK("http://www.ncbi.nlm.nih.gov/Structure/cdd/cddsrv.cgi?uid=PRK01156&amp;version=v4.0","0.017")</f>
        <v>0.017</v>
      </c>
      <c r="AZ498" t="s">
        <v>2884</v>
      </c>
      <c r="BA498" s="2" t="str">
        <f>HYPERLINK("http://exon.niaid.nih.gov/transcriptome/Anopheles_sialome/links/KOG/anofun_SG1a-KOG.txt","Extracellular matrix glycoprotein Laminin subunit beta")</f>
        <v>Extracellular matrix glycoprotein Laminin subunit beta</v>
      </c>
      <c r="BB498" t="str">
        <f>HYPERLINK("http://www.ncbi.nlm.nih.gov/Structure/cdd/cddsrv.cgi?uid=KOG0994","0.011")</f>
        <v>0.011</v>
      </c>
      <c r="BC498" t="s">
        <v>2306</v>
      </c>
      <c r="BD498" t="str">
        <f>HYPERLINK("http://exon.niaid.nih.gov/transcriptome/Anopheles_sialome/links/KOG/anofun_SG1a-KOG.txt","KOG0994")</f>
        <v>KOG0994</v>
      </c>
      <c r="BE498" t="str">
        <f>HYPERLINK("http://exon.niaid.nih.gov/transcriptome/Anopheles_sialome/links/PFAM/anofun_SG1a-PFAM.txt","DUF1664")</f>
        <v>DUF1664</v>
      </c>
      <c r="BF498" t="str">
        <f>HYPERLINK("http://pfam.sanger.ac.uk/family?acc=PF07889","0.025")</f>
        <v>0.025</v>
      </c>
      <c r="BG498" s="2" t="str">
        <f>HYPERLINK("http://exon.niaid.nih.gov/transcriptome/Anopheles_sialome/links/SMART/anofun_SG1a-SMART.txt","CPSase_L_D3")</f>
        <v>CPSase_L_D3</v>
      </c>
      <c r="BH498" t="str">
        <f>HYPERLINK("http://smart.embl-heidelberg.de/smart/do_annotation.pl?DOMAIN=CPSase_L_D3&amp;BLAST=DUMMY","0.041")</f>
        <v>0.041</v>
      </c>
      <c r="BI498" t="str">
        <f>HYPERLINK("http://exon.niaid.nih.gov/transcriptome/Anopheles_sialome/links/TICK-BLOCKS/anofun_SG1a-TICK-BLOCKS.txt","SG1_full |SG1_stringent_pattern |")</f>
        <v>SG1_full |SG1_stringent_pattern |</v>
      </c>
      <c r="BJ498" s="2" t="s">
        <v>2423</v>
      </c>
      <c r="BK498" t="s">
        <v>1769</v>
      </c>
      <c r="BL498">
        <f>HYPERLINK("http://exon.niaid.nih.gov/transcriptome/Anopheles_sialome/links/cluster-b/anopheline-sialome-cds-pep-larger-orf25-50SimCLU3.txt", 3)</f>
        <v>3</v>
      </c>
      <c r="BM498">
        <f>HYPERLINK("http://exon.niaid.nih.gov/transcriptome/Anopheles_sialome/links/cluster-b/anopheline-sialome-cds-pep-larger-orf25-50SimCLTL3.txt", 119)</f>
        <v>119</v>
      </c>
      <c r="BN498">
        <f>HYPERLINK("http://exon.niaid.nih.gov/transcriptome/Anopheles_sialome/links/cluster-b/anopheline-sialome-cds-pep-larger-orf30-50SimCLU3.txt", 3)</f>
        <v>3</v>
      </c>
      <c r="BO498">
        <f>HYPERLINK("http://exon.niaid.nih.gov/transcriptome/Anopheles_sialome/links/cluster-b/anopheline-sialome-cds-pep-larger-orf30-50SimCLTL3.txt", 119)</f>
        <v>119</v>
      </c>
      <c r="BP498">
        <f>HYPERLINK("http://exon.niaid.nih.gov/transcriptome/Anopheles_sialome/links/cluster-b/anopheline-sialome-cds-pep-larger-orf35-50SimCLU2.txt", 2)</f>
        <v>2</v>
      </c>
      <c r="BQ498">
        <f>HYPERLINK("http://exon.niaid.nih.gov/transcriptome/Anopheles_sialome/links/cluster-b/anopheline-sialome-cds-pep-larger-orf35-50SimCLTL2.txt", 119)</f>
        <v>119</v>
      </c>
      <c r="BR498">
        <f>HYPERLINK("http://exon.niaid.nih.gov/transcriptome/Anopheles_sialome/links/cluster-b/anopheline-sialome-cds-pep-larger-orf40-50SimCLU1.txt", 1)</f>
        <v>1</v>
      </c>
      <c r="BS498">
        <f>HYPERLINK("http://exon.niaid.nih.gov/transcriptome/Anopheles_sialome/links/cluster-b/anopheline-sialome-cds-pep-larger-orf40-50SimCLTL1.txt", 119)</f>
        <v>119</v>
      </c>
      <c r="BT498">
        <f>HYPERLINK("http://exon.niaid.nih.gov/transcriptome/Anopheles_sialome/links/cluster-b/anopheline-sialome-cds-pep-larger-orf45-50SimCLU3.txt", 3)</f>
        <v>3</v>
      </c>
      <c r="BU498">
        <f>HYPERLINK("http://exon.niaid.nih.gov/transcriptome/Anopheles_sialome/links/cluster-b/anopheline-sialome-cds-pep-larger-orf45-50SimCLTL3.txt", 65)</f>
        <v>65</v>
      </c>
      <c r="BV498">
        <f>HYPERLINK("http://exon.niaid.nih.gov/transcriptome/Anopheles_sialome/links/cluster-b/anopheline-sialome-cds-pep-larger-orf50-50SimCLU3.txt", 3)</f>
        <v>3</v>
      </c>
      <c r="BW498">
        <f>HYPERLINK("http://exon.niaid.nih.gov/transcriptome/Anopheles_sialome/links/cluster-b/anopheline-sialome-cds-pep-larger-orf50-50SimCLTL3.txt", 48)</f>
        <v>48</v>
      </c>
      <c r="BX498">
        <f>HYPERLINK("http://exon.niaid.nih.gov/transcriptome/Anopheles_sialome/links/cluster-b/anopheline-sialome-cds-pep-larger-orf55-50SimCLU3.txt", 3)</f>
        <v>3</v>
      </c>
      <c r="BY498">
        <f>HYPERLINK("http://exon.niaid.nih.gov/transcriptome/Anopheles_sialome/links/cluster-b/anopheline-sialome-cds-pep-larger-orf55-50SimCLTL3.txt", 47)</f>
        <v>47</v>
      </c>
      <c r="BZ498">
        <f>HYPERLINK("http://exon.niaid.nih.gov/transcriptome/Anopheles_sialome/links/cluster-b/anopheline-sialome-cds-pep-larger-orf60-50SimCLU31.txt", 31)</f>
        <v>31</v>
      </c>
      <c r="CA498">
        <f>HYPERLINK("http://exon.niaid.nih.gov/transcriptome/Anopheles_sialome/links/cluster-b/anopheline-sialome-cds-pep-larger-orf60-50SimCLTL31.txt", 14)</f>
        <v>14</v>
      </c>
      <c r="CB498">
        <f>HYPERLINK("http://exon.niaid.nih.gov/transcriptome/Anopheles_sialome/links/cluster-b/anopheline-sialome-cds-pep-larger-orf65-50SimCLU36.txt", 36)</f>
        <v>36</v>
      </c>
      <c r="CC498">
        <f>HYPERLINK("http://exon.niaid.nih.gov/transcriptome/Anopheles_sialome/links/cluster-b/anopheline-sialome-cds-pep-larger-orf65-50SimCLTL36.txt", 12)</f>
        <v>12</v>
      </c>
      <c r="CD498">
        <f>HYPERLINK("http://exon.niaid.nih.gov/transcriptome/Anopheles_sialome/links/cluster-b/anopheline-sialome-cds-pep-larger-orf70-50SimCLU38.txt", 38)</f>
        <v>38</v>
      </c>
      <c r="CE498">
        <f>HYPERLINK("http://exon.niaid.nih.gov/transcriptome/Anopheles_sialome/links/cluster-b/anopheline-sialome-cds-pep-larger-orf70-50SimCLTL38.txt", 12)</f>
        <v>12</v>
      </c>
      <c r="CF498">
        <f>HYPERLINK("http://exon.niaid.nih.gov/transcriptome/Anopheles_sialome/links/cluster-b/anopheline-sialome-cds-pep-larger-orf75-50SimCLU47.txt", 47)</f>
        <v>47</v>
      </c>
      <c r="CG498">
        <f>HYPERLINK("http://exon.niaid.nih.gov/transcriptome/Anopheles_sialome/links/cluster-b/anopheline-sialome-cds-pep-larger-orf75-50SimCLTL47.txt", 5)</f>
        <v>5</v>
      </c>
      <c r="CH498">
        <f>HYPERLINK("http://exon.niaid.nih.gov/transcriptome/Anopheles_sialome/links/cluster-b/anopheline-sialome-cds-pep-larger-orf80-50SimCLU58.txt", 58)</f>
        <v>58</v>
      </c>
      <c r="CI498">
        <f>HYPERLINK("http://exon.niaid.nih.gov/transcriptome/Anopheles_sialome/links/cluster-b/anopheline-sialome-cds-pep-larger-orf80-50SimCLTL58.txt", 3)</f>
        <v>3</v>
      </c>
      <c r="CJ498">
        <v>260</v>
      </c>
      <c r="CK498">
        <v>1</v>
      </c>
      <c r="CL498">
        <v>329</v>
      </c>
      <c r="CM498">
        <v>1</v>
      </c>
      <c r="CN498">
        <v>400</v>
      </c>
      <c r="CO498">
        <v>1</v>
      </c>
    </row>
    <row r="499" spans="1:93">
      <c r="A499" s="2" t="str">
        <f>HYPERLINK("http://exon.niaid.nih.gov/transcriptome/Anopheles_sialome/links/cds/anomin_SG1a-cds.txt","anomin_SG1a")</f>
        <v>anomin_SG1a</v>
      </c>
      <c r="B499">
        <v>1245</v>
      </c>
      <c r="C499" t="s">
        <v>427</v>
      </c>
      <c r="D499" t="s">
        <v>7</v>
      </c>
      <c r="E499" t="s">
        <v>5</v>
      </c>
      <c r="F499" t="s">
        <v>1</v>
      </c>
      <c r="G499" t="str">
        <f>HYPERLINK("http://exon.niaid.nih.gov/transcriptome/Anopheles_sialome/links/pep/anomin_SG1a-pep.txt","anomin_SG1a")</f>
        <v>anomin_SG1a</v>
      </c>
      <c r="H499">
        <v>414</v>
      </c>
      <c r="I499">
        <v>0</v>
      </c>
      <c r="J499" s="3" t="str">
        <f>HYPERLINK("http://exon.niaid.nih.gov/transcriptome/Anopheles_sialome/links/Sigp/anomin_SG1a-SigP.txt","CYT")</f>
        <v>CYT</v>
      </c>
      <c r="K499" t="s">
        <v>128</v>
      </c>
      <c r="L499">
        <v>48.844999999999999</v>
      </c>
      <c r="M499">
        <v>9.14</v>
      </c>
      <c r="N499" t="s">
        <v>128</v>
      </c>
      <c r="O499" t="s">
        <v>128</v>
      </c>
      <c r="P499" t="s">
        <v>922</v>
      </c>
      <c r="Q499" s="3">
        <v>0</v>
      </c>
      <c r="R499" t="s">
        <v>128</v>
      </c>
      <c r="S499" t="s">
        <v>128</v>
      </c>
      <c r="T499" t="s">
        <v>128</v>
      </c>
      <c r="U499" t="s">
        <v>128</v>
      </c>
      <c r="V499" t="s">
        <v>128</v>
      </c>
      <c r="W499" s="3" t="str">
        <f>HYPERLINK("http://exon.niaid.nih.gov/transcriptome/Anopheles_sialome/links/netoglyc/anomin_SG1a-netoglyc.txt","2")</f>
        <v>2</v>
      </c>
      <c r="X499">
        <v>11.6</v>
      </c>
      <c r="Y499">
        <v>3.4</v>
      </c>
      <c r="Z499">
        <v>4.0999999999999996</v>
      </c>
      <c r="AA499" t="s">
        <v>654</v>
      </c>
      <c r="AB499" t="s">
        <v>128</v>
      </c>
      <c r="AC499" s="2" t="str">
        <f>HYPERLINK("http://exon.niaid.nih.gov/transcriptome/Anopheles_sialome/links/DIPTERA/anomin_SG1a-DIPTERA.txt","AGAP000611-PA")</f>
        <v>AGAP000611-PA</v>
      </c>
      <c r="AD499" t="str">
        <f>HYPERLINK("http://www.ncbi.nlm.nih.gov/sutils/blink.cgi?pid=333466866","1E-104")</f>
        <v>1E-104</v>
      </c>
      <c r="AE499" t="str">
        <f t="shared" si="165"/>
        <v>gi|333466866</v>
      </c>
      <c r="AF499">
        <v>47</v>
      </c>
      <c r="AG499">
        <v>68</v>
      </c>
      <c r="AH499">
        <v>100</v>
      </c>
      <c r="AI499" t="s">
        <v>2285</v>
      </c>
      <c r="AJ499" s="2" t="str">
        <f>HYPERLINK("http://exon.niaid.nih.gov/transcriptome/Anopheles_sialome/links/CULICOMORPHA/anomin_SG1a-CULICOMORPHA.txt","AGAP000611-PA")</f>
        <v>AGAP000611-PA</v>
      </c>
      <c r="AK499" t="str">
        <f>HYPERLINK("http://www.ncbi.nlm.nih.gov/sutils/blink.cgi?pid=333466866","1E-105")</f>
        <v>1E-105</v>
      </c>
      <c r="AL499" t="str">
        <f t="shared" si="166"/>
        <v>gi|333466866</v>
      </c>
      <c r="AM499">
        <v>47</v>
      </c>
      <c r="AN499">
        <v>68</v>
      </c>
      <c r="AO499">
        <v>100</v>
      </c>
      <c r="AP499" t="s">
        <v>2285</v>
      </c>
      <c r="AQ499" s="2" t="str">
        <f>HYPERLINK("http://exon.niaid.nih.gov/transcriptome/Anopheles_sialome/links/NR-LIGHT/anomin_SG1a-NR-LIGHT.txt","AGAP000611-PA")</f>
        <v>AGAP000611-PA</v>
      </c>
      <c r="AR499" t="str">
        <f>HYPERLINK("http://www.ncbi.nlm.nih.gov/sutils/blink.cgi?pid=347964151","1E-104")</f>
        <v>1E-104</v>
      </c>
      <c r="AS499" t="str">
        <f t="shared" si="167"/>
        <v>gi|347964151</v>
      </c>
      <c r="AT499">
        <v>47</v>
      </c>
      <c r="AU499">
        <v>68</v>
      </c>
      <c r="AV499">
        <v>100</v>
      </c>
      <c r="AW499" t="s">
        <v>2285</v>
      </c>
      <c r="AX499" s="2" t="str">
        <f>HYPERLINK("http://exon.niaid.nih.gov/transcriptome/Anopheles_sialome/links/CDD/anomin_SG1a-CDD.txt","Smc")</f>
        <v>Smc</v>
      </c>
      <c r="AY499" t="str">
        <f>HYPERLINK("http://www.ncbi.nlm.nih.gov/Structure/cdd/cddsrv.cgi?uid=COG1196&amp;version=v4.0","1.1")</f>
        <v>1.1</v>
      </c>
      <c r="AZ499" t="s">
        <v>2885</v>
      </c>
      <c r="BA499" s="2" t="str">
        <f>HYPERLINK("http://exon.niaid.nih.gov/transcriptome/Anopheles_sialome/links/KOG/anomin_SG1a-KOG.txt","Structural maintenance of chromosome protein 4 (chromosome condensation complex Condensin, subunit C)")</f>
        <v>Structural maintenance of chromosome protein 4 (chromosome condensation complex Condensin, subunit C)</v>
      </c>
      <c r="BB499" t="str">
        <f>HYPERLINK("http://www.ncbi.nlm.nih.gov/Structure/cdd/cddsrv.cgi?uid=KOG0996","0.030")</f>
        <v>0.030</v>
      </c>
      <c r="BC499" t="s">
        <v>2476</v>
      </c>
      <c r="BD499" t="str">
        <f>HYPERLINK("http://exon.niaid.nih.gov/transcriptome/Anopheles_sialome/links/KOG/anomin_SG1a-KOG.txt","KOG0996")</f>
        <v>KOG0996</v>
      </c>
      <c r="BE499" t="str">
        <f>HYPERLINK("http://exon.niaid.nih.gov/transcriptome/Anopheles_sialome/links/PFAM/anomin_SG1a-PFAM.txt","Rootletin")</f>
        <v>Rootletin</v>
      </c>
      <c r="BF499" t="str">
        <f>HYPERLINK("http://pfam.sanger.ac.uk/family?acc=PF15035","0.82")</f>
        <v>0.82</v>
      </c>
      <c r="BG499" s="2" t="str">
        <f>HYPERLINK("http://exon.niaid.nih.gov/transcriptome/Anopheles_sialome/links/SMART/anomin_SG1a-SMART.txt","CPSase_L_D3")</f>
        <v>CPSase_L_D3</v>
      </c>
      <c r="BH499" t="str">
        <f>HYPERLINK("http://smart.embl-heidelberg.de/smart/do_annotation.pl?DOMAIN=CPSase_L_D3&amp;BLAST=DUMMY","0.043")</f>
        <v>0.043</v>
      </c>
      <c r="BI499" t="str">
        <f>HYPERLINK("http://exon.niaid.nih.gov/transcriptome/Anopheles_sialome/links/TICK-BLOCKS/anomin_SG1a-TICK-BLOCKS.txt","SG1_full |SG1_stringent_pattern |")</f>
        <v>SG1_full |SG1_stringent_pattern |</v>
      </c>
      <c r="BJ499" s="2" t="s">
        <v>2423</v>
      </c>
      <c r="BK499" t="s">
        <v>1770</v>
      </c>
      <c r="BL499">
        <f>HYPERLINK("http://exon.niaid.nih.gov/transcriptome/Anopheles_sialome/links/cluster-b/anopheline-sialome-cds-pep-larger-orf25-50SimCLU3.txt", 3)</f>
        <v>3</v>
      </c>
      <c r="BM499">
        <f>HYPERLINK("http://exon.niaid.nih.gov/transcriptome/Anopheles_sialome/links/cluster-b/anopheline-sialome-cds-pep-larger-orf25-50SimCLTL3.txt", 119)</f>
        <v>119</v>
      </c>
      <c r="BN499">
        <f>HYPERLINK("http://exon.niaid.nih.gov/transcriptome/Anopheles_sialome/links/cluster-b/anopheline-sialome-cds-pep-larger-orf30-50SimCLU3.txt", 3)</f>
        <v>3</v>
      </c>
      <c r="BO499">
        <f>HYPERLINK("http://exon.niaid.nih.gov/transcriptome/Anopheles_sialome/links/cluster-b/anopheline-sialome-cds-pep-larger-orf30-50SimCLTL3.txt", 119)</f>
        <v>119</v>
      </c>
      <c r="BP499">
        <f>HYPERLINK("http://exon.niaid.nih.gov/transcriptome/Anopheles_sialome/links/cluster-b/anopheline-sialome-cds-pep-larger-orf35-50SimCLU2.txt", 2)</f>
        <v>2</v>
      </c>
      <c r="BQ499">
        <f>HYPERLINK("http://exon.niaid.nih.gov/transcriptome/Anopheles_sialome/links/cluster-b/anopheline-sialome-cds-pep-larger-orf35-50SimCLTL2.txt", 119)</f>
        <v>119</v>
      </c>
      <c r="BR499">
        <f>HYPERLINK("http://exon.niaid.nih.gov/transcriptome/Anopheles_sialome/links/cluster-b/anopheline-sialome-cds-pep-larger-orf40-50SimCLU1.txt", 1)</f>
        <v>1</v>
      </c>
      <c r="BS499">
        <f>HYPERLINK("http://exon.niaid.nih.gov/transcriptome/Anopheles_sialome/links/cluster-b/anopheline-sialome-cds-pep-larger-orf40-50SimCLTL1.txt", 119)</f>
        <v>119</v>
      </c>
      <c r="BT499">
        <f>HYPERLINK("http://exon.niaid.nih.gov/transcriptome/Anopheles_sialome/links/cluster-b/anopheline-sialome-cds-pep-larger-orf45-50SimCLU3.txt", 3)</f>
        <v>3</v>
      </c>
      <c r="BU499">
        <f>HYPERLINK("http://exon.niaid.nih.gov/transcriptome/Anopheles_sialome/links/cluster-b/anopheline-sialome-cds-pep-larger-orf45-50SimCLTL3.txt", 65)</f>
        <v>65</v>
      </c>
      <c r="BV499">
        <f>HYPERLINK("http://exon.niaid.nih.gov/transcriptome/Anopheles_sialome/links/cluster-b/anopheline-sialome-cds-pep-larger-orf50-50SimCLU3.txt", 3)</f>
        <v>3</v>
      </c>
      <c r="BW499">
        <f>HYPERLINK("http://exon.niaid.nih.gov/transcriptome/Anopheles_sialome/links/cluster-b/anopheline-sialome-cds-pep-larger-orf50-50SimCLTL3.txt", 48)</f>
        <v>48</v>
      </c>
      <c r="BX499">
        <f>HYPERLINK("http://exon.niaid.nih.gov/transcriptome/Anopheles_sialome/links/cluster-b/anopheline-sialome-cds-pep-larger-orf55-50SimCLU3.txt", 3)</f>
        <v>3</v>
      </c>
      <c r="BY499">
        <f>HYPERLINK("http://exon.niaid.nih.gov/transcriptome/Anopheles_sialome/links/cluster-b/anopheline-sialome-cds-pep-larger-orf55-50SimCLTL3.txt", 47)</f>
        <v>47</v>
      </c>
      <c r="BZ499">
        <f>HYPERLINK("http://exon.niaid.nih.gov/transcriptome/Anopheles_sialome/links/cluster-b/anopheline-sialome-cds-pep-larger-orf60-50SimCLU31.txt", 31)</f>
        <v>31</v>
      </c>
      <c r="CA499">
        <f>HYPERLINK("http://exon.niaid.nih.gov/transcriptome/Anopheles_sialome/links/cluster-b/anopheline-sialome-cds-pep-larger-orf60-50SimCLTL31.txt", 14)</f>
        <v>14</v>
      </c>
      <c r="CB499">
        <f>HYPERLINK("http://exon.niaid.nih.gov/transcriptome/Anopheles_sialome/links/cluster-b/anopheline-sialome-cds-pep-larger-orf65-50SimCLU36.txt", 36)</f>
        <v>36</v>
      </c>
      <c r="CC499">
        <f>HYPERLINK("http://exon.niaid.nih.gov/transcriptome/Anopheles_sialome/links/cluster-b/anopheline-sialome-cds-pep-larger-orf65-50SimCLTL36.txt", 12)</f>
        <v>12</v>
      </c>
      <c r="CD499">
        <f>HYPERLINK("http://exon.niaid.nih.gov/transcriptome/Anopheles_sialome/links/cluster-b/anopheline-sialome-cds-pep-larger-orf70-50SimCLU38.txt", 38)</f>
        <v>38</v>
      </c>
      <c r="CE499">
        <f>HYPERLINK("http://exon.niaid.nih.gov/transcriptome/Anopheles_sialome/links/cluster-b/anopheline-sialome-cds-pep-larger-orf70-50SimCLTL38.txt", 12)</f>
        <v>12</v>
      </c>
      <c r="CF499">
        <f>HYPERLINK("http://exon.niaid.nih.gov/transcriptome/Anopheles_sialome/links/cluster-b/anopheline-sialome-cds-pep-larger-orf75-50SimCLU47.txt", 47)</f>
        <v>47</v>
      </c>
      <c r="CG499">
        <f>HYPERLINK("http://exon.niaid.nih.gov/transcriptome/Anopheles_sialome/links/cluster-b/anopheline-sialome-cds-pep-larger-orf75-50SimCLTL47.txt", 5)</f>
        <v>5</v>
      </c>
      <c r="CH499">
        <f>HYPERLINK("http://exon.niaid.nih.gov/transcriptome/Anopheles_sialome/links/cluster-b/anopheline-sialome-cds-pep-larger-orf80-50SimCLU58.txt", 58)</f>
        <v>58</v>
      </c>
      <c r="CI499">
        <f>HYPERLINK("http://exon.niaid.nih.gov/transcriptome/Anopheles_sialome/links/cluster-b/anopheline-sialome-cds-pep-larger-orf80-50SimCLTL58.txt", 3)</f>
        <v>3</v>
      </c>
      <c r="CJ499">
        <v>261</v>
      </c>
      <c r="CK499">
        <v>1</v>
      </c>
      <c r="CL499">
        <v>330</v>
      </c>
      <c r="CM499">
        <v>1</v>
      </c>
      <c r="CN499">
        <v>401</v>
      </c>
      <c r="CO499">
        <v>1</v>
      </c>
    </row>
    <row r="500" spans="1:93">
      <c r="A500" s="2" t="str">
        <f>HYPERLINK("http://exon.niaid.nih.gov/transcriptome/Anopheles_sialome/links/cds/anocul_SG1a-cds.txt","anocul_SG1a")</f>
        <v>anocul_SG1a</v>
      </c>
      <c r="B500">
        <v>1296</v>
      </c>
      <c r="C500" t="s">
        <v>428</v>
      </c>
      <c r="D500" t="s">
        <v>7</v>
      </c>
      <c r="E500" t="s">
        <v>5</v>
      </c>
      <c r="F500" t="s">
        <v>1</v>
      </c>
      <c r="G500" t="str">
        <f>HYPERLINK("http://exon.niaid.nih.gov/transcriptome/Anopheles_sialome/links/pep/anocul_SG1a-pep.txt","anocul_SG1a")</f>
        <v>anocul_SG1a</v>
      </c>
      <c r="H500">
        <v>431</v>
      </c>
      <c r="I500">
        <v>0</v>
      </c>
      <c r="J500" s="3" t="str">
        <f>HYPERLINK("http://exon.niaid.nih.gov/transcriptome/Anopheles_sialome/links/Sigp/anocul_SG1a-SigP.txt","BL")</f>
        <v>BL</v>
      </c>
      <c r="K500" t="s">
        <v>695</v>
      </c>
      <c r="L500">
        <v>50.829000000000001</v>
      </c>
      <c r="M500">
        <v>9.5399999999999991</v>
      </c>
      <c r="N500">
        <v>48.448</v>
      </c>
      <c r="O500">
        <v>9.57</v>
      </c>
      <c r="P500" t="s">
        <v>1772</v>
      </c>
      <c r="Q500" s="3">
        <v>0</v>
      </c>
      <c r="R500" t="s">
        <v>128</v>
      </c>
      <c r="S500" t="s">
        <v>128</v>
      </c>
      <c r="T500" t="s">
        <v>128</v>
      </c>
      <c r="U500" t="s">
        <v>128</v>
      </c>
      <c r="V500" t="s">
        <v>128</v>
      </c>
      <c r="W500" s="3" t="str">
        <f>HYPERLINK("http://exon.niaid.nih.gov/transcriptome/Anopheles_sialome/links/netoglyc/anocul_SG1a-netoglyc.txt","1")</f>
        <v>1</v>
      </c>
      <c r="X500">
        <v>10.7</v>
      </c>
      <c r="Y500">
        <v>3.7</v>
      </c>
      <c r="Z500">
        <v>3.9</v>
      </c>
      <c r="AA500" t="s">
        <v>654</v>
      </c>
      <c r="AB500" t="s">
        <v>128</v>
      </c>
      <c r="AC500" s="2" t="str">
        <f>HYPERLINK("http://exon.niaid.nih.gov/transcriptome/Anopheles_sialome/links/DIPTERA/anocul_SG1a-DIPTERA.txt","AGAP000611-PA")</f>
        <v>AGAP000611-PA</v>
      </c>
      <c r="AD500" t="str">
        <f>HYPERLINK("http://www.ncbi.nlm.nih.gov/sutils/blink.cgi?pid=333466866","1E-100")</f>
        <v>1E-100</v>
      </c>
      <c r="AE500" t="str">
        <f t="shared" si="165"/>
        <v>gi|333466866</v>
      </c>
      <c r="AF500">
        <v>46</v>
      </c>
      <c r="AG500">
        <v>68</v>
      </c>
      <c r="AH500">
        <v>99</v>
      </c>
      <c r="AI500" t="s">
        <v>2285</v>
      </c>
      <c r="AJ500" s="2" t="str">
        <f>HYPERLINK("http://exon.niaid.nih.gov/transcriptome/Anopheles_sialome/links/CULICOMORPHA/anocul_SG1a-CULICOMORPHA.txt","AGAP000611-PA")</f>
        <v>AGAP000611-PA</v>
      </c>
      <c r="AK500" t="str">
        <f>HYPERLINK("http://www.ncbi.nlm.nih.gov/sutils/blink.cgi?pid=333466866","1E-101")</f>
        <v>1E-101</v>
      </c>
      <c r="AL500" t="str">
        <f t="shared" si="166"/>
        <v>gi|333466866</v>
      </c>
      <c r="AM500">
        <v>46</v>
      </c>
      <c r="AN500">
        <v>68</v>
      </c>
      <c r="AO500">
        <v>99</v>
      </c>
      <c r="AP500" t="s">
        <v>2285</v>
      </c>
      <c r="AQ500" s="2" t="str">
        <f>HYPERLINK("http://exon.niaid.nih.gov/transcriptome/Anopheles_sialome/links/NR-LIGHT/anocul_SG1a-NR-LIGHT.txt","AGAP000611-PA")</f>
        <v>AGAP000611-PA</v>
      </c>
      <c r="AR500" t="str">
        <f>HYPERLINK("http://www.ncbi.nlm.nih.gov/sutils/blink.cgi?pid=347964151","1E-099")</f>
        <v>1E-099</v>
      </c>
      <c r="AS500" t="str">
        <f t="shared" si="167"/>
        <v>gi|347964151</v>
      </c>
      <c r="AT500">
        <v>46</v>
      </c>
      <c r="AU500">
        <v>68</v>
      </c>
      <c r="AV500">
        <v>99</v>
      </c>
      <c r="AW500" t="s">
        <v>2285</v>
      </c>
      <c r="AX500" s="2" t="str">
        <f>HYPERLINK("http://exon.niaid.nih.gov/transcriptome/Anopheles_sialome/links/CDD/anocul_SG1a-CDD.txt","HCR")</f>
        <v>HCR</v>
      </c>
      <c r="AY500" t="str">
        <f>HYPERLINK("http://www.ncbi.nlm.nih.gov/Structure/cdd/cddsrv.cgi?uid=pfam07111&amp;version=v4.0","0.042")</f>
        <v>0.042</v>
      </c>
      <c r="AZ500" t="s">
        <v>2886</v>
      </c>
      <c r="BA500" s="2" t="str">
        <f>HYPERLINK("http://exon.niaid.nih.gov/transcriptome/Anopheles_sialome/links/KOG/anocul_SG1a-KOG.txt","Thyroid hormone receptor-associated protein complex, subunit TRAP230")</f>
        <v>Thyroid hormone receptor-associated protein complex, subunit TRAP230</v>
      </c>
      <c r="BB500" t="str">
        <f>HYPERLINK("http://www.ncbi.nlm.nih.gov/Structure/cdd/cddsrv.cgi?uid=KOG3598","0.033")</f>
        <v>0.033</v>
      </c>
      <c r="BC500" t="s">
        <v>2262</v>
      </c>
      <c r="BD500" t="str">
        <f>HYPERLINK("http://exon.niaid.nih.gov/transcriptome/Anopheles_sialome/links/KOG/anocul_SG1a-KOG.txt","KOG3598")</f>
        <v>KOG3598</v>
      </c>
      <c r="BE500" t="str">
        <f>HYPERLINK("http://exon.niaid.nih.gov/transcriptome/Anopheles_sialome/links/PFAM/anocul_SG1a-PFAM.txt","HCR")</f>
        <v>HCR</v>
      </c>
      <c r="BF500" t="str">
        <f>HYPERLINK("http://pfam.sanger.ac.uk/family?acc=PF07111","0.008")</f>
        <v>0.008</v>
      </c>
      <c r="BG500" s="2" t="str">
        <f>HYPERLINK("http://exon.niaid.nih.gov/transcriptome/Anopheles_sialome/links/SMART/anocul_SG1a-SMART.txt","IL4_13")</f>
        <v>IL4_13</v>
      </c>
      <c r="BH500" t="str">
        <f>HYPERLINK("http://smart.embl-heidelberg.de/smart/do_annotation.pl?DOMAIN=IL4_13&amp;BLAST=DUMMY","0.12")</f>
        <v>0.12</v>
      </c>
      <c r="BI500" t="str">
        <f>HYPERLINK("http://exon.niaid.nih.gov/transcriptome/Anopheles_sialome/links/TICK-BLOCKS/anocul_SG1a-TICK-BLOCKS.txt","SG1_full |SG1_stringent_pattern |")</f>
        <v>SG1_full |SG1_stringent_pattern |</v>
      </c>
      <c r="BJ500" s="2" t="s">
        <v>2423</v>
      </c>
      <c r="BK500" t="s">
        <v>1771</v>
      </c>
      <c r="BL500">
        <f>HYPERLINK("http://exon.niaid.nih.gov/transcriptome/Anopheles_sialome/links/cluster-b/anopheline-sialome-cds-pep-larger-orf25-50SimCLU3.txt", 3)</f>
        <v>3</v>
      </c>
      <c r="BM500">
        <f>HYPERLINK("http://exon.niaid.nih.gov/transcriptome/Anopheles_sialome/links/cluster-b/anopheline-sialome-cds-pep-larger-orf25-50SimCLTL3.txt", 119)</f>
        <v>119</v>
      </c>
      <c r="BN500">
        <f>HYPERLINK("http://exon.niaid.nih.gov/transcriptome/Anopheles_sialome/links/cluster-b/anopheline-sialome-cds-pep-larger-orf30-50SimCLU3.txt", 3)</f>
        <v>3</v>
      </c>
      <c r="BO500">
        <f>HYPERLINK("http://exon.niaid.nih.gov/transcriptome/Anopheles_sialome/links/cluster-b/anopheline-sialome-cds-pep-larger-orf30-50SimCLTL3.txt", 119)</f>
        <v>119</v>
      </c>
      <c r="BP500">
        <f>HYPERLINK("http://exon.niaid.nih.gov/transcriptome/Anopheles_sialome/links/cluster-b/anopheline-sialome-cds-pep-larger-orf35-50SimCLU2.txt", 2)</f>
        <v>2</v>
      </c>
      <c r="BQ500">
        <f>HYPERLINK("http://exon.niaid.nih.gov/transcriptome/Anopheles_sialome/links/cluster-b/anopheline-sialome-cds-pep-larger-orf35-50SimCLTL2.txt", 119)</f>
        <v>119</v>
      </c>
      <c r="BR500">
        <f>HYPERLINK("http://exon.niaid.nih.gov/transcriptome/Anopheles_sialome/links/cluster-b/anopheline-sialome-cds-pep-larger-orf40-50SimCLU1.txt", 1)</f>
        <v>1</v>
      </c>
      <c r="BS500">
        <f>HYPERLINK("http://exon.niaid.nih.gov/transcriptome/Anopheles_sialome/links/cluster-b/anopheline-sialome-cds-pep-larger-orf40-50SimCLTL1.txt", 119)</f>
        <v>119</v>
      </c>
      <c r="BT500">
        <f>HYPERLINK("http://exon.niaid.nih.gov/transcriptome/Anopheles_sialome/links/cluster-b/anopheline-sialome-cds-pep-larger-orf45-50SimCLU3.txt", 3)</f>
        <v>3</v>
      </c>
      <c r="BU500">
        <f>HYPERLINK("http://exon.niaid.nih.gov/transcriptome/Anopheles_sialome/links/cluster-b/anopheline-sialome-cds-pep-larger-orf45-50SimCLTL3.txt", 65)</f>
        <v>65</v>
      </c>
      <c r="BV500">
        <f>HYPERLINK("http://exon.niaid.nih.gov/transcriptome/Anopheles_sialome/links/cluster-b/anopheline-sialome-cds-pep-larger-orf50-50SimCLU3.txt", 3)</f>
        <v>3</v>
      </c>
      <c r="BW500">
        <f>HYPERLINK("http://exon.niaid.nih.gov/transcriptome/Anopheles_sialome/links/cluster-b/anopheline-sialome-cds-pep-larger-orf50-50SimCLTL3.txt", 48)</f>
        <v>48</v>
      </c>
      <c r="BX500">
        <f>HYPERLINK("http://exon.niaid.nih.gov/transcriptome/Anopheles_sialome/links/cluster-b/anopheline-sialome-cds-pep-larger-orf55-50SimCLU3.txt", 3)</f>
        <v>3</v>
      </c>
      <c r="BY500">
        <f>HYPERLINK("http://exon.niaid.nih.gov/transcriptome/Anopheles_sialome/links/cluster-b/anopheline-sialome-cds-pep-larger-orf55-50SimCLTL3.txt", 47)</f>
        <v>47</v>
      </c>
      <c r="BZ500">
        <f>HYPERLINK("http://exon.niaid.nih.gov/transcriptome/Anopheles_sialome/links/cluster-b/anopheline-sialome-cds-pep-larger-orf60-50SimCLU31.txt", 31)</f>
        <v>31</v>
      </c>
      <c r="CA500">
        <f>HYPERLINK("http://exon.niaid.nih.gov/transcriptome/Anopheles_sialome/links/cluster-b/anopheline-sialome-cds-pep-larger-orf60-50SimCLTL31.txt", 14)</f>
        <v>14</v>
      </c>
      <c r="CB500">
        <f>HYPERLINK("http://exon.niaid.nih.gov/transcriptome/Anopheles_sialome/links/cluster-b/anopheline-sialome-cds-pep-larger-orf65-50SimCLU36.txt", 36)</f>
        <v>36</v>
      </c>
      <c r="CC500">
        <f>HYPERLINK("http://exon.niaid.nih.gov/transcriptome/Anopheles_sialome/links/cluster-b/anopheline-sialome-cds-pep-larger-orf65-50SimCLTL36.txt", 12)</f>
        <v>12</v>
      </c>
      <c r="CD500">
        <f>HYPERLINK("http://exon.niaid.nih.gov/transcriptome/Anopheles_sialome/links/cluster-b/anopheline-sialome-cds-pep-larger-orf70-50SimCLU38.txt", 38)</f>
        <v>38</v>
      </c>
      <c r="CE500">
        <f>HYPERLINK("http://exon.niaid.nih.gov/transcriptome/Anopheles_sialome/links/cluster-b/anopheline-sialome-cds-pep-larger-orf70-50SimCLTL38.txt", 12)</f>
        <v>12</v>
      </c>
      <c r="CF500">
        <f>HYPERLINK("http://exon.niaid.nih.gov/transcriptome/Anopheles_sialome/links/cluster-b/anopheline-sialome-cds-pep-larger-orf75-50SimCLU47.txt", 47)</f>
        <v>47</v>
      </c>
      <c r="CG500">
        <f>HYPERLINK("http://exon.niaid.nih.gov/transcriptome/Anopheles_sialome/links/cluster-b/anopheline-sialome-cds-pep-larger-orf75-50SimCLTL47.txt", 5)</f>
        <v>5</v>
      </c>
      <c r="CH500">
        <f>HYPERLINK("http://exon.niaid.nih.gov/transcriptome/Anopheles_sialome/links/cluster-b/anopheline-sialome-cds-pep-larger-orf80-50SimCLU58.txt", 58)</f>
        <v>58</v>
      </c>
      <c r="CI500">
        <f>HYPERLINK("http://exon.niaid.nih.gov/transcriptome/Anopheles_sialome/links/cluster-b/anopheline-sialome-cds-pep-larger-orf80-50SimCLTL58.txt", 3)</f>
        <v>3</v>
      </c>
      <c r="CJ500">
        <v>262</v>
      </c>
      <c r="CK500">
        <v>1</v>
      </c>
      <c r="CL500">
        <v>331</v>
      </c>
      <c r="CM500">
        <v>1</v>
      </c>
      <c r="CN500">
        <v>402</v>
      </c>
      <c r="CO500">
        <v>1</v>
      </c>
    </row>
    <row r="501" spans="1:93">
      <c r="A501" s="2" t="str">
        <f>HYPERLINK("http://exon.niaid.nih.gov/transcriptome/Anopheles_sialome/links/cds/anoste_SG1a-cds.txt","anoste_SG1a")</f>
        <v>anoste_SG1a</v>
      </c>
      <c r="B501">
        <v>1299</v>
      </c>
      <c r="C501" t="s">
        <v>429</v>
      </c>
      <c r="D501" t="s">
        <v>7</v>
      </c>
      <c r="E501" t="s">
        <v>5</v>
      </c>
      <c r="F501" t="s">
        <v>1</v>
      </c>
      <c r="G501" t="str">
        <f>HYPERLINK("http://exon.niaid.nih.gov/transcriptome/Anopheles_sialome/links/pep/anoste_SG1a-pep.txt","anoste_SG1a")</f>
        <v>anoste_SG1a</v>
      </c>
      <c r="H501">
        <v>432</v>
      </c>
      <c r="I501">
        <v>0</v>
      </c>
      <c r="J501" s="3" t="str">
        <f>HYPERLINK("http://exon.niaid.nih.gov/transcriptome/Anopheles_sialome/links/Sigp/anoste_SG1a-SigP.txt","SIG")</f>
        <v>SIG</v>
      </c>
      <c r="K501" t="s">
        <v>1182</v>
      </c>
      <c r="L501">
        <v>50.738</v>
      </c>
      <c r="M501">
        <v>9.43</v>
      </c>
      <c r="N501">
        <v>48.048999999999999</v>
      </c>
      <c r="O501">
        <v>9.4499999999999993</v>
      </c>
      <c r="P501" t="s">
        <v>1774</v>
      </c>
      <c r="Q501" s="3">
        <v>0</v>
      </c>
      <c r="R501" t="s">
        <v>128</v>
      </c>
      <c r="S501" t="s">
        <v>128</v>
      </c>
      <c r="T501" t="s">
        <v>128</v>
      </c>
      <c r="U501" t="s">
        <v>128</v>
      </c>
      <c r="V501" t="s">
        <v>128</v>
      </c>
      <c r="W501" s="3" t="str">
        <f>HYPERLINK("http://exon.niaid.nih.gov/transcriptome/Anopheles_sialome/links/netoglyc/anoste_SG1a-netoglyc.txt","0")</f>
        <v>0</v>
      </c>
      <c r="X501">
        <v>9.5</v>
      </c>
      <c r="Y501">
        <v>2.8</v>
      </c>
      <c r="Z501">
        <v>4.5999999999999996</v>
      </c>
      <c r="AA501" t="s">
        <v>654</v>
      </c>
      <c r="AB501" t="s">
        <v>128</v>
      </c>
      <c r="AC501" s="2" t="str">
        <f>HYPERLINK("http://exon.niaid.nih.gov/transcriptome/Anopheles_sialome/links/DIPTERA/anoste_SG1a-DIPTERA.txt","AGAP000611-PA")</f>
        <v>AGAP000611-PA</v>
      </c>
      <c r="AD501" t="str">
        <f>HYPERLINK("http://www.ncbi.nlm.nih.gov/sutils/blink.cgi?pid=333466866","7E-097")</f>
        <v>7E-097</v>
      </c>
      <c r="AE501" t="str">
        <f t="shared" si="165"/>
        <v>gi|333466866</v>
      </c>
      <c r="AF501">
        <v>44</v>
      </c>
      <c r="AG501">
        <v>67</v>
      </c>
      <c r="AH501">
        <v>100</v>
      </c>
      <c r="AI501" t="s">
        <v>2285</v>
      </c>
      <c r="AJ501" s="2" t="str">
        <f>HYPERLINK("http://exon.niaid.nih.gov/transcriptome/Anopheles_sialome/links/CULICOMORPHA/anoste_SG1a-CULICOMORPHA.txt","AGAP000611-PA")</f>
        <v>AGAP000611-PA</v>
      </c>
      <c r="AK501" t="str">
        <f>HYPERLINK("http://www.ncbi.nlm.nih.gov/sutils/blink.cgi?pid=333466866","1E-097")</f>
        <v>1E-097</v>
      </c>
      <c r="AL501" t="str">
        <f t="shared" si="166"/>
        <v>gi|333466866</v>
      </c>
      <c r="AM501">
        <v>44</v>
      </c>
      <c r="AN501">
        <v>67</v>
      </c>
      <c r="AO501">
        <v>100</v>
      </c>
      <c r="AP501" t="s">
        <v>2285</v>
      </c>
      <c r="AQ501" s="2" t="str">
        <f>HYPERLINK("http://exon.niaid.nih.gov/transcriptome/Anopheles_sialome/links/NR-LIGHT/anoste_SG1a-NR-LIGHT.txt","AGAP000611-PA")</f>
        <v>AGAP000611-PA</v>
      </c>
      <c r="AR501" t="str">
        <f>HYPERLINK("http://www.ncbi.nlm.nih.gov/sutils/blink.cgi?pid=347964151","2E-096")</f>
        <v>2E-096</v>
      </c>
      <c r="AS501" t="str">
        <f t="shared" si="167"/>
        <v>gi|347964151</v>
      </c>
      <c r="AT501">
        <v>44</v>
      </c>
      <c r="AU501">
        <v>67</v>
      </c>
      <c r="AV501">
        <v>100</v>
      </c>
      <c r="AW501" t="s">
        <v>2285</v>
      </c>
      <c r="AX501" s="2" t="str">
        <f>HYPERLINK("http://exon.niaid.nih.gov/transcriptome/Anopheles_sialome/links/CDD/anoste_SG1a-CDD.txt","WzzB")</f>
        <v>WzzB</v>
      </c>
      <c r="AY501" t="str">
        <f>HYPERLINK("http://www.ncbi.nlm.nih.gov/Structure/cdd/cddsrv.cgi?uid=COG3765&amp;version=v4.0","0.22")</f>
        <v>0.22</v>
      </c>
      <c r="AZ501" t="s">
        <v>2887</v>
      </c>
      <c r="BA501" s="2" t="str">
        <f>HYPERLINK("http://exon.niaid.nih.gov/transcriptome/Anopheles_sialome/links/KOG/anoste_SG1a-KOG.txt","Protein kinase of the PI-3 kinase family involved in mitotic growth, DNA repair and meiotic recombination")</f>
        <v>Protein kinase of the PI-3 kinase family involved in mitotic growth, DNA repair and meiotic recombination</v>
      </c>
      <c r="BB501" t="str">
        <f>HYPERLINK("http://www.ncbi.nlm.nih.gov/Structure/cdd/cddsrv.cgi?uid=KOG0890","0.24")</f>
        <v>0.24</v>
      </c>
      <c r="BC501" t="s">
        <v>2300</v>
      </c>
      <c r="BD501" t="str">
        <f>HYPERLINK("http://exon.niaid.nih.gov/transcriptome/Anopheles_sialome/links/KOG/anoste_SG1a-KOG.txt","KOG0890")</f>
        <v>KOG0890</v>
      </c>
      <c r="BE501" t="str">
        <f>HYPERLINK("http://exon.niaid.nih.gov/transcriptome/Anopheles_sialome/links/PFAM/anoste_SG1a-PFAM.txt","DUF832")</f>
        <v>DUF832</v>
      </c>
      <c r="BF501" t="str">
        <f>HYPERLINK("http://pfam.sanger.ac.uk/family?acc=PF05734","0.11")</f>
        <v>0.11</v>
      </c>
      <c r="BG501" s="2" t="str">
        <f>HYPERLINK("http://exon.niaid.nih.gov/transcriptome/Anopheles_sialome/links/SMART/anoste_SG1a-SMART.txt","CLH")</f>
        <v>CLH</v>
      </c>
      <c r="BH501" t="str">
        <f>HYPERLINK("http://smart.embl-heidelberg.de/smart/do_annotation.pl?DOMAIN=CLH&amp;BLAST=DUMMY","0.025")</f>
        <v>0.025</v>
      </c>
      <c r="BI501" t="str">
        <f>HYPERLINK("http://exon.niaid.nih.gov/transcriptome/Anopheles_sialome/links/TICK-BLOCKS/anoste_SG1a-TICK-BLOCKS.txt","SG1_full |SG1_stringent_pattern |")</f>
        <v>SG1_full |SG1_stringent_pattern |</v>
      </c>
      <c r="BJ501" s="2" t="s">
        <v>2423</v>
      </c>
      <c r="BK501" t="s">
        <v>1773</v>
      </c>
      <c r="BL501">
        <f>HYPERLINK("http://exon.niaid.nih.gov/transcriptome/Anopheles_sialome/links/cluster-b/anopheline-sialome-cds-pep-larger-orf25-50SimCLU3.txt", 3)</f>
        <v>3</v>
      </c>
      <c r="BM501">
        <f>HYPERLINK("http://exon.niaid.nih.gov/transcriptome/Anopheles_sialome/links/cluster-b/anopheline-sialome-cds-pep-larger-orf25-50SimCLTL3.txt", 119)</f>
        <v>119</v>
      </c>
      <c r="BN501">
        <f>HYPERLINK("http://exon.niaid.nih.gov/transcriptome/Anopheles_sialome/links/cluster-b/anopheline-sialome-cds-pep-larger-orf30-50SimCLU3.txt", 3)</f>
        <v>3</v>
      </c>
      <c r="BO501">
        <f>HYPERLINK("http://exon.niaid.nih.gov/transcriptome/Anopheles_sialome/links/cluster-b/anopheline-sialome-cds-pep-larger-orf30-50SimCLTL3.txt", 119)</f>
        <v>119</v>
      </c>
      <c r="BP501">
        <f>HYPERLINK("http://exon.niaid.nih.gov/transcriptome/Anopheles_sialome/links/cluster-b/anopheline-sialome-cds-pep-larger-orf35-50SimCLU2.txt", 2)</f>
        <v>2</v>
      </c>
      <c r="BQ501">
        <f>HYPERLINK("http://exon.niaid.nih.gov/transcriptome/Anopheles_sialome/links/cluster-b/anopheline-sialome-cds-pep-larger-orf35-50SimCLTL2.txt", 119)</f>
        <v>119</v>
      </c>
      <c r="BR501">
        <f>HYPERLINK("http://exon.niaid.nih.gov/transcriptome/Anopheles_sialome/links/cluster-b/anopheline-sialome-cds-pep-larger-orf40-50SimCLU1.txt", 1)</f>
        <v>1</v>
      </c>
      <c r="BS501">
        <f>HYPERLINK("http://exon.niaid.nih.gov/transcriptome/Anopheles_sialome/links/cluster-b/anopheline-sialome-cds-pep-larger-orf40-50SimCLTL1.txt", 119)</f>
        <v>119</v>
      </c>
      <c r="BT501">
        <f>HYPERLINK("http://exon.niaid.nih.gov/transcriptome/Anopheles_sialome/links/cluster-b/anopheline-sialome-cds-pep-larger-orf45-50SimCLU3.txt", 3)</f>
        <v>3</v>
      </c>
      <c r="BU501">
        <f>HYPERLINK("http://exon.niaid.nih.gov/transcriptome/Anopheles_sialome/links/cluster-b/anopheline-sialome-cds-pep-larger-orf45-50SimCLTL3.txt", 65)</f>
        <v>65</v>
      </c>
      <c r="BV501">
        <f>HYPERLINK("http://exon.niaid.nih.gov/transcriptome/Anopheles_sialome/links/cluster-b/anopheline-sialome-cds-pep-larger-orf50-50SimCLU3.txt", 3)</f>
        <v>3</v>
      </c>
      <c r="BW501">
        <f>HYPERLINK("http://exon.niaid.nih.gov/transcriptome/Anopheles_sialome/links/cluster-b/anopheline-sialome-cds-pep-larger-orf50-50SimCLTL3.txt", 48)</f>
        <v>48</v>
      </c>
      <c r="BX501">
        <f>HYPERLINK("http://exon.niaid.nih.gov/transcriptome/Anopheles_sialome/links/cluster-b/anopheline-sialome-cds-pep-larger-orf55-50SimCLU3.txt", 3)</f>
        <v>3</v>
      </c>
      <c r="BY501">
        <f>HYPERLINK("http://exon.niaid.nih.gov/transcriptome/Anopheles_sialome/links/cluster-b/anopheline-sialome-cds-pep-larger-orf55-50SimCLTL3.txt", 47)</f>
        <v>47</v>
      </c>
      <c r="BZ501">
        <f>HYPERLINK("http://exon.niaid.nih.gov/transcriptome/Anopheles_sialome/links/cluster-b/anopheline-sialome-cds-pep-larger-orf60-50SimCLU31.txt", 31)</f>
        <v>31</v>
      </c>
      <c r="CA501">
        <f>HYPERLINK("http://exon.niaid.nih.gov/transcriptome/Anopheles_sialome/links/cluster-b/anopheline-sialome-cds-pep-larger-orf60-50SimCLTL31.txt", 14)</f>
        <v>14</v>
      </c>
      <c r="CB501">
        <f>HYPERLINK("http://exon.niaid.nih.gov/transcriptome/Anopheles_sialome/links/cluster-b/anopheline-sialome-cds-pep-larger-orf65-50SimCLU36.txt", 36)</f>
        <v>36</v>
      </c>
      <c r="CC501">
        <f>HYPERLINK("http://exon.niaid.nih.gov/transcriptome/Anopheles_sialome/links/cluster-b/anopheline-sialome-cds-pep-larger-orf65-50SimCLTL36.txt", 12)</f>
        <v>12</v>
      </c>
      <c r="CD501">
        <f>HYPERLINK("http://exon.niaid.nih.gov/transcriptome/Anopheles_sialome/links/cluster-b/anopheline-sialome-cds-pep-larger-orf70-50SimCLU38.txt", 38)</f>
        <v>38</v>
      </c>
      <c r="CE501">
        <f>HYPERLINK("http://exon.niaid.nih.gov/transcriptome/Anopheles_sialome/links/cluster-b/anopheline-sialome-cds-pep-larger-orf70-50SimCLTL38.txt", 12)</f>
        <v>12</v>
      </c>
      <c r="CF501">
        <f>HYPERLINK("http://exon.niaid.nih.gov/transcriptome/Anopheles_sialome/links/cluster-b/anopheline-sialome-cds-pep-larger-orf75-50SimCLU47.txt", 47)</f>
        <v>47</v>
      </c>
      <c r="CG501">
        <f>HYPERLINK("http://exon.niaid.nih.gov/transcriptome/Anopheles_sialome/links/cluster-b/anopheline-sialome-cds-pep-larger-orf75-50SimCLTL47.txt", 5)</f>
        <v>5</v>
      </c>
      <c r="CH501">
        <f>HYPERLINK("http://exon.niaid.nih.gov/transcriptome/Anopheles_sialome/links/cluster-b/anopheline-sialome-cds-pep-larger-orf80-50SimCLU93.txt", 93)</f>
        <v>93</v>
      </c>
      <c r="CI501">
        <f>HYPERLINK("http://exon.niaid.nih.gov/transcriptome/Anopheles_sialome/links/cluster-b/anopheline-sialome-cds-pep-larger-orf80-50SimCLTL93.txt", 2)</f>
        <v>2</v>
      </c>
      <c r="CJ501">
        <v>263</v>
      </c>
      <c r="CK501">
        <v>1</v>
      </c>
      <c r="CL501">
        <v>332</v>
      </c>
      <c r="CM501">
        <v>1</v>
      </c>
      <c r="CN501">
        <v>403</v>
      </c>
      <c r="CO501">
        <v>1</v>
      </c>
    </row>
    <row r="502" spans="1:93">
      <c r="A502" s="2" t="str">
        <f>HYPERLINK("http://exon.niaid.nih.gov/transcriptome/Anopheles_sialome/links/cds/anomac_SG1a-cds.txt","anomac_SG1a")</f>
        <v>anomac_SG1a</v>
      </c>
      <c r="B502">
        <v>1242</v>
      </c>
      <c r="C502" t="s">
        <v>439</v>
      </c>
      <c r="D502" t="s">
        <v>7</v>
      </c>
      <c r="E502" t="s">
        <v>5</v>
      </c>
      <c r="F502" t="s">
        <v>1</v>
      </c>
      <c r="G502" t="str">
        <f>HYPERLINK("http://exon.niaid.nih.gov/transcriptome/Anopheles_sialome/links/pep/anomac_SG1a-pep.txt","anomac_SG1a")</f>
        <v>anomac_SG1a</v>
      </c>
      <c r="H502">
        <v>413</v>
      </c>
      <c r="I502">
        <v>0</v>
      </c>
      <c r="J502" s="3" t="str">
        <f>HYPERLINK("http://exon.niaid.nih.gov/transcriptome/Anopheles_sialome/links/Sigp/anomac_SG1a-SigP.txt","CYT")</f>
        <v>CYT</v>
      </c>
      <c r="K502" t="s">
        <v>128</v>
      </c>
      <c r="L502">
        <v>48.526000000000003</v>
      </c>
      <c r="M502">
        <v>9.42</v>
      </c>
      <c r="N502" t="s">
        <v>128</v>
      </c>
      <c r="O502" t="s">
        <v>128</v>
      </c>
      <c r="P502" t="s">
        <v>1776</v>
      </c>
      <c r="Q502" s="3">
        <v>0</v>
      </c>
      <c r="R502" t="s">
        <v>128</v>
      </c>
      <c r="S502" t="s">
        <v>128</v>
      </c>
      <c r="T502" t="s">
        <v>128</v>
      </c>
      <c r="U502" t="s">
        <v>128</v>
      </c>
      <c r="V502" t="s">
        <v>128</v>
      </c>
      <c r="W502" s="3" t="str">
        <f>HYPERLINK("http://exon.niaid.nih.gov/transcriptome/Anopheles_sialome/links/netoglyc/anomac_SG1a-netoglyc.txt","1")</f>
        <v>1</v>
      </c>
      <c r="X502">
        <v>8.6999999999999993</v>
      </c>
      <c r="Y502">
        <v>3.4</v>
      </c>
      <c r="Z502">
        <v>4.4000000000000004</v>
      </c>
      <c r="AA502" t="s">
        <v>654</v>
      </c>
      <c r="AB502" t="s">
        <v>128</v>
      </c>
      <c r="AC502" s="2" t="str">
        <f>HYPERLINK("http://exon.niaid.nih.gov/transcriptome/Anopheles_sialome/links/DIPTERA/anomac_SG1a-DIPTERA.txt","AGAP000611-PA")</f>
        <v>AGAP000611-PA</v>
      </c>
      <c r="AD502" t="str">
        <f>HYPERLINK("http://www.ncbi.nlm.nih.gov/sutils/blink.cgi?pid=333466866","4E-099")</f>
        <v>4E-099</v>
      </c>
      <c r="AE502" t="str">
        <f t="shared" si="165"/>
        <v>gi|333466866</v>
      </c>
      <c r="AF502">
        <v>45</v>
      </c>
      <c r="AG502">
        <v>66</v>
      </c>
      <c r="AH502">
        <v>99</v>
      </c>
      <c r="AI502" t="s">
        <v>2285</v>
      </c>
      <c r="AJ502" s="2" t="str">
        <f>HYPERLINK("http://exon.niaid.nih.gov/transcriptome/Anopheles_sialome/links/CULICOMORPHA/anomac_SG1a-CULICOMORPHA.txt","AGAP000611-PA")</f>
        <v>AGAP000611-PA</v>
      </c>
      <c r="AK502" t="str">
        <f>HYPERLINK("http://www.ncbi.nlm.nih.gov/sutils/blink.cgi?pid=333466866","1E-100")</f>
        <v>1E-100</v>
      </c>
      <c r="AL502" t="str">
        <f t="shared" si="166"/>
        <v>gi|333466866</v>
      </c>
      <c r="AM502">
        <v>45</v>
      </c>
      <c r="AN502">
        <v>66</v>
      </c>
      <c r="AO502">
        <v>99</v>
      </c>
      <c r="AP502" t="s">
        <v>2285</v>
      </c>
      <c r="AQ502" s="2" t="str">
        <f>HYPERLINK("http://exon.niaid.nih.gov/transcriptome/Anopheles_sialome/links/NR-LIGHT/anomac_SG1a-NR-LIGHT.txt","AGAP000611-PA")</f>
        <v>AGAP000611-PA</v>
      </c>
      <c r="AR502" t="str">
        <f>HYPERLINK("http://www.ncbi.nlm.nih.gov/sutils/blink.cgi?pid=347964151","1E-098")</f>
        <v>1E-098</v>
      </c>
      <c r="AS502" t="str">
        <f t="shared" si="167"/>
        <v>gi|347964151</v>
      </c>
      <c r="AT502">
        <v>45</v>
      </c>
      <c r="AU502">
        <v>66</v>
      </c>
      <c r="AV502">
        <v>99</v>
      </c>
      <c r="AW502" t="s">
        <v>2285</v>
      </c>
      <c r="AX502" s="2" t="str">
        <f>HYPERLINK("http://exon.niaid.nih.gov/transcriptome/Anopheles_sialome/links/CDD/anomac_SG1a-CDD.txt","WEMBL")</f>
        <v>WEMBL</v>
      </c>
      <c r="AY502" t="str">
        <f>HYPERLINK("http://www.ncbi.nlm.nih.gov/Structure/cdd/cddsrv.cgi?uid=pfam05701&amp;version=v4.0","0.038")</f>
        <v>0.038</v>
      </c>
      <c r="AZ502" t="s">
        <v>2888</v>
      </c>
      <c r="BA502" s="2" t="str">
        <f>HYPERLINK("http://exon.niaid.nih.gov/transcriptome/Anopheles_sialome/links/KOG/anomac_SG1a-KOG.txt","Cytoplasmic Zn-finger protein BRAP2 (BRCA1 associated protein)")</f>
        <v>Cytoplasmic Zn-finger protein BRAP2 (BRCA1 associated protein)</v>
      </c>
      <c r="BB502" t="str">
        <f>HYPERLINK("http://www.ncbi.nlm.nih.gov/Structure/cdd/cddsrv.cgi?uid=KOG0804","0.003")</f>
        <v>0.003</v>
      </c>
      <c r="BC502" t="s">
        <v>2310</v>
      </c>
      <c r="BD502" t="str">
        <f>HYPERLINK("http://exon.niaid.nih.gov/transcriptome/Anopheles_sialome/links/KOG/anomac_SG1a-KOG.txt","KOG0804")</f>
        <v>KOG0804</v>
      </c>
      <c r="BE502" t="str">
        <f>HYPERLINK("http://exon.niaid.nih.gov/transcriptome/Anopheles_sialome/links/PFAM/anomac_SG1a-PFAM.txt","WEMBL")</f>
        <v>WEMBL</v>
      </c>
      <c r="BF502" t="str">
        <f>HYPERLINK("http://pfam.sanger.ac.uk/family?acc=PF05701","0.007")</f>
        <v>0.007</v>
      </c>
      <c r="BG502" s="2" t="str">
        <f>HYPERLINK("http://exon.niaid.nih.gov/transcriptome/Anopheles_sialome/links/SMART/anomac_SG1a-SMART.txt","BTAD")</f>
        <v>BTAD</v>
      </c>
      <c r="BH502" t="str">
        <f>HYPERLINK("http://smart.embl-heidelberg.de/smart/do_annotation.pl?DOMAIN=BTAD&amp;BLAST=DUMMY","0.089")</f>
        <v>0.089</v>
      </c>
      <c r="BI502" t="str">
        <f>HYPERLINK("http://exon.niaid.nih.gov/transcriptome/Anopheles_sialome/links/TICK-BLOCKS/anomac_SG1a-TICK-BLOCKS.txt","SG1_full |SG1_stringent_pattern |")</f>
        <v>SG1_full |SG1_stringent_pattern |</v>
      </c>
      <c r="BJ502" s="2" t="s">
        <v>2423</v>
      </c>
      <c r="BK502" t="s">
        <v>1775</v>
      </c>
      <c r="BL502">
        <f>HYPERLINK("http://exon.niaid.nih.gov/transcriptome/Anopheles_sialome/links/cluster-b/anopheline-sialome-cds-pep-larger-orf25-50SimCLU3.txt", 3)</f>
        <v>3</v>
      </c>
      <c r="BM502">
        <f>HYPERLINK("http://exon.niaid.nih.gov/transcriptome/Anopheles_sialome/links/cluster-b/anopheline-sialome-cds-pep-larger-orf25-50SimCLTL3.txt", 119)</f>
        <v>119</v>
      </c>
      <c r="BN502">
        <f>HYPERLINK("http://exon.niaid.nih.gov/transcriptome/Anopheles_sialome/links/cluster-b/anopheline-sialome-cds-pep-larger-orf30-50SimCLU3.txt", 3)</f>
        <v>3</v>
      </c>
      <c r="BO502">
        <f>HYPERLINK("http://exon.niaid.nih.gov/transcriptome/Anopheles_sialome/links/cluster-b/anopheline-sialome-cds-pep-larger-orf30-50SimCLTL3.txt", 119)</f>
        <v>119</v>
      </c>
      <c r="BP502">
        <f>HYPERLINK("http://exon.niaid.nih.gov/transcriptome/Anopheles_sialome/links/cluster-b/anopheline-sialome-cds-pep-larger-orf35-50SimCLU2.txt", 2)</f>
        <v>2</v>
      </c>
      <c r="BQ502">
        <f>HYPERLINK("http://exon.niaid.nih.gov/transcriptome/Anopheles_sialome/links/cluster-b/anopheline-sialome-cds-pep-larger-orf35-50SimCLTL2.txt", 119)</f>
        <v>119</v>
      </c>
      <c r="BR502">
        <f>HYPERLINK("http://exon.niaid.nih.gov/transcriptome/Anopheles_sialome/links/cluster-b/anopheline-sialome-cds-pep-larger-orf40-50SimCLU1.txt", 1)</f>
        <v>1</v>
      </c>
      <c r="BS502">
        <f>HYPERLINK("http://exon.niaid.nih.gov/transcriptome/Anopheles_sialome/links/cluster-b/anopheline-sialome-cds-pep-larger-orf40-50SimCLTL1.txt", 119)</f>
        <v>119</v>
      </c>
      <c r="BT502">
        <f>HYPERLINK("http://exon.niaid.nih.gov/transcriptome/Anopheles_sialome/links/cluster-b/anopheline-sialome-cds-pep-larger-orf45-50SimCLU3.txt", 3)</f>
        <v>3</v>
      </c>
      <c r="BU502">
        <f>HYPERLINK("http://exon.niaid.nih.gov/transcriptome/Anopheles_sialome/links/cluster-b/anopheline-sialome-cds-pep-larger-orf45-50SimCLTL3.txt", 65)</f>
        <v>65</v>
      </c>
      <c r="BV502">
        <f>HYPERLINK("http://exon.niaid.nih.gov/transcriptome/Anopheles_sialome/links/cluster-b/anopheline-sialome-cds-pep-larger-orf50-50SimCLU3.txt", 3)</f>
        <v>3</v>
      </c>
      <c r="BW502">
        <f>HYPERLINK("http://exon.niaid.nih.gov/transcriptome/Anopheles_sialome/links/cluster-b/anopheline-sialome-cds-pep-larger-orf50-50SimCLTL3.txt", 48)</f>
        <v>48</v>
      </c>
      <c r="BX502">
        <f>HYPERLINK("http://exon.niaid.nih.gov/transcriptome/Anopheles_sialome/links/cluster-b/anopheline-sialome-cds-pep-larger-orf55-50SimCLU3.txt", 3)</f>
        <v>3</v>
      </c>
      <c r="BY502">
        <f>HYPERLINK("http://exon.niaid.nih.gov/transcriptome/Anopheles_sialome/links/cluster-b/anopheline-sialome-cds-pep-larger-orf55-50SimCLTL3.txt", 47)</f>
        <v>47</v>
      </c>
      <c r="BZ502">
        <f>HYPERLINK("http://exon.niaid.nih.gov/transcriptome/Anopheles_sialome/links/cluster-b/anopheline-sialome-cds-pep-larger-orf60-50SimCLU31.txt", 31)</f>
        <v>31</v>
      </c>
      <c r="CA502">
        <f>HYPERLINK("http://exon.niaid.nih.gov/transcriptome/Anopheles_sialome/links/cluster-b/anopheline-sialome-cds-pep-larger-orf60-50SimCLTL31.txt", 14)</f>
        <v>14</v>
      </c>
      <c r="CB502">
        <f>HYPERLINK("http://exon.niaid.nih.gov/transcriptome/Anopheles_sialome/links/cluster-b/anopheline-sialome-cds-pep-larger-orf65-50SimCLU36.txt", 36)</f>
        <v>36</v>
      </c>
      <c r="CC502">
        <f>HYPERLINK("http://exon.niaid.nih.gov/transcriptome/Anopheles_sialome/links/cluster-b/anopheline-sialome-cds-pep-larger-orf65-50SimCLTL36.txt", 12)</f>
        <v>12</v>
      </c>
      <c r="CD502">
        <f>HYPERLINK("http://exon.niaid.nih.gov/transcriptome/Anopheles_sialome/links/cluster-b/anopheline-sialome-cds-pep-larger-orf70-50SimCLU38.txt", 38)</f>
        <v>38</v>
      </c>
      <c r="CE502">
        <f>HYPERLINK("http://exon.niaid.nih.gov/transcriptome/Anopheles_sialome/links/cluster-b/anopheline-sialome-cds-pep-larger-orf70-50SimCLTL38.txt", 12)</f>
        <v>12</v>
      </c>
      <c r="CF502">
        <f>HYPERLINK("http://exon.niaid.nih.gov/transcriptome/Anopheles_sialome/links/cluster-b/anopheline-sialome-cds-pep-larger-orf75-50SimCLU47.txt", 47)</f>
        <v>47</v>
      </c>
      <c r="CG502">
        <f>HYPERLINK("http://exon.niaid.nih.gov/transcriptome/Anopheles_sialome/links/cluster-b/anopheline-sialome-cds-pep-larger-orf75-50SimCLTL47.txt", 5)</f>
        <v>5</v>
      </c>
      <c r="CH502">
        <f>HYPERLINK("http://exon.niaid.nih.gov/transcriptome/Anopheles_sialome/links/cluster-b/anopheline-sialome-cds-pep-larger-orf80-50SimCLU93.txt", 93)</f>
        <v>93</v>
      </c>
      <c r="CI502">
        <f>HYPERLINK("http://exon.niaid.nih.gov/transcriptome/Anopheles_sialome/links/cluster-b/anopheline-sialome-cds-pep-larger-orf80-50SimCLTL93.txt", 2)</f>
        <v>2</v>
      </c>
      <c r="CJ502">
        <v>264</v>
      </c>
      <c r="CK502">
        <v>1</v>
      </c>
      <c r="CL502">
        <v>333</v>
      </c>
      <c r="CM502">
        <v>1</v>
      </c>
      <c r="CN502">
        <v>404</v>
      </c>
      <c r="CO502">
        <v>1</v>
      </c>
    </row>
    <row r="503" spans="1:93">
      <c r="A503" s="2" t="str">
        <f>HYPERLINK("http://exon.niaid.nih.gov/transcriptome/Anopheles_sialome/links/cds/anofar_SG1a-cds.txt","anofar_SG1a")</f>
        <v>anofar_SG1a</v>
      </c>
      <c r="B503">
        <v>1281</v>
      </c>
      <c r="C503" t="s">
        <v>440</v>
      </c>
      <c r="D503" t="s">
        <v>7</v>
      </c>
      <c r="E503" t="s">
        <v>5</v>
      </c>
      <c r="F503" t="s">
        <v>1</v>
      </c>
      <c r="G503" t="str">
        <f>HYPERLINK("http://exon.niaid.nih.gov/transcriptome/Anopheles_sialome/links/pep/anofar_SG1a-pep.txt","anofar_SG1a")</f>
        <v>anofar_SG1a</v>
      </c>
      <c r="H503">
        <v>426</v>
      </c>
      <c r="I503">
        <v>2</v>
      </c>
      <c r="J503" s="3" t="str">
        <f>HYPERLINK("http://exon.niaid.nih.gov/transcriptome/Anopheles_sialome/links/Sigp/anofar_SG1a-SigP.txt","SIG")</f>
        <v>SIG</v>
      </c>
      <c r="K503" t="s">
        <v>689</v>
      </c>
      <c r="L503">
        <v>48.593000000000004</v>
      </c>
      <c r="M503">
        <v>9.92</v>
      </c>
      <c r="N503">
        <v>46.375</v>
      </c>
      <c r="O503">
        <v>9.8699999999999992</v>
      </c>
      <c r="P503" t="s">
        <v>1778</v>
      </c>
      <c r="Q503" s="3">
        <v>0</v>
      </c>
      <c r="R503" t="s">
        <v>128</v>
      </c>
      <c r="S503" t="s">
        <v>128</v>
      </c>
      <c r="T503" t="s">
        <v>128</v>
      </c>
      <c r="U503" t="s">
        <v>128</v>
      </c>
      <c r="V503" t="s">
        <v>128</v>
      </c>
      <c r="W503" s="3" t="str">
        <f>HYPERLINK("http://exon.niaid.nih.gov/transcriptome/Anopheles_sialome/links/netoglyc/anofar_SG1a-netoglyc.txt","1")</f>
        <v>1</v>
      </c>
      <c r="X503">
        <v>9.4</v>
      </c>
      <c r="Y503">
        <v>5.4</v>
      </c>
      <c r="Z503">
        <v>3.8</v>
      </c>
      <c r="AA503" t="s">
        <v>654</v>
      </c>
      <c r="AB503" t="s">
        <v>128</v>
      </c>
      <c r="AC503" s="2" t="str">
        <f>HYPERLINK("http://exon.niaid.nih.gov/transcriptome/Anopheles_sialome/links/DIPTERA/anofar_SG1a-DIPTERA.txt","AGAP000611-PA")</f>
        <v>AGAP000611-PA</v>
      </c>
      <c r="AD503" t="str">
        <f>HYPERLINK("http://www.ncbi.nlm.nih.gov/sutils/blink.cgi?pid=333466866","9E-070")</f>
        <v>9E-070</v>
      </c>
      <c r="AE503" t="str">
        <f t="shared" si="165"/>
        <v>gi|333466866</v>
      </c>
      <c r="AF503">
        <v>37</v>
      </c>
      <c r="AG503">
        <v>54</v>
      </c>
      <c r="AH503">
        <v>100</v>
      </c>
      <c r="AI503" t="s">
        <v>2285</v>
      </c>
      <c r="AJ503" s="2" t="str">
        <f>HYPERLINK("http://exon.niaid.nih.gov/transcriptome/Anopheles_sialome/links/CULICOMORPHA/anofar_SG1a-CULICOMORPHA.txt","AGAP000611-PA")</f>
        <v>AGAP000611-PA</v>
      </c>
      <c r="AK503" t="str">
        <f>HYPERLINK("http://www.ncbi.nlm.nih.gov/sutils/blink.cgi?pid=333466866","2E-070")</f>
        <v>2E-070</v>
      </c>
      <c r="AL503" t="str">
        <f t="shared" si="166"/>
        <v>gi|333466866</v>
      </c>
      <c r="AM503">
        <v>37</v>
      </c>
      <c r="AN503">
        <v>54</v>
      </c>
      <c r="AO503">
        <v>100</v>
      </c>
      <c r="AP503" t="s">
        <v>2285</v>
      </c>
      <c r="AQ503" s="2" t="str">
        <f>HYPERLINK("http://exon.niaid.nih.gov/transcriptome/Anopheles_sialome/links/NR-LIGHT/anofar_SG1a-NR-LIGHT.txt","AGAP000611-PA")</f>
        <v>AGAP000611-PA</v>
      </c>
      <c r="AR503" t="str">
        <f>HYPERLINK("http://www.ncbi.nlm.nih.gov/sutils/blink.cgi?pid=347964151","3E-069")</f>
        <v>3E-069</v>
      </c>
      <c r="AS503" t="str">
        <f t="shared" si="167"/>
        <v>gi|347964151</v>
      </c>
      <c r="AT503">
        <v>37</v>
      </c>
      <c r="AU503">
        <v>54</v>
      </c>
      <c r="AV503">
        <v>100</v>
      </c>
      <c r="AW503" t="s">
        <v>2285</v>
      </c>
      <c r="AX503" s="2" t="str">
        <f>HYPERLINK("http://exon.niaid.nih.gov/transcriptome/Anopheles_sialome/links/CDD/anofar_SG1a-CDD.txt"," Potassium-tran")</f>
        <v xml:space="preserve"> Potassium-tran</v>
      </c>
      <c r="AY503" t="str">
        <f>HYPERLINK("http://www.ncbi.nlm.nih.gov/Structure/cdd/cddsrv.cgi?uid=TIGR01107&amp;version=v4.0","0.33")</f>
        <v>0.33</v>
      </c>
      <c r="AZ503" t="s">
        <v>2889</v>
      </c>
      <c r="BA503" s="2" t="str">
        <f>HYPERLINK("http://exon.niaid.nih.gov/transcriptome/Anopheles_sialome/links/KOG/anofar_SG1a-KOG.txt","Sister chromatid cohesion protein SCC2/Nipped-B")</f>
        <v>Sister chromatid cohesion protein SCC2/Nipped-B</v>
      </c>
      <c r="BB503" t="str">
        <f>HYPERLINK("http://www.ncbi.nlm.nih.gov/Structure/cdd/cddsrv.cgi?uid=KOG1020","0.007")</f>
        <v>0.007</v>
      </c>
      <c r="BC503" t="s">
        <v>2890</v>
      </c>
      <c r="BD503" t="str">
        <f>HYPERLINK("http://exon.niaid.nih.gov/transcriptome/Anopheles_sialome/links/KOG/anofar_SG1a-KOG.txt","KOG1020")</f>
        <v>KOG1020</v>
      </c>
      <c r="BE503" t="str">
        <f>HYPERLINK("http://exon.niaid.nih.gov/transcriptome/Anopheles_sialome/links/PFAM/anofar_SG1a-PFAM.txt","Na_K-ATPase")</f>
        <v>Na_K-ATPase</v>
      </c>
      <c r="BF503" t="str">
        <f>HYPERLINK("http://pfam.sanger.ac.uk/family?acc=PF00287","0.43")</f>
        <v>0.43</v>
      </c>
      <c r="BG503" s="2" t="str">
        <f>HYPERLINK("http://exon.niaid.nih.gov/transcriptome/Anopheles_sialome/links/SMART/anofar_SG1a-SMART.txt","RhoGAP")</f>
        <v>RhoGAP</v>
      </c>
      <c r="BH503" t="str">
        <f>HYPERLINK("http://smart.embl-heidelberg.de/smart/do_annotation.pl?DOMAIN=RhoGAP&amp;BLAST=DUMMY","0.17")</f>
        <v>0.17</v>
      </c>
      <c r="BI503" t="str">
        <f>HYPERLINK("http://exon.niaid.nih.gov/transcriptome/Anopheles_sialome/links/TICK-BLOCKS/anofar_SG1a-TICK-BLOCKS.txt","SG1_full |SG1_stringent_pattern |")</f>
        <v>SG1_full |SG1_stringent_pattern |</v>
      </c>
      <c r="BJ503" s="2" t="s">
        <v>2423</v>
      </c>
      <c r="BK503" t="s">
        <v>1777</v>
      </c>
      <c r="BL503">
        <f>HYPERLINK("http://exon.niaid.nih.gov/transcriptome/Anopheles_sialome/links/cluster-b/anopheline-sialome-cds-pep-larger-orf25-50SimCLU3.txt", 3)</f>
        <v>3</v>
      </c>
      <c r="BM503">
        <f>HYPERLINK("http://exon.niaid.nih.gov/transcriptome/Anopheles_sialome/links/cluster-b/anopheline-sialome-cds-pep-larger-orf25-50SimCLTL3.txt", 119)</f>
        <v>119</v>
      </c>
      <c r="BN503">
        <f>HYPERLINK("http://exon.niaid.nih.gov/transcriptome/Anopheles_sialome/links/cluster-b/anopheline-sialome-cds-pep-larger-orf30-50SimCLU3.txt", 3)</f>
        <v>3</v>
      </c>
      <c r="BO503">
        <f>HYPERLINK("http://exon.niaid.nih.gov/transcriptome/Anopheles_sialome/links/cluster-b/anopheline-sialome-cds-pep-larger-orf30-50SimCLTL3.txt", 119)</f>
        <v>119</v>
      </c>
      <c r="BP503">
        <f>HYPERLINK("http://exon.niaid.nih.gov/transcriptome/Anopheles_sialome/links/cluster-b/anopheline-sialome-cds-pep-larger-orf35-50SimCLU2.txt", 2)</f>
        <v>2</v>
      </c>
      <c r="BQ503">
        <f>HYPERLINK("http://exon.niaid.nih.gov/transcriptome/Anopheles_sialome/links/cluster-b/anopheline-sialome-cds-pep-larger-orf35-50SimCLTL2.txt", 119)</f>
        <v>119</v>
      </c>
      <c r="BR503">
        <f>HYPERLINK("http://exon.niaid.nih.gov/transcriptome/Anopheles_sialome/links/cluster-b/anopheline-sialome-cds-pep-larger-orf40-50SimCLU1.txt", 1)</f>
        <v>1</v>
      </c>
      <c r="BS503">
        <f>HYPERLINK("http://exon.niaid.nih.gov/transcriptome/Anopheles_sialome/links/cluster-b/anopheline-sialome-cds-pep-larger-orf40-50SimCLTL1.txt", 119)</f>
        <v>119</v>
      </c>
      <c r="BT503">
        <f>HYPERLINK("http://exon.niaid.nih.gov/transcriptome/Anopheles_sialome/links/cluster-b/anopheline-sialome-cds-pep-larger-orf45-50SimCLU3.txt", 3)</f>
        <v>3</v>
      </c>
      <c r="BU503">
        <f>HYPERLINK("http://exon.niaid.nih.gov/transcriptome/Anopheles_sialome/links/cluster-b/anopheline-sialome-cds-pep-larger-orf45-50SimCLTL3.txt", 65)</f>
        <v>65</v>
      </c>
      <c r="BV503">
        <f>HYPERLINK("http://exon.niaid.nih.gov/transcriptome/Anopheles_sialome/links/cluster-b/anopheline-sialome-cds-pep-larger-orf50-50SimCLU3.txt", 3)</f>
        <v>3</v>
      </c>
      <c r="BW503">
        <f>HYPERLINK("http://exon.niaid.nih.gov/transcriptome/Anopheles_sialome/links/cluster-b/anopheline-sialome-cds-pep-larger-orf50-50SimCLTL3.txt", 48)</f>
        <v>48</v>
      </c>
      <c r="BX503">
        <f>HYPERLINK("http://exon.niaid.nih.gov/transcriptome/Anopheles_sialome/links/cluster-b/anopheline-sialome-cds-pep-larger-orf55-50SimCLU3.txt", 3)</f>
        <v>3</v>
      </c>
      <c r="BY503">
        <f>HYPERLINK("http://exon.niaid.nih.gov/transcriptome/Anopheles_sialome/links/cluster-b/anopheline-sialome-cds-pep-larger-orf55-50SimCLTL3.txt", 47)</f>
        <v>47</v>
      </c>
      <c r="BZ503">
        <f>HYPERLINK("http://exon.niaid.nih.gov/transcriptome/Anopheles_sialome/links/cluster-b/anopheline-sialome-cds-pep-larger-orf60-50SimCLU31.txt", 31)</f>
        <v>31</v>
      </c>
      <c r="CA503">
        <f>HYPERLINK("http://exon.niaid.nih.gov/transcriptome/Anopheles_sialome/links/cluster-b/anopheline-sialome-cds-pep-larger-orf60-50SimCLTL31.txt", 14)</f>
        <v>14</v>
      </c>
      <c r="CB503">
        <f>HYPERLINK("http://exon.niaid.nih.gov/transcriptome/Anopheles_sialome/links/cluster-b/anopheline-sialome-cds-pep-larger-orf65-50SimCLU52.txt", 52)</f>
        <v>52</v>
      </c>
      <c r="CC503">
        <f>HYPERLINK("http://exon.niaid.nih.gov/transcriptome/Anopheles_sialome/links/cluster-b/anopheline-sialome-cds-pep-larger-orf65-50SimCLTL52.txt", 2)</f>
        <v>2</v>
      </c>
      <c r="CD503">
        <v>98</v>
      </c>
      <c r="CE503">
        <v>1</v>
      </c>
      <c r="CF503">
        <v>140</v>
      </c>
      <c r="CG503">
        <v>1</v>
      </c>
      <c r="CH503">
        <v>197</v>
      </c>
      <c r="CI503">
        <v>1</v>
      </c>
      <c r="CJ503">
        <v>265</v>
      </c>
      <c r="CK503">
        <v>1</v>
      </c>
      <c r="CL503">
        <v>334</v>
      </c>
      <c r="CM503">
        <v>1</v>
      </c>
      <c r="CN503">
        <v>405</v>
      </c>
      <c r="CO503">
        <v>1</v>
      </c>
    </row>
    <row r="504" spans="1:93">
      <c r="A504" s="2" t="str">
        <f>HYPERLINK("http://exon.niaid.nih.gov/transcriptome/Anopheles_sialome/links/cds/anodir_SG1a-cds.txt","anodir_SG1a")</f>
        <v>anodir_SG1a</v>
      </c>
      <c r="B504">
        <v>1230</v>
      </c>
      <c r="C504" t="s">
        <v>432</v>
      </c>
      <c r="D504" t="s">
        <v>7</v>
      </c>
      <c r="E504" t="s">
        <v>5</v>
      </c>
      <c r="F504" t="s">
        <v>1</v>
      </c>
      <c r="G504" t="str">
        <f>HYPERLINK("http://exon.niaid.nih.gov/transcriptome/Anopheles_sialome/links/pep/anodir_SG1a-pep.txt","anodir_SG1a")</f>
        <v>anodir_SG1a</v>
      </c>
      <c r="H504">
        <v>409</v>
      </c>
      <c r="I504">
        <v>1</v>
      </c>
      <c r="J504" s="3" t="str">
        <f>HYPERLINK("http://exon.niaid.nih.gov/transcriptome/Anopheles_sialome/links/Sigp/anodir_SG1a-SigP.txt","SIG")</f>
        <v>SIG</v>
      </c>
      <c r="K504" t="s">
        <v>689</v>
      </c>
      <c r="L504">
        <v>47.94</v>
      </c>
      <c r="M504">
        <v>10.09</v>
      </c>
      <c r="N504">
        <v>45.759</v>
      </c>
      <c r="O504">
        <v>10.06</v>
      </c>
      <c r="P504" t="s">
        <v>1780</v>
      </c>
      <c r="Q504" s="3">
        <v>0</v>
      </c>
      <c r="R504" t="s">
        <v>128</v>
      </c>
      <c r="S504" t="s">
        <v>128</v>
      </c>
      <c r="T504" t="s">
        <v>128</v>
      </c>
      <c r="U504" t="s">
        <v>128</v>
      </c>
      <c r="V504" t="s">
        <v>128</v>
      </c>
      <c r="W504" s="3" t="str">
        <f>HYPERLINK("http://exon.niaid.nih.gov/transcriptome/Anopheles_sialome/links/netoglyc/anodir_SG1a-netoglyc.txt","0")</f>
        <v>0</v>
      </c>
      <c r="X504">
        <v>11.5</v>
      </c>
      <c r="Y504">
        <v>3.2</v>
      </c>
      <c r="Z504">
        <v>3.2</v>
      </c>
      <c r="AA504" t="s">
        <v>654</v>
      </c>
      <c r="AB504" t="s">
        <v>1781</v>
      </c>
      <c r="AC504" s="2" t="str">
        <f>HYPERLINK("http://exon.niaid.nih.gov/transcriptome/Anopheles_sialome/links/DIPTERA/anodir_SG1a-DIPTERA.txt","AGAP000611-PA")</f>
        <v>AGAP000611-PA</v>
      </c>
      <c r="AD504" t="str">
        <f>HYPERLINK("http://www.ncbi.nlm.nih.gov/sutils/blink.cgi?pid=333466866","2E-068")</f>
        <v>2E-068</v>
      </c>
      <c r="AE504" t="str">
        <f t="shared" si="165"/>
        <v>gi|333466866</v>
      </c>
      <c r="AF504">
        <v>37</v>
      </c>
      <c r="AG504">
        <v>61</v>
      </c>
      <c r="AH504">
        <v>93</v>
      </c>
      <c r="AI504" t="s">
        <v>2285</v>
      </c>
      <c r="AJ504" s="2" t="str">
        <f>HYPERLINK("http://exon.niaid.nih.gov/transcriptome/Anopheles_sialome/links/CULICOMORPHA/anodir_SG1a-CULICOMORPHA.txt","AGAP000611-PA")</f>
        <v>AGAP000611-PA</v>
      </c>
      <c r="AK504" t="str">
        <f>HYPERLINK("http://www.ncbi.nlm.nih.gov/sutils/blink.cgi?pid=333466866","4E-069")</f>
        <v>4E-069</v>
      </c>
      <c r="AL504" t="str">
        <f t="shared" si="166"/>
        <v>gi|333466866</v>
      </c>
      <c r="AM504">
        <v>37</v>
      </c>
      <c r="AN504">
        <v>61</v>
      </c>
      <c r="AO504">
        <v>93</v>
      </c>
      <c r="AP504" t="s">
        <v>2285</v>
      </c>
      <c r="AQ504" s="2" t="str">
        <f>HYPERLINK("http://exon.niaid.nih.gov/transcriptome/Anopheles_sialome/links/NR-LIGHT/anodir_SG1a-NR-LIGHT.txt","AGAP000611-PA")</f>
        <v>AGAP000611-PA</v>
      </c>
      <c r="AR504" t="str">
        <f>HYPERLINK("http://www.ncbi.nlm.nih.gov/sutils/blink.cgi?pid=347964151","6E-068")</f>
        <v>6E-068</v>
      </c>
      <c r="AS504" t="str">
        <f t="shared" si="167"/>
        <v>gi|347964151</v>
      </c>
      <c r="AT504">
        <v>37</v>
      </c>
      <c r="AU504">
        <v>61</v>
      </c>
      <c r="AV504">
        <v>93</v>
      </c>
      <c r="AW504" t="s">
        <v>2285</v>
      </c>
      <c r="AX504" s="2" t="str">
        <f>HYPERLINK("http://exon.niaid.nih.gov/transcriptome/Anopheles_sialome/links/CDD/anodir_SG1a-CDD.txt","RhoGAP_nadrin")</f>
        <v>RhoGAP_nadrin</v>
      </c>
      <c r="AY504" t="str">
        <f>HYPERLINK("http://www.ncbi.nlm.nih.gov/Structure/cdd/cddsrv.cgi?uid=cd04386&amp;version=v4.0","0.79")</f>
        <v>0.79</v>
      </c>
      <c r="AZ504" t="s">
        <v>2891</v>
      </c>
      <c r="BA504" s="2" t="str">
        <f>HYPERLINK("http://exon.niaid.nih.gov/transcriptome/Anopheles_sialome/links/KOG/anodir_SG1a-KOG.txt","Tight junction proteins")</f>
        <v>Tight junction proteins</v>
      </c>
      <c r="BB504" t="str">
        <f>HYPERLINK("http://www.ncbi.nlm.nih.gov/Structure/cdd/cddsrv.cgi?uid=KOG3580","0.55")</f>
        <v>0.55</v>
      </c>
      <c r="BC504" t="s">
        <v>2292</v>
      </c>
      <c r="BD504" t="str">
        <f>HYPERLINK("http://exon.niaid.nih.gov/transcriptome/Anopheles_sialome/links/KOG/anodir_SG1a-KOG.txt","KOG3580")</f>
        <v>KOG3580</v>
      </c>
      <c r="BE504" t="str">
        <f>HYPERLINK("http://exon.niaid.nih.gov/transcriptome/Anopheles_sialome/links/PFAM/anodir_SG1a-PFAM.txt","Rep_3")</f>
        <v>Rep_3</v>
      </c>
      <c r="BF504" t="str">
        <f>HYPERLINK("http://pfam.sanger.ac.uk/family?acc=PF01051","1.9")</f>
        <v>1.9</v>
      </c>
      <c r="BG504" s="2" t="str">
        <f>HYPERLINK("http://exon.niaid.nih.gov/transcriptome/Anopheles_sialome/links/SMART/anodir_SG1a-SMART.txt","RhoGAP")</f>
        <v>RhoGAP</v>
      </c>
      <c r="BH504" t="str">
        <f>HYPERLINK("http://smart.embl-heidelberg.de/smart/do_annotation.pl?DOMAIN=RhoGAP&amp;BLAST=DUMMY","0.81")</f>
        <v>0.81</v>
      </c>
      <c r="BI504" t="str">
        <f>HYPERLINK("http://exon.niaid.nih.gov/transcriptome/Anopheles_sialome/links/TICK-BLOCKS/anodir_SG1a-TICK-BLOCKS.txt","SG1_full |SG1_stringent_pattern |")</f>
        <v>SG1_full |SG1_stringent_pattern |</v>
      </c>
      <c r="BJ504" s="2" t="s">
        <v>2423</v>
      </c>
      <c r="BK504" t="s">
        <v>1779</v>
      </c>
      <c r="BL504">
        <f>HYPERLINK("http://exon.niaid.nih.gov/transcriptome/Anopheles_sialome/links/cluster-b/anopheline-sialome-cds-pep-larger-orf25-50SimCLU3.txt", 3)</f>
        <v>3</v>
      </c>
      <c r="BM504">
        <f>HYPERLINK("http://exon.niaid.nih.gov/transcriptome/Anopheles_sialome/links/cluster-b/anopheline-sialome-cds-pep-larger-orf25-50SimCLTL3.txt", 119)</f>
        <v>119</v>
      </c>
      <c r="BN504">
        <f>HYPERLINK("http://exon.niaid.nih.gov/transcriptome/Anopheles_sialome/links/cluster-b/anopheline-sialome-cds-pep-larger-orf30-50SimCLU3.txt", 3)</f>
        <v>3</v>
      </c>
      <c r="BO504">
        <f>HYPERLINK("http://exon.niaid.nih.gov/transcriptome/Anopheles_sialome/links/cluster-b/anopheline-sialome-cds-pep-larger-orf30-50SimCLTL3.txt", 119)</f>
        <v>119</v>
      </c>
      <c r="BP504">
        <f>HYPERLINK("http://exon.niaid.nih.gov/transcriptome/Anopheles_sialome/links/cluster-b/anopheline-sialome-cds-pep-larger-orf35-50SimCLU2.txt", 2)</f>
        <v>2</v>
      </c>
      <c r="BQ504">
        <f>HYPERLINK("http://exon.niaid.nih.gov/transcriptome/Anopheles_sialome/links/cluster-b/anopheline-sialome-cds-pep-larger-orf35-50SimCLTL2.txt", 119)</f>
        <v>119</v>
      </c>
      <c r="BR504">
        <f>HYPERLINK("http://exon.niaid.nih.gov/transcriptome/Anopheles_sialome/links/cluster-b/anopheline-sialome-cds-pep-larger-orf40-50SimCLU1.txt", 1)</f>
        <v>1</v>
      </c>
      <c r="BS504">
        <f>HYPERLINK("http://exon.niaid.nih.gov/transcriptome/Anopheles_sialome/links/cluster-b/anopheline-sialome-cds-pep-larger-orf40-50SimCLTL1.txt", 119)</f>
        <v>119</v>
      </c>
      <c r="BT504">
        <f>HYPERLINK("http://exon.niaid.nih.gov/transcriptome/Anopheles_sialome/links/cluster-b/anopheline-sialome-cds-pep-larger-orf45-50SimCLU3.txt", 3)</f>
        <v>3</v>
      </c>
      <c r="BU504">
        <f>HYPERLINK("http://exon.niaid.nih.gov/transcriptome/Anopheles_sialome/links/cluster-b/anopheline-sialome-cds-pep-larger-orf45-50SimCLTL3.txt", 65)</f>
        <v>65</v>
      </c>
      <c r="BV504">
        <f>HYPERLINK("http://exon.niaid.nih.gov/transcriptome/Anopheles_sialome/links/cluster-b/anopheline-sialome-cds-pep-larger-orf50-50SimCLU3.txt", 3)</f>
        <v>3</v>
      </c>
      <c r="BW504">
        <f>HYPERLINK("http://exon.niaid.nih.gov/transcriptome/Anopheles_sialome/links/cluster-b/anopheline-sialome-cds-pep-larger-orf50-50SimCLTL3.txt", 48)</f>
        <v>48</v>
      </c>
      <c r="BX504">
        <f>HYPERLINK("http://exon.niaid.nih.gov/transcriptome/Anopheles_sialome/links/cluster-b/anopheline-sialome-cds-pep-larger-orf55-50SimCLU3.txt", 3)</f>
        <v>3</v>
      </c>
      <c r="BY504">
        <f>HYPERLINK("http://exon.niaid.nih.gov/transcriptome/Anopheles_sialome/links/cluster-b/anopheline-sialome-cds-pep-larger-orf55-50SimCLTL3.txt", 47)</f>
        <v>47</v>
      </c>
      <c r="BZ504">
        <f>HYPERLINK("http://exon.niaid.nih.gov/transcriptome/Anopheles_sialome/links/cluster-b/anopheline-sialome-cds-pep-larger-orf60-50SimCLU31.txt", 31)</f>
        <v>31</v>
      </c>
      <c r="CA504">
        <f>HYPERLINK("http://exon.niaid.nih.gov/transcriptome/Anopheles_sialome/links/cluster-b/anopheline-sialome-cds-pep-larger-orf60-50SimCLTL31.txt", 14)</f>
        <v>14</v>
      </c>
      <c r="CB504">
        <f>HYPERLINK("http://exon.niaid.nih.gov/transcriptome/Anopheles_sialome/links/cluster-b/anopheline-sialome-cds-pep-larger-orf65-50SimCLU52.txt", 52)</f>
        <v>52</v>
      </c>
      <c r="CC504">
        <f>HYPERLINK("http://exon.niaid.nih.gov/transcriptome/Anopheles_sialome/links/cluster-b/anopheline-sialome-cds-pep-larger-orf65-50SimCLTL52.txt", 2)</f>
        <v>2</v>
      </c>
      <c r="CD504">
        <v>99</v>
      </c>
      <c r="CE504">
        <v>1</v>
      </c>
      <c r="CF504">
        <v>141</v>
      </c>
      <c r="CG504">
        <v>1</v>
      </c>
      <c r="CH504">
        <v>198</v>
      </c>
      <c r="CI504">
        <v>1</v>
      </c>
      <c r="CJ504">
        <v>266</v>
      </c>
      <c r="CK504">
        <v>1</v>
      </c>
      <c r="CL504">
        <v>335</v>
      </c>
      <c r="CM504">
        <v>1</v>
      </c>
      <c r="CN504">
        <v>406</v>
      </c>
      <c r="CO504">
        <v>1</v>
      </c>
    </row>
    <row r="505" spans="1:93">
      <c r="A505" s="6" t="s">
        <v>3215</v>
      </c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</row>
    <row r="506" spans="1:93">
      <c r="A506" s="2" t="str">
        <f>HYPERLINK("http://exon.niaid.nih.gov/transcriptome/Anopheles_sialome/links/cds/anoga_Saglin-cds.txt","anoga_Saglin")</f>
        <v>anoga_Saglin</v>
      </c>
      <c r="B506">
        <v>1296</v>
      </c>
      <c r="C506" t="s">
        <v>441</v>
      </c>
      <c r="D506" t="s">
        <v>4</v>
      </c>
      <c r="E506" t="s">
        <v>5</v>
      </c>
      <c r="F506" t="s">
        <v>1</v>
      </c>
      <c r="G506" t="str">
        <f>HYPERLINK("http://exon.niaid.nih.gov/transcriptome/Anopheles_sialome/links/pep/anoga_Saglin-pep.txt","anoga_Saglin")</f>
        <v>anoga_Saglin</v>
      </c>
      <c r="H506">
        <v>431</v>
      </c>
      <c r="I506">
        <v>2</v>
      </c>
      <c r="J506" s="3" t="str">
        <f>HYPERLINK("http://exon.niaid.nih.gov/transcriptome/Anopheles_sialome/links/Sigp/anoga_Saglin-SigP.txt","SIG")</f>
        <v>SIG</v>
      </c>
      <c r="K506" t="s">
        <v>1783</v>
      </c>
      <c r="L506">
        <v>49.295999999999999</v>
      </c>
      <c r="M506">
        <v>8.77</v>
      </c>
      <c r="N506">
        <v>45.362000000000002</v>
      </c>
      <c r="O506">
        <v>7.28</v>
      </c>
      <c r="P506" t="s">
        <v>1784</v>
      </c>
      <c r="Q506" s="3">
        <v>0</v>
      </c>
      <c r="R506" t="s">
        <v>128</v>
      </c>
      <c r="S506" t="s">
        <v>128</v>
      </c>
      <c r="T506" t="s">
        <v>128</v>
      </c>
      <c r="U506" t="s">
        <v>128</v>
      </c>
      <c r="V506" t="s">
        <v>128</v>
      </c>
      <c r="W506" s="3" t="str">
        <f>HYPERLINK("http://exon.niaid.nih.gov/transcriptome/Anopheles_sialome/links/netoglyc/anoga_Saglin-netoglyc.txt","0")</f>
        <v>0</v>
      </c>
      <c r="X506">
        <v>10.7</v>
      </c>
      <c r="Y506">
        <v>3.9</v>
      </c>
      <c r="Z506">
        <v>3.5</v>
      </c>
      <c r="AA506" t="s">
        <v>654</v>
      </c>
      <c r="AB506" t="s">
        <v>1785</v>
      </c>
      <c r="AC506" s="2" t="str">
        <f>HYPERLINK("http://exon.niaid.nih.gov/transcriptome/Anopheles_sialome/links/DIPTERA/anoga_Saglin-DIPTERA.txt","AGAP000610-PA")</f>
        <v>AGAP000610-PA</v>
      </c>
      <c r="AD506" t="str">
        <f t="shared" ref="AD506:AD511" si="168">HYPERLINK("http://www.ncbi.nlm.nih.gov/sutils/blink.cgi?pid=333466867","0.0")</f>
        <v>0.0</v>
      </c>
      <c r="AE506" t="str">
        <f t="shared" ref="AE506:AE511" si="169">HYPERLINK("http://www.ncbi.nlm.nih.gov/protein/333466867","gi|333466867")</f>
        <v>gi|333466867</v>
      </c>
      <c r="AF506">
        <v>100</v>
      </c>
      <c r="AG506">
        <v>100</v>
      </c>
      <c r="AH506">
        <v>100</v>
      </c>
      <c r="AI506" t="s">
        <v>2285</v>
      </c>
      <c r="AJ506" s="2" t="str">
        <f>HYPERLINK("http://exon.niaid.nih.gov/transcriptome/Anopheles_sialome/links/CULICOMORPHA/anoga_Saglin-CULICOMORPHA.txt","AGAP000610-PA")</f>
        <v>AGAP000610-PA</v>
      </c>
      <c r="AK506" t="str">
        <f t="shared" ref="AK506:AK511" si="170">HYPERLINK("http://www.ncbi.nlm.nih.gov/sutils/blink.cgi?pid=333466867","0.0")</f>
        <v>0.0</v>
      </c>
      <c r="AL506" t="str">
        <f t="shared" ref="AL506:AL511" si="171">HYPERLINK("http://www.ncbi.nlm.nih.gov/protein/333466867","gi|333466867")</f>
        <v>gi|333466867</v>
      </c>
      <c r="AM506">
        <v>100</v>
      </c>
      <c r="AN506">
        <v>100</v>
      </c>
      <c r="AO506">
        <v>100</v>
      </c>
      <c r="AP506" t="s">
        <v>2285</v>
      </c>
      <c r="AQ506" s="2" t="str">
        <f>HYPERLINK("http://exon.niaid.nih.gov/transcriptome/Anopheles_sialome/links/NR-LIGHT/anoga_Saglin-NR-LIGHT.txt","AGAP000610-PA")</f>
        <v>AGAP000610-PA</v>
      </c>
      <c r="AR506" t="str">
        <f t="shared" ref="AR506:AR511" si="172">HYPERLINK("http://www.ncbi.nlm.nih.gov/sutils/blink.cgi?pid=347964149","0.0")</f>
        <v>0.0</v>
      </c>
      <c r="AS506" t="str">
        <f t="shared" ref="AS506:AS511" si="173">HYPERLINK("http://www.ncbi.nlm.nih.gov/protein/347964149","gi|347964149")</f>
        <v>gi|347964149</v>
      </c>
      <c r="AT506">
        <v>100</v>
      </c>
      <c r="AU506">
        <v>100</v>
      </c>
      <c r="AV506">
        <v>100</v>
      </c>
      <c r="AW506" t="s">
        <v>2285</v>
      </c>
      <c r="AX506" s="2" t="str">
        <f>HYPERLINK("http://exon.niaid.nih.gov/transcriptome/Anopheles_sialome/links/CDD/anoga_Saglin-CDD.txt","PRK10920")</f>
        <v>PRK10920</v>
      </c>
      <c r="AY506" t="str">
        <f>HYPERLINK("http://www.ncbi.nlm.nih.gov/Structure/cdd/cddsrv.cgi?uid=PRK10920&amp;version=v4.0","0.76")</f>
        <v>0.76</v>
      </c>
      <c r="AZ506" t="s">
        <v>2892</v>
      </c>
      <c r="BA506" s="2" t="str">
        <f>HYPERLINK("http://exon.niaid.nih.gov/transcriptome/Anopheles_sialome/links/KOG/anoga_Saglin-KOG.txt","Myosin class II heavy chain")</f>
        <v>Myosin class II heavy chain</v>
      </c>
      <c r="BB506" t="str">
        <f>HYPERLINK("http://www.ncbi.nlm.nih.gov/Structure/cdd/cddsrv.cgi?uid=KOG0161","0.010")</f>
        <v>0.010</v>
      </c>
      <c r="BC506" t="s">
        <v>2312</v>
      </c>
      <c r="BD506" t="str">
        <f>HYPERLINK("http://exon.niaid.nih.gov/transcriptome/Anopheles_sialome/links/KOG/anoga_Saglin-KOG.txt","KOG0161")</f>
        <v>KOG0161</v>
      </c>
      <c r="BE506" t="str">
        <f>HYPERLINK("http://exon.niaid.nih.gov/transcriptome/Anopheles_sialome/links/PFAM/anoga_Saglin-PFAM.txt","HOOK")</f>
        <v>HOOK</v>
      </c>
      <c r="BF506" t="str">
        <f>HYPERLINK("http://pfam.sanger.ac.uk/family?acc=PF05622","0.32")</f>
        <v>0.32</v>
      </c>
      <c r="BG506" s="2" t="str">
        <f>HYPERLINK("http://exon.niaid.nih.gov/transcriptome/Anopheles_sialome/links/SMART/anoga_Saglin-SMART.txt","OmpH")</f>
        <v>OmpH</v>
      </c>
      <c r="BH506" t="str">
        <f>HYPERLINK("http://smart.embl-heidelberg.de/smart/do_annotation.pl?DOMAIN=OmpH&amp;BLAST=DUMMY","0.58")</f>
        <v>0.58</v>
      </c>
      <c r="BI506" t="str">
        <f>HYPERLINK("http://exon.niaid.nih.gov/transcriptome/Anopheles_sialome/links/TICK-BLOCKS/anoga_Saglin-TICK-BLOCKS.txt","SG1_full |SG1_stringent_pattern |")</f>
        <v>SG1_full |SG1_stringent_pattern |</v>
      </c>
      <c r="BJ506" s="2" t="s">
        <v>2423</v>
      </c>
      <c r="BK506" t="s">
        <v>1782</v>
      </c>
      <c r="BL506">
        <f>HYPERLINK("http://exon.niaid.nih.gov/transcriptome/Anopheles_sialome/links/cluster-b/anopheline-sialome-cds-pep-larger-orf25-50SimCLU3.txt", 3)</f>
        <v>3</v>
      </c>
      <c r="BM506">
        <f>HYPERLINK("http://exon.niaid.nih.gov/transcriptome/Anopheles_sialome/links/cluster-b/anopheline-sialome-cds-pep-larger-orf25-50SimCLTL3.txt", 119)</f>
        <v>119</v>
      </c>
      <c r="BN506">
        <f>HYPERLINK("http://exon.niaid.nih.gov/transcriptome/Anopheles_sialome/links/cluster-b/anopheline-sialome-cds-pep-larger-orf30-50SimCLU3.txt", 3)</f>
        <v>3</v>
      </c>
      <c r="BO506">
        <f>HYPERLINK("http://exon.niaid.nih.gov/transcriptome/Anopheles_sialome/links/cluster-b/anopheline-sialome-cds-pep-larger-orf30-50SimCLTL3.txt", 119)</f>
        <v>119</v>
      </c>
      <c r="BP506">
        <f>HYPERLINK("http://exon.niaid.nih.gov/transcriptome/Anopheles_sialome/links/cluster-b/anopheline-sialome-cds-pep-larger-orf35-50SimCLU2.txt", 2)</f>
        <v>2</v>
      </c>
      <c r="BQ506">
        <f>HYPERLINK("http://exon.niaid.nih.gov/transcriptome/Anopheles_sialome/links/cluster-b/anopheline-sialome-cds-pep-larger-orf35-50SimCLTL2.txt", 119)</f>
        <v>119</v>
      </c>
      <c r="BR506">
        <f>HYPERLINK("http://exon.niaid.nih.gov/transcriptome/Anopheles_sialome/links/cluster-b/anopheline-sialome-cds-pep-larger-orf40-50SimCLU1.txt", 1)</f>
        <v>1</v>
      </c>
      <c r="BS506">
        <f>HYPERLINK("http://exon.niaid.nih.gov/transcriptome/Anopheles_sialome/links/cluster-b/anopheline-sialome-cds-pep-larger-orf40-50SimCLTL1.txt", 119)</f>
        <v>119</v>
      </c>
      <c r="BT506">
        <f>HYPERLINK("http://exon.niaid.nih.gov/transcriptome/Anopheles_sialome/links/cluster-b/anopheline-sialome-cds-pep-larger-orf45-50SimCLU3.txt", 3)</f>
        <v>3</v>
      </c>
      <c r="BU506">
        <f>HYPERLINK("http://exon.niaid.nih.gov/transcriptome/Anopheles_sialome/links/cluster-b/anopheline-sialome-cds-pep-larger-orf45-50SimCLTL3.txt", 65)</f>
        <v>65</v>
      </c>
      <c r="BV506">
        <f>HYPERLINK("http://exon.niaid.nih.gov/transcriptome/Anopheles_sialome/links/cluster-b/anopheline-sialome-cds-pep-larger-orf50-50SimCLU3.txt", 3)</f>
        <v>3</v>
      </c>
      <c r="BW506">
        <f>HYPERLINK("http://exon.niaid.nih.gov/transcriptome/Anopheles_sialome/links/cluster-b/anopheline-sialome-cds-pep-larger-orf50-50SimCLTL3.txt", 48)</f>
        <v>48</v>
      </c>
      <c r="BX506">
        <f>HYPERLINK("http://exon.niaid.nih.gov/transcriptome/Anopheles_sialome/links/cluster-b/anopheline-sialome-cds-pep-larger-orf55-50SimCLU3.txt", 3)</f>
        <v>3</v>
      </c>
      <c r="BY506">
        <f>HYPERLINK("http://exon.niaid.nih.gov/transcriptome/Anopheles_sialome/links/cluster-b/anopheline-sialome-cds-pep-larger-orf55-50SimCLTL3.txt", 47)</f>
        <v>47</v>
      </c>
      <c r="BZ506">
        <f>HYPERLINK("http://exon.niaid.nih.gov/transcriptome/Anopheles_sialome/links/cluster-b/anopheline-sialome-cds-pep-larger-orf60-50SimCLU27.txt", 27)</f>
        <v>27</v>
      </c>
      <c r="CA506">
        <f>HYPERLINK("http://exon.niaid.nih.gov/transcriptome/Anopheles_sialome/links/cluster-b/anopheline-sialome-cds-pep-larger-orf60-50SimCLTL27.txt", 16)</f>
        <v>16</v>
      </c>
      <c r="CB506">
        <f>HYPERLINK("http://exon.niaid.nih.gov/transcriptome/Anopheles_sialome/links/cluster-b/anopheline-sialome-cds-pep-larger-orf65-50SimCLU29.txt", 29)</f>
        <v>29</v>
      </c>
      <c r="CC506">
        <f>HYPERLINK("http://exon.niaid.nih.gov/transcriptome/Anopheles_sialome/links/cluster-b/anopheline-sialome-cds-pep-larger-orf65-50SimCLTL29.txt", 15)</f>
        <v>15</v>
      </c>
      <c r="CD506">
        <f>HYPERLINK("http://exon.niaid.nih.gov/transcriptome/Anopheles_sialome/links/cluster-b/anopheline-sialome-cds-pep-larger-orf70-50SimCLU26.txt", 26)</f>
        <v>26</v>
      </c>
      <c r="CE506">
        <f>HYPERLINK("http://exon.niaid.nih.gov/transcriptome/Anopheles_sialome/links/cluster-b/anopheline-sialome-cds-pep-larger-orf70-50SimCLTL26.txt", 15)</f>
        <v>15</v>
      </c>
      <c r="CF506">
        <f>HYPERLINK("http://exon.niaid.nih.gov/transcriptome/Anopheles_sialome/links/cluster-b/anopheline-sialome-cds-pep-larger-orf75-50SimCLU35.txt", 35)</f>
        <v>35</v>
      </c>
      <c r="CG506">
        <f>HYPERLINK("http://exon.niaid.nih.gov/transcriptome/Anopheles_sialome/links/cluster-b/anopheline-sialome-cds-pep-larger-orf75-50SimCLTL35.txt", 8)</f>
        <v>8</v>
      </c>
      <c r="CH506">
        <f>HYPERLINK("http://exon.niaid.nih.gov/transcriptome/Anopheles_sialome/links/cluster-b/anopheline-sialome-cds-pep-larger-orf80-50SimCLU43.txt", 43)</f>
        <v>43</v>
      </c>
      <c r="CI506">
        <f>HYPERLINK("http://exon.niaid.nih.gov/transcriptome/Anopheles_sialome/links/cluster-b/anopheline-sialome-cds-pep-larger-orf80-50SimCLTL43.txt", 6)</f>
        <v>6</v>
      </c>
      <c r="CJ506">
        <f>HYPERLINK("http://exon.niaid.nih.gov/transcriptome/Anopheles_sialome/links/cluster-b/anopheline-sialome-cds-pep-larger-orf85-50SimCLU42.txt", 42)</f>
        <v>42</v>
      </c>
      <c r="CK506">
        <f>HYPERLINK("http://exon.niaid.nih.gov/transcriptome/Anopheles_sialome/links/cluster-b/anopheline-sialome-cds-pep-larger-orf85-50SimCLTL42.txt", 6)</f>
        <v>6</v>
      </c>
      <c r="CL506">
        <f>HYPERLINK("http://exon.niaid.nih.gov/transcriptome/Anopheles_sialome/links/cluster-b/anopheline-sialome-cds-pep-larger-orf90-50SimCLU46.txt", 46)</f>
        <v>46</v>
      </c>
      <c r="CM506">
        <f>HYPERLINK("http://exon.niaid.nih.gov/transcriptome/Anopheles_sialome/links/cluster-b/anopheline-sialome-cds-pep-larger-orf90-50SimCLTL46.txt", 5)</f>
        <v>5</v>
      </c>
      <c r="CN506">
        <f>HYPERLINK("http://exon.niaid.nih.gov/transcriptome/Anopheles_sialome/links/cluster-b/anopheline-sialome-cds-pep-larger-orf95-50SimCLU43.txt", 43)</f>
        <v>43</v>
      </c>
      <c r="CO506">
        <f>HYPERLINK("http://exon.niaid.nih.gov/transcriptome/Anopheles_sialome/links/cluster-b/anopheline-sialome-cds-pep-larger-orf95-50SimCLTL43.txt", 5)</f>
        <v>5</v>
      </c>
    </row>
    <row r="507" spans="1:93">
      <c r="A507" s="2" t="str">
        <f>HYPERLINK("http://exon.niaid.nih.gov/transcriptome/Anopheles_sialome/links/cds/anocol_Saglin-cds.txt","anocol_Saglin")</f>
        <v>anocol_Saglin</v>
      </c>
      <c r="B507">
        <v>1152</v>
      </c>
      <c r="C507" t="s">
        <v>442</v>
      </c>
      <c r="D507" t="s">
        <v>7</v>
      </c>
      <c r="E507" t="s">
        <v>5</v>
      </c>
      <c r="F507" t="s">
        <v>1</v>
      </c>
      <c r="G507" t="str">
        <f>HYPERLINK("http://exon.niaid.nih.gov/transcriptome/Anopheles_sialome/links/pep/anocol_Saglin-pep.txt","anocol_Saglin")</f>
        <v>anocol_Saglin</v>
      </c>
      <c r="H507">
        <v>383</v>
      </c>
      <c r="I507">
        <v>2</v>
      </c>
      <c r="J507" s="3" t="str">
        <f>HYPERLINK("http://exon.niaid.nih.gov/transcriptome/Anopheles_sialome/links/Sigp/anocol_Saglin-SigP.txt","SIG")</f>
        <v>SIG</v>
      </c>
      <c r="K507" t="s">
        <v>1783</v>
      </c>
      <c r="L507">
        <v>43.895000000000003</v>
      </c>
      <c r="M507">
        <v>7.13</v>
      </c>
      <c r="N507">
        <v>39.896999999999998</v>
      </c>
      <c r="O507">
        <v>6.13</v>
      </c>
      <c r="P507" t="s">
        <v>1787</v>
      </c>
      <c r="Q507" s="3">
        <v>0</v>
      </c>
      <c r="R507" t="s">
        <v>128</v>
      </c>
      <c r="S507" t="s">
        <v>128</v>
      </c>
      <c r="T507" t="s">
        <v>128</v>
      </c>
      <c r="U507" t="s">
        <v>128</v>
      </c>
      <c r="V507" t="s">
        <v>128</v>
      </c>
      <c r="W507" s="3" t="str">
        <f>HYPERLINK("http://exon.niaid.nih.gov/transcriptome/Anopheles_sialome/links/netoglyc/anocol_Saglin-netoglyc.txt","0")</f>
        <v>0</v>
      </c>
      <c r="X507">
        <v>10.7</v>
      </c>
      <c r="Y507">
        <v>2.9</v>
      </c>
      <c r="Z507">
        <v>3.9</v>
      </c>
      <c r="AA507" t="s">
        <v>654</v>
      </c>
      <c r="AB507" t="s">
        <v>1785</v>
      </c>
      <c r="AC507" s="2" t="str">
        <f>HYPERLINK("http://exon.niaid.nih.gov/transcriptome/Anopheles_sialome/links/DIPTERA/anocol_Saglin-DIPTERA.txt","AGAP000610-PA")</f>
        <v>AGAP000610-PA</v>
      </c>
      <c r="AD507" t="str">
        <f t="shared" si="168"/>
        <v>0.0</v>
      </c>
      <c r="AE507" t="str">
        <f t="shared" si="169"/>
        <v>gi|333466867</v>
      </c>
      <c r="AF507">
        <v>99</v>
      </c>
      <c r="AG507">
        <v>99</v>
      </c>
      <c r="AH507">
        <v>89</v>
      </c>
      <c r="AI507" t="s">
        <v>2285</v>
      </c>
      <c r="AJ507" s="2" t="str">
        <f>HYPERLINK("http://exon.niaid.nih.gov/transcriptome/Anopheles_sialome/links/CULICOMORPHA/anocol_Saglin-CULICOMORPHA.txt","AGAP000610-PA")</f>
        <v>AGAP000610-PA</v>
      </c>
      <c r="AK507" t="str">
        <f t="shared" si="170"/>
        <v>0.0</v>
      </c>
      <c r="AL507" t="str">
        <f t="shared" si="171"/>
        <v>gi|333466867</v>
      </c>
      <c r="AM507">
        <v>99</v>
      </c>
      <c r="AN507">
        <v>99</v>
      </c>
      <c r="AO507">
        <v>89</v>
      </c>
      <c r="AP507" t="s">
        <v>2285</v>
      </c>
      <c r="AQ507" s="2" t="str">
        <f>HYPERLINK("http://exon.niaid.nih.gov/transcriptome/Anopheles_sialome/links/NR-LIGHT/anocol_Saglin-NR-LIGHT.txt","AGAP000610-PA")</f>
        <v>AGAP000610-PA</v>
      </c>
      <c r="AR507" t="str">
        <f t="shared" si="172"/>
        <v>0.0</v>
      </c>
      <c r="AS507" t="str">
        <f t="shared" si="173"/>
        <v>gi|347964149</v>
      </c>
      <c r="AT507">
        <v>99</v>
      </c>
      <c r="AU507">
        <v>99</v>
      </c>
      <c r="AV507">
        <v>89</v>
      </c>
      <c r="AW507" t="s">
        <v>2285</v>
      </c>
      <c r="AX507" s="2" t="str">
        <f>HYPERLINK("http://exon.niaid.nih.gov/transcriptome/Anopheles_sialome/links/CDD/anocol_Saglin-CDD.txt","PRK10920")</f>
        <v>PRK10920</v>
      </c>
      <c r="AY507" t="str">
        <f>HYPERLINK("http://www.ncbi.nlm.nih.gov/Structure/cdd/cddsrv.cgi?uid=PRK10920&amp;version=v4.0","0.94")</f>
        <v>0.94</v>
      </c>
      <c r="AZ507" t="s">
        <v>2892</v>
      </c>
      <c r="BA507" s="2" t="str">
        <f>HYPERLINK("http://exon.niaid.nih.gov/transcriptome/Anopheles_sialome/links/KOG/anocol_Saglin-KOG.txt","Myosin class II heavy chain")</f>
        <v>Myosin class II heavy chain</v>
      </c>
      <c r="BB507" t="str">
        <f>HYPERLINK("http://www.ncbi.nlm.nih.gov/Structure/cdd/cddsrv.cgi?uid=KOG0161","0.009")</f>
        <v>0.009</v>
      </c>
      <c r="BC507" t="s">
        <v>2312</v>
      </c>
      <c r="BD507" t="str">
        <f>HYPERLINK("http://exon.niaid.nih.gov/transcriptome/Anopheles_sialome/links/KOG/anocol_Saglin-KOG.txt","KOG0161")</f>
        <v>KOG0161</v>
      </c>
      <c r="BE507" t="str">
        <f>HYPERLINK("http://exon.niaid.nih.gov/transcriptome/Anopheles_sialome/links/PFAM/anocol_Saglin-PFAM.txt","HOOK")</f>
        <v>HOOK</v>
      </c>
      <c r="BF507" t="str">
        <f>HYPERLINK("http://pfam.sanger.ac.uk/family?acc=PF05622","0.33")</f>
        <v>0.33</v>
      </c>
      <c r="BG507" s="2" t="str">
        <f>HYPERLINK("http://exon.niaid.nih.gov/transcriptome/Anopheles_sialome/links/SMART/anocol_Saglin-SMART.txt","OmpH")</f>
        <v>OmpH</v>
      </c>
      <c r="BH507" t="str">
        <f>HYPERLINK("http://smart.embl-heidelberg.de/smart/do_annotation.pl?DOMAIN=OmpH&amp;BLAST=DUMMY","0.54")</f>
        <v>0.54</v>
      </c>
      <c r="BI507" t="s">
        <v>128</v>
      </c>
      <c r="BJ507" s="2" t="s">
        <v>128</v>
      </c>
      <c r="BK507" t="s">
        <v>1786</v>
      </c>
      <c r="BL507">
        <f>HYPERLINK("http://exon.niaid.nih.gov/transcriptome/Anopheles_sialome/links/cluster-b/anopheline-sialome-cds-pep-larger-orf25-50SimCLU3.txt", 3)</f>
        <v>3</v>
      </c>
      <c r="BM507">
        <f>HYPERLINK("http://exon.niaid.nih.gov/transcriptome/Anopheles_sialome/links/cluster-b/anopheline-sialome-cds-pep-larger-orf25-50SimCLTL3.txt", 119)</f>
        <v>119</v>
      </c>
      <c r="BN507">
        <f>HYPERLINK("http://exon.niaid.nih.gov/transcriptome/Anopheles_sialome/links/cluster-b/anopheline-sialome-cds-pep-larger-orf30-50SimCLU3.txt", 3)</f>
        <v>3</v>
      </c>
      <c r="BO507">
        <f>HYPERLINK("http://exon.niaid.nih.gov/transcriptome/Anopheles_sialome/links/cluster-b/anopheline-sialome-cds-pep-larger-orf30-50SimCLTL3.txt", 119)</f>
        <v>119</v>
      </c>
      <c r="BP507">
        <f>HYPERLINK("http://exon.niaid.nih.gov/transcriptome/Anopheles_sialome/links/cluster-b/anopheline-sialome-cds-pep-larger-orf35-50SimCLU2.txt", 2)</f>
        <v>2</v>
      </c>
      <c r="BQ507">
        <f>HYPERLINK("http://exon.niaid.nih.gov/transcriptome/Anopheles_sialome/links/cluster-b/anopheline-sialome-cds-pep-larger-orf35-50SimCLTL2.txt", 119)</f>
        <v>119</v>
      </c>
      <c r="BR507">
        <f>HYPERLINK("http://exon.niaid.nih.gov/transcriptome/Anopheles_sialome/links/cluster-b/anopheline-sialome-cds-pep-larger-orf40-50SimCLU1.txt", 1)</f>
        <v>1</v>
      </c>
      <c r="BS507">
        <f>HYPERLINK("http://exon.niaid.nih.gov/transcriptome/Anopheles_sialome/links/cluster-b/anopheline-sialome-cds-pep-larger-orf40-50SimCLTL1.txt", 119)</f>
        <v>119</v>
      </c>
      <c r="BT507">
        <f>HYPERLINK("http://exon.niaid.nih.gov/transcriptome/Anopheles_sialome/links/cluster-b/anopheline-sialome-cds-pep-larger-orf45-50SimCLU3.txt", 3)</f>
        <v>3</v>
      </c>
      <c r="BU507">
        <f>HYPERLINK("http://exon.niaid.nih.gov/transcriptome/Anopheles_sialome/links/cluster-b/anopheline-sialome-cds-pep-larger-orf45-50SimCLTL3.txt", 65)</f>
        <v>65</v>
      </c>
      <c r="BV507">
        <f>HYPERLINK("http://exon.niaid.nih.gov/transcriptome/Anopheles_sialome/links/cluster-b/anopheline-sialome-cds-pep-larger-orf50-50SimCLU3.txt", 3)</f>
        <v>3</v>
      </c>
      <c r="BW507">
        <f>HYPERLINK("http://exon.niaid.nih.gov/transcriptome/Anopheles_sialome/links/cluster-b/anopheline-sialome-cds-pep-larger-orf50-50SimCLTL3.txt", 48)</f>
        <v>48</v>
      </c>
      <c r="BX507">
        <f>HYPERLINK("http://exon.niaid.nih.gov/transcriptome/Anopheles_sialome/links/cluster-b/anopheline-sialome-cds-pep-larger-orf55-50SimCLU3.txt", 3)</f>
        <v>3</v>
      </c>
      <c r="BY507">
        <f>HYPERLINK("http://exon.niaid.nih.gov/transcriptome/Anopheles_sialome/links/cluster-b/anopheline-sialome-cds-pep-larger-orf55-50SimCLTL3.txt", 47)</f>
        <v>47</v>
      </c>
      <c r="BZ507">
        <f>HYPERLINK("http://exon.niaid.nih.gov/transcriptome/Anopheles_sialome/links/cluster-b/anopheline-sialome-cds-pep-larger-orf60-50SimCLU27.txt", 27)</f>
        <v>27</v>
      </c>
      <c r="CA507">
        <f>HYPERLINK("http://exon.niaid.nih.gov/transcriptome/Anopheles_sialome/links/cluster-b/anopheline-sialome-cds-pep-larger-orf60-50SimCLTL27.txt", 16)</f>
        <v>16</v>
      </c>
      <c r="CB507">
        <f>HYPERLINK("http://exon.niaid.nih.gov/transcriptome/Anopheles_sialome/links/cluster-b/anopheline-sialome-cds-pep-larger-orf65-50SimCLU29.txt", 29)</f>
        <v>29</v>
      </c>
      <c r="CC507">
        <f>HYPERLINK("http://exon.niaid.nih.gov/transcriptome/Anopheles_sialome/links/cluster-b/anopheline-sialome-cds-pep-larger-orf65-50SimCLTL29.txt", 15)</f>
        <v>15</v>
      </c>
      <c r="CD507">
        <f>HYPERLINK("http://exon.niaid.nih.gov/transcriptome/Anopheles_sialome/links/cluster-b/anopheline-sialome-cds-pep-larger-orf70-50SimCLU26.txt", 26)</f>
        <v>26</v>
      </c>
      <c r="CE507">
        <f>HYPERLINK("http://exon.niaid.nih.gov/transcriptome/Anopheles_sialome/links/cluster-b/anopheline-sialome-cds-pep-larger-orf70-50SimCLTL26.txt", 15)</f>
        <v>15</v>
      </c>
      <c r="CF507">
        <f>HYPERLINK("http://exon.niaid.nih.gov/transcriptome/Anopheles_sialome/links/cluster-b/anopheline-sialome-cds-pep-larger-orf75-50SimCLU35.txt", 35)</f>
        <v>35</v>
      </c>
      <c r="CG507">
        <f>HYPERLINK("http://exon.niaid.nih.gov/transcriptome/Anopheles_sialome/links/cluster-b/anopheline-sialome-cds-pep-larger-orf75-50SimCLTL35.txt", 8)</f>
        <v>8</v>
      </c>
      <c r="CH507">
        <f>HYPERLINK("http://exon.niaid.nih.gov/transcriptome/Anopheles_sialome/links/cluster-b/anopheline-sialome-cds-pep-larger-orf80-50SimCLU43.txt", 43)</f>
        <v>43</v>
      </c>
      <c r="CI507">
        <f>HYPERLINK("http://exon.niaid.nih.gov/transcriptome/Anopheles_sialome/links/cluster-b/anopheline-sialome-cds-pep-larger-orf80-50SimCLTL43.txt", 6)</f>
        <v>6</v>
      </c>
      <c r="CJ507">
        <f>HYPERLINK("http://exon.niaid.nih.gov/transcriptome/Anopheles_sialome/links/cluster-b/anopheline-sialome-cds-pep-larger-orf85-50SimCLU42.txt", 42)</f>
        <v>42</v>
      </c>
      <c r="CK507">
        <f>HYPERLINK("http://exon.niaid.nih.gov/transcriptome/Anopheles_sialome/links/cluster-b/anopheline-sialome-cds-pep-larger-orf85-50SimCLTL42.txt", 6)</f>
        <v>6</v>
      </c>
      <c r="CL507">
        <v>336</v>
      </c>
      <c r="CM507">
        <v>1</v>
      </c>
      <c r="CN507">
        <v>407</v>
      </c>
      <c r="CO507">
        <v>1</v>
      </c>
    </row>
    <row r="508" spans="1:93">
      <c r="A508" s="2" t="str">
        <f>HYPERLINK("http://exon.niaid.nih.gov/transcriptome/Anopheles_sialome/links/cds/anoara_Saglin-cds.txt","anoara_Saglin")</f>
        <v>anoara_Saglin</v>
      </c>
      <c r="B508">
        <v>1296</v>
      </c>
      <c r="C508" t="s">
        <v>420</v>
      </c>
      <c r="D508" t="s">
        <v>443</v>
      </c>
      <c r="E508" t="s">
        <v>128</v>
      </c>
      <c r="F508" t="s">
        <v>1</v>
      </c>
      <c r="G508" t="str">
        <f>HYPERLINK("http://exon.niaid.nih.gov/transcriptome/Anopheles_sialome/links/pep/anoara_Saglin-pep.txt","anoara_Saglin")</f>
        <v>anoara_Saglin</v>
      </c>
      <c r="H508">
        <v>431</v>
      </c>
      <c r="I508">
        <v>2</v>
      </c>
      <c r="J508" s="3" t="str">
        <f>HYPERLINK("http://exon.niaid.nih.gov/transcriptome/Anopheles_sialome/links/Sigp/anoara_Saglin-SigP.txt","SIG")</f>
        <v>SIG</v>
      </c>
      <c r="K508" t="s">
        <v>1789</v>
      </c>
      <c r="L508">
        <v>49.283999999999999</v>
      </c>
      <c r="M508">
        <v>8.19</v>
      </c>
      <c r="N508">
        <v>45.158999999999999</v>
      </c>
      <c r="O508">
        <v>6.36</v>
      </c>
      <c r="P508" t="s">
        <v>1790</v>
      </c>
      <c r="Q508" s="3">
        <v>0</v>
      </c>
      <c r="R508" t="s">
        <v>128</v>
      </c>
      <c r="S508" t="s">
        <v>128</v>
      </c>
      <c r="T508" t="s">
        <v>128</v>
      </c>
      <c r="U508" t="s">
        <v>128</v>
      </c>
      <c r="V508" t="s">
        <v>128</v>
      </c>
      <c r="W508" s="3" t="str">
        <f>HYPERLINK("http://exon.niaid.nih.gov/transcriptome/Anopheles_sialome/links/netoglyc/anoara_Saglin-netoglyc.txt","0")</f>
        <v>0</v>
      </c>
      <c r="X508">
        <v>10.7</v>
      </c>
      <c r="Y508">
        <v>3.9</v>
      </c>
      <c r="Z508">
        <v>3.7</v>
      </c>
      <c r="AA508" t="s">
        <v>654</v>
      </c>
      <c r="AB508" t="s">
        <v>1785</v>
      </c>
      <c r="AC508" s="2" t="str">
        <f>HYPERLINK("http://exon.niaid.nih.gov/transcriptome/Anopheles_sialome/links/DIPTERA/anoara_Saglin-DIPTERA.txt","AGAP000610-PA")</f>
        <v>AGAP000610-PA</v>
      </c>
      <c r="AD508" t="str">
        <f t="shared" si="168"/>
        <v>0.0</v>
      </c>
      <c r="AE508" t="str">
        <f t="shared" si="169"/>
        <v>gi|333466867</v>
      </c>
      <c r="AF508">
        <v>95</v>
      </c>
      <c r="AG508">
        <v>98</v>
      </c>
      <c r="AH508">
        <v>100</v>
      </c>
      <c r="AI508" t="s">
        <v>2285</v>
      </c>
      <c r="AJ508" s="2" t="str">
        <f>HYPERLINK("http://exon.niaid.nih.gov/transcriptome/Anopheles_sialome/links/CULICOMORPHA/anoara_Saglin-CULICOMORPHA.txt","AGAP000610-PA")</f>
        <v>AGAP000610-PA</v>
      </c>
      <c r="AK508" t="str">
        <f t="shared" si="170"/>
        <v>0.0</v>
      </c>
      <c r="AL508" t="str">
        <f t="shared" si="171"/>
        <v>gi|333466867</v>
      </c>
      <c r="AM508">
        <v>95</v>
      </c>
      <c r="AN508">
        <v>98</v>
      </c>
      <c r="AO508">
        <v>100</v>
      </c>
      <c r="AP508" t="s">
        <v>2285</v>
      </c>
      <c r="AQ508" s="2" t="str">
        <f>HYPERLINK("http://exon.niaid.nih.gov/transcriptome/Anopheles_sialome/links/NR-LIGHT/anoara_Saglin-NR-LIGHT.txt","AGAP000610-PA")</f>
        <v>AGAP000610-PA</v>
      </c>
      <c r="AR508" t="str">
        <f t="shared" si="172"/>
        <v>0.0</v>
      </c>
      <c r="AS508" t="str">
        <f t="shared" si="173"/>
        <v>gi|347964149</v>
      </c>
      <c r="AT508">
        <v>95</v>
      </c>
      <c r="AU508">
        <v>98</v>
      </c>
      <c r="AV508">
        <v>100</v>
      </c>
      <c r="AW508" t="s">
        <v>2285</v>
      </c>
      <c r="AX508" s="2" t="str">
        <f>HYPERLINK("http://exon.niaid.nih.gov/transcriptome/Anopheles_sialome/links/CDD/anoara_Saglin-CDD.txt","PRK10920")</f>
        <v>PRK10920</v>
      </c>
      <c r="AY508" t="str">
        <f>HYPERLINK("http://www.ncbi.nlm.nih.gov/Structure/cdd/cddsrv.cgi?uid=PRK10920&amp;version=v4.0","1.1")</f>
        <v>1.1</v>
      </c>
      <c r="AZ508" t="s">
        <v>2893</v>
      </c>
      <c r="BA508" s="2" t="str">
        <f>HYPERLINK("http://exon.niaid.nih.gov/transcriptome/Anopheles_sialome/links/KOG/anoara_Saglin-KOG.txt","Myosin class II heavy chain")</f>
        <v>Myosin class II heavy chain</v>
      </c>
      <c r="BB508" t="str">
        <f>HYPERLINK("http://www.ncbi.nlm.nih.gov/Structure/cdd/cddsrv.cgi?uid=KOG0161","0.014")</f>
        <v>0.014</v>
      </c>
      <c r="BC508" t="s">
        <v>2312</v>
      </c>
      <c r="BD508" t="str">
        <f>HYPERLINK("http://exon.niaid.nih.gov/transcriptome/Anopheles_sialome/links/KOG/anoara_Saglin-KOG.txt","KOG0161")</f>
        <v>KOG0161</v>
      </c>
      <c r="BE508" t="str">
        <f>HYPERLINK("http://exon.niaid.nih.gov/transcriptome/Anopheles_sialome/links/PFAM/anoara_Saglin-PFAM.txt","HOOK")</f>
        <v>HOOK</v>
      </c>
      <c r="BF508" t="str">
        <f>HYPERLINK("http://pfam.sanger.ac.uk/family?acc=PF05622","0.25")</f>
        <v>0.25</v>
      </c>
      <c r="BG508" s="2" t="str">
        <f>HYPERLINK("http://exon.niaid.nih.gov/transcriptome/Anopheles_sialome/links/SMART/anoara_Saglin-SMART.txt","OmpH")</f>
        <v>OmpH</v>
      </c>
      <c r="BH508" t="str">
        <f>HYPERLINK("http://smart.embl-heidelberg.de/smart/do_annotation.pl?DOMAIN=OmpH&amp;BLAST=DUMMY","0.75")</f>
        <v>0.75</v>
      </c>
      <c r="BI508" t="str">
        <f>HYPERLINK("http://exon.niaid.nih.gov/transcriptome/Anopheles_sialome/links/TICK-BLOCKS/anoara_Saglin-TICK-BLOCKS.txt","SG1_full |SG1_stringent_pattern |")</f>
        <v>SG1_full |SG1_stringent_pattern |</v>
      </c>
      <c r="BJ508" s="2" t="s">
        <v>2423</v>
      </c>
      <c r="BK508" t="s">
        <v>1788</v>
      </c>
      <c r="BL508">
        <f>HYPERLINK("http://exon.niaid.nih.gov/transcriptome/Anopheles_sialome/links/cluster-b/anopheline-sialome-cds-pep-larger-orf25-50SimCLU3.txt", 3)</f>
        <v>3</v>
      </c>
      <c r="BM508">
        <f>HYPERLINK("http://exon.niaid.nih.gov/transcriptome/Anopheles_sialome/links/cluster-b/anopheline-sialome-cds-pep-larger-orf25-50SimCLTL3.txt", 119)</f>
        <v>119</v>
      </c>
      <c r="BN508">
        <f>HYPERLINK("http://exon.niaid.nih.gov/transcriptome/Anopheles_sialome/links/cluster-b/anopheline-sialome-cds-pep-larger-orf30-50SimCLU3.txt", 3)</f>
        <v>3</v>
      </c>
      <c r="BO508">
        <f>HYPERLINK("http://exon.niaid.nih.gov/transcriptome/Anopheles_sialome/links/cluster-b/anopheline-sialome-cds-pep-larger-orf30-50SimCLTL3.txt", 119)</f>
        <v>119</v>
      </c>
      <c r="BP508">
        <f>HYPERLINK("http://exon.niaid.nih.gov/transcriptome/Anopheles_sialome/links/cluster-b/anopheline-sialome-cds-pep-larger-orf35-50SimCLU2.txt", 2)</f>
        <v>2</v>
      </c>
      <c r="BQ508">
        <f>HYPERLINK("http://exon.niaid.nih.gov/transcriptome/Anopheles_sialome/links/cluster-b/anopheline-sialome-cds-pep-larger-orf35-50SimCLTL2.txt", 119)</f>
        <v>119</v>
      </c>
      <c r="BR508">
        <f>HYPERLINK("http://exon.niaid.nih.gov/transcriptome/Anopheles_sialome/links/cluster-b/anopheline-sialome-cds-pep-larger-orf40-50SimCLU1.txt", 1)</f>
        <v>1</v>
      </c>
      <c r="BS508">
        <f>HYPERLINK("http://exon.niaid.nih.gov/transcriptome/Anopheles_sialome/links/cluster-b/anopheline-sialome-cds-pep-larger-orf40-50SimCLTL1.txt", 119)</f>
        <v>119</v>
      </c>
      <c r="BT508">
        <f>HYPERLINK("http://exon.niaid.nih.gov/transcriptome/Anopheles_sialome/links/cluster-b/anopheline-sialome-cds-pep-larger-orf45-50SimCLU3.txt", 3)</f>
        <v>3</v>
      </c>
      <c r="BU508">
        <f>HYPERLINK("http://exon.niaid.nih.gov/transcriptome/Anopheles_sialome/links/cluster-b/anopheline-sialome-cds-pep-larger-orf45-50SimCLTL3.txt", 65)</f>
        <v>65</v>
      </c>
      <c r="BV508">
        <f>HYPERLINK("http://exon.niaid.nih.gov/transcriptome/Anopheles_sialome/links/cluster-b/anopheline-sialome-cds-pep-larger-orf50-50SimCLU3.txt", 3)</f>
        <v>3</v>
      </c>
      <c r="BW508">
        <f>HYPERLINK("http://exon.niaid.nih.gov/transcriptome/Anopheles_sialome/links/cluster-b/anopheline-sialome-cds-pep-larger-orf50-50SimCLTL3.txt", 48)</f>
        <v>48</v>
      </c>
      <c r="BX508">
        <f>HYPERLINK("http://exon.niaid.nih.gov/transcriptome/Anopheles_sialome/links/cluster-b/anopheline-sialome-cds-pep-larger-orf55-50SimCLU3.txt", 3)</f>
        <v>3</v>
      </c>
      <c r="BY508">
        <f>HYPERLINK("http://exon.niaid.nih.gov/transcriptome/Anopheles_sialome/links/cluster-b/anopheline-sialome-cds-pep-larger-orf55-50SimCLTL3.txt", 47)</f>
        <v>47</v>
      </c>
      <c r="BZ508">
        <f>HYPERLINK("http://exon.niaid.nih.gov/transcriptome/Anopheles_sialome/links/cluster-b/anopheline-sialome-cds-pep-larger-orf60-50SimCLU27.txt", 27)</f>
        <v>27</v>
      </c>
      <c r="CA508">
        <f>HYPERLINK("http://exon.niaid.nih.gov/transcriptome/Anopheles_sialome/links/cluster-b/anopheline-sialome-cds-pep-larger-orf60-50SimCLTL27.txt", 16)</f>
        <v>16</v>
      </c>
      <c r="CB508">
        <f>HYPERLINK("http://exon.niaid.nih.gov/transcriptome/Anopheles_sialome/links/cluster-b/anopheline-sialome-cds-pep-larger-orf65-50SimCLU29.txt", 29)</f>
        <v>29</v>
      </c>
      <c r="CC508">
        <f>HYPERLINK("http://exon.niaid.nih.gov/transcriptome/Anopheles_sialome/links/cluster-b/anopheline-sialome-cds-pep-larger-orf65-50SimCLTL29.txt", 15)</f>
        <v>15</v>
      </c>
      <c r="CD508">
        <f>HYPERLINK("http://exon.niaid.nih.gov/transcriptome/Anopheles_sialome/links/cluster-b/anopheline-sialome-cds-pep-larger-orf70-50SimCLU26.txt", 26)</f>
        <v>26</v>
      </c>
      <c r="CE508">
        <f>HYPERLINK("http://exon.niaid.nih.gov/transcriptome/Anopheles_sialome/links/cluster-b/anopheline-sialome-cds-pep-larger-orf70-50SimCLTL26.txt", 15)</f>
        <v>15</v>
      </c>
      <c r="CF508">
        <f>HYPERLINK("http://exon.niaid.nih.gov/transcriptome/Anopheles_sialome/links/cluster-b/anopheline-sialome-cds-pep-larger-orf75-50SimCLU35.txt", 35)</f>
        <v>35</v>
      </c>
      <c r="CG508">
        <f>HYPERLINK("http://exon.niaid.nih.gov/transcriptome/Anopheles_sialome/links/cluster-b/anopheline-sialome-cds-pep-larger-orf75-50SimCLTL35.txt", 8)</f>
        <v>8</v>
      </c>
      <c r="CH508">
        <f>HYPERLINK("http://exon.niaid.nih.gov/transcriptome/Anopheles_sialome/links/cluster-b/anopheline-sialome-cds-pep-larger-orf80-50SimCLU43.txt", 43)</f>
        <v>43</v>
      </c>
      <c r="CI508">
        <f>HYPERLINK("http://exon.niaid.nih.gov/transcriptome/Anopheles_sialome/links/cluster-b/anopheline-sialome-cds-pep-larger-orf80-50SimCLTL43.txt", 6)</f>
        <v>6</v>
      </c>
      <c r="CJ508">
        <f>HYPERLINK("http://exon.niaid.nih.gov/transcriptome/Anopheles_sialome/links/cluster-b/anopheline-sialome-cds-pep-larger-orf85-50SimCLU42.txt", 42)</f>
        <v>42</v>
      </c>
      <c r="CK508">
        <f>HYPERLINK("http://exon.niaid.nih.gov/transcriptome/Anopheles_sialome/links/cluster-b/anopheline-sialome-cds-pep-larger-orf85-50SimCLTL42.txt", 6)</f>
        <v>6</v>
      </c>
      <c r="CL508">
        <f>HYPERLINK("http://exon.niaid.nih.gov/transcriptome/Anopheles_sialome/links/cluster-b/anopheline-sialome-cds-pep-larger-orf90-50SimCLU46.txt", 46)</f>
        <v>46</v>
      </c>
      <c r="CM508">
        <f>HYPERLINK("http://exon.niaid.nih.gov/transcriptome/Anopheles_sialome/links/cluster-b/anopheline-sialome-cds-pep-larger-orf90-50SimCLTL46.txt", 5)</f>
        <v>5</v>
      </c>
      <c r="CN508">
        <f>HYPERLINK("http://exon.niaid.nih.gov/transcriptome/Anopheles_sialome/links/cluster-b/anopheline-sialome-cds-pep-larger-orf95-50SimCLU43.txt", 43)</f>
        <v>43</v>
      </c>
      <c r="CO508">
        <f>HYPERLINK("http://exon.niaid.nih.gov/transcriptome/Anopheles_sialome/links/cluster-b/anopheline-sialome-cds-pep-larger-orf95-50SimCLTL43.txt", 5)</f>
        <v>5</v>
      </c>
    </row>
    <row r="509" spans="1:93">
      <c r="A509" s="2" t="str">
        <f>HYPERLINK("http://exon.niaid.nih.gov/transcriptome/Anopheles_sialome/links/cds/anoqua_Saglin-cds.txt","anoqua_Saglin")</f>
        <v>anoqua_Saglin</v>
      </c>
      <c r="B509">
        <v>1296</v>
      </c>
      <c r="C509" t="s">
        <v>421</v>
      </c>
      <c r="D509" t="s">
        <v>7</v>
      </c>
      <c r="E509" t="s">
        <v>5</v>
      </c>
      <c r="F509" t="s">
        <v>1</v>
      </c>
      <c r="G509" t="str">
        <f>HYPERLINK("http://exon.niaid.nih.gov/transcriptome/Anopheles_sialome/links/pep/anoqua_Saglin-pep.txt","anoqua_Saglin")</f>
        <v>anoqua_Saglin</v>
      </c>
      <c r="H509">
        <v>431</v>
      </c>
      <c r="I509">
        <v>2</v>
      </c>
      <c r="J509" s="3" t="str">
        <f>HYPERLINK("http://exon.niaid.nih.gov/transcriptome/Anopheles_sialome/links/Sigp/anoqua_Saglin-SigP.txt","SIG")</f>
        <v>SIG</v>
      </c>
      <c r="K509" t="s">
        <v>1789</v>
      </c>
      <c r="L509">
        <v>49.234999999999999</v>
      </c>
      <c r="M509">
        <v>7.68</v>
      </c>
      <c r="N509">
        <v>45.085999999999999</v>
      </c>
      <c r="O509">
        <v>6.2</v>
      </c>
      <c r="P509" t="s">
        <v>1792</v>
      </c>
      <c r="Q509" s="3">
        <v>0</v>
      </c>
      <c r="R509" t="s">
        <v>128</v>
      </c>
      <c r="S509" t="s">
        <v>128</v>
      </c>
      <c r="T509" t="s">
        <v>128</v>
      </c>
      <c r="U509" t="s">
        <v>128</v>
      </c>
      <c r="V509" t="s">
        <v>128</v>
      </c>
      <c r="W509" s="3" t="str">
        <f>HYPERLINK("http://exon.niaid.nih.gov/transcriptome/Anopheles_sialome/links/netoglyc/anoqua_Saglin-netoglyc.txt","0")</f>
        <v>0</v>
      </c>
      <c r="X509">
        <v>11.1</v>
      </c>
      <c r="Y509">
        <v>3.9</v>
      </c>
      <c r="Z509">
        <v>3.7</v>
      </c>
      <c r="AA509" t="s">
        <v>654</v>
      </c>
      <c r="AB509" t="s">
        <v>1785</v>
      </c>
      <c r="AC509" s="2" t="str">
        <f>HYPERLINK("http://exon.niaid.nih.gov/transcriptome/Anopheles_sialome/links/DIPTERA/anoqua_Saglin-DIPTERA.txt","AGAP000610-PA")</f>
        <v>AGAP000610-PA</v>
      </c>
      <c r="AD509" t="str">
        <f t="shared" si="168"/>
        <v>0.0</v>
      </c>
      <c r="AE509" t="str">
        <f t="shared" si="169"/>
        <v>gi|333466867</v>
      </c>
      <c r="AF509">
        <v>96</v>
      </c>
      <c r="AG509">
        <v>98</v>
      </c>
      <c r="AH509">
        <v>100</v>
      </c>
      <c r="AI509" t="s">
        <v>2285</v>
      </c>
      <c r="AJ509" s="2" t="str">
        <f>HYPERLINK("http://exon.niaid.nih.gov/transcriptome/Anopheles_sialome/links/CULICOMORPHA/anoqua_Saglin-CULICOMORPHA.txt","AGAP000610-PA")</f>
        <v>AGAP000610-PA</v>
      </c>
      <c r="AK509" t="str">
        <f t="shared" si="170"/>
        <v>0.0</v>
      </c>
      <c r="AL509" t="str">
        <f t="shared" si="171"/>
        <v>gi|333466867</v>
      </c>
      <c r="AM509">
        <v>96</v>
      </c>
      <c r="AN509">
        <v>98</v>
      </c>
      <c r="AO509">
        <v>100</v>
      </c>
      <c r="AP509" t="s">
        <v>2285</v>
      </c>
      <c r="AQ509" s="2" t="str">
        <f>HYPERLINK("http://exon.niaid.nih.gov/transcriptome/Anopheles_sialome/links/NR-LIGHT/anoqua_Saglin-NR-LIGHT.txt","AGAP000610-PA")</f>
        <v>AGAP000610-PA</v>
      </c>
      <c r="AR509" t="str">
        <f t="shared" si="172"/>
        <v>0.0</v>
      </c>
      <c r="AS509" t="str">
        <f t="shared" si="173"/>
        <v>gi|347964149</v>
      </c>
      <c r="AT509">
        <v>96</v>
      </c>
      <c r="AU509">
        <v>98</v>
      </c>
      <c r="AV509">
        <v>100</v>
      </c>
      <c r="AW509" t="s">
        <v>2285</v>
      </c>
      <c r="AX509" s="2" t="str">
        <f>HYPERLINK("http://exon.niaid.nih.gov/transcriptome/Anopheles_sialome/links/CDD/anoqua_Saglin-CDD.txt","PRK10920")</f>
        <v>PRK10920</v>
      </c>
      <c r="AY509" t="str">
        <f>HYPERLINK("http://www.ncbi.nlm.nih.gov/Structure/cdd/cddsrv.cgi?uid=PRK10920&amp;version=v4.0","0.86")</f>
        <v>0.86</v>
      </c>
      <c r="AZ509" t="s">
        <v>2894</v>
      </c>
      <c r="BA509" s="2" t="str">
        <f>HYPERLINK("http://exon.niaid.nih.gov/transcriptome/Anopheles_sialome/links/KOG/anoqua_Saglin-KOG.txt","Myosin class II heavy chain")</f>
        <v>Myosin class II heavy chain</v>
      </c>
      <c r="BB509" t="str">
        <f>HYPERLINK("http://www.ncbi.nlm.nih.gov/Structure/cdd/cddsrv.cgi?uid=KOG0161","0.009")</f>
        <v>0.009</v>
      </c>
      <c r="BC509" t="s">
        <v>2312</v>
      </c>
      <c r="BD509" t="str">
        <f>HYPERLINK("http://exon.niaid.nih.gov/transcriptome/Anopheles_sialome/links/KOG/anoqua_Saglin-KOG.txt","KOG0161")</f>
        <v>KOG0161</v>
      </c>
      <c r="BE509" t="str">
        <f>HYPERLINK("http://exon.niaid.nih.gov/transcriptome/Anopheles_sialome/links/PFAM/anoqua_Saglin-PFAM.txt","Clathrin_H_link")</f>
        <v>Clathrin_H_link</v>
      </c>
      <c r="BF509" t="str">
        <f>HYPERLINK("http://pfam.sanger.ac.uk/family?acc=PF13838","0.23")</f>
        <v>0.23</v>
      </c>
      <c r="BG509" s="2" t="str">
        <f>HYPERLINK("http://exon.niaid.nih.gov/transcriptome/Anopheles_sialome/links/SMART/anoqua_Saglin-SMART.txt","OmpH")</f>
        <v>OmpH</v>
      </c>
      <c r="BH509" t="str">
        <f>HYPERLINK("http://smart.embl-heidelberg.de/smart/do_annotation.pl?DOMAIN=OmpH&amp;BLAST=DUMMY","0.49")</f>
        <v>0.49</v>
      </c>
      <c r="BI509" t="str">
        <f>HYPERLINK("http://exon.niaid.nih.gov/transcriptome/Anopheles_sialome/links/TICK-BLOCKS/anoqua_Saglin-TICK-BLOCKS.txt","SG1_full |SG1_stringent_pattern |")</f>
        <v>SG1_full |SG1_stringent_pattern |</v>
      </c>
      <c r="BJ509" s="2" t="s">
        <v>2423</v>
      </c>
      <c r="BK509" t="s">
        <v>1791</v>
      </c>
      <c r="BL509">
        <f>HYPERLINK("http://exon.niaid.nih.gov/transcriptome/Anopheles_sialome/links/cluster-b/anopheline-sialome-cds-pep-larger-orf25-50SimCLU3.txt", 3)</f>
        <v>3</v>
      </c>
      <c r="BM509">
        <f>HYPERLINK("http://exon.niaid.nih.gov/transcriptome/Anopheles_sialome/links/cluster-b/anopheline-sialome-cds-pep-larger-orf25-50SimCLTL3.txt", 119)</f>
        <v>119</v>
      </c>
      <c r="BN509">
        <f>HYPERLINK("http://exon.niaid.nih.gov/transcriptome/Anopheles_sialome/links/cluster-b/anopheline-sialome-cds-pep-larger-orf30-50SimCLU3.txt", 3)</f>
        <v>3</v>
      </c>
      <c r="BO509">
        <f>HYPERLINK("http://exon.niaid.nih.gov/transcriptome/Anopheles_sialome/links/cluster-b/anopheline-sialome-cds-pep-larger-orf30-50SimCLTL3.txt", 119)</f>
        <v>119</v>
      </c>
      <c r="BP509">
        <f>HYPERLINK("http://exon.niaid.nih.gov/transcriptome/Anopheles_sialome/links/cluster-b/anopheline-sialome-cds-pep-larger-orf35-50SimCLU2.txt", 2)</f>
        <v>2</v>
      </c>
      <c r="BQ509">
        <f>HYPERLINK("http://exon.niaid.nih.gov/transcriptome/Anopheles_sialome/links/cluster-b/anopheline-sialome-cds-pep-larger-orf35-50SimCLTL2.txt", 119)</f>
        <v>119</v>
      </c>
      <c r="BR509">
        <f>HYPERLINK("http://exon.niaid.nih.gov/transcriptome/Anopheles_sialome/links/cluster-b/anopheline-sialome-cds-pep-larger-orf40-50SimCLU1.txt", 1)</f>
        <v>1</v>
      </c>
      <c r="BS509">
        <f>HYPERLINK("http://exon.niaid.nih.gov/transcriptome/Anopheles_sialome/links/cluster-b/anopheline-sialome-cds-pep-larger-orf40-50SimCLTL1.txt", 119)</f>
        <v>119</v>
      </c>
      <c r="BT509">
        <f>HYPERLINK("http://exon.niaid.nih.gov/transcriptome/Anopheles_sialome/links/cluster-b/anopheline-sialome-cds-pep-larger-orf45-50SimCLU3.txt", 3)</f>
        <v>3</v>
      </c>
      <c r="BU509">
        <f>HYPERLINK("http://exon.niaid.nih.gov/transcriptome/Anopheles_sialome/links/cluster-b/anopheline-sialome-cds-pep-larger-orf45-50SimCLTL3.txt", 65)</f>
        <v>65</v>
      </c>
      <c r="BV509">
        <f>HYPERLINK("http://exon.niaid.nih.gov/transcriptome/Anopheles_sialome/links/cluster-b/anopheline-sialome-cds-pep-larger-orf50-50SimCLU3.txt", 3)</f>
        <v>3</v>
      </c>
      <c r="BW509">
        <f>HYPERLINK("http://exon.niaid.nih.gov/transcriptome/Anopheles_sialome/links/cluster-b/anopheline-sialome-cds-pep-larger-orf50-50SimCLTL3.txt", 48)</f>
        <v>48</v>
      </c>
      <c r="BX509">
        <f>HYPERLINK("http://exon.niaid.nih.gov/transcriptome/Anopheles_sialome/links/cluster-b/anopheline-sialome-cds-pep-larger-orf55-50SimCLU3.txt", 3)</f>
        <v>3</v>
      </c>
      <c r="BY509">
        <f>HYPERLINK("http://exon.niaid.nih.gov/transcriptome/Anopheles_sialome/links/cluster-b/anopheline-sialome-cds-pep-larger-orf55-50SimCLTL3.txt", 47)</f>
        <v>47</v>
      </c>
      <c r="BZ509">
        <f>HYPERLINK("http://exon.niaid.nih.gov/transcriptome/Anopheles_sialome/links/cluster-b/anopheline-sialome-cds-pep-larger-orf60-50SimCLU27.txt", 27)</f>
        <v>27</v>
      </c>
      <c r="CA509">
        <f>HYPERLINK("http://exon.niaid.nih.gov/transcriptome/Anopheles_sialome/links/cluster-b/anopheline-sialome-cds-pep-larger-orf60-50SimCLTL27.txt", 16)</f>
        <v>16</v>
      </c>
      <c r="CB509">
        <f>HYPERLINK("http://exon.niaid.nih.gov/transcriptome/Anopheles_sialome/links/cluster-b/anopheline-sialome-cds-pep-larger-orf65-50SimCLU29.txt", 29)</f>
        <v>29</v>
      </c>
      <c r="CC509">
        <f>HYPERLINK("http://exon.niaid.nih.gov/transcriptome/Anopheles_sialome/links/cluster-b/anopheline-sialome-cds-pep-larger-orf65-50SimCLTL29.txt", 15)</f>
        <v>15</v>
      </c>
      <c r="CD509">
        <f>HYPERLINK("http://exon.niaid.nih.gov/transcriptome/Anopheles_sialome/links/cluster-b/anopheline-sialome-cds-pep-larger-orf70-50SimCLU26.txt", 26)</f>
        <v>26</v>
      </c>
      <c r="CE509">
        <f>HYPERLINK("http://exon.niaid.nih.gov/transcriptome/Anopheles_sialome/links/cluster-b/anopheline-sialome-cds-pep-larger-orf70-50SimCLTL26.txt", 15)</f>
        <v>15</v>
      </c>
      <c r="CF509">
        <f>HYPERLINK("http://exon.niaid.nih.gov/transcriptome/Anopheles_sialome/links/cluster-b/anopheline-sialome-cds-pep-larger-orf75-50SimCLU35.txt", 35)</f>
        <v>35</v>
      </c>
      <c r="CG509">
        <f>HYPERLINK("http://exon.niaid.nih.gov/transcriptome/Anopheles_sialome/links/cluster-b/anopheline-sialome-cds-pep-larger-orf75-50SimCLTL35.txt", 8)</f>
        <v>8</v>
      </c>
      <c r="CH509">
        <f>HYPERLINK("http://exon.niaid.nih.gov/transcriptome/Anopheles_sialome/links/cluster-b/anopheline-sialome-cds-pep-larger-orf80-50SimCLU43.txt", 43)</f>
        <v>43</v>
      </c>
      <c r="CI509">
        <f>HYPERLINK("http://exon.niaid.nih.gov/transcriptome/Anopheles_sialome/links/cluster-b/anopheline-sialome-cds-pep-larger-orf80-50SimCLTL43.txt", 6)</f>
        <v>6</v>
      </c>
      <c r="CJ509">
        <f>HYPERLINK("http://exon.niaid.nih.gov/transcriptome/Anopheles_sialome/links/cluster-b/anopheline-sialome-cds-pep-larger-orf85-50SimCLU42.txt", 42)</f>
        <v>42</v>
      </c>
      <c r="CK509">
        <f>HYPERLINK("http://exon.niaid.nih.gov/transcriptome/Anopheles_sialome/links/cluster-b/anopheline-sialome-cds-pep-larger-orf85-50SimCLTL42.txt", 6)</f>
        <v>6</v>
      </c>
      <c r="CL509">
        <f>HYPERLINK("http://exon.niaid.nih.gov/transcriptome/Anopheles_sialome/links/cluster-b/anopheline-sialome-cds-pep-larger-orf90-50SimCLU46.txt", 46)</f>
        <v>46</v>
      </c>
      <c r="CM509">
        <f>HYPERLINK("http://exon.niaid.nih.gov/transcriptome/Anopheles_sialome/links/cluster-b/anopheline-sialome-cds-pep-larger-orf90-50SimCLTL46.txt", 5)</f>
        <v>5</v>
      </c>
      <c r="CN509">
        <f>HYPERLINK("http://exon.niaid.nih.gov/transcriptome/Anopheles_sialome/links/cluster-b/anopheline-sialome-cds-pep-larger-orf95-50SimCLU43.txt", 43)</f>
        <v>43</v>
      </c>
      <c r="CO509">
        <f>HYPERLINK("http://exon.niaid.nih.gov/transcriptome/Anopheles_sialome/links/cluster-b/anopheline-sialome-cds-pep-larger-orf95-50SimCLTL43.txt", 5)</f>
        <v>5</v>
      </c>
    </row>
    <row r="510" spans="1:93">
      <c r="A510" s="2" t="str">
        <f>HYPERLINK("http://exon.niaid.nih.gov/transcriptome/Anopheles_sialome/links/cds/anomer_Saglin-cds.txt","anomer_Saglin")</f>
        <v>anomer_Saglin</v>
      </c>
      <c r="B510">
        <v>1296</v>
      </c>
      <c r="C510" t="s">
        <v>444</v>
      </c>
      <c r="D510" t="s">
        <v>7</v>
      </c>
      <c r="E510" t="s">
        <v>5</v>
      </c>
      <c r="F510" t="s">
        <v>1</v>
      </c>
      <c r="G510" t="str">
        <f>HYPERLINK("http://exon.niaid.nih.gov/transcriptome/Anopheles_sialome/links/pep/anomer_Saglin-pep.txt","anomer_Saglin")</f>
        <v>anomer_Saglin</v>
      </c>
      <c r="H510">
        <v>431</v>
      </c>
      <c r="I510">
        <v>2</v>
      </c>
      <c r="J510" s="3" t="str">
        <f>HYPERLINK("http://exon.niaid.nih.gov/transcriptome/Anopheles_sialome/links/Sigp/anomer_Saglin-SigP.txt","BL")</f>
        <v>BL</v>
      </c>
      <c r="K510" t="s">
        <v>1789</v>
      </c>
      <c r="L510">
        <v>48.991</v>
      </c>
      <c r="M510">
        <v>8.14</v>
      </c>
      <c r="N510">
        <v>44.939</v>
      </c>
      <c r="O510">
        <v>6.65</v>
      </c>
      <c r="P510" t="s">
        <v>1794</v>
      </c>
      <c r="Q510" s="3">
        <v>0</v>
      </c>
      <c r="R510" t="s">
        <v>128</v>
      </c>
      <c r="S510" t="s">
        <v>128</v>
      </c>
      <c r="T510" t="s">
        <v>128</v>
      </c>
      <c r="U510" t="s">
        <v>128</v>
      </c>
      <c r="V510" t="s">
        <v>128</v>
      </c>
      <c r="W510" s="3" t="str">
        <f>HYPERLINK("http://exon.niaid.nih.gov/transcriptome/Anopheles_sialome/links/netoglyc/anomer_Saglin-netoglyc.txt","0")</f>
        <v>0</v>
      </c>
      <c r="X510">
        <v>11.1</v>
      </c>
      <c r="Y510">
        <v>4.2</v>
      </c>
      <c r="Z510">
        <v>3.7</v>
      </c>
      <c r="AA510" t="s">
        <v>654</v>
      </c>
      <c r="AB510" t="s">
        <v>128</v>
      </c>
      <c r="AC510" s="2" t="str">
        <f>HYPERLINK("http://exon.niaid.nih.gov/transcriptome/Anopheles_sialome/links/DIPTERA/anomer_Saglin-DIPTERA.txt","AGAP000610-PA")</f>
        <v>AGAP000610-PA</v>
      </c>
      <c r="AD510" t="str">
        <f t="shared" si="168"/>
        <v>0.0</v>
      </c>
      <c r="AE510" t="str">
        <f t="shared" si="169"/>
        <v>gi|333466867</v>
      </c>
      <c r="AF510">
        <v>94</v>
      </c>
      <c r="AG510">
        <v>98</v>
      </c>
      <c r="AH510">
        <v>100</v>
      </c>
      <c r="AI510" t="s">
        <v>2285</v>
      </c>
      <c r="AJ510" s="2" t="str">
        <f>HYPERLINK("http://exon.niaid.nih.gov/transcriptome/Anopheles_sialome/links/CULICOMORPHA/anomer_Saglin-CULICOMORPHA.txt","AGAP000610-PA")</f>
        <v>AGAP000610-PA</v>
      </c>
      <c r="AK510" t="str">
        <f t="shared" si="170"/>
        <v>0.0</v>
      </c>
      <c r="AL510" t="str">
        <f t="shared" si="171"/>
        <v>gi|333466867</v>
      </c>
      <c r="AM510">
        <v>94</v>
      </c>
      <c r="AN510">
        <v>98</v>
      </c>
      <c r="AO510">
        <v>100</v>
      </c>
      <c r="AP510" t="s">
        <v>2285</v>
      </c>
      <c r="AQ510" s="2" t="str">
        <f>HYPERLINK("http://exon.niaid.nih.gov/transcriptome/Anopheles_sialome/links/NR-LIGHT/anomer_Saglin-NR-LIGHT.txt","AGAP000610-PA")</f>
        <v>AGAP000610-PA</v>
      </c>
      <c r="AR510" t="str">
        <f t="shared" si="172"/>
        <v>0.0</v>
      </c>
      <c r="AS510" t="str">
        <f t="shared" si="173"/>
        <v>gi|347964149</v>
      </c>
      <c r="AT510">
        <v>94</v>
      </c>
      <c r="AU510">
        <v>98</v>
      </c>
      <c r="AV510">
        <v>100</v>
      </c>
      <c r="AW510" t="s">
        <v>2285</v>
      </c>
      <c r="AX510" s="2" t="str">
        <f>HYPERLINK("http://exon.niaid.nih.gov/transcriptome/Anopheles_sialome/links/CDD/anomer_Saglin-CDD.txt","COG3264")</f>
        <v>COG3264</v>
      </c>
      <c r="AY510" t="str">
        <f>HYPERLINK("http://www.ncbi.nlm.nih.gov/Structure/cdd/cddsrv.cgi?uid=COG3264&amp;version=v4.0","0.39")</f>
        <v>0.39</v>
      </c>
      <c r="AZ510" t="s">
        <v>2895</v>
      </c>
      <c r="BA510" s="2" t="str">
        <f>HYPERLINK("http://exon.niaid.nih.gov/transcriptome/Anopheles_sialome/links/KOG/anomer_Saglin-KOG.txt","Myosin class II heavy chain")</f>
        <v>Myosin class II heavy chain</v>
      </c>
      <c r="BB510" t="str">
        <f>HYPERLINK("http://www.ncbi.nlm.nih.gov/Structure/cdd/cddsrv.cgi?uid=KOG0161","9E-004")</f>
        <v>9E-004</v>
      </c>
      <c r="BC510" t="s">
        <v>2312</v>
      </c>
      <c r="BD510" t="str">
        <f>HYPERLINK("http://exon.niaid.nih.gov/transcriptome/Anopheles_sialome/links/KOG/anomer_Saglin-KOG.txt","KOG0161")</f>
        <v>KOG0161</v>
      </c>
      <c r="BE510" t="str">
        <f>HYPERLINK("http://exon.niaid.nih.gov/transcriptome/Anopheles_sialome/links/PFAM/anomer_Saglin-PFAM.txt","Myosin_tail_1")</f>
        <v>Myosin_tail_1</v>
      </c>
      <c r="BF510" t="str">
        <f>HYPERLINK("http://pfam.sanger.ac.uk/family?acc=PF01576","0.098")</f>
        <v>0.098</v>
      </c>
      <c r="BG510" s="2" t="str">
        <f>HYPERLINK("http://exon.niaid.nih.gov/transcriptome/Anopheles_sialome/links/SMART/anomer_Saglin-SMART.txt","ProQ")</f>
        <v>ProQ</v>
      </c>
      <c r="BH510" t="str">
        <f>HYPERLINK("http://smart.embl-heidelberg.de/smart/do_annotation.pl?DOMAIN=ProQ&amp;BLAST=DUMMY","0.59")</f>
        <v>0.59</v>
      </c>
      <c r="BI510" t="str">
        <f>HYPERLINK("http://exon.niaid.nih.gov/transcriptome/Anopheles_sialome/links/TICK-BLOCKS/anomer_Saglin-TICK-BLOCKS.txt","SG1_full |SG1_stringent_pattern |")</f>
        <v>SG1_full |SG1_stringent_pattern |</v>
      </c>
      <c r="BJ510" s="2" t="s">
        <v>2423</v>
      </c>
      <c r="BK510" t="s">
        <v>1793</v>
      </c>
      <c r="BL510">
        <f>HYPERLINK("http://exon.niaid.nih.gov/transcriptome/Anopheles_sialome/links/cluster-b/anopheline-sialome-cds-pep-larger-orf25-50SimCLU3.txt", 3)</f>
        <v>3</v>
      </c>
      <c r="BM510">
        <f>HYPERLINK("http://exon.niaid.nih.gov/transcriptome/Anopheles_sialome/links/cluster-b/anopheline-sialome-cds-pep-larger-orf25-50SimCLTL3.txt", 119)</f>
        <v>119</v>
      </c>
      <c r="BN510">
        <f>HYPERLINK("http://exon.niaid.nih.gov/transcriptome/Anopheles_sialome/links/cluster-b/anopheline-sialome-cds-pep-larger-orf30-50SimCLU3.txt", 3)</f>
        <v>3</v>
      </c>
      <c r="BO510">
        <f>HYPERLINK("http://exon.niaid.nih.gov/transcriptome/Anopheles_sialome/links/cluster-b/anopheline-sialome-cds-pep-larger-orf30-50SimCLTL3.txt", 119)</f>
        <v>119</v>
      </c>
      <c r="BP510">
        <f>HYPERLINK("http://exon.niaid.nih.gov/transcriptome/Anopheles_sialome/links/cluster-b/anopheline-sialome-cds-pep-larger-orf35-50SimCLU2.txt", 2)</f>
        <v>2</v>
      </c>
      <c r="BQ510">
        <f>HYPERLINK("http://exon.niaid.nih.gov/transcriptome/Anopheles_sialome/links/cluster-b/anopheline-sialome-cds-pep-larger-orf35-50SimCLTL2.txt", 119)</f>
        <v>119</v>
      </c>
      <c r="BR510">
        <f>HYPERLINK("http://exon.niaid.nih.gov/transcriptome/Anopheles_sialome/links/cluster-b/anopheline-sialome-cds-pep-larger-orf40-50SimCLU1.txt", 1)</f>
        <v>1</v>
      </c>
      <c r="BS510">
        <f>HYPERLINK("http://exon.niaid.nih.gov/transcriptome/Anopheles_sialome/links/cluster-b/anopheline-sialome-cds-pep-larger-orf40-50SimCLTL1.txt", 119)</f>
        <v>119</v>
      </c>
      <c r="BT510">
        <f>HYPERLINK("http://exon.niaid.nih.gov/transcriptome/Anopheles_sialome/links/cluster-b/anopheline-sialome-cds-pep-larger-orf45-50SimCLU3.txt", 3)</f>
        <v>3</v>
      </c>
      <c r="BU510">
        <f>HYPERLINK("http://exon.niaid.nih.gov/transcriptome/Anopheles_sialome/links/cluster-b/anopheline-sialome-cds-pep-larger-orf45-50SimCLTL3.txt", 65)</f>
        <v>65</v>
      </c>
      <c r="BV510">
        <f>HYPERLINK("http://exon.niaid.nih.gov/transcriptome/Anopheles_sialome/links/cluster-b/anopheline-sialome-cds-pep-larger-orf50-50SimCLU3.txt", 3)</f>
        <v>3</v>
      </c>
      <c r="BW510">
        <f>HYPERLINK("http://exon.niaid.nih.gov/transcriptome/Anopheles_sialome/links/cluster-b/anopheline-sialome-cds-pep-larger-orf50-50SimCLTL3.txt", 48)</f>
        <v>48</v>
      </c>
      <c r="BX510">
        <f>HYPERLINK("http://exon.niaid.nih.gov/transcriptome/Anopheles_sialome/links/cluster-b/anopheline-sialome-cds-pep-larger-orf55-50SimCLU3.txt", 3)</f>
        <v>3</v>
      </c>
      <c r="BY510">
        <f>HYPERLINK("http://exon.niaid.nih.gov/transcriptome/Anopheles_sialome/links/cluster-b/anopheline-sialome-cds-pep-larger-orf55-50SimCLTL3.txt", 47)</f>
        <v>47</v>
      </c>
      <c r="BZ510">
        <f>HYPERLINK("http://exon.niaid.nih.gov/transcriptome/Anopheles_sialome/links/cluster-b/anopheline-sialome-cds-pep-larger-orf60-50SimCLU27.txt", 27)</f>
        <v>27</v>
      </c>
      <c r="CA510">
        <f>HYPERLINK("http://exon.niaid.nih.gov/transcriptome/Anopheles_sialome/links/cluster-b/anopheline-sialome-cds-pep-larger-orf60-50SimCLTL27.txt", 16)</f>
        <v>16</v>
      </c>
      <c r="CB510">
        <f>HYPERLINK("http://exon.niaid.nih.gov/transcriptome/Anopheles_sialome/links/cluster-b/anopheline-sialome-cds-pep-larger-orf65-50SimCLU29.txt", 29)</f>
        <v>29</v>
      </c>
      <c r="CC510">
        <f>HYPERLINK("http://exon.niaid.nih.gov/transcriptome/Anopheles_sialome/links/cluster-b/anopheline-sialome-cds-pep-larger-orf65-50SimCLTL29.txt", 15)</f>
        <v>15</v>
      </c>
      <c r="CD510">
        <f>HYPERLINK("http://exon.niaid.nih.gov/transcriptome/Anopheles_sialome/links/cluster-b/anopheline-sialome-cds-pep-larger-orf70-50SimCLU26.txt", 26)</f>
        <v>26</v>
      </c>
      <c r="CE510">
        <f>HYPERLINK("http://exon.niaid.nih.gov/transcriptome/Anopheles_sialome/links/cluster-b/anopheline-sialome-cds-pep-larger-orf70-50SimCLTL26.txt", 15)</f>
        <v>15</v>
      </c>
      <c r="CF510">
        <f>HYPERLINK("http://exon.niaid.nih.gov/transcriptome/Anopheles_sialome/links/cluster-b/anopheline-sialome-cds-pep-larger-orf75-50SimCLU35.txt", 35)</f>
        <v>35</v>
      </c>
      <c r="CG510">
        <f>HYPERLINK("http://exon.niaid.nih.gov/transcriptome/Anopheles_sialome/links/cluster-b/anopheline-sialome-cds-pep-larger-orf75-50SimCLTL35.txt", 8)</f>
        <v>8</v>
      </c>
      <c r="CH510">
        <f>HYPERLINK("http://exon.niaid.nih.gov/transcriptome/Anopheles_sialome/links/cluster-b/anopheline-sialome-cds-pep-larger-orf80-50SimCLU43.txt", 43)</f>
        <v>43</v>
      </c>
      <c r="CI510">
        <f>HYPERLINK("http://exon.niaid.nih.gov/transcriptome/Anopheles_sialome/links/cluster-b/anopheline-sialome-cds-pep-larger-orf80-50SimCLTL43.txt", 6)</f>
        <v>6</v>
      </c>
      <c r="CJ510">
        <f>HYPERLINK("http://exon.niaid.nih.gov/transcriptome/Anopheles_sialome/links/cluster-b/anopheline-sialome-cds-pep-larger-orf85-50SimCLU42.txt", 42)</f>
        <v>42</v>
      </c>
      <c r="CK510">
        <f>HYPERLINK("http://exon.niaid.nih.gov/transcriptome/Anopheles_sialome/links/cluster-b/anopheline-sialome-cds-pep-larger-orf85-50SimCLTL42.txt", 6)</f>
        <v>6</v>
      </c>
      <c r="CL510">
        <f>HYPERLINK("http://exon.niaid.nih.gov/transcriptome/Anopheles_sialome/links/cluster-b/anopheline-sialome-cds-pep-larger-orf90-50SimCLU46.txt", 46)</f>
        <v>46</v>
      </c>
      <c r="CM510">
        <f>HYPERLINK("http://exon.niaid.nih.gov/transcriptome/Anopheles_sialome/links/cluster-b/anopheline-sialome-cds-pep-larger-orf90-50SimCLTL46.txt", 5)</f>
        <v>5</v>
      </c>
      <c r="CN510">
        <f>HYPERLINK("http://exon.niaid.nih.gov/transcriptome/Anopheles_sialome/links/cluster-b/anopheline-sialome-cds-pep-larger-orf95-50SimCLU43.txt", 43)</f>
        <v>43</v>
      </c>
      <c r="CO510">
        <f>HYPERLINK("http://exon.niaid.nih.gov/transcriptome/Anopheles_sialome/links/cluster-b/anopheline-sialome-cds-pep-larger-orf95-50SimCLTL43.txt", 5)</f>
        <v>5</v>
      </c>
    </row>
    <row r="511" spans="1:93">
      <c r="A511" s="2" t="str">
        <f>HYPERLINK("http://exon.niaid.nih.gov/transcriptome/Anopheles_sialome/links/cds/anomel_Saglin-cds.txt","anomel_Saglin")</f>
        <v>anomel_Saglin</v>
      </c>
      <c r="B511">
        <v>1296</v>
      </c>
      <c r="C511" t="s">
        <v>445</v>
      </c>
      <c r="D511" t="s">
        <v>446</v>
      </c>
      <c r="E511" t="s">
        <v>5</v>
      </c>
      <c r="F511" t="s">
        <v>1</v>
      </c>
      <c r="G511" t="str">
        <f>HYPERLINK("http://exon.niaid.nih.gov/transcriptome/Anopheles_sialome/links/pep/anomel_Saglin-pep.txt","anomel_Saglin")</f>
        <v>anomel_Saglin</v>
      </c>
      <c r="H511">
        <v>431</v>
      </c>
      <c r="I511">
        <v>2</v>
      </c>
      <c r="J511" s="3" t="str">
        <f>HYPERLINK("http://exon.niaid.nih.gov/transcriptome/Anopheles_sialome/links/Sigp/anomel_Saglin-SigP.txt","SIG")</f>
        <v>SIG</v>
      </c>
      <c r="K511" t="s">
        <v>1789</v>
      </c>
      <c r="L511">
        <v>49.468000000000004</v>
      </c>
      <c r="M511">
        <v>7.66</v>
      </c>
      <c r="N511">
        <v>45.293999999999997</v>
      </c>
      <c r="O511">
        <v>6.14</v>
      </c>
      <c r="P511" t="s">
        <v>1796</v>
      </c>
      <c r="Q511" s="3">
        <v>0</v>
      </c>
      <c r="R511" t="s">
        <v>128</v>
      </c>
      <c r="S511" t="s">
        <v>128</v>
      </c>
      <c r="T511" t="s">
        <v>128</v>
      </c>
      <c r="U511" t="s">
        <v>128</v>
      </c>
      <c r="V511" t="s">
        <v>128</v>
      </c>
      <c r="W511" s="3" t="str">
        <f>HYPERLINK("http://exon.niaid.nih.gov/transcriptome/Anopheles_sialome/links/netoglyc/anomel_Saglin-netoglyc.txt","0")</f>
        <v>0</v>
      </c>
      <c r="X511">
        <v>10.199999999999999</v>
      </c>
      <c r="Y511">
        <v>3.9</v>
      </c>
      <c r="Z511">
        <v>3.9</v>
      </c>
      <c r="AA511" t="s">
        <v>654</v>
      </c>
      <c r="AB511" t="s">
        <v>1785</v>
      </c>
      <c r="AC511" s="2" t="str">
        <f>HYPERLINK("http://exon.niaid.nih.gov/transcriptome/Anopheles_sialome/links/DIPTERA/anomel_Saglin-DIPTERA.txt","AGAP000610-PA")</f>
        <v>AGAP000610-PA</v>
      </c>
      <c r="AD511" t="str">
        <f t="shared" si="168"/>
        <v>0.0</v>
      </c>
      <c r="AE511" t="str">
        <f t="shared" si="169"/>
        <v>gi|333466867</v>
      </c>
      <c r="AF511">
        <v>95</v>
      </c>
      <c r="AG511">
        <v>97</v>
      </c>
      <c r="AH511">
        <v>100</v>
      </c>
      <c r="AI511" t="s">
        <v>2285</v>
      </c>
      <c r="AJ511" s="2" t="str">
        <f>HYPERLINK("http://exon.niaid.nih.gov/transcriptome/Anopheles_sialome/links/CULICOMORPHA/anomel_Saglin-CULICOMORPHA.txt","AGAP000610-PA")</f>
        <v>AGAP000610-PA</v>
      </c>
      <c r="AK511" t="str">
        <f t="shared" si="170"/>
        <v>0.0</v>
      </c>
      <c r="AL511" t="str">
        <f t="shared" si="171"/>
        <v>gi|333466867</v>
      </c>
      <c r="AM511">
        <v>95</v>
      </c>
      <c r="AN511">
        <v>97</v>
      </c>
      <c r="AO511">
        <v>100</v>
      </c>
      <c r="AP511" t="s">
        <v>2285</v>
      </c>
      <c r="AQ511" s="2" t="str">
        <f>HYPERLINK("http://exon.niaid.nih.gov/transcriptome/Anopheles_sialome/links/NR-LIGHT/anomel_Saglin-NR-LIGHT.txt","AGAP000610-PA")</f>
        <v>AGAP000610-PA</v>
      </c>
      <c r="AR511" t="str">
        <f t="shared" si="172"/>
        <v>0.0</v>
      </c>
      <c r="AS511" t="str">
        <f t="shared" si="173"/>
        <v>gi|347964149</v>
      </c>
      <c r="AT511">
        <v>95</v>
      </c>
      <c r="AU511">
        <v>97</v>
      </c>
      <c r="AV511">
        <v>100</v>
      </c>
      <c r="AW511" t="s">
        <v>2285</v>
      </c>
      <c r="AX511" s="2" t="str">
        <f>HYPERLINK("http://exon.niaid.nih.gov/transcriptome/Anopheles_sialome/links/CDD/anomel_Saglin-CDD.txt","PRK00409")</f>
        <v>PRK00409</v>
      </c>
      <c r="AY511" t="str">
        <f>HYPERLINK("http://www.ncbi.nlm.nih.gov/Structure/cdd/cddsrv.cgi?uid=PRK00409&amp;version=v4.0","0.19")</f>
        <v>0.19</v>
      </c>
      <c r="AZ511" t="s">
        <v>2896</v>
      </c>
      <c r="BA511" s="2" t="str">
        <f>HYPERLINK("http://exon.niaid.nih.gov/transcriptome/Anopheles_sialome/links/KOG/anomel_Saglin-KOG.txt","Myosin class II heavy chain")</f>
        <v>Myosin class II heavy chain</v>
      </c>
      <c r="BB511" t="str">
        <f>HYPERLINK("http://www.ncbi.nlm.nih.gov/Structure/cdd/cddsrv.cgi?uid=KOG0161","0.015")</f>
        <v>0.015</v>
      </c>
      <c r="BC511" t="s">
        <v>2312</v>
      </c>
      <c r="BD511" t="str">
        <f>HYPERLINK("http://exon.niaid.nih.gov/transcriptome/Anopheles_sialome/links/KOG/anomel_Saglin-KOG.txt","KOG0161")</f>
        <v>KOG0161</v>
      </c>
      <c r="BE511" t="str">
        <f>HYPERLINK("http://exon.niaid.nih.gov/transcriptome/Anopheles_sialome/links/PFAM/anomel_Saglin-PFAM.txt","DUF3584")</f>
        <v>DUF3584</v>
      </c>
      <c r="BF511" t="str">
        <f>HYPERLINK("http://pfam.sanger.ac.uk/family?acc=PF12128","0.30")</f>
        <v>0.30</v>
      </c>
      <c r="BG511" s="2" t="str">
        <f>HYPERLINK("http://exon.niaid.nih.gov/transcriptome/Anopheles_sialome/links/SMART/anomel_Saglin-SMART.txt","OmpH")</f>
        <v>OmpH</v>
      </c>
      <c r="BH511" t="str">
        <f>HYPERLINK("http://smart.embl-heidelberg.de/smart/do_annotation.pl?DOMAIN=OmpH&amp;BLAST=DUMMY","0.61")</f>
        <v>0.61</v>
      </c>
      <c r="BI511" t="str">
        <f>HYPERLINK("http://exon.niaid.nih.gov/transcriptome/Anopheles_sialome/links/TICK-BLOCKS/anomel_Saglin-TICK-BLOCKS.txt","SG1_full |SG1_stringent_pattern |")</f>
        <v>SG1_full |SG1_stringent_pattern |</v>
      </c>
      <c r="BJ511" s="2" t="s">
        <v>2423</v>
      </c>
      <c r="BK511" t="s">
        <v>1795</v>
      </c>
      <c r="BL511">
        <f>HYPERLINK("http://exon.niaid.nih.gov/transcriptome/Anopheles_sialome/links/cluster-b/anopheline-sialome-cds-pep-larger-orf25-50SimCLU3.txt", 3)</f>
        <v>3</v>
      </c>
      <c r="BM511">
        <f>HYPERLINK("http://exon.niaid.nih.gov/transcriptome/Anopheles_sialome/links/cluster-b/anopheline-sialome-cds-pep-larger-orf25-50SimCLTL3.txt", 119)</f>
        <v>119</v>
      </c>
      <c r="BN511">
        <f>HYPERLINK("http://exon.niaid.nih.gov/transcriptome/Anopheles_sialome/links/cluster-b/anopheline-sialome-cds-pep-larger-orf30-50SimCLU3.txt", 3)</f>
        <v>3</v>
      </c>
      <c r="BO511">
        <f>HYPERLINK("http://exon.niaid.nih.gov/transcriptome/Anopheles_sialome/links/cluster-b/anopheline-sialome-cds-pep-larger-orf30-50SimCLTL3.txt", 119)</f>
        <v>119</v>
      </c>
      <c r="BP511">
        <f>HYPERLINK("http://exon.niaid.nih.gov/transcriptome/Anopheles_sialome/links/cluster-b/anopheline-sialome-cds-pep-larger-orf35-50SimCLU2.txt", 2)</f>
        <v>2</v>
      </c>
      <c r="BQ511">
        <f>HYPERLINK("http://exon.niaid.nih.gov/transcriptome/Anopheles_sialome/links/cluster-b/anopheline-sialome-cds-pep-larger-orf35-50SimCLTL2.txt", 119)</f>
        <v>119</v>
      </c>
      <c r="BR511">
        <f>HYPERLINK("http://exon.niaid.nih.gov/transcriptome/Anopheles_sialome/links/cluster-b/anopheline-sialome-cds-pep-larger-orf40-50SimCLU1.txt", 1)</f>
        <v>1</v>
      </c>
      <c r="BS511">
        <f>HYPERLINK("http://exon.niaid.nih.gov/transcriptome/Anopheles_sialome/links/cluster-b/anopheline-sialome-cds-pep-larger-orf40-50SimCLTL1.txt", 119)</f>
        <v>119</v>
      </c>
      <c r="BT511">
        <f>HYPERLINK("http://exon.niaid.nih.gov/transcriptome/Anopheles_sialome/links/cluster-b/anopheline-sialome-cds-pep-larger-orf45-50SimCLU3.txt", 3)</f>
        <v>3</v>
      </c>
      <c r="BU511">
        <f>HYPERLINK("http://exon.niaid.nih.gov/transcriptome/Anopheles_sialome/links/cluster-b/anopheline-sialome-cds-pep-larger-orf45-50SimCLTL3.txt", 65)</f>
        <v>65</v>
      </c>
      <c r="BV511">
        <f>HYPERLINK("http://exon.niaid.nih.gov/transcriptome/Anopheles_sialome/links/cluster-b/anopheline-sialome-cds-pep-larger-orf50-50SimCLU3.txt", 3)</f>
        <v>3</v>
      </c>
      <c r="BW511">
        <f>HYPERLINK("http://exon.niaid.nih.gov/transcriptome/Anopheles_sialome/links/cluster-b/anopheline-sialome-cds-pep-larger-orf50-50SimCLTL3.txt", 48)</f>
        <v>48</v>
      </c>
      <c r="BX511">
        <f>HYPERLINK("http://exon.niaid.nih.gov/transcriptome/Anopheles_sialome/links/cluster-b/anopheline-sialome-cds-pep-larger-orf55-50SimCLU3.txt", 3)</f>
        <v>3</v>
      </c>
      <c r="BY511">
        <f>HYPERLINK("http://exon.niaid.nih.gov/transcriptome/Anopheles_sialome/links/cluster-b/anopheline-sialome-cds-pep-larger-orf55-50SimCLTL3.txt", 47)</f>
        <v>47</v>
      </c>
      <c r="BZ511">
        <f>HYPERLINK("http://exon.niaid.nih.gov/transcriptome/Anopheles_sialome/links/cluster-b/anopheline-sialome-cds-pep-larger-orf60-50SimCLU27.txt", 27)</f>
        <v>27</v>
      </c>
      <c r="CA511">
        <f>HYPERLINK("http://exon.niaid.nih.gov/transcriptome/Anopheles_sialome/links/cluster-b/anopheline-sialome-cds-pep-larger-orf60-50SimCLTL27.txt", 16)</f>
        <v>16</v>
      </c>
      <c r="CB511">
        <f>HYPERLINK("http://exon.niaid.nih.gov/transcriptome/Anopheles_sialome/links/cluster-b/anopheline-sialome-cds-pep-larger-orf65-50SimCLU29.txt", 29)</f>
        <v>29</v>
      </c>
      <c r="CC511">
        <f>HYPERLINK("http://exon.niaid.nih.gov/transcriptome/Anopheles_sialome/links/cluster-b/anopheline-sialome-cds-pep-larger-orf65-50SimCLTL29.txt", 15)</f>
        <v>15</v>
      </c>
      <c r="CD511">
        <f>HYPERLINK("http://exon.niaid.nih.gov/transcriptome/Anopheles_sialome/links/cluster-b/anopheline-sialome-cds-pep-larger-orf70-50SimCLU26.txt", 26)</f>
        <v>26</v>
      </c>
      <c r="CE511">
        <f>HYPERLINK("http://exon.niaid.nih.gov/transcriptome/Anopheles_sialome/links/cluster-b/anopheline-sialome-cds-pep-larger-orf70-50SimCLTL26.txt", 15)</f>
        <v>15</v>
      </c>
      <c r="CF511">
        <f>HYPERLINK("http://exon.niaid.nih.gov/transcriptome/Anopheles_sialome/links/cluster-b/anopheline-sialome-cds-pep-larger-orf75-50SimCLU35.txt", 35)</f>
        <v>35</v>
      </c>
      <c r="CG511">
        <f>HYPERLINK("http://exon.niaid.nih.gov/transcriptome/Anopheles_sialome/links/cluster-b/anopheline-sialome-cds-pep-larger-orf75-50SimCLTL35.txt", 8)</f>
        <v>8</v>
      </c>
      <c r="CH511">
        <f>HYPERLINK("http://exon.niaid.nih.gov/transcriptome/Anopheles_sialome/links/cluster-b/anopheline-sialome-cds-pep-larger-orf80-50SimCLU43.txt", 43)</f>
        <v>43</v>
      </c>
      <c r="CI511">
        <f>HYPERLINK("http://exon.niaid.nih.gov/transcriptome/Anopheles_sialome/links/cluster-b/anopheline-sialome-cds-pep-larger-orf80-50SimCLTL43.txt", 6)</f>
        <v>6</v>
      </c>
      <c r="CJ511">
        <f>HYPERLINK("http://exon.niaid.nih.gov/transcriptome/Anopheles_sialome/links/cluster-b/anopheline-sialome-cds-pep-larger-orf85-50SimCLU42.txt", 42)</f>
        <v>42</v>
      </c>
      <c r="CK511">
        <f>HYPERLINK("http://exon.niaid.nih.gov/transcriptome/Anopheles_sialome/links/cluster-b/anopheline-sialome-cds-pep-larger-orf85-50SimCLTL42.txt", 6)</f>
        <v>6</v>
      </c>
      <c r="CL511">
        <f>HYPERLINK("http://exon.niaid.nih.gov/transcriptome/Anopheles_sialome/links/cluster-b/anopheline-sialome-cds-pep-larger-orf90-50SimCLU46.txt", 46)</f>
        <v>46</v>
      </c>
      <c r="CM511">
        <f>HYPERLINK("http://exon.niaid.nih.gov/transcriptome/Anopheles_sialome/links/cluster-b/anopheline-sialome-cds-pep-larger-orf90-50SimCLTL46.txt", 5)</f>
        <v>5</v>
      </c>
      <c r="CN511">
        <f>HYPERLINK("http://exon.niaid.nih.gov/transcriptome/Anopheles_sialome/links/cluster-b/anopheline-sialome-cds-pep-larger-orf95-50SimCLU43.txt", 43)</f>
        <v>43</v>
      </c>
      <c r="CO511">
        <f>HYPERLINK("http://exon.niaid.nih.gov/transcriptome/Anopheles_sialome/links/cluster-b/anopheline-sialome-cds-pep-larger-orf95-50SimCLTL43.txt", 5)</f>
        <v>5</v>
      </c>
    </row>
    <row r="512" spans="1:93">
      <c r="A512" s="2" t="str">
        <f>HYPERLINK("http://exon.niaid.nih.gov/transcriptome/Anopheles_sialome/links/cds/anochris_Saglin-cds.txt","anochris_Saglin")</f>
        <v>anochris_Saglin</v>
      </c>
      <c r="B512">
        <v>1242</v>
      </c>
      <c r="C512" t="s">
        <v>424</v>
      </c>
      <c r="D512" t="s">
        <v>7</v>
      </c>
      <c r="E512" t="s">
        <v>5</v>
      </c>
      <c r="F512" t="s">
        <v>1</v>
      </c>
      <c r="G512" t="str">
        <f>HYPERLINK("http://exon.niaid.nih.gov/transcriptome/Anopheles_sialome/links/pep/anochris_Saglin-pep.txt","anochris_Saglin")</f>
        <v>anochris_Saglin</v>
      </c>
      <c r="H512">
        <v>413</v>
      </c>
      <c r="I512">
        <v>2</v>
      </c>
      <c r="J512" s="3" t="str">
        <f>HYPERLINK("http://exon.niaid.nih.gov/transcriptome/Anopheles_sialome/links/Sigp/anochris_Saglin-SigP.txt","SIG")</f>
        <v>SIG</v>
      </c>
      <c r="K512" t="s">
        <v>689</v>
      </c>
      <c r="L512">
        <v>47.926000000000002</v>
      </c>
      <c r="M512">
        <v>8.09</v>
      </c>
      <c r="N512">
        <v>45.706000000000003</v>
      </c>
      <c r="O512">
        <v>7.75</v>
      </c>
      <c r="P512" t="s">
        <v>1798</v>
      </c>
      <c r="Q512" s="3">
        <v>0</v>
      </c>
      <c r="R512" t="s">
        <v>128</v>
      </c>
      <c r="S512" t="s">
        <v>128</v>
      </c>
      <c r="T512" t="s">
        <v>128</v>
      </c>
      <c r="U512" t="s">
        <v>128</v>
      </c>
      <c r="V512" t="s">
        <v>128</v>
      </c>
      <c r="W512" s="3" t="str">
        <f>HYPERLINK("http://exon.niaid.nih.gov/transcriptome/Anopheles_sialome/links/netoglyc/anochris_Saglin-netoglyc.txt","1")</f>
        <v>1</v>
      </c>
      <c r="X512">
        <v>10.199999999999999</v>
      </c>
      <c r="Y512">
        <v>2.9</v>
      </c>
      <c r="Z512">
        <v>3.6</v>
      </c>
      <c r="AA512" t="s">
        <v>654</v>
      </c>
      <c r="AB512" t="s">
        <v>128</v>
      </c>
      <c r="AC512" s="2" t="str">
        <f>HYPERLINK("http://exon.niaid.nih.gov/transcriptome/Anopheles_sialome/links/DIPTERA/anochris_Saglin-DIPTERA.txt","SAGLIN")</f>
        <v>SAGLIN</v>
      </c>
      <c r="AD512" t="str">
        <f>HYPERLINK("http://www.ncbi.nlm.nih.gov/sutils/blink.cgi?pid=56809867","1E-154")</f>
        <v>1E-154</v>
      </c>
      <c r="AE512" t="str">
        <f>HYPERLINK("http://www.ncbi.nlm.nih.gov/protein/56809867","gi|56809867")</f>
        <v>gi|56809867</v>
      </c>
      <c r="AF512">
        <v>66</v>
      </c>
      <c r="AG512">
        <v>78</v>
      </c>
      <c r="AH512">
        <v>100</v>
      </c>
      <c r="AI512" t="s">
        <v>2254</v>
      </c>
      <c r="AJ512" s="2" t="str">
        <f>HYPERLINK("http://exon.niaid.nih.gov/transcriptome/Anopheles_sialome/links/CULICOMORPHA/anochris_Saglin-CULICOMORPHA.txt","SAGLIN")</f>
        <v>SAGLIN</v>
      </c>
      <c r="AK512" t="str">
        <f>HYPERLINK("http://www.ncbi.nlm.nih.gov/sutils/blink.cgi?pid=56809867","1E-155")</f>
        <v>1E-155</v>
      </c>
      <c r="AL512" t="str">
        <f>HYPERLINK("http://www.ncbi.nlm.nih.gov/protein/56809867","gi|56809867")</f>
        <v>gi|56809867</v>
      </c>
      <c r="AM512">
        <v>66</v>
      </c>
      <c r="AN512">
        <v>78</v>
      </c>
      <c r="AO512">
        <v>100</v>
      </c>
      <c r="AP512" t="s">
        <v>2254</v>
      </c>
      <c r="AQ512" s="2" t="str">
        <f>HYPERLINK("http://exon.niaid.nih.gov/transcriptome/Anopheles_sialome/links/NR-LIGHT/anochris_Saglin-NR-LIGHT.txt","SAGLIN")</f>
        <v>SAGLIN</v>
      </c>
      <c r="AR512" t="str">
        <f>HYPERLINK("http://www.ncbi.nlm.nih.gov/sutils/blink.cgi?pid=56809867","1E-154")</f>
        <v>1E-154</v>
      </c>
      <c r="AS512" t="str">
        <f>HYPERLINK("http://www.ncbi.nlm.nih.gov/protein/56809867","gi|56809867")</f>
        <v>gi|56809867</v>
      </c>
      <c r="AT512">
        <v>66</v>
      </c>
      <c r="AU512">
        <v>78</v>
      </c>
      <c r="AV512">
        <v>100</v>
      </c>
      <c r="AW512" t="s">
        <v>2254</v>
      </c>
      <c r="AX512" s="2" t="str">
        <f>HYPERLINK("http://exon.niaid.nih.gov/transcriptome/Anopheles_sialome/links/CDD/anochris_Saglin-CDD.txt","PRK00409")</f>
        <v>PRK00409</v>
      </c>
      <c r="AY512" t="str">
        <f>HYPERLINK("http://www.ncbi.nlm.nih.gov/Structure/cdd/cddsrv.cgi?uid=PRK00409&amp;version=v4.0","0.041")</f>
        <v>0.041</v>
      </c>
      <c r="AZ512" t="s">
        <v>2897</v>
      </c>
      <c r="BA512" s="2" t="str">
        <f>HYPERLINK("http://exon.niaid.nih.gov/transcriptome/Anopheles_sialome/links/KOG/anochris_Saglin-KOG.txt","Myosin class II heavy chain")</f>
        <v>Myosin class II heavy chain</v>
      </c>
      <c r="BB512" t="str">
        <f>HYPERLINK("http://www.ncbi.nlm.nih.gov/Structure/cdd/cddsrv.cgi?uid=KOG0161","5E-004")</f>
        <v>5E-004</v>
      </c>
      <c r="BC512" t="s">
        <v>2312</v>
      </c>
      <c r="BD512" t="str">
        <f>HYPERLINK("http://exon.niaid.nih.gov/transcriptome/Anopheles_sialome/links/KOG/anochris_Saglin-KOG.txt","KOG0161")</f>
        <v>KOG0161</v>
      </c>
      <c r="BE512" t="str">
        <f>HYPERLINK("http://exon.niaid.nih.gov/transcriptome/Anopheles_sialome/links/PFAM/anochris_Saglin-PFAM.txt","DUF3584")</f>
        <v>DUF3584</v>
      </c>
      <c r="BF512" t="str">
        <f>HYPERLINK("http://pfam.sanger.ac.uk/family?acc=PF12128","0.18")</f>
        <v>0.18</v>
      </c>
      <c r="BG512" s="2" t="str">
        <f>HYPERLINK("http://exon.niaid.nih.gov/transcriptome/Anopheles_sialome/links/SMART/anochris_Saglin-SMART.txt","OmpH")</f>
        <v>OmpH</v>
      </c>
      <c r="BH512" t="str">
        <f>HYPERLINK("http://smart.embl-heidelberg.de/smart/do_annotation.pl?DOMAIN=OmpH&amp;BLAST=DUMMY","0.73")</f>
        <v>0.73</v>
      </c>
      <c r="BI512" t="str">
        <f>HYPERLINK("http://exon.niaid.nih.gov/transcriptome/Anopheles_sialome/links/TICK-BLOCKS/anochris_Saglin-TICK-BLOCKS.txt","SG1_full |SG1_stringent_pattern |")</f>
        <v>SG1_full |SG1_stringent_pattern |</v>
      </c>
      <c r="BJ512" s="2" t="s">
        <v>2423</v>
      </c>
      <c r="BK512" t="s">
        <v>1797</v>
      </c>
      <c r="BL512">
        <f>HYPERLINK("http://exon.niaid.nih.gov/transcriptome/Anopheles_sialome/links/cluster-b/anopheline-sialome-cds-pep-larger-orf25-50SimCLU3.txt", 3)</f>
        <v>3</v>
      </c>
      <c r="BM512">
        <f>HYPERLINK("http://exon.niaid.nih.gov/transcriptome/Anopheles_sialome/links/cluster-b/anopheline-sialome-cds-pep-larger-orf25-50SimCLTL3.txt", 119)</f>
        <v>119</v>
      </c>
      <c r="BN512">
        <f>HYPERLINK("http://exon.niaid.nih.gov/transcriptome/Anopheles_sialome/links/cluster-b/anopheline-sialome-cds-pep-larger-orf30-50SimCLU3.txt", 3)</f>
        <v>3</v>
      </c>
      <c r="BO512">
        <f>HYPERLINK("http://exon.niaid.nih.gov/transcriptome/Anopheles_sialome/links/cluster-b/anopheline-sialome-cds-pep-larger-orf30-50SimCLTL3.txt", 119)</f>
        <v>119</v>
      </c>
      <c r="BP512">
        <f>HYPERLINK("http://exon.niaid.nih.gov/transcriptome/Anopheles_sialome/links/cluster-b/anopheline-sialome-cds-pep-larger-orf35-50SimCLU2.txt", 2)</f>
        <v>2</v>
      </c>
      <c r="BQ512">
        <f>HYPERLINK("http://exon.niaid.nih.gov/transcriptome/Anopheles_sialome/links/cluster-b/anopheline-sialome-cds-pep-larger-orf35-50SimCLTL2.txt", 119)</f>
        <v>119</v>
      </c>
      <c r="BR512">
        <f>HYPERLINK("http://exon.niaid.nih.gov/transcriptome/Anopheles_sialome/links/cluster-b/anopheline-sialome-cds-pep-larger-orf40-50SimCLU1.txt", 1)</f>
        <v>1</v>
      </c>
      <c r="BS512">
        <f>HYPERLINK("http://exon.niaid.nih.gov/transcriptome/Anopheles_sialome/links/cluster-b/anopheline-sialome-cds-pep-larger-orf40-50SimCLTL1.txt", 119)</f>
        <v>119</v>
      </c>
      <c r="BT512">
        <f>HYPERLINK("http://exon.niaid.nih.gov/transcriptome/Anopheles_sialome/links/cluster-b/anopheline-sialome-cds-pep-larger-orf45-50SimCLU3.txt", 3)</f>
        <v>3</v>
      </c>
      <c r="BU512">
        <f>HYPERLINK("http://exon.niaid.nih.gov/transcriptome/Anopheles_sialome/links/cluster-b/anopheline-sialome-cds-pep-larger-orf45-50SimCLTL3.txt", 65)</f>
        <v>65</v>
      </c>
      <c r="BV512">
        <f>HYPERLINK("http://exon.niaid.nih.gov/transcriptome/Anopheles_sialome/links/cluster-b/anopheline-sialome-cds-pep-larger-orf50-50SimCLU3.txt", 3)</f>
        <v>3</v>
      </c>
      <c r="BW512">
        <f>HYPERLINK("http://exon.niaid.nih.gov/transcriptome/Anopheles_sialome/links/cluster-b/anopheline-sialome-cds-pep-larger-orf50-50SimCLTL3.txt", 48)</f>
        <v>48</v>
      </c>
      <c r="BX512">
        <f>HYPERLINK("http://exon.niaid.nih.gov/transcriptome/Anopheles_sialome/links/cluster-b/anopheline-sialome-cds-pep-larger-orf55-50SimCLU3.txt", 3)</f>
        <v>3</v>
      </c>
      <c r="BY512">
        <f>HYPERLINK("http://exon.niaid.nih.gov/transcriptome/Anopheles_sialome/links/cluster-b/anopheline-sialome-cds-pep-larger-orf55-50SimCLTL3.txt", 47)</f>
        <v>47</v>
      </c>
      <c r="BZ512">
        <f>HYPERLINK("http://exon.niaid.nih.gov/transcriptome/Anopheles_sialome/links/cluster-b/anopheline-sialome-cds-pep-larger-orf60-50SimCLU27.txt", 27)</f>
        <v>27</v>
      </c>
      <c r="CA512">
        <f>HYPERLINK("http://exon.niaid.nih.gov/transcriptome/Anopheles_sialome/links/cluster-b/anopheline-sialome-cds-pep-larger-orf60-50SimCLTL27.txt", 16)</f>
        <v>16</v>
      </c>
      <c r="CB512">
        <f>HYPERLINK("http://exon.niaid.nih.gov/transcriptome/Anopheles_sialome/links/cluster-b/anopheline-sialome-cds-pep-larger-orf65-50SimCLU29.txt", 29)</f>
        <v>29</v>
      </c>
      <c r="CC512">
        <f>HYPERLINK("http://exon.niaid.nih.gov/transcriptome/Anopheles_sialome/links/cluster-b/anopheline-sialome-cds-pep-larger-orf65-50SimCLTL29.txt", 15)</f>
        <v>15</v>
      </c>
      <c r="CD512">
        <f>HYPERLINK("http://exon.niaid.nih.gov/transcriptome/Anopheles_sialome/links/cluster-b/anopheline-sialome-cds-pep-larger-orf70-50SimCLU26.txt", 26)</f>
        <v>26</v>
      </c>
      <c r="CE512">
        <f>HYPERLINK("http://exon.niaid.nih.gov/transcriptome/Anopheles_sialome/links/cluster-b/anopheline-sialome-cds-pep-larger-orf70-50SimCLTL26.txt", 15)</f>
        <v>15</v>
      </c>
      <c r="CF512">
        <f>HYPERLINK("http://exon.niaid.nih.gov/transcriptome/Anopheles_sialome/links/cluster-b/anopheline-sialome-cds-pep-larger-orf75-50SimCLU35.txt", 35)</f>
        <v>35</v>
      </c>
      <c r="CG512">
        <f>HYPERLINK("http://exon.niaid.nih.gov/transcriptome/Anopheles_sialome/links/cluster-b/anopheline-sialome-cds-pep-larger-orf75-50SimCLTL35.txt", 8)</f>
        <v>8</v>
      </c>
      <c r="CH512">
        <v>199</v>
      </c>
      <c r="CI512">
        <v>1</v>
      </c>
      <c r="CJ512">
        <v>267</v>
      </c>
      <c r="CK512">
        <v>1</v>
      </c>
      <c r="CL512">
        <v>337</v>
      </c>
      <c r="CM512">
        <v>1</v>
      </c>
      <c r="CN512">
        <v>408</v>
      </c>
      <c r="CO512">
        <v>1</v>
      </c>
    </row>
    <row r="513" spans="1:93">
      <c r="A513" s="2" t="str">
        <f>HYPERLINK("http://exon.niaid.nih.gov/transcriptome/Anopheles_sialome/links/cds/anoepi_Saglin-cds.txt","anoepi_Saglin")</f>
        <v>anoepi_Saglin</v>
      </c>
      <c r="B513">
        <v>1308</v>
      </c>
      <c r="C513" t="s">
        <v>425</v>
      </c>
      <c r="D513" t="s">
        <v>7</v>
      </c>
      <c r="E513" t="s">
        <v>5</v>
      </c>
      <c r="F513" t="s">
        <v>1</v>
      </c>
      <c r="G513" t="str">
        <f>HYPERLINK("http://exon.niaid.nih.gov/transcriptome/Anopheles_sialome/links/pep/anoepi_Saglin-pep.txt","anoepi_Saglin")</f>
        <v>anoepi_Saglin</v>
      </c>
      <c r="H513">
        <v>435</v>
      </c>
      <c r="I513">
        <v>2</v>
      </c>
      <c r="J513" s="3" t="str">
        <f>HYPERLINK("http://exon.niaid.nih.gov/transcriptome/Anopheles_sialome/links/Sigp/anoepi_Saglin-SigP.txt","SIG")</f>
        <v>SIG</v>
      </c>
      <c r="K513" t="s">
        <v>1800</v>
      </c>
      <c r="L513">
        <v>50.421999999999997</v>
      </c>
      <c r="M513">
        <v>6.54</v>
      </c>
      <c r="N513">
        <v>45.006</v>
      </c>
      <c r="O513">
        <v>5.84</v>
      </c>
      <c r="P513" t="s">
        <v>1801</v>
      </c>
      <c r="Q513" s="3">
        <v>0</v>
      </c>
      <c r="R513" t="s">
        <v>128</v>
      </c>
      <c r="S513" t="s">
        <v>128</v>
      </c>
      <c r="T513" t="s">
        <v>128</v>
      </c>
      <c r="U513" t="s">
        <v>128</v>
      </c>
      <c r="V513" t="s">
        <v>128</v>
      </c>
      <c r="W513" s="3" t="str">
        <f>HYPERLINK("http://exon.niaid.nih.gov/transcriptome/Anopheles_sialome/links/netoglyc/anoepi_Saglin-netoglyc.txt","1")</f>
        <v>1</v>
      </c>
      <c r="X513">
        <v>13.1</v>
      </c>
      <c r="Y513">
        <v>2.5</v>
      </c>
      <c r="Z513">
        <v>3.2</v>
      </c>
      <c r="AA513" t="s">
        <v>654</v>
      </c>
      <c r="AB513" t="s">
        <v>1802</v>
      </c>
      <c r="AC513" s="2" t="str">
        <f>HYPERLINK("http://exon.niaid.nih.gov/transcriptome/Anopheles_sialome/links/DIPTERA/anoepi_Saglin-DIPTERA.txt","AGAP000610-PA")</f>
        <v>AGAP000610-PA</v>
      </c>
      <c r="AD513" t="str">
        <f>HYPERLINK("http://www.ncbi.nlm.nih.gov/sutils/blink.cgi?pid=333466867","1E-129")</f>
        <v>1E-129</v>
      </c>
      <c r="AE513" t="str">
        <f>HYPERLINK("http://www.ncbi.nlm.nih.gov/protein/333466867","gi|333466867")</f>
        <v>gi|333466867</v>
      </c>
      <c r="AF513">
        <v>58</v>
      </c>
      <c r="AG513">
        <v>72</v>
      </c>
      <c r="AH513">
        <v>100</v>
      </c>
      <c r="AI513" t="s">
        <v>2285</v>
      </c>
      <c r="AJ513" s="2" t="str">
        <f>HYPERLINK("http://exon.niaid.nih.gov/transcriptome/Anopheles_sialome/links/CULICOMORPHA/anoepi_Saglin-CULICOMORPHA.txt","AGAP000610-PA")</f>
        <v>AGAP000610-PA</v>
      </c>
      <c r="AK513" t="str">
        <f>HYPERLINK("http://www.ncbi.nlm.nih.gov/sutils/blink.cgi?pid=333466867","1E-130")</f>
        <v>1E-130</v>
      </c>
      <c r="AL513" t="str">
        <f>HYPERLINK("http://www.ncbi.nlm.nih.gov/protein/333466867","gi|333466867")</f>
        <v>gi|333466867</v>
      </c>
      <c r="AM513">
        <v>58</v>
      </c>
      <c r="AN513">
        <v>72</v>
      </c>
      <c r="AO513">
        <v>100</v>
      </c>
      <c r="AP513" t="s">
        <v>2285</v>
      </c>
      <c r="AQ513" s="2" t="str">
        <f>HYPERLINK("http://exon.niaid.nih.gov/transcriptome/Anopheles_sialome/links/NR-LIGHT/anoepi_Saglin-NR-LIGHT.txt","AGAP000610-PA")</f>
        <v>AGAP000610-PA</v>
      </c>
      <c r="AR513" t="str">
        <f>HYPERLINK("http://www.ncbi.nlm.nih.gov/sutils/blink.cgi?pid=347964149","1E-129")</f>
        <v>1E-129</v>
      </c>
      <c r="AS513" t="str">
        <f>HYPERLINK("http://www.ncbi.nlm.nih.gov/protein/347964149","gi|347964149")</f>
        <v>gi|347964149</v>
      </c>
      <c r="AT513">
        <v>58</v>
      </c>
      <c r="AU513">
        <v>72</v>
      </c>
      <c r="AV513">
        <v>100</v>
      </c>
      <c r="AW513" t="s">
        <v>2285</v>
      </c>
      <c r="AX513" s="2" t="str">
        <f>HYPERLINK("http://exon.niaid.nih.gov/transcriptome/Anopheles_sialome/links/CDD/anoepi_Saglin-CDD.txt","COG3735")</f>
        <v>COG3735</v>
      </c>
      <c r="AY513" t="str">
        <f>HYPERLINK("http://www.ncbi.nlm.nih.gov/Structure/cdd/cddsrv.cgi?uid=COG3735&amp;version=v4.0","0.19")</f>
        <v>0.19</v>
      </c>
      <c r="AZ513" t="s">
        <v>2898</v>
      </c>
      <c r="BA513" s="2" t="str">
        <f>HYPERLINK("http://exon.niaid.nih.gov/transcriptome/Anopheles_sialome/links/KOG/anoepi_Saglin-KOG.txt","Myosin class II heavy chain")</f>
        <v>Myosin class II heavy chain</v>
      </c>
      <c r="BB513" t="str">
        <f>HYPERLINK("http://www.ncbi.nlm.nih.gov/Structure/cdd/cddsrv.cgi?uid=KOG0161","0.079")</f>
        <v>0.079</v>
      </c>
      <c r="BC513" t="s">
        <v>2312</v>
      </c>
      <c r="BD513" t="str">
        <f>HYPERLINK("http://exon.niaid.nih.gov/transcriptome/Anopheles_sialome/links/KOG/anoepi_Saglin-KOG.txt","KOG0161")</f>
        <v>KOG0161</v>
      </c>
      <c r="BE513" t="str">
        <f>HYPERLINK("http://exon.niaid.nih.gov/transcriptome/Anopheles_sialome/links/PFAM/anoepi_Saglin-PFAM.txt","DUF4407")</f>
        <v>DUF4407</v>
      </c>
      <c r="BF513" t="str">
        <f>HYPERLINK("http://pfam.sanger.ac.uk/family?acc=PF14362","0.63")</f>
        <v>0.63</v>
      </c>
      <c r="BG513" s="2" t="str">
        <f>HYPERLINK("http://exon.niaid.nih.gov/transcriptome/Anopheles_sialome/links/SMART/anoepi_Saglin-SMART.txt","X8")</f>
        <v>X8</v>
      </c>
      <c r="BH513" t="str">
        <f>HYPERLINK("http://smart.embl-heidelberg.de/smart/do_annotation.pl?DOMAIN=X8&amp;BLAST=DUMMY","0.081")</f>
        <v>0.081</v>
      </c>
      <c r="BI513" t="str">
        <f>HYPERLINK("http://exon.niaid.nih.gov/transcriptome/Anopheles_sialome/links/TICK-BLOCKS/anoepi_Saglin-TICK-BLOCKS.txt","Aegyptin_Culicoides_40pct |")</f>
        <v>Aegyptin_Culicoides_40pct |</v>
      </c>
      <c r="BJ513" s="2" t="s">
        <v>2899</v>
      </c>
      <c r="BK513" t="s">
        <v>1799</v>
      </c>
      <c r="BL513">
        <f>HYPERLINK("http://exon.niaid.nih.gov/transcriptome/Anopheles_sialome/links/cluster-b/anopheline-sialome-cds-pep-larger-orf25-50SimCLU3.txt", 3)</f>
        <v>3</v>
      </c>
      <c r="BM513">
        <f>HYPERLINK("http://exon.niaid.nih.gov/transcriptome/Anopheles_sialome/links/cluster-b/anopheline-sialome-cds-pep-larger-orf25-50SimCLTL3.txt", 119)</f>
        <v>119</v>
      </c>
      <c r="BN513">
        <f>HYPERLINK("http://exon.niaid.nih.gov/transcriptome/Anopheles_sialome/links/cluster-b/anopheline-sialome-cds-pep-larger-orf30-50SimCLU3.txt", 3)</f>
        <v>3</v>
      </c>
      <c r="BO513">
        <f>HYPERLINK("http://exon.niaid.nih.gov/transcriptome/Anopheles_sialome/links/cluster-b/anopheline-sialome-cds-pep-larger-orf30-50SimCLTL3.txt", 119)</f>
        <v>119</v>
      </c>
      <c r="BP513">
        <f>HYPERLINK("http://exon.niaid.nih.gov/transcriptome/Anopheles_sialome/links/cluster-b/anopheline-sialome-cds-pep-larger-orf35-50SimCLU2.txt", 2)</f>
        <v>2</v>
      </c>
      <c r="BQ513">
        <f>HYPERLINK("http://exon.niaid.nih.gov/transcriptome/Anopheles_sialome/links/cluster-b/anopheline-sialome-cds-pep-larger-orf35-50SimCLTL2.txt", 119)</f>
        <v>119</v>
      </c>
      <c r="BR513">
        <f>HYPERLINK("http://exon.niaid.nih.gov/transcriptome/Anopheles_sialome/links/cluster-b/anopheline-sialome-cds-pep-larger-orf40-50SimCLU1.txt", 1)</f>
        <v>1</v>
      </c>
      <c r="BS513">
        <f>HYPERLINK("http://exon.niaid.nih.gov/transcriptome/Anopheles_sialome/links/cluster-b/anopheline-sialome-cds-pep-larger-orf40-50SimCLTL1.txt", 119)</f>
        <v>119</v>
      </c>
      <c r="BT513">
        <f>HYPERLINK("http://exon.niaid.nih.gov/transcriptome/Anopheles_sialome/links/cluster-b/anopheline-sialome-cds-pep-larger-orf45-50SimCLU3.txt", 3)</f>
        <v>3</v>
      </c>
      <c r="BU513">
        <f>HYPERLINK("http://exon.niaid.nih.gov/transcriptome/Anopheles_sialome/links/cluster-b/anopheline-sialome-cds-pep-larger-orf45-50SimCLTL3.txt", 65)</f>
        <v>65</v>
      </c>
      <c r="BV513">
        <f>HYPERLINK("http://exon.niaid.nih.gov/transcriptome/Anopheles_sialome/links/cluster-b/anopheline-sialome-cds-pep-larger-orf50-50SimCLU3.txt", 3)</f>
        <v>3</v>
      </c>
      <c r="BW513">
        <f>HYPERLINK("http://exon.niaid.nih.gov/transcriptome/Anopheles_sialome/links/cluster-b/anopheline-sialome-cds-pep-larger-orf50-50SimCLTL3.txt", 48)</f>
        <v>48</v>
      </c>
      <c r="BX513">
        <f>HYPERLINK("http://exon.niaid.nih.gov/transcriptome/Anopheles_sialome/links/cluster-b/anopheline-sialome-cds-pep-larger-orf55-50SimCLU3.txt", 3)</f>
        <v>3</v>
      </c>
      <c r="BY513">
        <f>HYPERLINK("http://exon.niaid.nih.gov/transcriptome/Anopheles_sialome/links/cluster-b/anopheline-sialome-cds-pep-larger-orf55-50SimCLTL3.txt", 47)</f>
        <v>47</v>
      </c>
      <c r="BZ513">
        <f>HYPERLINK("http://exon.niaid.nih.gov/transcriptome/Anopheles_sialome/links/cluster-b/anopheline-sialome-cds-pep-larger-orf60-50SimCLU27.txt", 27)</f>
        <v>27</v>
      </c>
      <c r="CA513">
        <f>HYPERLINK("http://exon.niaid.nih.gov/transcriptome/Anopheles_sialome/links/cluster-b/anopheline-sialome-cds-pep-larger-orf60-50SimCLTL27.txt", 16)</f>
        <v>16</v>
      </c>
      <c r="CB513">
        <f>HYPERLINK("http://exon.niaid.nih.gov/transcriptome/Anopheles_sialome/links/cluster-b/anopheline-sialome-cds-pep-larger-orf65-50SimCLU29.txt", 29)</f>
        <v>29</v>
      </c>
      <c r="CC513">
        <f>HYPERLINK("http://exon.niaid.nih.gov/transcriptome/Anopheles_sialome/links/cluster-b/anopheline-sialome-cds-pep-larger-orf65-50SimCLTL29.txt", 15)</f>
        <v>15</v>
      </c>
      <c r="CD513">
        <f>HYPERLINK("http://exon.niaid.nih.gov/transcriptome/Anopheles_sialome/links/cluster-b/anopheline-sialome-cds-pep-larger-orf70-50SimCLU26.txt", 26)</f>
        <v>26</v>
      </c>
      <c r="CE513">
        <f>HYPERLINK("http://exon.niaid.nih.gov/transcriptome/Anopheles_sialome/links/cluster-b/anopheline-sialome-cds-pep-larger-orf70-50SimCLTL26.txt", 15)</f>
        <v>15</v>
      </c>
      <c r="CF513">
        <f>HYPERLINK("http://exon.niaid.nih.gov/transcriptome/Anopheles_sialome/links/cluster-b/anopheline-sialome-cds-pep-larger-orf75-50SimCLU35.txt", 35)</f>
        <v>35</v>
      </c>
      <c r="CG513">
        <f>HYPERLINK("http://exon.niaid.nih.gov/transcriptome/Anopheles_sialome/links/cluster-b/anopheline-sialome-cds-pep-larger-orf75-50SimCLTL35.txt", 8)</f>
        <v>8</v>
      </c>
      <c r="CH513">
        <v>200</v>
      </c>
      <c r="CI513">
        <v>1</v>
      </c>
      <c r="CJ513">
        <v>268</v>
      </c>
      <c r="CK513">
        <v>1</v>
      </c>
      <c r="CL513">
        <v>338</v>
      </c>
      <c r="CM513">
        <v>1</v>
      </c>
      <c r="CN513">
        <v>409</v>
      </c>
      <c r="CO513">
        <v>1</v>
      </c>
    </row>
    <row r="514" spans="1:93">
      <c r="A514" s="2" t="str">
        <f>HYPERLINK("http://exon.niaid.nih.gov/transcriptome/Anopheles_sialome/links/cds/anofun_Saglin-cds.txt","anofun_Saglin")</f>
        <v>anofun_Saglin</v>
      </c>
      <c r="B514">
        <v>1263</v>
      </c>
      <c r="C514" t="s">
        <v>447</v>
      </c>
      <c r="D514" t="s">
        <v>7</v>
      </c>
      <c r="E514" t="s">
        <v>5</v>
      </c>
      <c r="F514" t="s">
        <v>1</v>
      </c>
      <c r="G514" t="str">
        <f>HYPERLINK("http://exon.niaid.nih.gov/transcriptome/Anopheles_sialome/links/pep/anofun_Saglin-pep.txt","anofun_Saglin")</f>
        <v>anofun_Saglin</v>
      </c>
      <c r="H514">
        <v>420</v>
      </c>
      <c r="I514">
        <v>2</v>
      </c>
      <c r="J514" s="3" t="str">
        <f>HYPERLINK("http://exon.niaid.nih.gov/transcriptome/Anopheles_sialome/links/Sigp/anofun_Saglin-SigP.txt","SIG")</f>
        <v>SIG</v>
      </c>
      <c r="K514" t="s">
        <v>695</v>
      </c>
      <c r="L514">
        <v>48.969000000000001</v>
      </c>
      <c r="M514">
        <v>8.81</v>
      </c>
      <c r="N514">
        <v>46.585000000000001</v>
      </c>
      <c r="O514">
        <v>8.6999999999999993</v>
      </c>
      <c r="P514" t="s">
        <v>1804</v>
      </c>
      <c r="Q514" s="3">
        <v>0</v>
      </c>
      <c r="R514" t="s">
        <v>128</v>
      </c>
      <c r="S514" t="s">
        <v>128</v>
      </c>
      <c r="T514" t="s">
        <v>128</v>
      </c>
      <c r="U514" t="s">
        <v>128</v>
      </c>
      <c r="V514" t="s">
        <v>128</v>
      </c>
      <c r="W514" s="3" t="str">
        <f>HYPERLINK("http://exon.niaid.nih.gov/transcriptome/Anopheles_sialome/links/netoglyc/anofun_Saglin-netoglyc.txt","0")</f>
        <v>0</v>
      </c>
      <c r="X514">
        <v>8.6</v>
      </c>
      <c r="Y514">
        <v>2.6</v>
      </c>
      <c r="Z514">
        <v>3.6</v>
      </c>
      <c r="AA514" t="s">
        <v>654</v>
      </c>
      <c r="AB514" t="s">
        <v>128</v>
      </c>
      <c r="AC514" s="2" t="str">
        <f>HYPERLINK("http://exon.niaid.nih.gov/transcriptome/Anopheles_sialome/links/DIPTERA/anofun_Saglin-DIPTERA.txt","putative salivary protein SG1B")</f>
        <v>putative salivary protein SG1B</v>
      </c>
      <c r="AD514" t="str">
        <f>HYPERLINK("http://www.ncbi.nlm.nih.gov/sutils/blink.cgi?pid=27372929","1E-140")</f>
        <v>1E-140</v>
      </c>
      <c r="AE514" t="str">
        <f>HYPERLINK("http://www.ncbi.nlm.nih.gov/protein/27372929","gi|27372929")</f>
        <v>gi|27372929</v>
      </c>
      <c r="AF514">
        <v>59</v>
      </c>
      <c r="AG514">
        <v>75</v>
      </c>
      <c r="AH514">
        <v>101</v>
      </c>
      <c r="AI514" t="s">
        <v>2271</v>
      </c>
      <c r="AJ514" s="2" t="str">
        <f>HYPERLINK("http://exon.niaid.nih.gov/transcriptome/Anopheles_sialome/links/CULICOMORPHA/anofun_Saglin-CULICOMORPHA.txt","putative salivary protein SG1B")</f>
        <v>putative salivary protein SG1B</v>
      </c>
      <c r="AK514" t="str">
        <f>HYPERLINK("http://www.ncbi.nlm.nih.gov/sutils/blink.cgi?pid=27372929","1E-141")</f>
        <v>1E-141</v>
      </c>
      <c r="AL514" t="str">
        <f>HYPERLINK("http://www.ncbi.nlm.nih.gov/protein/27372929","gi|27372929")</f>
        <v>gi|27372929</v>
      </c>
      <c r="AM514">
        <v>59</v>
      </c>
      <c r="AN514">
        <v>75</v>
      </c>
      <c r="AO514">
        <v>101</v>
      </c>
      <c r="AP514" t="s">
        <v>2271</v>
      </c>
      <c r="AQ514" s="2" t="str">
        <f>HYPERLINK("http://exon.niaid.nih.gov/transcriptome/Anopheles_sialome/links/NR-LIGHT/anofun_Saglin-NR-LIGHT.txt","putative salivary protein SG1B")</f>
        <v>putative salivary protein SG1B</v>
      </c>
      <c r="AR514" t="str">
        <f>HYPERLINK("http://www.ncbi.nlm.nih.gov/sutils/blink.cgi?pid=27372929","1E-140")</f>
        <v>1E-140</v>
      </c>
      <c r="AS514" t="str">
        <f>HYPERLINK("http://www.ncbi.nlm.nih.gov/protein/27372929","gi|27372929")</f>
        <v>gi|27372929</v>
      </c>
      <c r="AT514">
        <v>59</v>
      </c>
      <c r="AU514">
        <v>75</v>
      </c>
      <c r="AV514">
        <v>101</v>
      </c>
      <c r="AW514" t="s">
        <v>2271</v>
      </c>
      <c r="AX514" s="2" t="str">
        <f>HYPERLINK("http://exon.niaid.nih.gov/transcriptome/Anopheles_sialome/links/CDD/anofun_Saglin-CDD.txt","Piwi_piwi-like_")</f>
        <v>Piwi_piwi-like_</v>
      </c>
      <c r="AY514" t="str">
        <f>HYPERLINK("http://www.ncbi.nlm.nih.gov/Structure/cdd/cddsrv.cgi?uid=cd04658&amp;version=v4.0","0.18")</f>
        <v>0.18</v>
      </c>
      <c r="AZ514" t="s">
        <v>2900</v>
      </c>
      <c r="BA514" s="2" t="str">
        <f>HYPERLINK("http://exon.niaid.nih.gov/transcriptome/Anopheles_sialome/links/KOG/anofun_Saglin-KOG.txt","Upstream transcription factor 2/L-myc-2 protein")</f>
        <v>Upstream transcription factor 2/L-myc-2 protein</v>
      </c>
      <c r="BB514" t="str">
        <f>HYPERLINK("http://www.ncbi.nlm.nih.gov/Structure/cdd/cddsrv.cgi?uid=KOG2483","0.003")</f>
        <v>0.003</v>
      </c>
      <c r="BC514" t="s">
        <v>2262</v>
      </c>
      <c r="BD514" t="str">
        <f>HYPERLINK("http://exon.niaid.nih.gov/transcriptome/Anopheles_sialome/links/KOG/anofun_Saglin-KOG.txt","KOG2483")</f>
        <v>KOG2483</v>
      </c>
      <c r="BE514" t="str">
        <f>HYPERLINK("http://exon.niaid.nih.gov/transcriptome/Anopheles_sialome/links/PFAM/anofun_Saglin-PFAM.txt","PEPcase")</f>
        <v>PEPcase</v>
      </c>
      <c r="BF514" t="str">
        <f>HYPERLINK("http://pfam.sanger.ac.uk/family?acc=PF00311","0.76")</f>
        <v>0.76</v>
      </c>
      <c r="BG514" s="2" t="str">
        <f>HYPERLINK("http://exon.niaid.nih.gov/transcriptome/Anopheles_sialome/links/SMART/anofun_Saglin-SMART.txt","G_alpha")</f>
        <v>G_alpha</v>
      </c>
      <c r="BH514" t="str">
        <f>HYPERLINK("http://smart.embl-heidelberg.de/smart/do_annotation.pl?DOMAIN=G_alpha&amp;BLAST=DUMMY","0.32")</f>
        <v>0.32</v>
      </c>
      <c r="BI514" t="str">
        <f>HYPERLINK("http://exon.niaid.nih.gov/transcriptome/Anopheles_sialome/links/TICK-BLOCKS/anofun_Saglin-TICK-BLOCKS.txt","SG1_stringent_pattern |")</f>
        <v>SG1_stringent_pattern |</v>
      </c>
      <c r="BJ514" s="2" t="s">
        <v>128</v>
      </c>
      <c r="BK514" t="s">
        <v>1803</v>
      </c>
      <c r="BL514">
        <f>HYPERLINK("http://exon.niaid.nih.gov/transcriptome/Anopheles_sialome/links/cluster-b/anopheline-sialome-cds-pep-larger-orf25-50SimCLU3.txt", 3)</f>
        <v>3</v>
      </c>
      <c r="BM514">
        <f>HYPERLINK("http://exon.niaid.nih.gov/transcriptome/Anopheles_sialome/links/cluster-b/anopheline-sialome-cds-pep-larger-orf25-50SimCLTL3.txt", 119)</f>
        <v>119</v>
      </c>
      <c r="BN514">
        <f>HYPERLINK("http://exon.niaid.nih.gov/transcriptome/Anopheles_sialome/links/cluster-b/anopheline-sialome-cds-pep-larger-orf30-50SimCLU3.txt", 3)</f>
        <v>3</v>
      </c>
      <c r="BO514">
        <f>HYPERLINK("http://exon.niaid.nih.gov/transcriptome/Anopheles_sialome/links/cluster-b/anopheline-sialome-cds-pep-larger-orf30-50SimCLTL3.txt", 119)</f>
        <v>119</v>
      </c>
      <c r="BP514">
        <f>HYPERLINK("http://exon.niaid.nih.gov/transcriptome/Anopheles_sialome/links/cluster-b/anopheline-sialome-cds-pep-larger-orf35-50SimCLU2.txt", 2)</f>
        <v>2</v>
      </c>
      <c r="BQ514">
        <f>HYPERLINK("http://exon.niaid.nih.gov/transcriptome/Anopheles_sialome/links/cluster-b/anopheline-sialome-cds-pep-larger-orf35-50SimCLTL2.txt", 119)</f>
        <v>119</v>
      </c>
      <c r="BR514">
        <f>HYPERLINK("http://exon.niaid.nih.gov/transcriptome/Anopheles_sialome/links/cluster-b/anopheline-sialome-cds-pep-larger-orf40-50SimCLU1.txt", 1)</f>
        <v>1</v>
      </c>
      <c r="BS514">
        <f>HYPERLINK("http://exon.niaid.nih.gov/transcriptome/Anopheles_sialome/links/cluster-b/anopheline-sialome-cds-pep-larger-orf40-50SimCLTL1.txt", 119)</f>
        <v>119</v>
      </c>
      <c r="BT514">
        <f>HYPERLINK("http://exon.niaid.nih.gov/transcriptome/Anopheles_sialome/links/cluster-b/anopheline-sialome-cds-pep-larger-orf45-50SimCLU3.txt", 3)</f>
        <v>3</v>
      </c>
      <c r="BU514">
        <f>HYPERLINK("http://exon.niaid.nih.gov/transcriptome/Anopheles_sialome/links/cluster-b/anopheline-sialome-cds-pep-larger-orf45-50SimCLTL3.txt", 65)</f>
        <v>65</v>
      </c>
      <c r="BV514">
        <f>HYPERLINK("http://exon.niaid.nih.gov/transcriptome/Anopheles_sialome/links/cluster-b/anopheline-sialome-cds-pep-larger-orf50-50SimCLU3.txt", 3)</f>
        <v>3</v>
      </c>
      <c r="BW514">
        <f>HYPERLINK("http://exon.niaid.nih.gov/transcriptome/Anopheles_sialome/links/cluster-b/anopheline-sialome-cds-pep-larger-orf50-50SimCLTL3.txt", 48)</f>
        <v>48</v>
      </c>
      <c r="BX514">
        <f>HYPERLINK("http://exon.niaid.nih.gov/transcriptome/Anopheles_sialome/links/cluster-b/anopheline-sialome-cds-pep-larger-orf55-50SimCLU3.txt", 3)</f>
        <v>3</v>
      </c>
      <c r="BY514">
        <f>HYPERLINK("http://exon.niaid.nih.gov/transcriptome/Anopheles_sialome/links/cluster-b/anopheline-sialome-cds-pep-larger-orf55-50SimCLTL3.txt", 47)</f>
        <v>47</v>
      </c>
      <c r="BZ514">
        <f>HYPERLINK("http://exon.niaid.nih.gov/transcriptome/Anopheles_sialome/links/cluster-b/anopheline-sialome-cds-pep-larger-orf60-50SimCLU27.txt", 27)</f>
        <v>27</v>
      </c>
      <c r="CA514">
        <f>HYPERLINK("http://exon.niaid.nih.gov/transcriptome/Anopheles_sialome/links/cluster-b/anopheline-sialome-cds-pep-larger-orf60-50SimCLTL27.txt", 16)</f>
        <v>16</v>
      </c>
      <c r="CB514">
        <f>HYPERLINK("http://exon.niaid.nih.gov/transcriptome/Anopheles_sialome/links/cluster-b/anopheline-sialome-cds-pep-larger-orf65-50SimCLU29.txt", 29)</f>
        <v>29</v>
      </c>
      <c r="CC514">
        <f>HYPERLINK("http://exon.niaid.nih.gov/transcriptome/Anopheles_sialome/links/cluster-b/anopheline-sialome-cds-pep-larger-orf65-50SimCLTL29.txt", 15)</f>
        <v>15</v>
      </c>
      <c r="CD514">
        <f>HYPERLINK("http://exon.niaid.nih.gov/transcriptome/Anopheles_sialome/links/cluster-b/anopheline-sialome-cds-pep-larger-orf70-50SimCLU26.txt", 26)</f>
        <v>26</v>
      </c>
      <c r="CE514">
        <f>HYPERLINK("http://exon.niaid.nih.gov/transcriptome/Anopheles_sialome/links/cluster-b/anopheline-sialome-cds-pep-larger-orf70-50SimCLTL26.txt", 15)</f>
        <v>15</v>
      </c>
      <c r="CF514">
        <f>HYPERLINK("http://exon.niaid.nih.gov/transcriptome/Anopheles_sialome/links/cluster-b/anopheline-sialome-cds-pep-larger-orf75-50SimCLU48.txt", 48)</f>
        <v>48</v>
      </c>
      <c r="CG514">
        <f>HYPERLINK("http://exon.niaid.nih.gov/transcriptome/Anopheles_sialome/links/cluster-b/anopheline-sialome-cds-pep-larger-orf75-50SimCLTL48.txt", 5)</f>
        <v>5</v>
      </c>
      <c r="CH514">
        <f>HYPERLINK("http://exon.niaid.nih.gov/transcriptome/Anopheles_sialome/links/cluster-b/anopheline-sialome-cds-pep-larger-orf80-50SimCLU59.txt", 59)</f>
        <v>59</v>
      </c>
      <c r="CI514">
        <f>HYPERLINK("http://exon.niaid.nih.gov/transcriptome/Anopheles_sialome/links/cluster-b/anopheline-sialome-cds-pep-larger-orf80-50SimCLTL59.txt", 3)</f>
        <v>3</v>
      </c>
      <c r="CJ514">
        <v>269</v>
      </c>
      <c r="CK514">
        <v>1</v>
      </c>
      <c r="CL514">
        <v>339</v>
      </c>
      <c r="CM514">
        <v>1</v>
      </c>
      <c r="CN514">
        <v>410</v>
      </c>
      <c r="CO514">
        <v>1</v>
      </c>
    </row>
    <row r="515" spans="1:93">
      <c r="A515" s="2" t="str">
        <f>HYPERLINK("http://exon.niaid.nih.gov/transcriptome/Anopheles_sialome/links/cds/anomin_Saglin-cds.txt","anomin_Saglin")</f>
        <v>anomin_Saglin</v>
      </c>
      <c r="B515">
        <v>1254</v>
      </c>
      <c r="C515" t="s">
        <v>427</v>
      </c>
      <c r="D515" t="s">
        <v>7</v>
      </c>
      <c r="E515" t="s">
        <v>5</v>
      </c>
      <c r="F515" t="s">
        <v>1</v>
      </c>
      <c r="G515" t="str">
        <f>HYPERLINK("http://exon.niaid.nih.gov/transcriptome/Anopheles_sialome/links/pep/anomin_Saglin-pep.txt","anomin_Saglin")</f>
        <v>anomin_Saglin</v>
      </c>
      <c r="H515">
        <v>417</v>
      </c>
      <c r="I515">
        <v>1</v>
      </c>
      <c r="J515" s="3" t="str">
        <f>HYPERLINK("http://exon.niaid.nih.gov/transcriptome/Anopheles_sialome/links/Sigp/anomin_Saglin-SigP.txt","SIG")</f>
        <v>SIG</v>
      </c>
      <c r="K515" t="s">
        <v>695</v>
      </c>
      <c r="L515">
        <v>48.673999999999999</v>
      </c>
      <c r="M515">
        <v>8.06</v>
      </c>
      <c r="N515">
        <v>46.171999999999997</v>
      </c>
      <c r="O515">
        <v>7.77</v>
      </c>
      <c r="P515" t="s">
        <v>1806</v>
      </c>
      <c r="Q515" s="3" t="str">
        <f>HYPERLINK("http://exon.niaid.nih.gov/transcriptome/Anopheles_sialome/links/tmhmm/anomin_Saglin-tmhmm.txt","1")</f>
        <v>1</v>
      </c>
      <c r="R515">
        <v>4.5999999999999996</v>
      </c>
      <c r="S515">
        <v>94.2</v>
      </c>
      <c r="T515">
        <v>1.2</v>
      </c>
      <c r="U515" t="s">
        <v>128</v>
      </c>
      <c r="V515">
        <v>393</v>
      </c>
      <c r="W515" s="3" t="str">
        <f>HYPERLINK("http://exon.niaid.nih.gov/transcriptome/Anopheles_sialome/links/netoglyc/anomin_Saglin-netoglyc.txt","0")</f>
        <v>0</v>
      </c>
      <c r="X515">
        <v>7.7</v>
      </c>
      <c r="Y515">
        <v>2.4</v>
      </c>
      <c r="Z515">
        <v>2.9</v>
      </c>
      <c r="AA515" t="s">
        <v>654</v>
      </c>
      <c r="AB515" t="s">
        <v>128</v>
      </c>
      <c r="AC515" s="2" t="str">
        <f>HYPERLINK("http://exon.niaid.nih.gov/transcriptome/Anopheles_sialome/links/DIPTERA/anomin_Saglin-DIPTERA.txt","putative salivary protein SG1B")</f>
        <v>putative salivary protein SG1B</v>
      </c>
      <c r="AD515" t="str">
        <f>HYPERLINK("http://www.ncbi.nlm.nih.gov/sutils/blink.cgi?pid=27372929","1E-145")</f>
        <v>1E-145</v>
      </c>
      <c r="AE515" t="str">
        <f>HYPERLINK("http://www.ncbi.nlm.nih.gov/protein/27372929","gi|27372929")</f>
        <v>gi|27372929</v>
      </c>
      <c r="AF515">
        <v>62</v>
      </c>
      <c r="AG515">
        <v>76</v>
      </c>
      <c r="AH515">
        <v>100</v>
      </c>
      <c r="AI515" t="s">
        <v>2271</v>
      </c>
      <c r="AJ515" s="2" t="str">
        <f>HYPERLINK("http://exon.niaid.nih.gov/transcriptome/Anopheles_sialome/links/CULICOMORPHA/anomin_Saglin-CULICOMORPHA.txt","putative salivary protein SG1B")</f>
        <v>putative salivary protein SG1B</v>
      </c>
      <c r="AK515" t="str">
        <f>HYPERLINK("http://www.ncbi.nlm.nih.gov/sutils/blink.cgi?pid=27372929","1E-146")</f>
        <v>1E-146</v>
      </c>
      <c r="AL515" t="str">
        <f>HYPERLINK("http://www.ncbi.nlm.nih.gov/protein/27372929","gi|27372929")</f>
        <v>gi|27372929</v>
      </c>
      <c r="AM515">
        <v>62</v>
      </c>
      <c r="AN515">
        <v>76</v>
      </c>
      <c r="AO515">
        <v>100</v>
      </c>
      <c r="AP515" t="s">
        <v>2271</v>
      </c>
      <c r="AQ515" s="2" t="str">
        <f>HYPERLINK("http://exon.niaid.nih.gov/transcriptome/Anopheles_sialome/links/NR-LIGHT/anomin_Saglin-NR-LIGHT.txt","putative salivary protein SG1B")</f>
        <v>putative salivary protein SG1B</v>
      </c>
      <c r="AR515" t="str">
        <f>HYPERLINK("http://www.ncbi.nlm.nih.gov/sutils/blink.cgi?pid=27372929","1E-145")</f>
        <v>1E-145</v>
      </c>
      <c r="AS515" t="str">
        <f>HYPERLINK("http://www.ncbi.nlm.nih.gov/protein/27372929","gi|27372929")</f>
        <v>gi|27372929</v>
      </c>
      <c r="AT515">
        <v>62</v>
      </c>
      <c r="AU515">
        <v>76</v>
      </c>
      <c r="AV515">
        <v>100</v>
      </c>
      <c r="AW515" t="s">
        <v>2271</v>
      </c>
      <c r="AX515" s="2" t="str">
        <f>HYPERLINK("http://exon.niaid.nih.gov/transcriptome/Anopheles_sialome/links/CDD/anomin_Saglin-CDD.txt","PRK10246")</f>
        <v>PRK10246</v>
      </c>
      <c r="AY515" t="str">
        <f>HYPERLINK("http://www.ncbi.nlm.nih.gov/Structure/cdd/cddsrv.cgi?uid=PRK10246&amp;version=v4.0","0.15")</f>
        <v>0.15</v>
      </c>
      <c r="AZ515" t="s">
        <v>2901</v>
      </c>
      <c r="BA515" s="2" t="str">
        <f>HYPERLINK("http://exon.niaid.nih.gov/transcriptome/Anopheles_sialome/links/KOG/anomin_Saglin-KOG.txt","Myosin class II heavy chain")</f>
        <v>Myosin class II heavy chain</v>
      </c>
      <c r="BB515" t="str">
        <f>HYPERLINK("http://www.ncbi.nlm.nih.gov/Structure/cdd/cddsrv.cgi?uid=KOG0161","0.008")</f>
        <v>0.008</v>
      </c>
      <c r="BC515" t="s">
        <v>2312</v>
      </c>
      <c r="BD515" t="str">
        <f>HYPERLINK("http://exon.niaid.nih.gov/transcriptome/Anopheles_sialome/links/KOG/anomin_Saglin-KOG.txt","KOG0161")</f>
        <v>KOG0161</v>
      </c>
      <c r="BE515" t="str">
        <f>HYPERLINK("http://exon.niaid.nih.gov/transcriptome/Anopheles_sialome/links/PFAM/anomin_Saglin-PFAM.txt","End3")</f>
        <v>End3</v>
      </c>
      <c r="BF515" t="str">
        <f>HYPERLINK("http://pfam.sanger.ac.uk/family?acc=PF12761","0.071")</f>
        <v>0.071</v>
      </c>
      <c r="BG515" s="2" t="str">
        <f>HYPERLINK("http://exon.niaid.nih.gov/transcriptome/Anopheles_sialome/links/SMART/anomin_Saglin-SMART.txt","RNB")</f>
        <v>RNB</v>
      </c>
      <c r="BH515" t="str">
        <f>HYPERLINK("http://smart.embl-heidelberg.de/smart/do_annotation.pl?DOMAIN=RNB&amp;BLAST=DUMMY","0.44")</f>
        <v>0.44</v>
      </c>
      <c r="BI515" t="str">
        <f>HYPERLINK("http://exon.niaid.nih.gov/transcriptome/Anopheles_sialome/links/TICK-BLOCKS/anomin_Saglin-TICK-BLOCKS.txt","SG1_stringent_pattern |")</f>
        <v>SG1_stringent_pattern |</v>
      </c>
      <c r="BJ515" s="2" t="s">
        <v>128</v>
      </c>
      <c r="BK515" t="s">
        <v>1805</v>
      </c>
      <c r="BL515">
        <f>HYPERLINK("http://exon.niaid.nih.gov/transcriptome/Anopheles_sialome/links/cluster-b/anopheline-sialome-cds-pep-larger-orf25-50SimCLU3.txt", 3)</f>
        <v>3</v>
      </c>
      <c r="BM515">
        <f>HYPERLINK("http://exon.niaid.nih.gov/transcriptome/Anopheles_sialome/links/cluster-b/anopheline-sialome-cds-pep-larger-orf25-50SimCLTL3.txt", 119)</f>
        <v>119</v>
      </c>
      <c r="BN515">
        <f>HYPERLINK("http://exon.niaid.nih.gov/transcriptome/Anopheles_sialome/links/cluster-b/anopheline-sialome-cds-pep-larger-orf30-50SimCLU3.txt", 3)</f>
        <v>3</v>
      </c>
      <c r="BO515">
        <f>HYPERLINK("http://exon.niaid.nih.gov/transcriptome/Anopheles_sialome/links/cluster-b/anopheline-sialome-cds-pep-larger-orf30-50SimCLTL3.txt", 119)</f>
        <v>119</v>
      </c>
      <c r="BP515">
        <f>HYPERLINK("http://exon.niaid.nih.gov/transcriptome/Anopheles_sialome/links/cluster-b/anopheline-sialome-cds-pep-larger-orf35-50SimCLU2.txt", 2)</f>
        <v>2</v>
      </c>
      <c r="BQ515">
        <f>HYPERLINK("http://exon.niaid.nih.gov/transcriptome/Anopheles_sialome/links/cluster-b/anopheline-sialome-cds-pep-larger-orf35-50SimCLTL2.txt", 119)</f>
        <v>119</v>
      </c>
      <c r="BR515">
        <f>HYPERLINK("http://exon.niaid.nih.gov/transcriptome/Anopheles_sialome/links/cluster-b/anopheline-sialome-cds-pep-larger-orf40-50SimCLU1.txt", 1)</f>
        <v>1</v>
      </c>
      <c r="BS515">
        <f>HYPERLINK("http://exon.niaid.nih.gov/transcriptome/Anopheles_sialome/links/cluster-b/anopheline-sialome-cds-pep-larger-orf40-50SimCLTL1.txt", 119)</f>
        <v>119</v>
      </c>
      <c r="BT515">
        <f>HYPERLINK("http://exon.niaid.nih.gov/transcriptome/Anopheles_sialome/links/cluster-b/anopheline-sialome-cds-pep-larger-orf45-50SimCLU3.txt", 3)</f>
        <v>3</v>
      </c>
      <c r="BU515">
        <f>HYPERLINK("http://exon.niaid.nih.gov/transcriptome/Anopheles_sialome/links/cluster-b/anopheline-sialome-cds-pep-larger-orf45-50SimCLTL3.txt", 65)</f>
        <v>65</v>
      </c>
      <c r="BV515">
        <f>HYPERLINK("http://exon.niaid.nih.gov/transcriptome/Anopheles_sialome/links/cluster-b/anopheline-sialome-cds-pep-larger-orf50-50SimCLU3.txt", 3)</f>
        <v>3</v>
      </c>
      <c r="BW515">
        <f>HYPERLINK("http://exon.niaid.nih.gov/transcriptome/Anopheles_sialome/links/cluster-b/anopheline-sialome-cds-pep-larger-orf50-50SimCLTL3.txt", 48)</f>
        <v>48</v>
      </c>
      <c r="BX515">
        <f>HYPERLINK("http://exon.niaid.nih.gov/transcriptome/Anopheles_sialome/links/cluster-b/anopheline-sialome-cds-pep-larger-orf55-50SimCLU3.txt", 3)</f>
        <v>3</v>
      </c>
      <c r="BY515">
        <f>HYPERLINK("http://exon.niaid.nih.gov/transcriptome/Anopheles_sialome/links/cluster-b/anopheline-sialome-cds-pep-larger-orf55-50SimCLTL3.txt", 47)</f>
        <v>47</v>
      </c>
      <c r="BZ515">
        <f>HYPERLINK("http://exon.niaid.nih.gov/transcriptome/Anopheles_sialome/links/cluster-b/anopheline-sialome-cds-pep-larger-orf60-50SimCLU27.txt", 27)</f>
        <v>27</v>
      </c>
      <c r="CA515">
        <f>HYPERLINK("http://exon.niaid.nih.gov/transcriptome/Anopheles_sialome/links/cluster-b/anopheline-sialome-cds-pep-larger-orf60-50SimCLTL27.txt", 16)</f>
        <v>16</v>
      </c>
      <c r="CB515">
        <f>HYPERLINK("http://exon.niaid.nih.gov/transcriptome/Anopheles_sialome/links/cluster-b/anopheline-sialome-cds-pep-larger-orf65-50SimCLU29.txt", 29)</f>
        <v>29</v>
      </c>
      <c r="CC515">
        <f>HYPERLINK("http://exon.niaid.nih.gov/transcriptome/Anopheles_sialome/links/cluster-b/anopheline-sialome-cds-pep-larger-orf65-50SimCLTL29.txt", 15)</f>
        <v>15</v>
      </c>
      <c r="CD515">
        <f>HYPERLINK("http://exon.niaid.nih.gov/transcriptome/Anopheles_sialome/links/cluster-b/anopheline-sialome-cds-pep-larger-orf70-50SimCLU26.txt", 26)</f>
        <v>26</v>
      </c>
      <c r="CE515">
        <f>HYPERLINK("http://exon.niaid.nih.gov/transcriptome/Anopheles_sialome/links/cluster-b/anopheline-sialome-cds-pep-larger-orf70-50SimCLTL26.txt", 15)</f>
        <v>15</v>
      </c>
      <c r="CF515">
        <f>HYPERLINK("http://exon.niaid.nih.gov/transcriptome/Anopheles_sialome/links/cluster-b/anopheline-sialome-cds-pep-larger-orf75-50SimCLU48.txt", 48)</f>
        <v>48</v>
      </c>
      <c r="CG515">
        <f>HYPERLINK("http://exon.niaid.nih.gov/transcriptome/Anopheles_sialome/links/cluster-b/anopheline-sialome-cds-pep-larger-orf75-50SimCLTL48.txt", 5)</f>
        <v>5</v>
      </c>
      <c r="CH515">
        <f>HYPERLINK("http://exon.niaid.nih.gov/transcriptome/Anopheles_sialome/links/cluster-b/anopheline-sialome-cds-pep-larger-orf80-50SimCLU59.txt", 59)</f>
        <v>59</v>
      </c>
      <c r="CI515">
        <f>HYPERLINK("http://exon.niaid.nih.gov/transcriptome/Anopheles_sialome/links/cluster-b/anopheline-sialome-cds-pep-larger-orf80-50SimCLTL59.txt", 3)</f>
        <v>3</v>
      </c>
      <c r="CJ515">
        <f>HYPERLINK("http://exon.niaid.nih.gov/transcriptome/Anopheles_sialome/links/cluster-b/anopheline-sialome-cds-pep-larger-orf85-50SimCLU95.txt", 95)</f>
        <v>95</v>
      </c>
      <c r="CK515">
        <f>HYPERLINK("http://exon.niaid.nih.gov/transcriptome/Anopheles_sialome/links/cluster-b/anopheline-sialome-cds-pep-larger-orf85-50SimCLTL95.txt", 2)</f>
        <v>2</v>
      </c>
      <c r="CL515">
        <v>340</v>
      </c>
      <c r="CM515">
        <v>1</v>
      </c>
      <c r="CN515">
        <v>411</v>
      </c>
      <c r="CO515">
        <v>1</v>
      </c>
    </row>
    <row r="516" spans="1:93">
      <c r="A516" s="2" t="str">
        <f>HYPERLINK("http://exon.niaid.nih.gov/transcriptome/Anopheles_sialome/links/cds/anocul_Saglin-cds.txt","anocul_Saglin")</f>
        <v>anocul_Saglin</v>
      </c>
      <c r="B516">
        <v>1257</v>
      </c>
      <c r="C516" t="s">
        <v>428</v>
      </c>
      <c r="D516" t="s">
        <v>7</v>
      </c>
      <c r="E516" t="s">
        <v>5</v>
      </c>
      <c r="F516" t="s">
        <v>1</v>
      </c>
      <c r="G516" t="str">
        <f>HYPERLINK("http://exon.niaid.nih.gov/transcriptome/Anopheles_sialome/links/pep/anocul_Saglin-pep.txt","anocul_Saglin")</f>
        <v>anocul_Saglin</v>
      </c>
      <c r="H516">
        <v>418</v>
      </c>
      <c r="I516">
        <v>1</v>
      </c>
      <c r="J516" s="3" t="str">
        <f>HYPERLINK("http://exon.niaid.nih.gov/transcriptome/Anopheles_sialome/links/Sigp/anocul_Saglin-SigP.txt","SIG")</f>
        <v>SIG</v>
      </c>
      <c r="K516" t="s">
        <v>695</v>
      </c>
      <c r="L516">
        <v>48.517000000000003</v>
      </c>
      <c r="M516">
        <v>5.99</v>
      </c>
      <c r="N516">
        <v>46.015999999999998</v>
      </c>
      <c r="O516">
        <v>5.8</v>
      </c>
      <c r="P516" t="s">
        <v>1808</v>
      </c>
      <c r="Q516" s="3">
        <v>0</v>
      </c>
      <c r="R516" t="s">
        <v>128</v>
      </c>
      <c r="S516" t="s">
        <v>128</v>
      </c>
      <c r="T516" t="s">
        <v>128</v>
      </c>
      <c r="U516" t="s">
        <v>128</v>
      </c>
      <c r="V516" t="s">
        <v>128</v>
      </c>
      <c r="W516" s="3" t="str">
        <f>HYPERLINK("http://exon.niaid.nih.gov/transcriptome/Anopheles_sialome/links/netoglyc/anocul_Saglin-netoglyc.txt","0")</f>
        <v>0</v>
      </c>
      <c r="X516">
        <v>7.9</v>
      </c>
      <c r="Y516">
        <v>2.4</v>
      </c>
      <c r="Z516">
        <v>2.9</v>
      </c>
      <c r="AA516" t="s">
        <v>654</v>
      </c>
      <c r="AB516" t="s">
        <v>128</v>
      </c>
      <c r="AC516" s="2" t="str">
        <f>HYPERLINK("http://exon.niaid.nih.gov/transcriptome/Anopheles_sialome/links/DIPTERA/anocul_Saglin-DIPTERA.txt","putative salivary protein SG1B")</f>
        <v>putative salivary protein SG1B</v>
      </c>
      <c r="AD516" t="str">
        <f>HYPERLINK("http://www.ncbi.nlm.nih.gov/sutils/blink.cgi?pid=27372929","1E-142")</f>
        <v>1E-142</v>
      </c>
      <c r="AE516" t="str">
        <f>HYPERLINK("http://www.ncbi.nlm.nih.gov/protein/27372929","gi|27372929")</f>
        <v>gi|27372929</v>
      </c>
      <c r="AF516">
        <v>61</v>
      </c>
      <c r="AG516">
        <v>76</v>
      </c>
      <c r="AH516">
        <v>101</v>
      </c>
      <c r="AI516" t="s">
        <v>2271</v>
      </c>
      <c r="AJ516" s="2" t="str">
        <f>HYPERLINK("http://exon.niaid.nih.gov/transcriptome/Anopheles_sialome/links/CULICOMORPHA/anocul_Saglin-CULICOMORPHA.txt","putative salivary protein SG1B")</f>
        <v>putative salivary protein SG1B</v>
      </c>
      <c r="AK516" t="str">
        <f>HYPERLINK("http://www.ncbi.nlm.nih.gov/sutils/blink.cgi?pid=27372929","1E-143")</f>
        <v>1E-143</v>
      </c>
      <c r="AL516" t="str">
        <f>HYPERLINK("http://www.ncbi.nlm.nih.gov/protein/27372929","gi|27372929")</f>
        <v>gi|27372929</v>
      </c>
      <c r="AM516">
        <v>61</v>
      </c>
      <c r="AN516">
        <v>76</v>
      </c>
      <c r="AO516">
        <v>101</v>
      </c>
      <c r="AP516" t="s">
        <v>2271</v>
      </c>
      <c r="AQ516" s="2" t="str">
        <f>HYPERLINK("http://exon.niaid.nih.gov/transcriptome/Anopheles_sialome/links/NR-LIGHT/anocul_Saglin-NR-LIGHT.txt","putative salivary protein SG1B")</f>
        <v>putative salivary protein SG1B</v>
      </c>
      <c r="AR516" t="str">
        <f>HYPERLINK("http://www.ncbi.nlm.nih.gov/sutils/blink.cgi?pid=27372929","1E-141")</f>
        <v>1E-141</v>
      </c>
      <c r="AS516" t="str">
        <f>HYPERLINK("http://www.ncbi.nlm.nih.gov/protein/27372929","gi|27372929")</f>
        <v>gi|27372929</v>
      </c>
      <c r="AT516">
        <v>61</v>
      </c>
      <c r="AU516">
        <v>76</v>
      </c>
      <c r="AV516">
        <v>101</v>
      </c>
      <c r="AW516" t="s">
        <v>2271</v>
      </c>
      <c r="AX516" s="2" t="str">
        <f>HYPERLINK("http://exon.niaid.nih.gov/transcriptome/Anopheles_sialome/links/CDD/anocul_Saglin-CDD.txt","Smc")</f>
        <v>Smc</v>
      </c>
      <c r="AY516" t="str">
        <f>HYPERLINK("http://www.ncbi.nlm.nih.gov/Structure/cdd/cddsrv.cgi?uid=COG1196&amp;version=v4.0","0.039")</f>
        <v>0.039</v>
      </c>
      <c r="AZ516" t="s">
        <v>2902</v>
      </c>
      <c r="BA516" s="2" t="str">
        <f>HYPERLINK("http://exon.niaid.nih.gov/transcriptome/Anopheles_sialome/links/KOG/anocul_Saglin-KOG.txt","Extracellular matrix glycoprotein Laminin subunit beta")</f>
        <v>Extracellular matrix glycoprotein Laminin subunit beta</v>
      </c>
      <c r="BB516" t="str">
        <f>HYPERLINK("http://www.ncbi.nlm.nih.gov/Structure/cdd/cddsrv.cgi?uid=KOG0994","0.034")</f>
        <v>0.034</v>
      </c>
      <c r="BC516" t="s">
        <v>2306</v>
      </c>
      <c r="BD516" t="str">
        <f>HYPERLINK("http://exon.niaid.nih.gov/transcriptome/Anopheles_sialome/links/KOG/anocul_Saglin-KOG.txt","KOG0994")</f>
        <v>KOG0994</v>
      </c>
      <c r="BE516" t="str">
        <f>HYPERLINK("http://exon.niaid.nih.gov/transcriptome/Anopheles_sialome/links/PFAM/anocul_Saglin-PFAM.txt","APG6")</f>
        <v>APG6</v>
      </c>
      <c r="BF516" t="str">
        <f>HYPERLINK("http://pfam.sanger.ac.uk/family?acc=PF04111","0.051")</f>
        <v>0.051</v>
      </c>
      <c r="BG516" s="2" t="str">
        <f>HYPERLINK("http://exon.niaid.nih.gov/transcriptome/Anopheles_sialome/links/SMART/anocul_Saglin-SMART.txt","POX")</f>
        <v>POX</v>
      </c>
      <c r="BH516" t="str">
        <f>HYPERLINK("http://smart.embl-heidelberg.de/smart/do_annotation.pl?DOMAIN=POX&amp;BLAST=DUMMY","0.65")</f>
        <v>0.65</v>
      </c>
      <c r="BI516" t="str">
        <f>HYPERLINK("http://exon.niaid.nih.gov/transcriptome/Anopheles_sialome/links/TICK-BLOCKS/anocul_Saglin-TICK-BLOCKS.txt","SG1_stringent_pattern |")</f>
        <v>SG1_stringent_pattern |</v>
      </c>
      <c r="BJ516" s="2" t="s">
        <v>128</v>
      </c>
      <c r="BK516" t="s">
        <v>1807</v>
      </c>
      <c r="BL516">
        <f>HYPERLINK("http://exon.niaid.nih.gov/transcriptome/Anopheles_sialome/links/cluster-b/anopheline-sialome-cds-pep-larger-orf25-50SimCLU3.txt", 3)</f>
        <v>3</v>
      </c>
      <c r="BM516">
        <f>HYPERLINK("http://exon.niaid.nih.gov/transcriptome/Anopheles_sialome/links/cluster-b/anopheline-sialome-cds-pep-larger-orf25-50SimCLTL3.txt", 119)</f>
        <v>119</v>
      </c>
      <c r="BN516">
        <f>HYPERLINK("http://exon.niaid.nih.gov/transcriptome/Anopheles_sialome/links/cluster-b/anopheline-sialome-cds-pep-larger-orf30-50SimCLU3.txt", 3)</f>
        <v>3</v>
      </c>
      <c r="BO516">
        <f>HYPERLINK("http://exon.niaid.nih.gov/transcriptome/Anopheles_sialome/links/cluster-b/anopheline-sialome-cds-pep-larger-orf30-50SimCLTL3.txt", 119)</f>
        <v>119</v>
      </c>
      <c r="BP516">
        <f>HYPERLINK("http://exon.niaid.nih.gov/transcriptome/Anopheles_sialome/links/cluster-b/anopheline-sialome-cds-pep-larger-orf35-50SimCLU2.txt", 2)</f>
        <v>2</v>
      </c>
      <c r="BQ516">
        <f>HYPERLINK("http://exon.niaid.nih.gov/transcriptome/Anopheles_sialome/links/cluster-b/anopheline-sialome-cds-pep-larger-orf35-50SimCLTL2.txt", 119)</f>
        <v>119</v>
      </c>
      <c r="BR516">
        <f>HYPERLINK("http://exon.niaid.nih.gov/transcriptome/Anopheles_sialome/links/cluster-b/anopheline-sialome-cds-pep-larger-orf40-50SimCLU1.txt", 1)</f>
        <v>1</v>
      </c>
      <c r="BS516">
        <f>HYPERLINK("http://exon.niaid.nih.gov/transcriptome/Anopheles_sialome/links/cluster-b/anopheline-sialome-cds-pep-larger-orf40-50SimCLTL1.txt", 119)</f>
        <v>119</v>
      </c>
      <c r="BT516">
        <f>HYPERLINK("http://exon.niaid.nih.gov/transcriptome/Anopheles_sialome/links/cluster-b/anopheline-sialome-cds-pep-larger-orf45-50SimCLU3.txt", 3)</f>
        <v>3</v>
      </c>
      <c r="BU516">
        <f>HYPERLINK("http://exon.niaid.nih.gov/transcriptome/Anopheles_sialome/links/cluster-b/anopheline-sialome-cds-pep-larger-orf45-50SimCLTL3.txt", 65)</f>
        <v>65</v>
      </c>
      <c r="BV516">
        <f>HYPERLINK("http://exon.niaid.nih.gov/transcriptome/Anopheles_sialome/links/cluster-b/anopheline-sialome-cds-pep-larger-orf50-50SimCLU3.txt", 3)</f>
        <v>3</v>
      </c>
      <c r="BW516">
        <f>HYPERLINK("http://exon.niaid.nih.gov/transcriptome/Anopheles_sialome/links/cluster-b/anopheline-sialome-cds-pep-larger-orf50-50SimCLTL3.txt", 48)</f>
        <v>48</v>
      </c>
      <c r="BX516">
        <f>HYPERLINK("http://exon.niaid.nih.gov/transcriptome/Anopheles_sialome/links/cluster-b/anopheline-sialome-cds-pep-larger-orf55-50SimCLU3.txt", 3)</f>
        <v>3</v>
      </c>
      <c r="BY516">
        <f>HYPERLINK("http://exon.niaid.nih.gov/transcriptome/Anopheles_sialome/links/cluster-b/anopheline-sialome-cds-pep-larger-orf55-50SimCLTL3.txt", 47)</f>
        <v>47</v>
      </c>
      <c r="BZ516">
        <f>HYPERLINK("http://exon.niaid.nih.gov/transcriptome/Anopheles_sialome/links/cluster-b/anopheline-sialome-cds-pep-larger-orf60-50SimCLU27.txt", 27)</f>
        <v>27</v>
      </c>
      <c r="CA516">
        <f>HYPERLINK("http://exon.niaid.nih.gov/transcriptome/Anopheles_sialome/links/cluster-b/anopheline-sialome-cds-pep-larger-orf60-50SimCLTL27.txt", 16)</f>
        <v>16</v>
      </c>
      <c r="CB516">
        <f>HYPERLINK("http://exon.niaid.nih.gov/transcriptome/Anopheles_sialome/links/cluster-b/anopheline-sialome-cds-pep-larger-orf65-50SimCLU29.txt", 29)</f>
        <v>29</v>
      </c>
      <c r="CC516">
        <f>HYPERLINK("http://exon.niaid.nih.gov/transcriptome/Anopheles_sialome/links/cluster-b/anopheline-sialome-cds-pep-larger-orf65-50SimCLTL29.txt", 15)</f>
        <v>15</v>
      </c>
      <c r="CD516">
        <f>HYPERLINK("http://exon.niaid.nih.gov/transcriptome/Anopheles_sialome/links/cluster-b/anopheline-sialome-cds-pep-larger-orf70-50SimCLU26.txt", 26)</f>
        <v>26</v>
      </c>
      <c r="CE516">
        <f>HYPERLINK("http://exon.niaid.nih.gov/transcriptome/Anopheles_sialome/links/cluster-b/anopheline-sialome-cds-pep-larger-orf70-50SimCLTL26.txt", 15)</f>
        <v>15</v>
      </c>
      <c r="CF516">
        <f>HYPERLINK("http://exon.niaid.nih.gov/transcriptome/Anopheles_sialome/links/cluster-b/anopheline-sialome-cds-pep-larger-orf75-50SimCLU48.txt", 48)</f>
        <v>48</v>
      </c>
      <c r="CG516">
        <f>HYPERLINK("http://exon.niaid.nih.gov/transcriptome/Anopheles_sialome/links/cluster-b/anopheline-sialome-cds-pep-larger-orf75-50SimCLTL48.txt", 5)</f>
        <v>5</v>
      </c>
      <c r="CH516">
        <f>HYPERLINK("http://exon.niaid.nih.gov/transcriptome/Anopheles_sialome/links/cluster-b/anopheline-sialome-cds-pep-larger-orf80-50SimCLU59.txt", 59)</f>
        <v>59</v>
      </c>
      <c r="CI516">
        <f>HYPERLINK("http://exon.niaid.nih.gov/transcriptome/Anopheles_sialome/links/cluster-b/anopheline-sialome-cds-pep-larger-orf80-50SimCLTL59.txt", 3)</f>
        <v>3</v>
      </c>
      <c r="CJ516">
        <f>HYPERLINK("http://exon.niaid.nih.gov/transcriptome/Anopheles_sialome/links/cluster-b/anopheline-sialome-cds-pep-larger-orf85-50SimCLU95.txt", 95)</f>
        <v>95</v>
      </c>
      <c r="CK516">
        <f>HYPERLINK("http://exon.niaid.nih.gov/transcriptome/Anopheles_sialome/links/cluster-b/anopheline-sialome-cds-pep-larger-orf85-50SimCLTL95.txt", 2)</f>
        <v>2</v>
      </c>
      <c r="CL516">
        <v>341</v>
      </c>
      <c r="CM516">
        <v>1</v>
      </c>
      <c r="CN516">
        <v>412</v>
      </c>
      <c r="CO516">
        <v>1</v>
      </c>
    </row>
    <row r="517" spans="1:93">
      <c r="A517" s="2" t="str">
        <f>HYPERLINK("http://exon.niaid.nih.gov/transcriptome/Anopheles_sialome/links/cds/anoste_Saglin-cds.txt","anoste_Saglin")</f>
        <v>anoste_Saglin</v>
      </c>
      <c r="B517">
        <v>1323</v>
      </c>
      <c r="C517" t="s">
        <v>429</v>
      </c>
      <c r="D517" t="s">
        <v>7</v>
      </c>
      <c r="E517" t="s">
        <v>5</v>
      </c>
      <c r="F517" t="s">
        <v>1</v>
      </c>
      <c r="G517" t="str">
        <f>HYPERLINK("http://exon.niaid.nih.gov/transcriptome/Anopheles_sialome/links/pep/anoste_Saglin-pep.txt","anoste_Saglin")</f>
        <v>anoste_Saglin</v>
      </c>
      <c r="H517">
        <v>440</v>
      </c>
      <c r="I517">
        <v>1</v>
      </c>
      <c r="J517" s="3" t="str">
        <f>HYPERLINK("http://exon.niaid.nih.gov/transcriptome/Anopheles_sialome/links/Sigp/anoste_Saglin-SigP.txt","BL")</f>
        <v>BL</v>
      </c>
      <c r="K517" t="s">
        <v>1810</v>
      </c>
      <c r="L517">
        <v>50.890999999999998</v>
      </c>
      <c r="M517">
        <v>7.15</v>
      </c>
      <c r="N517">
        <v>45.521000000000001</v>
      </c>
      <c r="O517">
        <v>6.06</v>
      </c>
      <c r="P517" t="s">
        <v>1811</v>
      </c>
      <c r="Q517" s="3">
        <v>0</v>
      </c>
      <c r="R517" t="s">
        <v>128</v>
      </c>
      <c r="S517" t="s">
        <v>128</v>
      </c>
      <c r="T517" t="s">
        <v>128</v>
      </c>
      <c r="U517" t="s">
        <v>128</v>
      </c>
      <c r="V517" t="s">
        <v>128</v>
      </c>
      <c r="W517" s="3" t="str">
        <f>HYPERLINK("http://exon.niaid.nih.gov/transcriptome/Anopheles_sialome/links/netoglyc/anoste_Saglin-netoglyc.txt","0")</f>
        <v>0</v>
      </c>
      <c r="X517">
        <v>9.8000000000000007</v>
      </c>
      <c r="Y517">
        <v>2.2999999999999998</v>
      </c>
      <c r="Z517">
        <v>3.2</v>
      </c>
      <c r="AA517" t="s">
        <v>654</v>
      </c>
      <c r="AB517" t="s">
        <v>128</v>
      </c>
      <c r="AC517" s="2" t="str">
        <f>HYPERLINK("http://exon.niaid.nih.gov/transcriptome/Anopheles_sialome/links/DIPTERA/anoste_Saglin-DIPTERA.txt","putative salivary protein SG1B")</f>
        <v>putative salivary protein SG1B</v>
      </c>
      <c r="AD517" t="str">
        <f>HYPERLINK("http://www.ncbi.nlm.nih.gov/sutils/blink.cgi?pid=27372929","0.0")</f>
        <v>0.0</v>
      </c>
      <c r="AE517" t="str">
        <f>HYPERLINK("http://www.ncbi.nlm.nih.gov/protein/27372929","gi|27372929")</f>
        <v>gi|27372929</v>
      </c>
      <c r="AF517">
        <v>97</v>
      </c>
      <c r="AG517">
        <v>98</v>
      </c>
      <c r="AH517">
        <v>100</v>
      </c>
      <c r="AI517" t="s">
        <v>2271</v>
      </c>
      <c r="AJ517" s="2" t="str">
        <f>HYPERLINK("http://exon.niaid.nih.gov/transcriptome/Anopheles_sialome/links/CULICOMORPHA/anoste_Saglin-CULICOMORPHA.txt","putative salivary protein SG1B")</f>
        <v>putative salivary protein SG1B</v>
      </c>
      <c r="AK517" t="str">
        <f>HYPERLINK("http://www.ncbi.nlm.nih.gov/sutils/blink.cgi?pid=27372929","0.0")</f>
        <v>0.0</v>
      </c>
      <c r="AL517" t="str">
        <f>HYPERLINK("http://www.ncbi.nlm.nih.gov/protein/27372929","gi|27372929")</f>
        <v>gi|27372929</v>
      </c>
      <c r="AM517">
        <v>97</v>
      </c>
      <c r="AN517">
        <v>98</v>
      </c>
      <c r="AO517">
        <v>100</v>
      </c>
      <c r="AP517" t="s">
        <v>2271</v>
      </c>
      <c r="AQ517" s="2" t="str">
        <f>HYPERLINK("http://exon.niaid.nih.gov/transcriptome/Anopheles_sialome/links/NR-LIGHT/anoste_Saglin-NR-LIGHT.txt","putative salivary protein SG1B")</f>
        <v>putative salivary protein SG1B</v>
      </c>
      <c r="AR517" t="str">
        <f>HYPERLINK("http://www.ncbi.nlm.nih.gov/sutils/blink.cgi?pid=27372929","0.0")</f>
        <v>0.0</v>
      </c>
      <c r="AS517" t="str">
        <f>HYPERLINK("http://www.ncbi.nlm.nih.gov/protein/27372929","gi|27372929")</f>
        <v>gi|27372929</v>
      </c>
      <c r="AT517">
        <v>97</v>
      </c>
      <c r="AU517">
        <v>98</v>
      </c>
      <c r="AV517">
        <v>100</v>
      </c>
      <c r="AW517" t="s">
        <v>2271</v>
      </c>
      <c r="AX517" s="2" t="str">
        <f>HYPERLINK("http://exon.niaid.nih.gov/transcriptome/Anopheles_sialome/links/CDD/anoste_Saglin-CDD.txt"," chromosome_seg")</f>
        <v xml:space="preserve"> chromosome_seg</v>
      </c>
      <c r="AY517" t="str">
        <f>HYPERLINK("http://www.ncbi.nlm.nih.gov/Structure/cdd/cddsrv.cgi?uid=TIGR02169&amp;version=v4.0","0.51")</f>
        <v>0.51</v>
      </c>
      <c r="AZ517" t="s">
        <v>2903</v>
      </c>
      <c r="BA517" s="2" t="str">
        <f>HYPERLINK("http://exon.niaid.nih.gov/transcriptome/Anopheles_sialome/links/KOG/anoste_Saglin-KOG.txt","Myosin class II heavy chain")</f>
        <v>Myosin class II heavy chain</v>
      </c>
      <c r="BB517" t="str">
        <f>HYPERLINK("http://www.ncbi.nlm.nih.gov/Structure/cdd/cddsrv.cgi?uid=KOG0161","0.098")</f>
        <v>0.098</v>
      </c>
      <c r="BC517" t="s">
        <v>2312</v>
      </c>
      <c r="BD517" t="str">
        <f>HYPERLINK("http://exon.niaid.nih.gov/transcriptome/Anopheles_sialome/links/KOG/anoste_Saglin-KOG.txt","KOG0161")</f>
        <v>KOG0161</v>
      </c>
      <c r="BE517" t="str">
        <f>HYPERLINK("http://exon.niaid.nih.gov/transcriptome/Anopheles_sialome/links/PFAM/anoste_Saglin-PFAM.txt","DUF3449")</f>
        <v>DUF3449</v>
      </c>
      <c r="BF517" t="str">
        <f>HYPERLINK("http://pfam.sanger.ac.uk/family?acc=PF11931","0.17")</f>
        <v>0.17</v>
      </c>
      <c r="BG517" s="2" t="str">
        <f>HYPERLINK("http://exon.niaid.nih.gov/transcriptome/Anopheles_sialome/links/SMART/anoste_Saglin-SMART.txt","SPEC")</f>
        <v>SPEC</v>
      </c>
      <c r="BH517" t="str">
        <f>HYPERLINK("http://smart.embl-heidelberg.de/smart/do_annotation.pl?DOMAIN=SPEC&amp;BLAST=DUMMY","0.052")</f>
        <v>0.052</v>
      </c>
      <c r="BI517" t="str">
        <f>HYPERLINK("http://exon.niaid.nih.gov/transcriptome/Anopheles_sialome/links/TICK-BLOCKS/anoste_Saglin-TICK-BLOCKS.txt","SG1_full |SG1_stringent_pattern |")</f>
        <v>SG1_full |SG1_stringent_pattern |</v>
      </c>
      <c r="BJ517" s="2" t="s">
        <v>2423</v>
      </c>
      <c r="BK517" t="s">
        <v>1809</v>
      </c>
      <c r="BL517">
        <f>HYPERLINK("http://exon.niaid.nih.gov/transcriptome/Anopheles_sialome/links/cluster-b/anopheline-sialome-cds-pep-larger-orf25-50SimCLU3.txt", 3)</f>
        <v>3</v>
      </c>
      <c r="BM517">
        <f>HYPERLINK("http://exon.niaid.nih.gov/transcriptome/Anopheles_sialome/links/cluster-b/anopheline-sialome-cds-pep-larger-orf25-50SimCLTL3.txt", 119)</f>
        <v>119</v>
      </c>
      <c r="BN517">
        <f>HYPERLINK("http://exon.niaid.nih.gov/transcriptome/Anopheles_sialome/links/cluster-b/anopheline-sialome-cds-pep-larger-orf30-50SimCLU3.txt", 3)</f>
        <v>3</v>
      </c>
      <c r="BO517">
        <f>HYPERLINK("http://exon.niaid.nih.gov/transcriptome/Anopheles_sialome/links/cluster-b/anopheline-sialome-cds-pep-larger-orf30-50SimCLTL3.txt", 119)</f>
        <v>119</v>
      </c>
      <c r="BP517">
        <f>HYPERLINK("http://exon.niaid.nih.gov/transcriptome/Anopheles_sialome/links/cluster-b/anopheline-sialome-cds-pep-larger-orf35-50SimCLU2.txt", 2)</f>
        <v>2</v>
      </c>
      <c r="BQ517">
        <f>HYPERLINK("http://exon.niaid.nih.gov/transcriptome/Anopheles_sialome/links/cluster-b/anopheline-sialome-cds-pep-larger-orf35-50SimCLTL2.txt", 119)</f>
        <v>119</v>
      </c>
      <c r="BR517">
        <f>HYPERLINK("http://exon.niaid.nih.gov/transcriptome/Anopheles_sialome/links/cluster-b/anopheline-sialome-cds-pep-larger-orf40-50SimCLU1.txt", 1)</f>
        <v>1</v>
      </c>
      <c r="BS517">
        <f>HYPERLINK("http://exon.niaid.nih.gov/transcriptome/Anopheles_sialome/links/cluster-b/anopheline-sialome-cds-pep-larger-orf40-50SimCLTL1.txt", 119)</f>
        <v>119</v>
      </c>
      <c r="BT517">
        <f>HYPERLINK("http://exon.niaid.nih.gov/transcriptome/Anopheles_sialome/links/cluster-b/anopheline-sialome-cds-pep-larger-orf45-50SimCLU3.txt", 3)</f>
        <v>3</v>
      </c>
      <c r="BU517">
        <f>HYPERLINK("http://exon.niaid.nih.gov/transcriptome/Anopheles_sialome/links/cluster-b/anopheline-sialome-cds-pep-larger-orf45-50SimCLTL3.txt", 65)</f>
        <v>65</v>
      </c>
      <c r="BV517">
        <f>HYPERLINK("http://exon.niaid.nih.gov/transcriptome/Anopheles_sialome/links/cluster-b/anopheline-sialome-cds-pep-larger-orf50-50SimCLU3.txt", 3)</f>
        <v>3</v>
      </c>
      <c r="BW517">
        <f>HYPERLINK("http://exon.niaid.nih.gov/transcriptome/Anopheles_sialome/links/cluster-b/anopheline-sialome-cds-pep-larger-orf50-50SimCLTL3.txt", 48)</f>
        <v>48</v>
      </c>
      <c r="BX517">
        <f>HYPERLINK("http://exon.niaid.nih.gov/transcriptome/Anopheles_sialome/links/cluster-b/anopheline-sialome-cds-pep-larger-orf55-50SimCLU3.txt", 3)</f>
        <v>3</v>
      </c>
      <c r="BY517">
        <f>HYPERLINK("http://exon.niaid.nih.gov/transcriptome/Anopheles_sialome/links/cluster-b/anopheline-sialome-cds-pep-larger-orf55-50SimCLTL3.txt", 47)</f>
        <v>47</v>
      </c>
      <c r="BZ517">
        <f>HYPERLINK("http://exon.niaid.nih.gov/transcriptome/Anopheles_sialome/links/cluster-b/anopheline-sialome-cds-pep-larger-orf60-50SimCLU27.txt", 27)</f>
        <v>27</v>
      </c>
      <c r="CA517">
        <f>HYPERLINK("http://exon.niaid.nih.gov/transcriptome/Anopheles_sialome/links/cluster-b/anopheline-sialome-cds-pep-larger-orf60-50SimCLTL27.txt", 16)</f>
        <v>16</v>
      </c>
      <c r="CB517">
        <f>HYPERLINK("http://exon.niaid.nih.gov/transcriptome/Anopheles_sialome/links/cluster-b/anopheline-sialome-cds-pep-larger-orf65-50SimCLU29.txt", 29)</f>
        <v>29</v>
      </c>
      <c r="CC517">
        <f>HYPERLINK("http://exon.niaid.nih.gov/transcriptome/Anopheles_sialome/links/cluster-b/anopheline-sialome-cds-pep-larger-orf65-50SimCLTL29.txt", 15)</f>
        <v>15</v>
      </c>
      <c r="CD517">
        <f>HYPERLINK("http://exon.niaid.nih.gov/transcriptome/Anopheles_sialome/links/cluster-b/anopheline-sialome-cds-pep-larger-orf70-50SimCLU26.txt", 26)</f>
        <v>26</v>
      </c>
      <c r="CE517">
        <f>HYPERLINK("http://exon.niaid.nih.gov/transcriptome/Anopheles_sialome/links/cluster-b/anopheline-sialome-cds-pep-larger-orf70-50SimCLTL26.txt", 15)</f>
        <v>15</v>
      </c>
      <c r="CF517">
        <f>HYPERLINK("http://exon.niaid.nih.gov/transcriptome/Anopheles_sialome/links/cluster-b/anopheline-sialome-cds-pep-larger-orf75-50SimCLU48.txt", 48)</f>
        <v>48</v>
      </c>
      <c r="CG517">
        <f>HYPERLINK("http://exon.niaid.nih.gov/transcriptome/Anopheles_sialome/links/cluster-b/anopheline-sialome-cds-pep-larger-orf75-50SimCLTL48.txt", 5)</f>
        <v>5</v>
      </c>
      <c r="CH517">
        <f>HYPERLINK("http://exon.niaid.nih.gov/transcriptome/Anopheles_sialome/links/cluster-b/anopheline-sialome-cds-pep-larger-orf80-50SimCLU94.txt", 94)</f>
        <v>94</v>
      </c>
      <c r="CI517">
        <f>HYPERLINK("http://exon.niaid.nih.gov/transcriptome/Anopheles_sialome/links/cluster-b/anopheline-sialome-cds-pep-larger-orf80-50SimCLTL94.txt", 2)</f>
        <v>2</v>
      </c>
      <c r="CJ517">
        <v>270</v>
      </c>
      <c r="CK517">
        <v>1</v>
      </c>
      <c r="CL517">
        <v>342</v>
      </c>
      <c r="CM517">
        <v>1</v>
      </c>
      <c r="CN517">
        <v>413</v>
      </c>
      <c r="CO517">
        <v>1</v>
      </c>
    </row>
    <row r="518" spans="1:93">
      <c r="A518" s="2" t="str">
        <f>HYPERLINK("http://exon.niaid.nih.gov/transcriptome/Anopheles_sialome/links/cds/anomac_Saglin-cds.txt","anomac_Saglin")</f>
        <v>anomac_Saglin</v>
      </c>
      <c r="B518">
        <v>1248</v>
      </c>
      <c r="C518" t="s">
        <v>448</v>
      </c>
      <c r="D518" t="s">
        <v>7</v>
      </c>
      <c r="E518" t="s">
        <v>5</v>
      </c>
      <c r="F518" t="s">
        <v>1</v>
      </c>
      <c r="G518" t="str">
        <f>HYPERLINK("http://exon.niaid.nih.gov/transcriptome/Anopheles_sialome/links/pep/anomac_Saglin-pep.txt","anomac_Saglin")</f>
        <v>anomac_Saglin</v>
      </c>
      <c r="H518">
        <v>415</v>
      </c>
      <c r="I518">
        <v>3</v>
      </c>
      <c r="J518" s="3" t="str">
        <f>HYPERLINK("http://exon.niaid.nih.gov/transcriptome/Anopheles_sialome/links/Sigp/anomac_Saglin-SigP.txt","SIG")</f>
        <v>SIG</v>
      </c>
      <c r="K518" t="s">
        <v>695</v>
      </c>
      <c r="L518">
        <v>47.786999999999999</v>
      </c>
      <c r="M518">
        <v>7.66</v>
      </c>
      <c r="N518">
        <v>45.375999999999998</v>
      </c>
      <c r="O518">
        <v>7.24</v>
      </c>
      <c r="P518" t="s">
        <v>1526</v>
      </c>
      <c r="Q518" s="3">
        <v>0</v>
      </c>
      <c r="R518" t="s">
        <v>128</v>
      </c>
      <c r="S518" t="s">
        <v>128</v>
      </c>
      <c r="T518" t="s">
        <v>128</v>
      </c>
      <c r="U518" t="s">
        <v>128</v>
      </c>
      <c r="V518" t="s">
        <v>128</v>
      </c>
      <c r="W518" s="3" t="str">
        <f>HYPERLINK("http://exon.niaid.nih.gov/transcriptome/Anopheles_sialome/links/netoglyc/anomac_Saglin-netoglyc.txt","0")</f>
        <v>0</v>
      </c>
      <c r="X518">
        <v>10.4</v>
      </c>
      <c r="Y518">
        <v>2.9</v>
      </c>
      <c r="Z518">
        <v>3.6</v>
      </c>
      <c r="AA518" t="s">
        <v>654</v>
      </c>
      <c r="AB518" t="s">
        <v>128</v>
      </c>
      <c r="AC518" s="2" t="str">
        <f>HYPERLINK("http://exon.niaid.nih.gov/transcriptome/Anopheles_sialome/links/DIPTERA/anomac_Saglin-DIPTERA.txt","putative salivary protein SG1B")</f>
        <v>putative salivary protein SG1B</v>
      </c>
      <c r="AD518" t="str">
        <f>HYPERLINK("http://www.ncbi.nlm.nih.gov/sutils/blink.cgi?pid=27372929","0.0")</f>
        <v>0.0</v>
      </c>
      <c r="AE518" t="str">
        <f>HYPERLINK("http://www.ncbi.nlm.nih.gov/protein/27372929","gi|27372929")</f>
        <v>gi|27372929</v>
      </c>
      <c r="AF518">
        <v>78</v>
      </c>
      <c r="AG518">
        <v>87</v>
      </c>
      <c r="AH518">
        <v>99</v>
      </c>
      <c r="AI518" t="s">
        <v>2271</v>
      </c>
      <c r="AJ518" s="2" t="str">
        <f>HYPERLINK("http://exon.niaid.nih.gov/transcriptome/Anopheles_sialome/links/CULICOMORPHA/anomac_Saglin-CULICOMORPHA.txt","putative salivary protein SG1B")</f>
        <v>putative salivary protein SG1B</v>
      </c>
      <c r="AK518" t="str">
        <f>HYPERLINK("http://www.ncbi.nlm.nih.gov/sutils/blink.cgi?pid=27372929","0.0")</f>
        <v>0.0</v>
      </c>
      <c r="AL518" t="str">
        <f>HYPERLINK("http://www.ncbi.nlm.nih.gov/protein/27372929","gi|27372929")</f>
        <v>gi|27372929</v>
      </c>
      <c r="AM518">
        <v>78</v>
      </c>
      <c r="AN518">
        <v>87</v>
      </c>
      <c r="AO518">
        <v>99</v>
      </c>
      <c r="AP518" t="s">
        <v>2271</v>
      </c>
      <c r="AQ518" s="2" t="str">
        <f>HYPERLINK("http://exon.niaid.nih.gov/transcriptome/Anopheles_sialome/links/NR-LIGHT/anomac_Saglin-NR-LIGHT.txt","putative salivary protein SG1B")</f>
        <v>putative salivary protein SG1B</v>
      </c>
      <c r="AR518" t="str">
        <f>HYPERLINK("http://www.ncbi.nlm.nih.gov/sutils/blink.cgi?pid=27372929","0.0")</f>
        <v>0.0</v>
      </c>
      <c r="AS518" t="str">
        <f>HYPERLINK("http://www.ncbi.nlm.nih.gov/protein/27372929","gi|27372929")</f>
        <v>gi|27372929</v>
      </c>
      <c r="AT518">
        <v>78</v>
      </c>
      <c r="AU518">
        <v>87</v>
      </c>
      <c r="AV518">
        <v>99</v>
      </c>
      <c r="AW518" t="s">
        <v>2271</v>
      </c>
      <c r="AX518" s="2" t="str">
        <f>HYPERLINK("http://exon.niaid.nih.gov/transcriptome/Anopheles_sialome/links/CDD/anomac_Saglin-CDD.txt","SbcC")</f>
        <v>SbcC</v>
      </c>
      <c r="AY518" t="str">
        <f>HYPERLINK("http://www.ncbi.nlm.nih.gov/Structure/cdd/cddsrv.cgi?uid=COG0419&amp;version=v4.0","1.1")</f>
        <v>1.1</v>
      </c>
      <c r="AZ518" t="s">
        <v>2904</v>
      </c>
      <c r="BA518" s="2" t="str">
        <f>HYPERLINK("http://exon.niaid.nih.gov/transcriptome/Anopheles_sialome/links/KOG/anomac_Saglin-KOG.txt","Myosin class II heavy chain")</f>
        <v>Myosin class II heavy chain</v>
      </c>
      <c r="BB518" t="str">
        <f>HYPERLINK("http://www.ncbi.nlm.nih.gov/Structure/cdd/cddsrv.cgi?uid=KOG0161","0.014")</f>
        <v>0.014</v>
      </c>
      <c r="BC518" t="s">
        <v>2312</v>
      </c>
      <c r="BD518" t="str">
        <f>HYPERLINK("http://exon.niaid.nih.gov/transcriptome/Anopheles_sialome/links/KOG/anomac_Saglin-KOG.txt","KOG0161")</f>
        <v>KOG0161</v>
      </c>
      <c r="BE518" t="str">
        <f>HYPERLINK("http://exon.niaid.nih.gov/transcriptome/Anopheles_sialome/links/PFAM/anomac_Saglin-PFAM.txt","IncA")</f>
        <v>IncA</v>
      </c>
      <c r="BF518" t="str">
        <f>HYPERLINK("http://pfam.sanger.ac.uk/family?acc=PF04156","0.40")</f>
        <v>0.40</v>
      </c>
      <c r="BG518" s="2" t="str">
        <f>HYPERLINK("http://exon.niaid.nih.gov/transcriptome/Anopheles_sialome/links/SMART/anomac_Saglin-SMART.txt","ProQ")</f>
        <v>ProQ</v>
      </c>
      <c r="BH518" t="str">
        <f>HYPERLINK("http://smart.embl-heidelberg.de/smart/do_annotation.pl?DOMAIN=ProQ&amp;BLAST=DUMMY","0.31")</f>
        <v>0.31</v>
      </c>
      <c r="BI518" t="str">
        <f>HYPERLINK("http://exon.niaid.nih.gov/transcriptome/Anopheles_sialome/links/TICK-BLOCKS/anomac_Saglin-TICK-BLOCKS.txt","SG1_full |SG1_stringent_pattern |")</f>
        <v>SG1_full |SG1_stringent_pattern |</v>
      </c>
      <c r="BJ518" s="2" t="s">
        <v>2423</v>
      </c>
      <c r="BK518" t="s">
        <v>1812</v>
      </c>
      <c r="BL518">
        <f>HYPERLINK("http://exon.niaid.nih.gov/transcriptome/Anopheles_sialome/links/cluster-b/anopheline-sialome-cds-pep-larger-orf25-50SimCLU3.txt", 3)</f>
        <v>3</v>
      </c>
      <c r="BM518">
        <f>HYPERLINK("http://exon.niaid.nih.gov/transcriptome/Anopheles_sialome/links/cluster-b/anopheline-sialome-cds-pep-larger-orf25-50SimCLTL3.txt", 119)</f>
        <v>119</v>
      </c>
      <c r="BN518">
        <f>HYPERLINK("http://exon.niaid.nih.gov/transcriptome/Anopheles_sialome/links/cluster-b/anopheline-sialome-cds-pep-larger-orf30-50SimCLU3.txt", 3)</f>
        <v>3</v>
      </c>
      <c r="BO518">
        <f>HYPERLINK("http://exon.niaid.nih.gov/transcriptome/Anopheles_sialome/links/cluster-b/anopheline-sialome-cds-pep-larger-orf30-50SimCLTL3.txt", 119)</f>
        <v>119</v>
      </c>
      <c r="BP518">
        <f>HYPERLINK("http://exon.niaid.nih.gov/transcriptome/Anopheles_sialome/links/cluster-b/anopheline-sialome-cds-pep-larger-orf35-50SimCLU2.txt", 2)</f>
        <v>2</v>
      </c>
      <c r="BQ518">
        <f>HYPERLINK("http://exon.niaid.nih.gov/transcriptome/Anopheles_sialome/links/cluster-b/anopheline-sialome-cds-pep-larger-orf35-50SimCLTL2.txt", 119)</f>
        <v>119</v>
      </c>
      <c r="BR518">
        <f>HYPERLINK("http://exon.niaid.nih.gov/transcriptome/Anopheles_sialome/links/cluster-b/anopheline-sialome-cds-pep-larger-orf40-50SimCLU1.txt", 1)</f>
        <v>1</v>
      </c>
      <c r="BS518">
        <f>HYPERLINK("http://exon.niaid.nih.gov/transcriptome/Anopheles_sialome/links/cluster-b/anopheline-sialome-cds-pep-larger-orf40-50SimCLTL1.txt", 119)</f>
        <v>119</v>
      </c>
      <c r="BT518">
        <f>HYPERLINK("http://exon.niaid.nih.gov/transcriptome/Anopheles_sialome/links/cluster-b/anopheline-sialome-cds-pep-larger-orf45-50SimCLU3.txt", 3)</f>
        <v>3</v>
      </c>
      <c r="BU518">
        <f>HYPERLINK("http://exon.niaid.nih.gov/transcriptome/Anopheles_sialome/links/cluster-b/anopheline-sialome-cds-pep-larger-orf45-50SimCLTL3.txt", 65)</f>
        <v>65</v>
      </c>
      <c r="BV518">
        <f>HYPERLINK("http://exon.niaid.nih.gov/transcriptome/Anopheles_sialome/links/cluster-b/anopheline-sialome-cds-pep-larger-orf50-50SimCLU3.txt", 3)</f>
        <v>3</v>
      </c>
      <c r="BW518">
        <f>HYPERLINK("http://exon.niaid.nih.gov/transcriptome/Anopheles_sialome/links/cluster-b/anopheline-sialome-cds-pep-larger-orf50-50SimCLTL3.txt", 48)</f>
        <v>48</v>
      </c>
      <c r="BX518">
        <f>HYPERLINK("http://exon.niaid.nih.gov/transcriptome/Anopheles_sialome/links/cluster-b/anopheline-sialome-cds-pep-larger-orf55-50SimCLU3.txt", 3)</f>
        <v>3</v>
      </c>
      <c r="BY518">
        <f>HYPERLINK("http://exon.niaid.nih.gov/transcriptome/Anopheles_sialome/links/cluster-b/anopheline-sialome-cds-pep-larger-orf55-50SimCLTL3.txt", 47)</f>
        <v>47</v>
      </c>
      <c r="BZ518">
        <f>HYPERLINK("http://exon.niaid.nih.gov/transcriptome/Anopheles_sialome/links/cluster-b/anopheline-sialome-cds-pep-larger-orf60-50SimCLU27.txt", 27)</f>
        <v>27</v>
      </c>
      <c r="CA518">
        <f>HYPERLINK("http://exon.niaid.nih.gov/transcriptome/Anopheles_sialome/links/cluster-b/anopheline-sialome-cds-pep-larger-orf60-50SimCLTL27.txt", 16)</f>
        <v>16</v>
      </c>
      <c r="CB518">
        <f>HYPERLINK("http://exon.niaid.nih.gov/transcriptome/Anopheles_sialome/links/cluster-b/anopheline-sialome-cds-pep-larger-orf65-50SimCLU29.txt", 29)</f>
        <v>29</v>
      </c>
      <c r="CC518">
        <f>HYPERLINK("http://exon.niaid.nih.gov/transcriptome/Anopheles_sialome/links/cluster-b/anopheline-sialome-cds-pep-larger-orf65-50SimCLTL29.txt", 15)</f>
        <v>15</v>
      </c>
      <c r="CD518">
        <f>HYPERLINK("http://exon.niaid.nih.gov/transcriptome/Anopheles_sialome/links/cluster-b/anopheline-sialome-cds-pep-larger-orf70-50SimCLU26.txt", 26)</f>
        <v>26</v>
      </c>
      <c r="CE518">
        <f>HYPERLINK("http://exon.niaid.nih.gov/transcriptome/Anopheles_sialome/links/cluster-b/anopheline-sialome-cds-pep-larger-orf70-50SimCLTL26.txt", 15)</f>
        <v>15</v>
      </c>
      <c r="CF518">
        <f>HYPERLINK("http://exon.niaid.nih.gov/transcriptome/Anopheles_sialome/links/cluster-b/anopheline-sialome-cds-pep-larger-orf75-50SimCLU48.txt", 48)</f>
        <v>48</v>
      </c>
      <c r="CG518">
        <f>HYPERLINK("http://exon.niaid.nih.gov/transcriptome/Anopheles_sialome/links/cluster-b/anopheline-sialome-cds-pep-larger-orf75-50SimCLTL48.txt", 5)</f>
        <v>5</v>
      </c>
      <c r="CH518">
        <f>HYPERLINK("http://exon.niaid.nih.gov/transcriptome/Anopheles_sialome/links/cluster-b/anopheline-sialome-cds-pep-larger-orf80-50SimCLU94.txt", 94)</f>
        <v>94</v>
      </c>
      <c r="CI518">
        <f>HYPERLINK("http://exon.niaid.nih.gov/transcriptome/Anopheles_sialome/links/cluster-b/anopheline-sialome-cds-pep-larger-orf80-50SimCLTL94.txt", 2)</f>
        <v>2</v>
      </c>
      <c r="CJ518">
        <v>271</v>
      </c>
      <c r="CK518">
        <v>1</v>
      </c>
      <c r="CL518">
        <v>343</v>
      </c>
      <c r="CM518">
        <v>1</v>
      </c>
      <c r="CN518">
        <v>414</v>
      </c>
      <c r="CO518">
        <v>1</v>
      </c>
    </row>
    <row r="519" spans="1:93">
      <c r="A519" s="2" t="str">
        <f>HYPERLINK("http://exon.niaid.nih.gov/transcriptome/Anopheles_sialome/links/cds/anofar_Saglin-cds.txt","anofar_Saglin")</f>
        <v>anofar_Saglin</v>
      </c>
      <c r="B519">
        <v>1245</v>
      </c>
      <c r="C519" t="s">
        <v>440</v>
      </c>
      <c r="D519" t="s">
        <v>7</v>
      </c>
      <c r="E519" t="s">
        <v>5</v>
      </c>
      <c r="F519" t="s">
        <v>1</v>
      </c>
      <c r="G519" t="str">
        <f>HYPERLINK("http://exon.niaid.nih.gov/transcriptome/Anopheles_sialome/links/pep/anofar_Saglin-pep.txt","anofar_Saglin")</f>
        <v>anofar_Saglin</v>
      </c>
      <c r="H519">
        <v>414</v>
      </c>
      <c r="I519">
        <v>2</v>
      </c>
      <c r="J519" s="3" t="str">
        <f>HYPERLINK("http://exon.niaid.nih.gov/transcriptome/Anopheles_sialome/links/Sigp/anofar_Saglin-SigP.txt","SIG")</f>
        <v>SIG</v>
      </c>
      <c r="K519" t="s">
        <v>1182</v>
      </c>
      <c r="L519">
        <v>47.997999999999998</v>
      </c>
      <c r="M519">
        <v>8.7799999999999994</v>
      </c>
      <c r="N519">
        <v>45.058999999999997</v>
      </c>
      <c r="O519">
        <v>8.4700000000000006</v>
      </c>
      <c r="P519" t="s">
        <v>1814</v>
      </c>
      <c r="Q519" s="3">
        <v>0</v>
      </c>
      <c r="R519" t="s">
        <v>128</v>
      </c>
      <c r="S519" t="s">
        <v>128</v>
      </c>
      <c r="T519" t="s">
        <v>128</v>
      </c>
      <c r="U519" t="s">
        <v>128</v>
      </c>
      <c r="V519" t="s">
        <v>128</v>
      </c>
      <c r="W519" s="3" t="str">
        <f>HYPERLINK("http://exon.niaid.nih.gov/transcriptome/Anopheles_sialome/links/netoglyc/anofar_Saglin-netoglyc.txt","0")</f>
        <v>0</v>
      </c>
      <c r="X519">
        <v>11.4</v>
      </c>
      <c r="Y519">
        <v>2.4</v>
      </c>
      <c r="Z519">
        <v>3.6</v>
      </c>
      <c r="AA519" t="s">
        <v>654</v>
      </c>
      <c r="AB519" t="s">
        <v>128</v>
      </c>
      <c r="AC519" s="2" t="str">
        <f>HYPERLINK("http://exon.niaid.nih.gov/transcriptome/Anopheles_sialome/links/DIPTERA/anofar_Saglin-DIPTERA.txt","SG1B-like salivary protein")</f>
        <v>SG1B-like salivary protein</v>
      </c>
      <c r="AD519" t="str">
        <f>HYPERLINK("http://www.ncbi.nlm.nih.gov/sutils/blink.cgi?pid=31979114","1E-128")</f>
        <v>1E-128</v>
      </c>
      <c r="AE519" t="str">
        <f>HYPERLINK("http://www.ncbi.nlm.nih.gov/protein/31979114","gi|31979114")</f>
        <v>gi|31979114</v>
      </c>
      <c r="AF519">
        <v>59</v>
      </c>
      <c r="AG519">
        <v>72</v>
      </c>
      <c r="AH519">
        <v>103</v>
      </c>
      <c r="AI519" t="s">
        <v>2274</v>
      </c>
      <c r="AJ519" s="2" t="str">
        <f>HYPERLINK("http://exon.niaid.nih.gov/transcriptome/Anopheles_sialome/links/CULICOMORPHA/anofar_Saglin-CULICOMORPHA.txt","SG1B-like salivary protein")</f>
        <v>SG1B-like salivary protein</v>
      </c>
      <c r="AK519" t="str">
        <f>HYPERLINK("http://www.ncbi.nlm.nih.gov/sutils/blink.cgi?pid=31979114","1E-129")</f>
        <v>1E-129</v>
      </c>
      <c r="AL519" t="str">
        <f>HYPERLINK("http://www.ncbi.nlm.nih.gov/protein/31979114","gi|31979114")</f>
        <v>gi|31979114</v>
      </c>
      <c r="AM519">
        <v>59</v>
      </c>
      <c r="AN519">
        <v>72</v>
      </c>
      <c r="AO519">
        <v>103</v>
      </c>
      <c r="AP519" t="s">
        <v>2274</v>
      </c>
      <c r="AQ519" s="2" t="str">
        <f>HYPERLINK("http://exon.niaid.nih.gov/transcriptome/Anopheles_sialome/links/NR-LIGHT/anofar_Saglin-NR-LIGHT.txt","SG1B-like salivary protein")</f>
        <v>SG1B-like salivary protein</v>
      </c>
      <c r="AR519" t="str">
        <f>HYPERLINK("http://www.ncbi.nlm.nih.gov/sutils/blink.cgi?pid=31979114","1E-128")</f>
        <v>1E-128</v>
      </c>
      <c r="AS519" t="str">
        <f>HYPERLINK("http://www.ncbi.nlm.nih.gov/protein/31979114","gi|31979114")</f>
        <v>gi|31979114</v>
      </c>
      <c r="AT519">
        <v>59</v>
      </c>
      <c r="AU519">
        <v>72</v>
      </c>
      <c r="AV519">
        <v>103</v>
      </c>
      <c r="AW519" t="s">
        <v>2274</v>
      </c>
      <c r="AX519" s="2" t="str">
        <f>HYPERLINK("http://exon.niaid.nih.gov/transcriptome/Anopheles_sialome/links/CDD/anofar_Saglin-CDD.txt","PHA00452")</f>
        <v>PHA00452</v>
      </c>
      <c r="AY519" t="str">
        <f>HYPERLINK("http://www.ncbi.nlm.nih.gov/Structure/cdd/cddsrv.cgi?uid=PHA00452&amp;version=v4.0","0.022")</f>
        <v>0.022</v>
      </c>
      <c r="AZ519" t="s">
        <v>2905</v>
      </c>
      <c r="BA519" s="2" t="str">
        <f>HYPERLINK("http://exon.niaid.nih.gov/transcriptome/Anopheles_sialome/links/KOG/anofar_Saglin-KOG.txt","Myosin class II heavy chain")</f>
        <v>Myosin class II heavy chain</v>
      </c>
      <c r="BB519" t="str">
        <f>HYPERLINK("http://www.ncbi.nlm.nih.gov/Structure/cdd/cddsrv.cgi?uid=KOG0161","0.001")</f>
        <v>0.001</v>
      </c>
      <c r="BC519" t="s">
        <v>2312</v>
      </c>
      <c r="BD519" t="str">
        <f>HYPERLINK("http://exon.niaid.nih.gov/transcriptome/Anopheles_sialome/links/KOG/anofar_Saglin-KOG.txt","KOG0161")</f>
        <v>KOG0161</v>
      </c>
      <c r="BE519" t="str">
        <f>HYPERLINK("http://exon.niaid.nih.gov/transcriptome/Anopheles_sialome/links/PFAM/anofar_Saglin-PFAM.txt","LA-virus_coat")</f>
        <v>LA-virus_coat</v>
      </c>
      <c r="BF519" t="str">
        <f>HYPERLINK("http://pfam.sanger.ac.uk/family?acc=PF09220","0.43")</f>
        <v>0.43</v>
      </c>
      <c r="BG519" s="2" t="str">
        <f>HYPERLINK("http://exon.niaid.nih.gov/transcriptome/Anopheles_sialome/links/SMART/anofar_Saglin-SMART.txt","BAR")</f>
        <v>BAR</v>
      </c>
      <c r="BH519" t="str">
        <f>HYPERLINK("http://smart.embl-heidelberg.de/smart/do_annotation.pl?DOMAIN=BAR&amp;BLAST=DUMMY","0.12")</f>
        <v>0.12</v>
      </c>
      <c r="BI519" t="str">
        <f>HYPERLINK("http://exon.niaid.nih.gov/transcriptome/Anopheles_sialome/links/TICK-BLOCKS/anofar_Saglin-TICK-BLOCKS.txt","SG1_full |SG1_stringent_pattern |")</f>
        <v>SG1_full |SG1_stringent_pattern |</v>
      </c>
      <c r="BJ519" s="2" t="s">
        <v>2423</v>
      </c>
      <c r="BK519" t="s">
        <v>1813</v>
      </c>
      <c r="BL519">
        <f>HYPERLINK("http://exon.niaid.nih.gov/transcriptome/Anopheles_sialome/links/cluster-b/anopheline-sialome-cds-pep-larger-orf25-50SimCLU3.txt", 3)</f>
        <v>3</v>
      </c>
      <c r="BM519">
        <f>HYPERLINK("http://exon.niaid.nih.gov/transcriptome/Anopheles_sialome/links/cluster-b/anopheline-sialome-cds-pep-larger-orf25-50SimCLTL3.txt", 119)</f>
        <v>119</v>
      </c>
      <c r="BN519">
        <f>HYPERLINK("http://exon.niaid.nih.gov/transcriptome/Anopheles_sialome/links/cluster-b/anopheline-sialome-cds-pep-larger-orf30-50SimCLU3.txt", 3)</f>
        <v>3</v>
      </c>
      <c r="BO519">
        <f>HYPERLINK("http://exon.niaid.nih.gov/transcriptome/Anopheles_sialome/links/cluster-b/anopheline-sialome-cds-pep-larger-orf30-50SimCLTL3.txt", 119)</f>
        <v>119</v>
      </c>
      <c r="BP519">
        <f>HYPERLINK("http://exon.niaid.nih.gov/transcriptome/Anopheles_sialome/links/cluster-b/anopheline-sialome-cds-pep-larger-orf35-50SimCLU2.txt", 2)</f>
        <v>2</v>
      </c>
      <c r="BQ519">
        <f>HYPERLINK("http://exon.niaid.nih.gov/transcriptome/Anopheles_sialome/links/cluster-b/anopheline-sialome-cds-pep-larger-orf35-50SimCLTL2.txt", 119)</f>
        <v>119</v>
      </c>
      <c r="BR519">
        <f>HYPERLINK("http://exon.niaid.nih.gov/transcriptome/Anopheles_sialome/links/cluster-b/anopheline-sialome-cds-pep-larger-orf40-50SimCLU1.txt", 1)</f>
        <v>1</v>
      </c>
      <c r="BS519">
        <f>HYPERLINK("http://exon.niaid.nih.gov/transcriptome/Anopheles_sialome/links/cluster-b/anopheline-sialome-cds-pep-larger-orf40-50SimCLTL1.txt", 119)</f>
        <v>119</v>
      </c>
      <c r="BT519">
        <f>HYPERLINK("http://exon.niaid.nih.gov/transcriptome/Anopheles_sialome/links/cluster-b/anopheline-sialome-cds-pep-larger-orf45-50SimCLU3.txt", 3)</f>
        <v>3</v>
      </c>
      <c r="BU519">
        <f>HYPERLINK("http://exon.niaid.nih.gov/transcriptome/Anopheles_sialome/links/cluster-b/anopheline-sialome-cds-pep-larger-orf45-50SimCLTL3.txt", 65)</f>
        <v>65</v>
      </c>
      <c r="BV519">
        <f>HYPERLINK("http://exon.niaid.nih.gov/transcriptome/Anopheles_sialome/links/cluster-b/anopheline-sialome-cds-pep-larger-orf50-50SimCLU3.txt", 3)</f>
        <v>3</v>
      </c>
      <c r="BW519">
        <f>HYPERLINK("http://exon.niaid.nih.gov/transcriptome/Anopheles_sialome/links/cluster-b/anopheline-sialome-cds-pep-larger-orf50-50SimCLTL3.txt", 48)</f>
        <v>48</v>
      </c>
      <c r="BX519">
        <f>HYPERLINK("http://exon.niaid.nih.gov/transcriptome/Anopheles_sialome/links/cluster-b/anopheline-sialome-cds-pep-larger-orf55-50SimCLU3.txt", 3)</f>
        <v>3</v>
      </c>
      <c r="BY519">
        <f>HYPERLINK("http://exon.niaid.nih.gov/transcriptome/Anopheles_sialome/links/cluster-b/anopheline-sialome-cds-pep-larger-orf55-50SimCLTL3.txt", 47)</f>
        <v>47</v>
      </c>
      <c r="BZ519">
        <f>HYPERLINK("http://exon.niaid.nih.gov/transcriptome/Anopheles_sialome/links/cluster-b/anopheline-sialome-cds-pep-larger-orf60-50SimCLU27.txt", 27)</f>
        <v>27</v>
      </c>
      <c r="CA519">
        <f>HYPERLINK("http://exon.niaid.nih.gov/transcriptome/Anopheles_sialome/links/cluster-b/anopheline-sialome-cds-pep-larger-orf60-50SimCLTL27.txt", 16)</f>
        <v>16</v>
      </c>
      <c r="CB519">
        <f>HYPERLINK("http://exon.niaid.nih.gov/transcriptome/Anopheles_sialome/links/cluster-b/anopheline-sialome-cds-pep-larger-orf65-50SimCLU29.txt", 29)</f>
        <v>29</v>
      </c>
      <c r="CC519">
        <f>HYPERLINK("http://exon.niaid.nih.gov/transcriptome/Anopheles_sialome/links/cluster-b/anopheline-sialome-cds-pep-larger-orf65-50SimCLTL29.txt", 15)</f>
        <v>15</v>
      </c>
      <c r="CD519">
        <f>HYPERLINK("http://exon.niaid.nih.gov/transcriptome/Anopheles_sialome/links/cluster-b/anopheline-sialome-cds-pep-larger-orf70-50SimCLU26.txt", 26)</f>
        <v>26</v>
      </c>
      <c r="CE519">
        <f>HYPERLINK("http://exon.niaid.nih.gov/transcriptome/Anopheles_sialome/links/cluster-b/anopheline-sialome-cds-pep-larger-orf70-50SimCLTL26.txt", 15)</f>
        <v>15</v>
      </c>
      <c r="CF519">
        <v>142</v>
      </c>
      <c r="CG519">
        <v>1</v>
      </c>
      <c r="CH519">
        <v>201</v>
      </c>
      <c r="CI519">
        <v>1</v>
      </c>
      <c r="CJ519">
        <v>272</v>
      </c>
      <c r="CK519">
        <v>1</v>
      </c>
      <c r="CL519">
        <v>344</v>
      </c>
      <c r="CM519">
        <v>1</v>
      </c>
      <c r="CN519">
        <v>415</v>
      </c>
      <c r="CO519">
        <v>1</v>
      </c>
    </row>
    <row r="520" spans="1:93">
      <c r="A520" s="2" t="str">
        <f>HYPERLINK("http://exon.niaid.nih.gov/transcriptome/Anopheles_sialome/links/cds/anodir_Saglin-cds.txt","anodir_Saglin")</f>
        <v>anodir_Saglin</v>
      </c>
      <c r="B520">
        <v>1227</v>
      </c>
      <c r="C520" t="s">
        <v>449</v>
      </c>
      <c r="D520" t="s">
        <v>4</v>
      </c>
      <c r="E520" t="s">
        <v>5</v>
      </c>
      <c r="F520" t="s">
        <v>1</v>
      </c>
      <c r="G520" t="str">
        <f>HYPERLINK("http://exon.niaid.nih.gov/transcriptome/Anopheles_sialome/links/pep/anodir_Saglin-pep.txt","anodir_Saglin")</f>
        <v>anodir_Saglin</v>
      </c>
      <c r="H520">
        <v>408</v>
      </c>
      <c r="I520">
        <v>3</v>
      </c>
      <c r="J520" s="3" t="str">
        <f>HYPERLINK("http://exon.niaid.nih.gov/transcriptome/Anopheles_sialome/links/Sigp/anodir_Saglin-SigP.txt","SIG")</f>
        <v>SIG</v>
      </c>
      <c r="K520" t="s">
        <v>695</v>
      </c>
      <c r="L520">
        <v>46.92</v>
      </c>
      <c r="M520">
        <v>7.2</v>
      </c>
      <c r="N520">
        <v>44.587000000000003</v>
      </c>
      <c r="O520">
        <v>7.32</v>
      </c>
      <c r="P520" t="s">
        <v>1816</v>
      </c>
      <c r="Q520" s="3">
        <v>0</v>
      </c>
      <c r="R520" t="s">
        <v>128</v>
      </c>
      <c r="S520" t="s">
        <v>128</v>
      </c>
      <c r="T520" t="s">
        <v>128</v>
      </c>
      <c r="U520" t="s">
        <v>128</v>
      </c>
      <c r="V520" t="s">
        <v>128</v>
      </c>
      <c r="W520" s="3" t="str">
        <f>HYPERLINK("http://exon.niaid.nih.gov/transcriptome/Anopheles_sialome/links/netoglyc/anodir_Saglin-netoglyc.txt","0")</f>
        <v>0</v>
      </c>
      <c r="X520">
        <v>8.3000000000000007</v>
      </c>
      <c r="Y520">
        <v>3.7</v>
      </c>
      <c r="Z520">
        <v>3.7</v>
      </c>
      <c r="AA520" t="s">
        <v>654</v>
      </c>
      <c r="AB520" t="s">
        <v>128</v>
      </c>
      <c r="AC520" s="2" t="str">
        <f>HYPERLINK("http://exon.niaid.nih.gov/transcriptome/Anopheles_sialome/links/DIPTERA/anodir_Saglin-DIPTERA.txt","SG1B-like salivary protein")</f>
        <v>SG1B-like salivary protein</v>
      </c>
      <c r="AD520" t="str">
        <f>HYPERLINK("http://www.ncbi.nlm.nih.gov/sutils/blink.cgi?pid=31979114","0.0")</f>
        <v>0.0</v>
      </c>
      <c r="AE520" t="str">
        <f>HYPERLINK("http://www.ncbi.nlm.nih.gov/protein/31979114","gi|31979114")</f>
        <v>gi|31979114</v>
      </c>
      <c r="AF520">
        <v>86</v>
      </c>
      <c r="AG520">
        <v>91</v>
      </c>
      <c r="AH520">
        <v>104</v>
      </c>
      <c r="AI520" t="s">
        <v>2274</v>
      </c>
      <c r="AJ520" s="2" t="str">
        <f>HYPERLINK("http://exon.niaid.nih.gov/transcriptome/Anopheles_sialome/links/CULICOMORPHA/anodir_Saglin-CULICOMORPHA.txt","SG1B-like salivary protein")</f>
        <v>SG1B-like salivary protein</v>
      </c>
      <c r="AK520" t="str">
        <f>HYPERLINK("http://www.ncbi.nlm.nih.gov/sutils/blink.cgi?pid=31979114","0.0")</f>
        <v>0.0</v>
      </c>
      <c r="AL520" t="str">
        <f>HYPERLINK("http://www.ncbi.nlm.nih.gov/protein/31979114","gi|31979114")</f>
        <v>gi|31979114</v>
      </c>
      <c r="AM520">
        <v>86</v>
      </c>
      <c r="AN520">
        <v>91</v>
      </c>
      <c r="AO520">
        <v>104</v>
      </c>
      <c r="AP520" t="s">
        <v>2274</v>
      </c>
      <c r="AQ520" s="2" t="str">
        <f>HYPERLINK("http://exon.niaid.nih.gov/transcriptome/Anopheles_sialome/links/NR-LIGHT/anodir_Saglin-NR-LIGHT.txt","SG1B-like salivary protein")</f>
        <v>SG1B-like salivary protein</v>
      </c>
      <c r="AR520" t="str">
        <f>HYPERLINK("http://www.ncbi.nlm.nih.gov/sutils/blink.cgi?pid=31979114","0.0")</f>
        <v>0.0</v>
      </c>
      <c r="AS520" t="str">
        <f>HYPERLINK("http://www.ncbi.nlm.nih.gov/protein/31979114","gi|31979114")</f>
        <v>gi|31979114</v>
      </c>
      <c r="AT520">
        <v>86</v>
      </c>
      <c r="AU520">
        <v>91</v>
      </c>
      <c r="AV520">
        <v>104</v>
      </c>
      <c r="AW520" t="s">
        <v>2274</v>
      </c>
      <c r="AX520" s="2" t="str">
        <f>HYPERLINK("http://exon.niaid.nih.gov/transcriptome/Anopheles_sialome/links/CDD/anodir_Saglin-CDD.txt","DUF3584")</f>
        <v>DUF3584</v>
      </c>
      <c r="AY520" t="str">
        <f>HYPERLINK("http://www.ncbi.nlm.nih.gov/Structure/cdd/cddsrv.cgi?uid=pfam12128&amp;version=v4.0","0.28")</f>
        <v>0.28</v>
      </c>
      <c r="AZ520" t="s">
        <v>2906</v>
      </c>
      <c r="BA520" s="2" t="str">
        <f>HYPERLINK("http://exon.niaid.nih.gov/transcriptome/Anopheles_sialome/links/KOG/anodir_Saglin-KOG.txt","Rho/Rac1-interacting serine/threonine kinase Citron")</f>
        <v>Rho/Rac1-interacting serine/threonine kinase Citron</v>
      </c>
      <c r="BB520" t="str">
        <f>HYPERLINK("http://www.ncbi.nlm.nih.gov/Structure/cdd/cddsrv.cgi?uid=KOG0976","0.13")</f>
        <v>0.13</v>
      </c>
      <c r="BC520" t="s">
        <v>2292</v>
      </c>
      <c r="BD520" t="str">
        <f>HYPERLINK("http://exon.niaid.nih.gov/transcriptome/Anopheles_sialome/links/KOG/anodir_Saglin-KOG.txt","KOG0976")</f>
        <v>KOG0976</v>
      </c>
      <c r="BE520" t="str">
        <f>HYPERLINK("http://exon.niaid.nih.gov/transcriptome/Anopheles_sialome/links/PFAM/anodir_Saglin-PFAM.txt","DUF3584")</f>
        <v>DUF3584</v>
      </c>
      <c r="BF520" t="str">
        <f>HYPERLINK("http://pfam.sanger.ac.uk/family?acc=PF12128","0.054")</f>
        <v>0.054</v>
      </c>
      <c r="BG520" s="2" t="str">
        <f>HYPERLINK("http://exon.niaid.nih.gov/transcriptome/Anopheles_sialome/links/SMART/anodir_Saglin-SMART.txt","BTAD")</f>
        <v>BTAD</v>
      </c>
      <c r="BH520" t="str">
        <f>HYPERLINK("http://smart.embl-heidelberg.de/smart/do_annotation.pl?DOMAIN=BTAD&amp;BLAST=DUMMY","0.52")</f>
        <v>0.52</v>
      </c>
      <c r="BI520" t="str">
        <f>HYPERLINK("http://exon.niaid.nih.gov/transcriptome/Anopheles_sialome/links/TICK-BLOCKS/anodir_Saglin-TICK-BLOCKS.txt","SG1_full |SG1_stringent_pattern |")</f>
        <v>SG1_full |SG1_stringent_pattern |</v>
      </c>
      <c r="BJ520" s="2" t="s">
        <v>2423</v>
      </c>
      <c r="BK520" t="s">
        <v>1815</v>
      </c>
      <c r="BL520">
        <f>HYPERLINK("http://exon.niaid.nih.gov/transcriptome/Anopheles_sialome/links/cluster-b/anopheline-sialome-cds-pep-larger-orf25-50SimCLU3.txt", 3)</f>
        <v>3</v>
      </c>
      <c r="BM520">
        <f>HYPERLINK("http://exon.niaid.nih.gov/transcriptome/Anopheles_sialome/links/cluster-b/anopheline-sialome-cds-pep-larger-orf25-50SimCLTL3.txt", 119)</f>
        <v>119</v>
      </c>
      <c r="BN520">
        <f>HYPERLINK("http://exon.niaid.nih.gov/transcriptome/Anopheles_sialome/links/cluster-b/anopheline-sialome-cds-pep-larger-orf30-50SimCLU3.txt", 3)</f>
        <v>3</v>
      </c>
      <c r="BO520">
        <f>HYPERLINK("http://exon.niaid.nih.gov/transcriptome/Anopheles_sialome/links/cluster-b/anopheline-sialome-cds-pep-larger-orf30-50SimCLTL3.txt", 119)</f>
        <v>119</v>
      </c>
      <c r="BP520">
        <f>HYPERLINK("http://exon.niaid.nih.gov/transcriptome/Anopheles_sialome/links/cluster-b/anopheline-sialome-cds-pep-larger-orf35-50SimCLU2.txt", 2)</f>
        <v>2</v>
      </c>
      <c r="BQ520">
        <f>HYPERLINK("http://exon.niaid.nih.gov/transcriptome/Anopheles_sialome/links/cluster-b/anopheline-sialome-cds-pep-larger-orf35-50SimCLTL2.txt", 119)</f>
        <v>119</v>
      </c>
      <c r="BR520">
        <f>HYPERLINK("http://exon.niaid.nih.gov/transcriptome/Anopheles_sialome/links/cluster-b/anopheline-sialome-cds-pep-larger-orf40-50SimCLU1.txt", 1)</f>
        <v>1</v>
      </c>
      <c r="BS520">
        <f>HYPERLINK("http://exon.niaid.nih.gov/transcriptome/Anopheles_sialome/links/cluster-b/anopheline-sialome-cds-pep-larger-orf40-50SimCLTL1.txt", 119)</f>
        <v>119</v>
      </c>
      <c r="BT520">
        <f>HYPERLINK("http://exon.niaid.nih.gov/transcriptome/Anopheles_sialome/links/cluster-b/anopheline-sialome-cds-pep-larger-orf45-50SimCLU3.txt", 3)</f>
        <v>3</v>
      </c>
      <c r="BU520">
        <f>HYPERLINK("http://exon.niaid.nih.gov/transcriptome/Anopheles_sialome/links/cluster-b/anopheline-sialome-cds-pep-larger-orf45-50SimCLTL3.txt", 65)</f>
        <v>65</v>
      </c>
      <c r="BV520">
        <f>HYPERLINK("http://exon.niaid.nih.gov/transcriptome/Anopheles_sialome/links/cluster-b/anopheline-sialome-cds-pep-larger-orf50-50SimCLU3.txt", 3)</f>
        <v>3</v>
      </c>
      <c r="BW520">
        <f>HYPERLINK("http://exon.niaid.nih.gov/transcriptome/Anopheles_sialome/links/cluster-b/anopheline-sialome-cds-pep-larger-orf50-50SimCLTL3.txt", 48)</f>
        <v>48</v>
      </c>
      <c r="BX520">
        <f>HYPERLINK("http://exon.niaid.nih.gov/transcriptome/Anopheles_sialome/links/cluster-b/anopheline-sialome-cds-pep-larger-orf55-50SimCLU3.txt", 3)</f>
        <v>3</v>
      </c>
      <c r="BY520">
        <f>HYPERLINK("http://exon.niaid.nih.gov/transcriptome/Anopheles_sialome/links/cluster-b/anopheline-sialome-cds-pep-larger-orf55-50SimCLTL3.txt", 47)</f>
        <v>47</v>
      </c>
      <c r="BZ520">
        <f>HYPERLINK("http://exon.niaid.nih.gov/transcriptome/Anopheles_sialome/links/cluster-b/anopheline-sialome-cds-pep-larger-orf60-50SimCLU27.txt", 27)</f>
        <v>27</v>
      </c>
      <c r="CA520">
        <f>HYPERLINK("http://exon.niaid.nih.gov/transcriptome/Anopheles_sialome/links/cluster-b/anopheline-sialome-cds-pep-larger-orf60-50SimCLTL27.txt", 16)</f>
        <v>16</v>
      </c>
      <c r="CB520">
        <f>HYPERLINK("http://exon.niaid.nih.gov/transcriptome/Anopheles_sialome/links/cluster-b/anopheline-sialome-cds-pep-larger-orf65-50SimCLU29.txt", 29)</f>
        <v>29</v>
      </c>
      <c r="CC520">
        <f>HYPERLINK("http://exon.niaid.nih.gov/transcriptome/Anopheles_sialome/links/cluster-b/anopheline-sialome-cds-pep-larger-orf65-50SimCLTL29.txt", 15)</f>
        <v>15</v>
      </c>
      <c r="CD520">
        <f>HYPERLINK("http://exon.niaid.nih.gov/transcriptome/Anopheles_sialome/links/cluster-b/anopheline-sialome-cds-pep-larger-orf70-50SimCLU26.txt", 26)</f>
        <v>26</v>
      </c>
      <c r="CE520">
        <f>HYPERLINK("http://exon.niaid.nih.gov/transcriptome/Anopheles_sialome/links/cluster-b/anopheline-sialome-cds-pep-larger-orf70-50SimCLTL26.txt", 15)</f>
        <v>15</v>
      </c>
      <c r="CF520">
        <v>143</v>
      </c>
      <c r="CG520">
        <v>1</v>
      </c>
      <c r="CH520">
        <v>202</v>
      </c>
      <c r="CI520">
        <v>1</v>
      </c>
      <c r="CJ520">
        <v>273</v>
      </c>
      <c r="CK520">
        <v>1</v>
      </c>
      <c r="CL520">
        <v>345</v>
      </c>
      <c r="CM520">
        <v>1</v>
      </c>
      <c r="CN520">
        <v>416</v>
      </c>
      <c r="CO520">
        <v>1</v>
      </c>
    </row>
    <row r="521" spans="1:93">
      <c r="A521" s="2" t="str">
        <f>HYPERLINK("http://exon.niaid.nih.gov/transcriptome/Anopheles_sialome/links/cds/anoatro_Saglin-cds.txt","anoatro_Saglin")</f>
        <v>anoatro_Saglin</v>
      </c>
      <c r="B521">
        <v>1254</v>
      </c>
      <c r="C521" t="s">
        <v>450</v>
      </c>
      <c r="D521" t="s">
        <v>7</v>
      </c>
      <c r="E521" t="s">
        <v>5</v>
      </c>
      <c r="F521" t="s">
        <v>1</v>
      </c>
      <c r="G521" t="str">
        <f>HYPERLINK("http://exon.niaid.nih.gov/transcriptome/Anopheles_sialome/links/pep/anoatro_Saglin-pep.txt","anoatro_Saglin")</f>
        <v>anoatro_Saglin</v>
      </c>
      <c r="H521">
        <v>417</v>
      </c>
      <c r="I521">
        <v>2</v>
      </c>
      <c r="J521" s="3" t="str">
        <f>HYPERLINK("http://exon.niaid.nih.gov/transcriptome/Anopheles_sialome/links/Sigp/anoatro_Saglin-SigP.txt","SIG")</f>
        <v>SIG</v>
      </c>
      <c r="K521" t="s">
        <v>787</v>
      </c>
      <c r="L521">
        <v>48.201000000000001</v>
      </c>
      <c r="M521">
        <v>8.67</v>
      </c>
      <c r="N521">
        <v>45.441000000000003</v>
      </c>
      <c r="O521">
        <v>8.18</v>
      </c>
      <c r="P521" t="s">
        <v>1217</v>
      </c>
      <c r="Q521" s="3">
        <v>0</v>
      </c>
      <c r="R521" t="s">
        <v>128</v>
      </c>
      <c r="S521" t="s">
        <v>128</v>
      </c>
      <c r="T521" t="s">
        <v>128</v>
      </c>
      <c r="U521" t="s">
        <v>128</v>
      </c>
      <c r="V521" t="s">
        <v>128</v>
      </c>
      <c r="W521" s="3" t="str">
        <f>HYPERLINK("http://exon.niaid.nih.gov/transcriptome/Anopheles_sialome/links/netoglyc/anoatro_Saglin-netoglyc.txt","1")</f>
        <v>1</v>
      </c>
      <c r="X521">
        <v>10.1</v>
      </c>
      <c r="Y521">
        <v>4.8</v>
      </c>
      <c r="Z521">
        <v>3.4</v>
      </c>
      <c r="AA521" t="s">
        <v>654</v>
      </c>
      <c r="AB521" t="s">
        <v>128</v>
      </c>
      <c r="AC521" s="2" t="str">
        <f>HYPERLINK("http://exon.niaid.nih.gov/transcriptome/Anopheles_sialome/links/DIPTERA/anoatro_Saglin-DIPTERA.txt","SG1B-like salivary protein")</f>
        <v>SG1B-like salivary protein</v>
      </c>
      <c r="AD521" t="str">
        <f>HYPERLINK("http://www.ncbi.nlm.nih.gov/sutils/blink.cgi?pid=668449455","1E-113")</f>
        <v>1E-113</v>
      </c>
      <c r="AE521" t="str">
        <f>HYPERLINK("http://www.ncbi.nlm.nih.gov/protein/668449455","gi|668449455")</f>
        <v>gi|668449455</v>
      </c>
      <c r="AF521">
        <v>55</v>
      </c>
      <c r="AG521">
        <v>72</v>
      </c>
      <c r="AH521">
        <v>51</v>
      </c>
      <c r="AI521" t="s">
        <v>2277</v>
      </c>
      <c r="AJ521" s="2" t="str">
        <f>HYPERLINK("http://exon.niaid.nih.gov/transcriptome/Anopheles_sialome/links/CULICOMORPHA/anoatro_Saglin-CULICOMORPHA.txt","SG1B-like salivary protein")</f>
        <v>SG1B-like salivary protein</v>
      </c>
      <c r="AK521" t="str">
        <f>HYPERLINK("http://www.ncbi.nlm.nih.gov/sutils/blink.cgi?pid=668449455","1E-114")</f>
        <v>1E-114</v>
      </c>
      <c r="AL521" t="str">
        <f>HYPERLINK("http://www.ncbi.nlm.nih.gov/protein/668449455","gi|668449455")</f>
        <v>gi|668449455</v>
      </c>
      <c r="AM521">
        <v>55</v>
      </c>
      <c r="AN521">
        <v>72</v>
      </c>
      <c r="AO521">
        <v>51</v>
      </c>
      <c r="AP521" t="s">
        <v>2277</v>
      </c>
      <c r="AQ521" s="2" t="str">
        <f>HYPERLINK("http://exon.niaid.nih.gov/transcriptome/Anopheles_sialome/links/NR-LIGHT/anoatro_Saglin-NR-LIGHT.txt","SG1B-like salivary protein")</f>
        <v>SG1B-like salivary protein</v>
      </c>
      <c r="AR521" t="str">
        <f>HYPERLINK("http://www.ncbi.nlm.nih.gov/sutils/blink.cgi?pid=668449455","1E-113")</f>
        <v>1E-113</v>
      </c>
      <c r="AS521" t="str">
        <f>HYPERLINK("http://www.ncbi.nlm.nih.gov/protein/668449455","gi|668449455")</f>
        <v>gi|668449455</v>
      </c>
      <c r="AT521">
        <v>55</v>
      </c>
      <c r="AU521">
        <v>72</v>
      </c>
      <c r="AV521">
        <v>51</v>
      </c>
      <c r="AW521" t="s">
        <v>2277</v>
      </c>
      <c r="AX521" s="2" t="str">
        <f>HYPERLINK("http://exon.niaid.nih.gov/transcriptome/Anopheles_sialome/links/CDD/anoatro_Saglin-CDD.txt","xseA")</f>
        <v>xseA</v>
      </c>
      <c r="AY521" t="str">
        <f>HYPERLINK("http://www.ncbi.nlm.nih.gov/Structure/cdd/cddsrv.cgi?uid=PRK00286&amp;version=v4.0","0.003")</f>
        <v>0.003</v>
      </c>
      <c r="AZ521" t="s">
        <v>2907</v>
      </c>
      <c r="BA521" s="2" t="str">
        <f>HYPERLINK("http://exon.niaid.nih.gov/transcriptome/Anopheles_sialome/links/KOG/anoatro_Saglin-KOG.txt","Vacuolar assembly/sorting protein DID4")</f>
        <v>Vacuolar assembly/sorting protein DID4</v>
      </c>
      <c r="BB521" t="str">
        <f>HYPERLINK("http://www.ncbi.nlm.nih.gov/Structure/cdd/cddsrv.cgi?uid=KOG3230","0.10")</f>
        <v>0.10</v>
      </c>
      <c r="BC521" t="s">
        <v>2487</v>
      </c>
      <c r="BD521" t="str">
        <f>HYPERLINK("http://exon.niaid.nih.gov/transcriptome/Anopheles_sialome/links/KOG/anoatro_Saglin-KOG.txt","KOG3230")</f>
        <v>KOG3230</v>
      </c>
      <c r="BE521" t="str">
        <f>HYPERLINK("http://exon.niaid.nih.gov/transcriptome/Anopheles_sialome/links/PFAM/anoatro_Saglin-PFAM.txt","Bse634I")</f>
        <v>Bse634I</v>
      </c>
      <c r="BF521" t="str">
        <f>HYPERLINK("http://pfam.sanger.ac.uk/family?acc=PF07832","0.085")</f>
        <v>0.085</v>
      </c>
      <c r="BG521" s="2" t="str">
        <f>HYPERLINK("http://exon.niaid.nih.gov/transcriptome/Anopheles_sialome/links/SMART/anoatro_Saglin-SMART.txt","RasGEF")</f>
        <v>RasGEF</v>
      </c>
      <c r="BH521" t="str">
        <f>HYPERLINK("http://smart.embl-heidelberg.de/smart/do_annotation.pl?DOMAIN=RasGEF&amp;BLAST=DUMMY","0.71")</f>
        <v>0.71</v>
      </c>
      <c r="BI521" t="str">
        <f>HYPERLINK("http://exon.niaid.nih.gov/transcriptome/Anopheles_sialome/links/TICK-BLOCKS/anoatro_Saglin-TICK-BLOCKS.txt","SG1_stringent_pattern |")</f>
        <v>SG1_stringent_pattern |</v>
      </c>
      <c r="BJ521" s="2" t="s">
        <v>128</v>
      </c>
      <c r="BK521" t="s">
        <v>1817</v>
      </c>
      <c r="BL521">
        <f>HYPERLINK("http://exon.niaid.nih.gov/transcriptome/Anopheles_sialome/links/cluster-b/anopheline-sialome-cds-pep-larger-orf25-50SimCLU3.txt", 3)</f>
        <v>3</v>
      </c>
      <c r="BM521">
        <f>HYPERLINK("http://exon.niaid.nih.gov/transcriptome/Anopheles_sialome/links/cluster-b/anopheline-sialome-cds-pep-larger-orf25-50SimCLTL3.txt", 119)</f>
        <v>119</v>
      </c>
      <c r="BN521">
        <f>HYPERLINK("http://exon.niaid.nih.gov/transcriptome/Anopheles_sialome/links/cluster-b/anopheline-sialome-cds-pep-larger-orf30-50SimCLU3.txt", 3)</f>
        <v>3</v>
      </c>
      <c r="BO521">
        <f>HYPERLINK("http://exon.niaid.nih.gov/transcriptome/Anopheles_sialome/links/cluster-b/anopheline-sialome-cds-pep-larger-orf30-50SimCLTL3.txt", 119)</f>
        <v>119</v>
      </c>
      <c r="BP521">
        <f>HYPERLINK("http://exon.niaid.nih.gov/transcriptome/Anopheles_sialome/links/cluster-b/anopheline-sialome-cds-pep-larger-orf35-50SimCLU2.txt", 2)</f>
        <v>2</v>
      </c>
      <c r="BQ521">
        <f>HYPERLINK("http://exon.niaid.nih.gov/transcriptome/Anopheles_sialome/links/cluster-b/anopheline-sialome-cds-pep-larger-orf35-50SimCLTL2.txt", 119)</f>
        <v>119</v>
      </c>
      <c r="BR521">
        <f>HYPERLINK("http://exon.niaid.nih.gov/transcriptome/Anopheles_sialome/links/cluster-b/anopheline-sialome-cds-pep-larger-orf40-50SimCLU1.txt", 1)</f>
        <v>1</v>
      </c>
      <c r="BS521">
        <f>HYPERLINK("http://exon.niaid.nih.gov/transcriptome/Anopheles_sialome/links/cluster-b/anopheline-sialome-cds-pep-larger-orf40-50SimCLTL1.txt", 119)</f>
        <v>119</v>
      </c>
      <c r="BT521">
        <f>HYPERLINK("http://exon.niaid.nih.gov/transcriptome/Anopheles_sialome/links/cluster-b/anopheline-sialome-cds-pep-larger-orf45-50SimCLU3.txt", 3)</f>
        <v>3</v>
      </c>
      <c r="BU521">
        <f>HYPERLINK("http://exon.niaid.nih.gov/transcriptome/Anopheles_sialome/links/cluster-b/anopheline-sialome-cds-pep-larger-orf45-50SimCLTL3.txt", 65)</f>
        <v>65</v>
      </c>
      <c r="BV521">
        <f>HYPERLINK("http://exon.niaid.nih.gov/transcriptome/Anopheles_sialome/links/cluster-b/anopheline-sialome-cds-pep-larger-orf50-50SimCLU3.txt", 3)</f>
        <v>3</v>
      </c>
      <c r="BW521">
        <f>HYPERLINK("http://exon.niaid.nih.gov/transcriptome/Anopheles_sialome/links/cluster-b/anopheline-sialome-cds-pep-larger-orf50-50SimCLTL3.txt", 48)</f>
        <v>48</v>
      </c>
      <c r="BX521">
        <f>HYPERLINK("http://exon.niaid.nih.gov/transcriptome/Anopheles_sialome/links/cluster-b/anopheline-sialome-cds-pep-larger-orf55-50SimCLU3.txt", 3)</f>
        <v>3</v>
      </c>
      <c r="BY521">
        <f>HYPERLINK("http://exon.niaid.nih.gov/transcriptome/Anopheles_sialome/links/cluster-b/anopheline-sialome-cds-pep-larger-orf55-50SimCLTL3.txt", 47)</f>
        <v>47</v>
      </c>
      <c r="BZ521">
        <f>HYPERLINK("http://exon.niaid.nih.gov/transcriptome/Anopheles_sialome/links/cluster-b/anopheline-sialome-cds-pep-larger-orf60-50SimCLU27.txt", 27)</f>
        <v>27</v>
      </c>
      <c r="CA521">
        <f>HYPERLINK("http://exon.niaid.nih.gov/transcriptome/Anopheles_sialome/links/cluster-b/anopheline-sialome-cds-pep-larger-orf60-50SimCLTL27.txt", 16)</f>
        <v>16</v>
      </c>
      <c r="CB521">
        <v>78</v>
      </c>
      <c r="CC521">
        <v>1</v>
      </c>
      <c r="CD521">
        <v>100</v>
      </c>
      <c r="CE521">
        <v>1</v>
      </c>
      <c r="CF521">
        <v>144</v>
      </c>
      <c r="CG521">
        <v>1</v>
      </c>
      <c r="CH521">
        <v>203</v>
      </c>
      <c r="CI521">
        <v>1</v>
      </c>
      <c r="CJ521">
        <v>274</v>
      </c>
      <c r="CK521">
        <v>1</v>
      </c>
      <c r="CL521">
        <v>346</v>
      </c>
      <c r="CM521">
        <v>1</v>
      </c>
      <c r="CN521">
        <v>417</v>
      </c>
      <c r="CO521">
        <v>1</v>
      </c>
    </row>
    <row r="522" spans="1:93">
      <c r="A522" s="2" t="str">
        <f>HYPERLINK("http://exon.niaid.nih.gov/transcriptome/Anopheles_sialome/links/cds/anoalb_Saglin-cds.txt","anoalb_Saglin")</f>
        <v>anoalb_Saglin</v>
      </c>
      <c r="B522">
        <v>1287</v>
      </c>
      <c r="C522" t="s">
        <v>451</v>
      </c>
      <c r="D522" t="s">
        <v>4</v>
      </c>
      <c r="E522" t="s">
        <v>5</v>
      </c>
      <c r="F522" t="s">
        <v>1</v>
      </c>
      <c r="G522" t="str">
        <f>HYPERLINK("http://exon.niaid.nih.gov/transcriptome/Anopheles_sialome/links/pep/anoalb_Saglin-pep.txt","anoalb_Saglin")</f>
        <v>anoalb_Saglin</v>
      </c>
      <c r="H522">
        <v>428</v>
      </c>
      <c r="I522">
        <v>0</v>
      </c>
      <c r="J522" s="3" t="str">
        <f>HYPERLINK("http://exon.niaid.nih.gov/transcriptome/Anopheles_sialome/links/Sigp/anoalb_Saglin-SigP.txt","SIG")</f>
        <v>SIG</v>
      </c>
      <c r="K522" t="s">
        <v>949</v>
      </c>
      <c r="L522">
        <v>49.616</v>
      </c>
      <c r="M522">
        <v>8.7100000000000009</v>
      </c>
      <c r="N522">
        <v>46.399000000000001</v>
      </c>
      <c r="O522">
        <v>8.58</v>
      </c>
      <c r="P522" t="s">
        <v>1819</v>
      </c>
      <c r="Q522" s="3">
        <v>0</v>
      </c>
      <c r="R522" t="s">
        <v>128</v>
      </c>
      <c r="S522" t="s">
        <v>128</v>
      </c>
      <c r="T522" t="s">
        <v>128</v>
      </c>
      <c r="U522" t="s">
        <v>128</v>
      </c>
      <c r="V522" t="s">
        <v>128</v>
      </c>
      <c r="W522" s="3" t="str">
        <f>HYPERLINK("http://exon.niaid.nih.gov/transcriptome/Anopheles_sialome/links/netoglyc/anoalb_Saglin-netoglyc.txt","0")</f>
        <v>0</v>
      </c>
      <c r="X522">
        <v>11.2</v>
      </c>
      <c r="Y522">
        <v>5.4</v>
      </c>
      <c r="Z522">
        <v>3</v>
      </c>
      <c r="AA522" t="s">
        <v>654</v>
      </c>
      <c r="AB522" t="s">
        <v>128</v>
      </c>
      <c r="AC522" s="2" t="str">
        <f>HYPERLINK("http://exon.niaid.nih.gov/transcriptome/Anopheles_sialome/links/DIPTERA/anoalb_Saglin-DIPTERA.txt","putative salivary protein sg1b")</f>
        <v>putative salivary protein sg1b</v>
      </c>
      <c r="AD522" t="str">
        <f>HYPERLINK("http://www.ncbi.nlm.nih.gov/sutils/blink.cgi?pid=524933744","0.0")</f>
        <v>0.0</v>
      </c>
      <c r="AE522" t="str">
        <f>HYPERLINK("http://www.ncbi.nlm.nih.gov/protein/524933744","gi|524933744")</f>
        <v>gi|524933744</v>
      </c>
      <c r="AF522">
        <v>75</v>
      </c>
      <c r="AG522">
        <v>84</v>
      </c>
      <c r="AH522">
        <v>100</v>
      </c>
      <c r="AI522" t="s">
        <v>2477</v>
      </c>
      <c r="AJ522" s="2" t="str">
        <f>HYPERLINK("http://exon.niaid.nih.gov/transcriptome/Anopheles_sialome/links/CULICOMORPHA/anoalb_Saglin-CULICOMORPHA.txt","putative salivary protein sg1b")</f>
        <v>putative salivary protein sg1b</v>
      </c>
      <c r="AK522" t="str">
        <f>HYPERLINK("http://www.ncbi.nlm.nih.gov/sutils/blink.cgi?pid=524933744","0.0")</f>
        <v>0.0</v>
      </c>
      <c r="AL522" t="str">
        <f>HYPERLINK("http://www.ncbi.nlm.nih.gov/protein/524933744","gi|524933744")</f>
        <v>gi|524933744</v>
      </c>
      <c r="AM522">
        <v>75</v>
      </c>
      <c r="AN522">
        <v>84</v>
      </c>
      <c r="AO522">
        <v>100</v>
      </c>
      <c r="AP522" t="s">
        <v>2477</v>
      </c>
      <c r="AQ522" s="2" t="str">
        <f>HYPERLINK("http://exon.niaid.nih.gov/transcriptome/Anopheles_sialome/links/NR-LIGHT/anoalb_Saglin-NR-LIGHT.txt","putative salivary protein SG1B")</f>
        <v>putative salivary protein SG1B</v>
      </c>
      <c r="AR522" t="str">
        <f>HYPERLINK("http://www.ncbi.nlm.nih.gov/sutils/blink.cgi?pid=27372929","1E-057")</f>
        <v>1E-057</v>
      </c>
      <c r="AS522" t="str">
        <f>HYPERLINK("http://www.ncbi.nlm.nih.gov/protein/27372929","gi|27372929")</f>
        <v>gi|27372929</v>
      </c>
      <c r="AT522">
        <v>33</v>
      </c>
      <c r="AU522">
        <v>50</v>
      </c>
      <c r="AV522">
        <v>100</v>
      </c>
      <c r="AW522" t="s">
        <v>2271</v>
      </c>
      <c r="AX522" s="2" t="str">
        <f>HYPERLINK("http://exon.niaid.nih.gov/transcriptome/Anopheles_sialome/links/CDD/anoalb_Saglin-CDD.txt","xseA")</f>
        <v>xseA</v>
      </c>
      <c r="AY522" t="str">
        <f>HYPERLINK("http://www.ncbi.nlm.nih.gov/Structure/cdd/cddsrv.cgi?uid=PRK00286&amp;version=v4.0","0.031")</f>
        <v>0.031</v>
      </c>
      <c r="AZ522" t="s">
        <v>2908</v>
      </c>
      <c r="BA522" s="2" t="str">
        <f>HYPERLINK("http://exon.niaid.nih.gov/transcriptome/Anopheles_sialome/links/KOG/anoalb_Saglin-KOG.txt","Endocytic adaptor protein intersectin")</f>
        <v>Endocytic adaptor protein intersectin</v>
      </c>
      <c r="BB522" t="str">
        <f>HYPERLINK("http://www.ncbi.nlm.nih.gov/Structure/cdd/cddsrv.cgi?uid=KOG1029","0.13")</f>
        <v>0.13</v>
      </c>
      <c r="BC522" t="s">
        <v>2909</v>
      </c>
      <c r="BD522" t="str">
        <f>HYPERLINK("http://exon.niaid.nih.gov/transcriptome/Anopheles_sialome/links/KOG/anoalb_Saglin-KOG.txt","KOG1029")</f>
        <v>KOG1029</v>
      </c>
      <c r="BE522" t="str">
        <f>HYPERLINK("http://exon.niaid.nih.gov/transcriptome/Anopheles_sialome/links/PFAM/anoalb_Saglin-PFAM.txt","DUF4407")</f>
        <v>DUF4407</v>
      </c>
      <c r="BF522" t="str">
        <f>HYPERLINK("http://pfam.sanger.ac.uk/family?acc=PF14362","0.064")</f>
        <v>0.064</v>
      </c>
      <c r="BG522" s="2" t="str">
        <f>HYPERLINK("http://exon.niaid.nih.gov/transcriptome/Anopheles_sialome/links/SMART/anoalb_Saglin-SMART.txt","MUTSd")</f>
        <v>MUTSd</v>
      </c>
      <c r="BH522" t="str">
        <f>HYPERLINK("http://smart.embl-heidelberg.de/smart/do_annotation.pl?DOMAIN=MUTSd&amp;BLAST=DUMMY","0.026")</f>
        <v>0.026</v>
      </c>
      <c r="BI522" t="str">
        <f>HYPERLINK("http://exon.niaid.nih.gov/transcriptome/Anopheles_sialome/links/TICK-BLOCKS/anoalb_Saglin-TICK-BLOCKS.txt","SG1_full |SG1_stringent_pattern |")</f>
        <v>SG1_full |SG1_stringent_pattern |</v>
      </c>
      <c r="BJ522" s="2" t="s">
        <v>2423</v>
      </c>
      <c r="BK522" t="s">
        <v>1818</v>
      </c>
      <c r="BL522">
        <f>HYPERLINK("http://exon.niaid.nih.gov/transcriptome/Anopheles_sialome/links/cluster-b/anopheline-sialome-cds-pep-larger-orf25-50SimCLU3.txt", 3)</f>
        <v>3</v>
      </c>
      <c r="BM522">
        <f>HYPERLINK("http://exon.niaid.nih.gov/transcriptome/Anopheles_sialome/links/cluster-b/anopheline-sialome-cds-pep-larger-orf25-50SimCLTL3.txt", 119)</f>
        <v>119</v>
      </c>
      <c r="BN522">
        <f>HYPERLINK("http://exon.niaid.nih.gov/transcriptome/Anopheles_sialome/links/cluster-b/anopheline-sialome-cds-pep-larger-orf30-50SimCLU3.txt", 3)</f>
        <v>3</v>
      </c>
      <c r="BO522">
        <f>HYPERLINK("http://exon.niaid.nih.gov/transcriptome/Anopheles_sialome/links/cluster-b/anopheline-sialome-cds-pep-larger-orf30-50SimCLTL3.txt", 119)</f>
        <v>119</v>
      </c>
      <c r="BP522">
        <f>HYPERLINK("http://exon.niaid.nih.gov/transcriptome/Anopheles_sialome/links/cluster-b/anopheline-sialome-cds-pep-larger-orf35-50SimCLU2.txt", 2)</f>
        <v>2</v>
      </c>
      <c r="BQ522">
        <f>HYPERLINK("http://exon.niaid.nih.gov/transcriptome/Anopheles_sialome/links/cluster-b/anopheline-sialome-cds-pep-larger-orf35-50SimCLTL2.txt", 119)</f>
        <v>119</v>
      </c>
      <c r="BR522">
        <f>HYPERLINK("http://exon.niaid.nih.gov/transcriptome/Anopheles_sialome/links/cluster-b/anopheline-sialome-cds-pep-larger-orf40-50SimCLU1.txt", 1)</f>
        <v>1</v>
      </c>
      <c r="BS522">
        <f>HYPERLINK("http://exon.niaid.nih.gov/transcriptome/Anopheles_sialome/links/cluster-b/anopheline-sialome-cds-pep-larger-orf40-50SimCLTL1.txt", 119)</f>
        <v>119</v>
      </c>
      <c r="BT522">
        <f>HYPERLINK("http://exon.niaid.nih.gov/transcriptome/Anopheles_sialome/links/cluster-b/anopheline-sialome-cds-pep-larger-orf45-50SimCLU3.txt", 3)</f>
        <v>3</v>
      </c>
      <c r="BU522">
        <f>HYPERLINK("http://exon.niaid.nih.gov/transcriptome/Anopheles_sialome/links/cluster-b/anopheline-sialome-cds-pep-larger-orf45-50SimCLTL3.txt", 65)</f>
        <v>65</v>
      </c>
      <c r="BV522">
        <f>HYPERLINK("http://exon.niaid.nih.gov/transcriptome/Anopheles_sialome/links/cluster-b/anopheline-sialome-cds-pep-larger-orf50-50SimCLU3.txt", 3)</f>
        <v>3</v>
      </c>
      <c r="BW522">
        <f>HYPERLINK("http://exon.niaid.nih.gov/transcriptome/Anopheles_sialome/links/cluster-b/anopheline-sialome-cds-pep-larger-orf50-50SimCLTL3.txt", 48)</f>
        <v>48</v>
      </c>
      <c r="BX522">
        <v>42</v>
      </c>
      <c r="BY522">
        <v>1</v>
      </c>
      <c r="BZ522">
        <v>61</v>
      </c>
      <c r="CA522">
        <v>1</v>
      </c>
      <c r="CB522">
        <v>79</v>
      </c>
      <c r="CC522">
        <v>1</v>
      </c>
      <c r="CD522">
        <v>101</v>
      </c>
      <c r="CE522">
        <v>1</v>
      </c>
      <c r="CF522">
        <v>145</v>
      </c>
      <c r="CG522">
        <v>1</v>
      </c>
      <c r="CH522">
        <v>204</v>
      </c>
      <c r="CI522">
        <v>1</v>
      </c>
      <c r="CJ522">
        <v>275</v>
      </c>
      <c r="CK522">
        <v>1</v>
      </c>
      <c r="CL522">
        <v>347</v>
      </c>
      <c r="CM522">
        <v>1</v>
      </c>
      <c r="CN522">
        <v>418</v>
      </c>
      <c r="CO522">
        <v>1</v>
      </c>
    </row>
    <row r="523" spans="1:93">
      <c r="A523" s="6" t="s">
        <v>3209</v>
      </c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</row>
    <row r="524" spans="1:93">
      <c r="A524" s="2" t="str">
        <f>HYPERLINK("http://exon.niaid.nih.gov/transcriptome/Anopheles_sialome/links/cds/anoga_SG1-like2-cds.txt","anoga_SG1-like2")</f>
        <v>anoga_SG1-like2</v>
      </c>
      <c r="B524">
        <v>1206</v>
      </c>
      <c r="C524" t="s">
        <v>452</v>
      </c>
      <c r="D524" t="s">
        <v>4</v>
      </c>
      <c r="E524" t="s">
        <v>5</v>
      </c>
      <c r="F524" t="s">
        <v>1</v>
      </c>
      <c r="G524" t="str">
        <f>HYPERLINK("http://exon.niaid.nih.gov/transcriptome/Anopheles_sialome/links/pep/anoga_SG1-like2-pep.txt","anoga_SG1-like2")</f>
        <v>anoga_SG1-like2</v>
      </c>
      <c r="H524">
        <v>401</v>
      </c>
      <c r="I524">
        <v>0</v>
      </c>
      <c r="J524" s="3" t="str">
        <f>HYPERLINK("http://exon.niaid.nih.gov/transcriptome/Anopheles_sialome/links/Sigp/anoga_SG1-like2-SigP.txt","SIG")</f>
        <v>SIG</v>
      </c>
      <c r="K524" t="s">
        <v>689</v>
      </c>
      <c r="L524">
        <v>46.561</v>
      </c>
      <c r="M524">
        <v>9.44</v>
      </c>
      <c r="N524">
        <v>44.405000000000001</v>
      </c>
      <c r="O524">
        <v>9.3800000000000008</v>
      </c>
      <c r="P524" t="s">
        <v>1821</v>
      </c>
      <c r="Q524" s="3">
        <v>0</v>
      </c>
      <c r="R524" t="s">
        <v>128</v>
      </c>
      <c r="S524" t="s">
        <v>128</v>
      </c>
      <c r="T524" t="s">
        <v>128</v>
      </c>
      <c r="U524" t="s">
        <v>128</v>
      </c>
      <c r="V524" t="s">
        <v>128</v>
      </c>
      <c r="W524" s="3" t="str">
        <f>HYPERLINK("http://exon.niaid.nih.gov/transcriptome/Anopheles_sialome/links/netoglyc/anoga_SG1-like2-netoglyc.txt","1")</f>
        <v>1</v>
      </c>
      <c r="X524">
        <v>9.5</v>
      </c>
      <c r="Y524">
        <v>4.2</v>
      </c>
      <c r="Z524">
        <v>4.2</v>
      </c>
      <c r="AA524" t="s">
        <v>654</v>
      </c>
      <c r="AB524" t="s">
        <v>128</v>
      </c>
      <c r="AC524" s="2" t="str">
        <f>HYPERLINK("http://exon.niaid.nih.gov/transcriptome/Anopheles_sialome/links/DIPTERA/anoga_SG1-like2-DIPTERA.txt","AGAP000609-PA")</f>
        <v>AGAP000609-PA</v>
      </c>
      <c r="AD524" t="str">
        <f>HYPERLINK("http://www.ncbi.nlm.nih.gov/sutils/blink.cgi?pid=30177827","0.0")</f>
        <v>0.0</v>
      </c>
      <c r="AE524" t="str">
        <f>HYPERLINK("http://www.ncbi.nlm.nih.gov/protein/30177827","gi|30177827")</f>
        <v>gi|30177827</v>
      </c>
      <c r="AF524">
        <v>100</v>
      </c>
      <c r="AG524">
        <v>100</v>
      </c>
      <c r="AH524">
        <v>100</v>
      </c>
      <c r="AI524" t="s">
        <v>2285</v>
      </c>
      <c r="AJ524" s="2" t="str">
        <f>HYPERLINK("http://exon.niaid.nih.gov/transcriptome/Anopheles_sialome/links/CULICOMORPHA/anoga_SG1-like2-CULICOMORPHA.txt","AGAP000609-PA")</f>
        <v>AGAP000609-PA</v>
      </c>
      <c r="AK524" t="str">
        <f>HYPERLINK("http://www.ncbi.nlm.nih.gov/sutils/blink.cgi?pid=30177827","0.0")</f>
        <v>0.0</v>
      </c>
      <c r="AL524" t="str">
        <f>HYPERLINK("http://www.ncbi.nlm.nih.gov/protein/30177827","gi|30177827")</f>
        <v>gi|30177827</v>
      </c>
      <c r="AM524">
        <v>100</v>
      </c>
      <c r="AN524">
        <v>100</v>
      </c>
      <c r="AO524">
        <v>100</v>
      </c>
      <c r="AP524" t="s">
        <v>2285</v>
      </c>
      <c r="AQ524" s="2" t="str">
        <f>HYPERLINK("http://exon.niaid.nih.gov/transcriptome/Anopheles_sialome/links/NR-LIGHT/anoga_SG1-like2-NR-LIGHT.txt","AGAP000609-PA")</f>
        <v>AGAP000609-PA</v>
      </c>
      <c r="AR524" t="str">
        <f>HYPERLINK("http://www.ncbi.nlm.nih.gov/sutils/blink.cgi?pid=31203047","0.0")</f>
        <v>0.0</v>
      </c>
      <c r="AS524" t="str">
        <f>HYPERLINK("http://www.ncbi.nlm.nih.gov/protein/31203047","gi|31203047")</f>
        <v>gi|31203047</v>
      </c>
      <c r="AT524">
        <v>100</v>
      </c>
      <c r="AU524">
        <v>100</v>
      </c>
      <c r="AV524">
        <v>100</v>
      </c>
      <c r="AW524" t="s">
        <v>2285</v>
      </c>
      <c r="AX524" s="2" t="str">
        <f>HYPERLINK("http://exon.niaid.nih.gov/transcriptome/Anopheles_sialome/links/CDD/anoga_SG1-like2-CDD.txt","ModA")</f>
        <v>ModA</v>
      </c>
      <c r="AY524" t="str">
        <f>HYPERLINK("http://www.ncbi.nlm.nih.gov/Structure/cdd/cddsrv.cgi?uid=COG0725&amp;version=v4.0","3.0")</f>
        <v>3.0</v>
      </c>
      <c r="AZ524" t="s">
        <v>2910</v>
      </c>
      <c r="BA524" s="2" t="str">
        <f>HYPERLINK("http://exon.niaid.nih.gov/transcriptome/Anopheles_sialome/links/KOG/anoga_SG1-like2-KOG.txt","Transcriptional activator of the JUN family")</f>
        <v>Transcriptional activator of the JUN family</v>
      </c>
      <c r="BB524" t="str">
        <f>HYPERLINK("http://www.ncbi.nlm.nih.gov/Structure/cdd/cddsrv.cgi?uid=KOG0837","0.71")</f>
        <v>0.71</v>
      </c>
      <c r="BC524" t="s">
        <v>2262</v>
      </c>
      <c r="BD524" t="str">
        <f>HYPERLINK("http://exon.niaid.nih.gov/transcriptome/Anopheles_sialome/links/KOG/anoga_SG1-like2-KOG.txt","KOG0837")</f>
        <v>KOG0837</v>
      </c>
      <c r="BE524" t="str">
        <f>HYPERLINK("http://exon.niaid.nih.gov/transcriptome/Anopheles_sialome/links/PFAM/anoga_SG1-like2-PFAM.txt","DUF2771")</f>
        <v>DUF2771</v>
      </c>
      <c r="BF524" t="str">
        <f>HYPERLINK("http://pfam.sanger.ac.uk/family?acc=PF10969","1.6")</f>
        <v>1.6</v>
      </c>
      <c r="BG524" s="2" t="str">
        <f>HYPERLINK("http://exon.niaid.nih.gov/transcriptome/Anopheles_sialome/links/SMART/anoga_SG1-like2-SMART.txt","SRP54")</f>
        <v>SRP54</v>
      </c>
      <c r="BH524" t="str">
        <f>HYPERLINK("http://smart.embl-heidelberg.de/smart/do_annotation.pl?DOMAIN=SRP54&amp;BLAST=DUMMY","0.95")</f>
        <v>0.95</v>
      </c>
      <c r="BI524" t="str">
        <f>HYPERLINK("http://exon.niaid.nih.gov/transcriptome/Anopheles_sialome/links/TICK-BLOCKS/anoga_SG1-like2-TICK-BLOCKS.txt","SG1_full |SG1_stringent_pattern |")</f>
        <v>SG1_full |SG1_stringent_pattern |</v>
      </c>
      <c r="BJ524" s="2" t="s">
        <v>2423</v>
      </c>
      <c r="BK524" t="s">
        <v>1820</v>
      </c>
      <c r="BL524">
        <f>HYPERLINK("http://exon.niaid.nih.gov/transcriptome/Anopheles_sialome/links/cluster-b/anopheline-sialome-cds-pep-larger-orf25-50SimCLU3.txt", 3)</f>
        <v>3</v>
      </c>
      <c r="BM524">
        <f>HYPERLINK("http://exon.niaid.nih.gov/transcriptome/Anopheles_sialome/links/cluster-b/anopheline-sialome-cds-pep-larger-orf25-50SimCLTL3.txt", 119)</f>
        <v>119</v>
      </c>
      <c r="BN524">
        <f>HYPERLINK("http://exon.niaid.nih.gov/transcriptome/Anopheles_sialome/links/cluster-b/anopheline-sialome-cds-pep-larger-orf30-50SimCLU3.txt", 3)</f>
        <v>3</v>
      </c>
      <c r="BO524">
        <f>HYPERLINK("http://exon.niaid.nih.gov/transcriptome/Anopheles_sialome/links/cluster-b/anopheline-sialome-cds-pep-larger-orf30-50SimCLTL3.txt", 119)</f>
        <v>119</v>
      </c>
      <c r="BP524">
        <f>HYPERLINK("http://exon.niaid.nih.gov/transcriptome/Anopheles_sialome/links/cluster-b/anopheline-sialome-cds-pep-larger-orf35-50SimCLU2.txt", 2)</f>
        <v>2</v>
      </c>
      <c r="BQ524">
        <f>HYPERLINK("http://exon.niaid.nih.gov/transcriptome/Anopheles_sialome/links/cluster-b/anopheline-sialome-cds-pep-larger-orf35-50SimCLTL2.txt", 119)</f>
        <v>119</v>
      </c>
      <c r="BR524">
        <f>HYPERLINK("http://exon.niaid.nih.gov/transcriptome/Anopheles_sialome/links/cluster-b/anopheline-sialome-cds-pep-larger-orf40-50SimCLU1.txt", 1)</f>
        <v>1</v>
      </c>
      <c r="BS524">
        <f>HYPERLINK("http://exon.niaid.nih.gov/transcriptome/Anopheles_sialome/links/cluster-b/anopheline-sialome-cds-pep-larger-orf40-50SimCLTL1.txt", 119)</f>
        <v>119</v>
      </c>
      <c r="BT524">
        <f>HYPERLINK("http://exon.niaid.nih.gov/transcriptome/Anopheles_sialome/links/cluster-b/anopheline-sialome-cds-pep-larger-orf45-50SimCLU22.txt", 22)</f>
        <v>22</v>
      </c>
      <c r="BU524">
        <f>HYPERLINK("http://exon.niaid.nih.gov/transcriptome/Anopheles_sialome/links/cluster-b/anopheline-sialome-cds-pep-larger-orf45-50SimCLTL22.txt", 18)</f>
        <v>18</v>
      </c>
      <c r="BV524">
        <f>HYPERLINK("http://exon.niaid.nih.gov/transcriptome/Anopheles_sialome/links/cluster-b/anopheline-sialome-cds-pep-larger-orf50-50SimCLU26.txt", 26)</f>
        <v>26</v>
      </c>
      <c r="BW524">
        <f>HYPERLINK("http://exon.niaid.nih.gov/transcriptome/Anopheles_sialome/links/cluster-b/anopheline-sialome-cds-pep-larger-orf50-50SimCLTL26.txt", 17)</f>
        <v>17</v>
      </c>
      <c r="BX524">
        <f>HYPERLINK("http://exon.niaid.nih.gov/transcriptome/Anopheles_sialome/links/cluster-b/anopheline-sialome-cds-pep-larger-orf55-50SimCLU32.txt", 32)</f>
        <v>32</v>
      </c>
      <c r="BY524">
        <f>HYPERLINK("http://exon.niaid.nih.gov/transcriptome/Anopheles_sialome/links/cluster-b/anopheline-sialome-cds-pep-larger-orf55-50SimCLTL32.txt", 15)</f>
        <v>15</v>
      </c>
      <c r="BZ524">
        <f>HYPERLINK("http://exon.niaid.nih.gov/transcriptome/Anopheles_sialome/links/cluster-b/anopheline-sialome-cds-pep-larger-orf60-50SimCLU33.txt", 33)</f>
        <v>33</v>
      </c>
      <c r="CA524">
        <f>HYPERLINK("http://exon.niaid.nih.gov/transcriptome/Anopheles_sialome/links/cluster-b/anopheline-sialome-cds-pep-larger-orf60-50SimCLTL33.txt", 13)</f>
        <v>13</v>
      </c>
      <c r="CB524">
        <f>HYPERLINK("http://exon.niaid.nih.gov/transcriptome/Anopheles_sialome/links/cluster-b/anopheline-sialome-cds-pep-larger-orf65-50SimCLU34.txt", 34)</f>
        <v>34</v>
      </c>
      <c r="CC524">
        <f>HYPERLINK("http://exon.niaid.nih.gov/transcriptome/Anopheles_sialome/links/cluster-b/anopheline-sialome-cds-pep-larger-orf65-50SimCLTL34.txt", 13)</f>
        <v>13</v>
      </c>
      <c r="CD524">
        <f>HYPERLINK("http://exon.niaid.nih.gov/transcriptome/Anopheles_sialome/links/cluster-b/anopheline-sialome-cds-pep-larger-orf70-50SimCLU35.txt", 35)</f>
        <v>35</v>
      </c>
      <c r="CE524">
        <f>HYPERLINK("http://exon.niaid.nih.gov/transcriptome/Anopheles_sialome/links/cluster-b/anopheline-sialome-cds-pep-larger-orf70-50SimCLTL35.txt", 13)</f>
        <v>13</v>
      </c>
      <c r="CF524">
        <f>HYPERLINK("http://exon.niaid.nih.gov/transcriptome/Anopheles_sialome/links/cluster-b/anopheline-sialome-cds-pep-larger-orf75-50SimCLU36.txt", 36)</f>
        <v>36</v>
      </c>
      <c r="CG524">
        <f>HYPERLINK("http://exon.niaid.nih.gov/transcriptome/Anopheles_sialome/links/cluster-b/anopheline-sialome-cds-pep-larger-orf75-50SimCLTL36.txt", 8)</f>
        <v>8</v>
      </c>
      <c r="CH524">
        <f>HYPERLINK("http://exon.niaid.nih.gov/transcriptome/Anopheles_sialome/links/cluster-b/anopheline-sialome-cds-pep-larger-orf80-50SimCLU44.txt", 44)</f>
        <v>44</v>
      </c>
      <c r="CI524">
        <f>HYPERLINK("http://exon.niaid.nih.gov/transcriptome/Anopheles_sialome/links/cluster-b/anopheline-sialome-cds-pep-larger-orf80-50SimCLTL44.txt", 6)</f>
        <v>6</v>
      </c>
      <c r="CJ524">
        <f>HYPERLINK("http://exon.niaid.nih.gov/transcriptome/Anopheles_sialome/links/cluster-b/anopheline-sialome-cds-pep-larger-orf85-50SimCLU43.txt", 43)</f>
        <v>43</v>
      </c>
      <c r="CK524">
        <f>HYPERLINK("http://exon.niaid.nih.gov/transcriptome/Anopheles_sialome/links/cluster-b/anopheline-sialome-cds-pep-larger-orf85-50SimCLTL43.txt", 6)</f>
        <v>6</v>
      </c>
      <c r="CL524">
        <f>HYPERLINK("http://exon.niaid.nih.gov/transcriptome/Anopheles_sialome/links/cluster-b/anopheline-sialome-cds-pep-larger-orf90-50SimCLU33.txt", 33)</f>
        <v>33</v>
      </c>
      <c r="CM524">
        <f>HYPERLINK("http://exon.niaid.nih.gov/transcriptome/Anopheles_sialome/links/cluster-b/anopheline-sialome-cds-pep-larger-orf90-50SimCLTL33.txt", 6)</f>
        <v>6</v>
      </c>
      <c r="CN524">
        <f>HYPERLINK("http://exon.niaid.nih.gov/transcriptome/Anopheles_sialome/links/cluster-b/anopheline-sialome-cds-pep-larger-orf95-50SimCLU24.txt", 24)</f>
        <v>24</v>
      </c>
      <c r="CO524">
        <f>HYPERLINK("http://exon.niaid.nih.gov/transcriptome/Anopheles_sialome/links/cluster-b/anopheline-sialome-cds-pep-larger-orf95-50SimCLTL24.txt", 6)</f>
        <v>6</v>
      </c>
    </row>
    <row r="525" spans="1:93">
      <c r="A525" s="2" t="str">
        <f>HYPERLINK("http://exon.niaid.nih.gov/transcriptome/Anopheles_sialome/links/cds/anocol_SG1-like2-cds.txt","anocol_SG1-like2")</f>
        <v>anocol_SG1-like2</v>
      </c>
      <c r="B525">
        <v>1206</v>
      </c>
      <c r="C525" t="s">
        <v>442</v>
      </c>
      <c r="D525" t="s">
        <v>7</v>
      </c>
      <c r="E525" t="s">
        <v>5</v>
      </c>
      <c r="F525" t="s">
        <v>1</v>
      </c>
      <c r="G525" t="str">
        <f>HYPERLINK("http://exon.niaid.nih.gov/transcriptome/Anopheles_sialome/links/pep/anocol_SG1-like2-pep.txt","anocol_SG1-like2")</f>
        <v>anocol_SG1-like2</v>
      </c>
      <c r="H525">
        <v>401</v>
      </c>
      <c r="I525">
        <v>0</v>
      </c>
      <c r="J525" s="3" t="str">
        <f>HYPERLINK("http://exon.niaid.nih.gov/transcriptome/Anopheles_sialome/links/Sigp/anocol_SG1-like2-SigP.txt","SIG")</f>
        <v>SIG</v>
      </c>
      <c r="K525" t="s">
        <v>689</v>
      </c>
      <c r="L525">
        <v>46.579000000000001</v>
      </c>
      <c r="M525">
        <v>9.44</v>
      </c>
      <c r="N525">
        <v>44.439</v>
      </c>
      <c r="O525">
        <v>9.3800000000000008</v>
      </c>
      <c r="P525" t="s">
        <v>1823</v>
      </c>
      <c r="Q525" s="3">
        <v>0</v>
      </c>
      <c r="R525" t="s">
        <v>128</v>
      </c>
      <c r="S525" t="s">
        <v>128</v>
      </c>
      <c r="T525" t="s">
        <v>128</v>
      </c>
      <c r="U525" t="s">
        <v>128</v>
      </c>
      <c r="V525" t="s">
        <v>128</v>
      </c>
      <c r="W525" s="3" t="str">
        <f>HYPERLINK("http://exon.niaid.nih.gov/transcriptome/Anopheles_sialome/links/netoglyc/anocol_SG1-like2-netoglyc.txt","1")</f>
        <v>1</v>
      </c>
      <c r="X525">
        <v>9.5</v>
      </c>
      <c r="Y525">
        <v>4.2</v>
      </c>
      <c r="Z525">
        <v>4.2</v>
      </c>
      <c r="AA525" t="s">
        <v>654</v>
      </c>
      <c r="AB525" t="s">
        <v>128</v>
      </c>
      <c r="AC525" s="2" t="str">
        <f>HYPERLINK("http://exon.niaid.nih.gov/transcriptome/Anopheles_sialome/links/DIPTERA/anocol_SG1-like2-DIPTERA.txt","SG1-2")</f>
        <v>SG1-2</v>
      </c>
      <c r="AD525" t="str">
        <f>HYPERLINK("http://www.ncbi.nlm.nih.gov/sutils/blink.cgi?pid=445068790","0.0")</f>
        <v>0.0</v>
      </c>
      <c r="AE525" t="str">
        <f>HYPERLINK("http://www.ncbi.nlm.nih.gov/protein/445068790","gi|445068790")</f>
        <v>gi|445068790</v>
      </c>
      <c r="AF525">
        <v>100</v>
      </c>
      <c r="AG525">
        <v>100</v>
      </c>
      <c r="AH525">
        <v>100</v>
      </c>
      <c r="AI525" t="s">
        <v>2254</v>
      </c>
      <c r="AJ525" s="2" t="str">
        <f>HYPERLINK("http://exon.niaid.nih.gov/transcriptome/Anopheles_sialome/links/CULICOMORPHA/anocol_SG1-like2-CULICOMORPHA.txt","SG1-2")</f>
        <v>SG1-2</v>
      </c>
      <c r="AK525" t="str">
        <f>HYPERLINK("http://www.ncbi.nlm.nih.gov/sutils/blink.cgi?pid=445068790","0.0")</f>
        <v>0.0</v>
      </c>
      <c r="AL525" t="str">
        <f>HYPERLINK("http://www.ncbi.nlm.nih.gov/protein/445068790","gi|445068790")</f>
        <v>gi|445068790</v>
      </c>
      <c r="AM525">
        <v>100</v>
      </c>
      <c r="AN525">
        <v>100</v>
      </c>
      <c r="AO525">
        <v>100</v>
      </c>
      <c r="AP525" t="s">
        <v>2254</v>
      </c>
      <c r="AQ525" s="2" t="str">
        <f>HYPERLINK("http://exon.niaid.nih.gov/transcriptome/Anopheles_sialome/links/NR-LIGHT/anocol_SG1-like2-NR-LIGHT.txt","SG1-2")</f>
        <v>SG1-2</v>
      </c>
      <c r="AR525" t="str">
        <f>HYPERLINK("http://www.ncbi.nlm.nih.gov/sutils/blink.cgi?pid=445068790","0.0")</f>
        <v>0.0</v>
      </c>
      <c r="AS525" t="str">
        <f>HYPERLINK("http://www.ncbi.nlm.nih.gov/protein/445068790","gi|445068790")</f>
        <v>gi|445068790</v>
      </c>
      <c r="AT525">
        <v>100</v>
      </c>
      <c r="AU525">
        <v>100</v>
      </c>
      <c r="AV525">
        <v>100</v>
      </c>
      <c r="AW525" t="s">
        <v>2254</v>
      </c>
      <c r="AX525" s="2" t="str">
        <f>HYPERLINK("http://exon.niaid.nih.gov/transcriptome/Anopheles_sialome/links/CDD/anocol_SG1-like2-CDD.txt","ModA")</f>
        <v>ModA</v>
      </c>
      <c r="AY525" t="str">
        <f>HYPERLINK("http://www.ncbi.nlm.nih.gov/Structure/cdd/cddsrv.cgi?uid=COG0725&amp;version=v4.0","2.3")</f>
        <v>2.3</v>
      </c>
      <c r="AZ525" t="s">
        <v>2911</v>
      </c>
      <c r="BA525" s="2" t="str">
        <f>HYPERLINK("http://exon.niaid.nih.gov/transcriptome/Anopheles_sialome/links/KOG/anocol_SG1-like2-KOG.txt","Transcriptional activator of the JUN family")</f>
        <v>Transcriptional activator of the JUN family</v>
      </c>
      <c r="BB525" t="str">
        <f>HYPERLINK("http://www.ncbi.nlm.nih.gov/Structure/cdd/cddsrv.cgi?uid=KOG0837","0.66")</f>
        <v>0.66</v>
      </c>
      <c r="BC525" t="s">
        <v>2262</v>
      </c>
      <c r="BD525" t="str">
        <f>HYPERLINK("http://exon.niaid.nih.gov/transcriptome/Anopheles_sialome/links/KOG/anocol_SG1-like2-KOG.txt","KOG0837")</f>
        <v>KOG0837</v>
      </c>
      <c r="BE525" t="str">
        <f>HYPERLINK("http://exon.niaid.nih.gov/transcriptome/Anopheles_sialome/links/PFAM/anocol_SG1-like2-PFAM.txt","DUF2225")</f>
        <v>DUF2225</v>
      </c>
      <c r="BF525" t="str">
        <f>HYPERLINK("http://pfam.sanger.ac.uk/family?acc=PF09986","0.76")</f>
        <v>0.76</v>
      </c>
      <c r="BG525" s="2" t="str">
        <f>HYPERLINK("http://exon.niaid.nih.gov/transcriptome/Anopheles_sialome/links/SMART/anocol_SG1-like2-SMART.txt","SRP54")</f>
        <v>SRP54</v>
      </c>
      <c r="BH525" t="str">
        <f>HYPERLINK("http://smart.embl-heidelberg.de/smart/do_annotation.pl?DOMAIN=SRP54&amp;BLAST=DUMMY","0.95")</f>
        <v>0.95</v>
      </c>
      <c r="BI525" t="str">
        <f>HYPERLINK("http://exon.niaid.nih.gov/transcriptome/Anopheles_sialome/links/TICK-BLOCKS/anocol_SG1-like2-TICK-BLOCKS.txt","SG1_full |SG1_stringent_pattern |")</f>
        <v>SG1_full |SG1_stringent_pattern |</v>
      </c>
      <c r="BJ525" s="2" t="s">
        <v>2423</v>
      </c>
      <c r="BK525" t="s">
        <v>1822</v>
      </c>
      <c r="BL525">
        <f>HYPERLINK("http://exon.niaid.nih.gov/transcriptome/Anopheles_sialome/links/cluster-b/anopheline-sialome-cds-pep-larger-orf25-50SimCLU3.txt", 3)</f>
        <v>3</v>
      </c>
      <c r="BM525">
        <f>HYPERLINK("http://exon.niaid.nih.gov/transcriptome/Anopheles_sialome/links/cluster-b/anopheline-sialome-cds-pep-larger-orf25-50SimCLTL3.txt", 119)</f>
        <v>119</v>
      </c>
      <c r="BN525">
        <f>HYPERLINK("http://exon.niaid.nih.gov/transcriptome/Anopheles_sialome/links/cluster-b/anopheline-sialome-cds-pep-larger-orf30-50SimCLU3.txt", 3)</f>
        <v>3</v>
      </c>
      <c r="BO525">
        <f>HYPERLINK("http://exon.niaid.nih.gov/transcriptome/Anopheles_sialome/links/cluster-b/anopheline-sialome-cds-pep-larger-orf30-50SimCLTL3.txt", 119)</f>
        <v>119</v>
      </c>
      <c r="BP525">
        <f>HYPERLINK("http://exon.niaid.nih.gov/transcriptome/Anopheles_sialome/links/cluster-b/anopheline-sialome-cds-pep-larger-orf35-50SimCLU2.txt", 2)</f>
        <v>2</v>
      </c>
      <c r="BQ525">
        <f>HYPERLINK("http://exon.niaid.nih.gov/transcriptome/Anopheles_sialome/links/cluster-b/anopheline-sialome-cds-pep-larger-orf35-50SimCLTL2.txt", 119)</f>
        <v>119</v>
      </c>
      <c r="BR525">
        <f>HYPERLINK("http://exon.niaid.nih.gov/transcriptome/Anopheles_sialome/links/cluster-b/anopheline-sialome-cds-pep-larger-orf40-50SimCLU1.txt", 1)</f>
        <v>1</v>
      </c>
      <c r="BS525">
        <f>HYPERLINK("http://exon.niaid.nih.gov/transcriptome/Anopheles_sialome/links/cluster-b/anopheline-sialome-cds-pep-larger-orf40-50SimCLTL1.txt", 119)</f>
        <v>119</v>
      </c>
      <c r="BT525">
        <f>HYPERLINK("http://exon.niaid.nih.gov/transcriptome/Anopheles_sialome/links/cluster-b/anopheline-sialome-cds-pep-larger-orf45-50SimCLU22.txt", 22)</f>
        <v>22</v>
      </c>
      <c r="BU525">
        <f>HYPERLINK("http://exon.niaid.nih.gov/transcriptome/Anopheles_sialome/links/cluster-b/anopheline-sialome-cds-pep-larger-orf45-50SimCLTL22.txt", 18)</f>
        <v>18</v>
      </c>
      <c r="BV525">
        <f>HYPERLINK("http://exon.niaid.nih.gov/transcriptome/Anopheles_sialome/links/cluster-b/anopheline-sialome-cds-pep-larger-orf50-50SimCLU26.txt", 26)</f>
        <v>26</v>
      </c>
      <c r="BW525">
        <f>HYPERLINK("http://exon.niaid.nih.gov/transcriptome/Anopheles_sialome/links/cluster-b/anopheline-sialome-cds-pep-larger-orf50-50SimCLTL26.txt", 17)</f>
        <v>17</v>
      </c>
      <c r="BX525">
        <f>HYPERLINK("http://exon.niaid.nih.gov/transcriptome/Anopheles_sialome/links/cluster-b/anopheline-sialome-cds-pep-larger-orf55-50SimCLU32.txt", 32)</f>
        <v>32</v>
      </c>
      <c r="BY525">
        <f>HYPERLINK("http://exon.niaid.nih.gov/transcriptome/Anopheles_sialome/links/cluster-b/anopheline-sialome-cds-pep-larger-orf55-50SimCLTL32.txt", 15)</f>
        <v>15</v>
      </c>
      <c r="BZ525">
        <f>HYPERLINK("http://exon.niaid.nih.gov/transcriptome/Anopheles_sialome/links/cluster-b/anopheline-sialome-cds-pep-larger-orf60-50SimCLU33.txt", 33)</f>
        <v>33</v>
      </c>
      <c r="CA525">
        <f>HYPERLINK("http://exon.niaid.nih.gov/transcriptome/Anopheles_sialome/links/cluster-b/anopheline-sialome-cds-pep-larger-orf60-50SimCLTL33.txt", 13)</f>
        <v>13</v>
      </c>
      <c r="CB525">
        <f>HYPERLINK("http://exon.niaid.nih.gov/transcriptome/Anopheles_sialome/links/cluster-b/anopheline-sialome-cds-pep-larger-orf65-50SimCLU34.txt", 34)</f>
        <v>34</v>
      </c>
      <c r="CC525">
        <f>HYPERLINK("http://exon.niaid.nih.gov/transcriptome/Anopheles_sialome/links/cluster-b/anopheline-sialome-cds-pep-larger-orf65-50SimCLTL34.txt", 13)</f>
        <v>13</v>
      </c>
      <c r="CD525">
        <f>HYPERLINK("http://exon.niaid.nih.gov/transcriptome/Anopheles_sialome/links/cluster-b/anopheline-sialome-cds-pep-larger-orf70-50SimCLU35.txt", 35)</f>
        <v>35</v>
      </c>
      <c r="CE525">
        <f>HYPERLINK("http://exon.niaid.nih.gov/transcriptome/Anopheles_sialome/links/cluster-b/anopheline-sialome-cds-pep-larger-orf70-50SimCLTL35.txt", 13)</f>
        <v>13</v>
      </c>
      <c r="CF525">
        <f>HYPERLINK("http://exon.niaid.nih.gov/transcriptome/Anopheles_sialome/links/cluster-b/anopheline-sialome-cds-pep-larger-orf75-50SimCLU36.txt", 36)</f>
        <v>36</v>
      </c>
      <c r="CG525">
        <f>HYPERLINK("http://exon.niaid.nih.gov/transcriptome/Anopheles_sialome/links/cluster-b/anopheline-sialome-cds-pep-larger-orf75-50SimCLTL36.txt", 8)</f>
        <v>8</v>
      </c>
      <c r="CH525">
        <f>HYPERLINK("http://exon.niaid.nih.gov/transcriptome/Anopheles_sialome/links/cluster-b/anopheline-sialome-cds-pep-larger-orf80-50SimCLU44.txt", 44)</f>
        <v>44</v>
      </c>
      <c r="CI525">
        <f>HYPERLINK("http://exon.niaid.nih.gov/transcriptome/Anopheles_sialome/links/cluster-b/anopheline-sialome-cds-pep-larger-orf80-50SimCLTL44.txt", 6)</f>
        <v>6</v>
      </c>
      <c r="CJ525">
        <f>HYPERLINK("http://exon.niaid.nih.gov/transcriptome/Anopheles_sialome/links/cluster-b/anopheline-sialome-cds-pep-larger-orf85-50SimCLU43.txt", 43)</f>
        <v>43</v>
      </c>
      <c r="CK525">
        <f>HYPERLINK("http://exon.niaid.nih.gov/transcriptome/Anopheles_sialome/links/cluster-b/anopheline-sialome-cds-pep-larger-orf85-50SimCLTL43.txt", 6)</f>
        <v>6</v>
      </c>
      <c r="CL525">
        <f>HYPERLINK("http://exon.niaid.nih.gov/transcriptome/Anopheles_sialome/links/cluster-b/anopheline-sialome-cds-pep-larger-orf90-50SimCLU33.txt", 33)</f>
        <v>33</v>
      </c>
      <c r="CM525">
        <f>HYPERLINK("http://exon.niaid.nih.gov/transcriptome/Anopheles_sialome/links/cluster-b/anopheline-sialome-cds-pep-larger-orf90-50SimCLTL33.txt", 6)</f>
        <v>6</v>
      </c>
      <c r="CN525">
        <f>HYPERLINK("http://exon.niaid.nih.gov/transcriptome/Anopheles_sialome/links/cluster-b/anopheline-sialome-cds-pep-larger-orf95-50SimCLU24.txt", 24)</f>
        <v>24</v>
      </c>
      <c r="CO525">
        <f>HYPERLINK("http://exon.niaid.nih.gov/transcriptome/Anopheles_sialome/links/cluster-b/anopheline-sialome-cds-pep-larger-orf95-50SimCLTL24.txt", 6)</f>
        <v>6</v>
      </c>
    </row>
    <row r="526" spans="1:93">
      <c r="A526" s="2" t="str">
        <f>HYPERLINK("http://exon.niaid.nih.gov/transcriptome/Anopheles_sialome/links/cds/anoara_SG1-like2-cds.txt","anoara_SG1-like2")</f>
        <v>anoara_SG1-like2</v>
      </c>
      <c r="B526">
        <v>1206</v>
      </c>
      <c r="C526" t="s">
        <v>420</v>
      </c>
      <c r="D526" t="s">
        <v>7</v>
      </c>
      <c r="E526" t="s">
        <v>5</v>
      </c>
      <c r="F526" t="s">
        <v>1</v>
      </c>
      <c r="G526" t="str">
        <f>HYPERLINK("http://exon.niaid.nih.gov/transcriptome/Anopheles_sialome/links/pep/anoara_SG1-like2-pep.txt","anoara_SG1-like2")</f>
        <v>anoara_SG1-like2</v>
      </c>
      <c r="H526">
        <v>401</v>
      </c>
      <c r="I526">
        <v>0</v>
      </c>
      <c r="J526" s="3" t="str">
        <f>HYPERLINK("http://exon.niaid.nih.gov/transcriptome/Anopheles_sialome/links/Sigp/anoara_SG1-like2-SigP.txt","SIG")</f>
        <v>SIG</v>
      </c>
      <c r="K526" t="s">
        <v>689</v>
      </c>
      <c r="L526">
        <v>46.521000000000001</v>
      </c>
      <c r="M526">
        <v>9.44</v>
      </c>
      <c r="N526">
        <v>44.366999999999997</v>
      </c>
      <c r="O526">
        <v>9.3800000000000008</v>
      </c>
      <c r="P526" t="s">
        <v>1825</v>
      </c>
      <c r="Q526" s="3">
        <v>0</v>
      </c>
      <c r="R526" t="s">
        <v>128</v>
      </c>
      <c r="S526" t="s">
        <v>128</v>
      </c>
      <c r="T526" t="s">
        <v>128</v>
      </c>
      <c r="U526" t="s">
        <v>128</v>
      </c>
      <c r="V526" t="s">
        <v>128</v>
      </c>
      <c r="W526" s="3" t="str">
        <f>HYPERLINK("http://exon.niaid.nih.gov/transcriptome/Anopheles_sialome/links/netoglyc/anoara_SG1-like2-netoglyc.txt","1")</f>
        <v>1</v>
      </c>
      <c r="X526">
        <v>9.1999999999999993</v>
      </c>
      <c r="Y526">
        <v>4.5</v>
      </c>
      <c r="Z526">
        <v>4.5</v>
      </c>
      <c r="AA526" t="s">
        <v>654</v>
      </c>
      <c r="AB526" t="s">
        <v>128</v>
      </c>
      <c r="AC526" s="2" t="str">
        <f>HYPERLINK("http://exon.niaid.nih.gov/transcriptome/Anopheles_sialome/links/DIPTERA/anoara_SG1-like2-DIPTERA.txt","SG1-2")</f>
        <v>SG1-2</v>
      </c>
      <c r="AD526" t="str">
        <f>HYPERLINK("http://www.ncbi.nlm.nih.gov/sutils/blink.cgi?pid=445068786","0.0")</f>
        <v>0.0</v>
      </c>
      <c r="AE526" t="str">
        <f>HYPERLINK("http://www.ncbi.nlm.nih.gov/protein/445068786","gi|445068786")</f>
        <v>gi|445068786</v>
      </c>
      <c r="AF526">
        <v>92</v>
      </c>
      <c r="AG526">
        <v>96</v>
      </c>
      <c r="AH526">
        <v>100</v>
      </c>
      <c r="AI526" t="s">
        <v>2254</v>
      </c>
      <c r="AJ526" s="2" t="str">
        <f>HYPERLINK("http://exon.niaid.nih.gov/transcriptome/Anopheles_sialome/links/CULICOMORPHA/anoara_SG1-like2-CULICOMORPHA.txt","SG1-2")</f>
        <v>SG1-2</v>
      </c>
      <c r="AK526" t="str">
        <f>HYPERLINK("http://www.ncbi.nlm.nih.gov/sutils/blink.cgi?pid=445068786","0.0")</f>
        <v>0.0</v>
      </c>
      <c r="AL526" t="str">
        <f>HYPERLINK("http://www.ncbi.nlm.nih.gov/protein/445068786","gi|445068786")</f>
        <v>gi|445068786</v>
      </c>
      <c r="AM526">
        <v>92</v>
      </c>
      <c r="AN526">
        <v>96</v>
      </c>
      <c r="AO526">
        <v>100</v>
      </c>
      <c r="AP526" t="s">
        <v>2254</v>
      </c>
      <c r="AQ526" s="2" t="str">
        <f>HYPERLINK("http://exon.niaid.nih.gov/transcriptome/Anopheles_sialome/links/NR-LIGHT/anoara_SG1-like2-NR-LIGHT.txt","SG1-2")</f>
        <v>SG1-2</v>
      </c>
      <c r="AR526" t="str">
        <f>HYPERLINK("http://www.ncbi.nlm.nih.gov/sutils/blink.cgi?pid=445068798","0.0")</f>
        <v>0.0</v>
      </c>
      <c r="AS526" t="str">
        <f>HYPERLINK("http://www.ncbi.nlm.nih.gov/protein/445068798","gi|445068798")</f>
        <v>gi|445068798</v>
      </c>
      <c r="AT526">
        <v>92</v>
      </c>
      <c r="AU526">
        <v>95</v>
      </c>
      <c r="AV526">
        <v>100</v>
      </c>
      <c r="AW526" t="s">
        <v>2254</v>
      </c>
      <c r="AX526" s="2" t="str">
        <f>HYPERLINK("http://exon.niaid.nih.gov/transcriptome/Anopheles_sialome/links/CDD/anoara_SG1-like2-CDD.txt","RmuC")</f>
        <v>RmuC</v>
      </c>
      <c r="AY526" t="str">
        <f>HYPERLINK("http://www.ncbi.nlm.nih.gov/Structure/cdd/cddsrv.cgi?uid=pfam02646&amp;version=v4.0","2.7")</f>
        <v>2.7</v>
      </c>
      <c r="AZ526" t="s">
        <v>2912</v>
      </c>
      <c r="BA526" s="2" t="str">
        <f>HYPERLINK("http://exon.niaid.nih.gov/transcriptome/Anopheles_sialome/links/KOG/anoara_SG1-like2-KOG.txt","Transcriptional repressors of the hairy/E(spl) family (contains HLH)")</f>
        <v>Transcriptional repressors of the hairy/E(spl) family (contains HLH)</v>
      </c>
      <c r="BB526" t="str">
        <f>HYPERLINK("http://www.ncbi.nlm.nih.gov/Structure/cdd/cddsrv.cgi?uid=KOG4304","2.5")</f>
        <v>2.5</v>
      </c>
      <c r="BC526" t="s">
        <v>2262</v>
      </c>
      <c r="BD526" t="str">
        <f>HYPERLINK("http://exon.niaid.nih.gov/transcriptome/Anopheles_sialome/links/KOG/anoara_SG1-like2-KOG.txt","KOG4304")</f>
        <v>KOG4304</v>
      </c>
      <c r="BE526" t="str">
        <f>HYPERLINK("http://exon.niaid.nih.gov/transcriptome/Anopheles_sialome/links/PFAM/anoara_SG1-like2-PFAM.txt","RmuC")</f>
        <v>RmuC</v>
      </c>
      <c r="BF526" t="str">
        <f>HYPERLINK("http://pfam.sanger.ac.uk/family?acc=PF02646","0.52")</f>
        <v>0.52</v>
      </c>
      <c r="BG526" s="2" t="str">
        <f>HYPERLINK("http://exon.niaid.nih.gov/transcriptome/Anopheles_sialome/links/SMART/anoara_SG1-like2-SMART.txt","AARP2CN")</f>
        <v>AARP2CN</v>
      </c>
      <c r="BH526" t="str">
        <f>HYPERLINK("http://smart.embl-heidelberg.de/smart/do_annotation.pl?DOMAIN=AARP2CN&amp;BLAST=DUMMY","0.28")</f>
        <v>0.28</v>
      </c>
      <c r="BI526" t="str">
        <f>HYPERLINK("http://exon.niaid.nih.gov/transcriptome/Anopheles_sialome/links/TICK-BLOCKS/anoara_SG1-like2-TICK-BLOCKS.txt","SG1_full |SG1_stringent_pattern |")</f>
        <v>SG1_full |SG1_stringent_pattern |</v>
      </c>
      <c r="BJ526" s="2" t="s">
        <v>2423</v>
      </c>
      <c r="BK526" t="s">
        <v>1824</v>
      </c>
      <c r="BL526">
        <f>HYPERLINK("http://exon.niaid.nih.gov/transcriptome/Anopheles_sialome/links/cluster-b/anopheline-sialome-cds-pep-larger-orf25-50SimCLU3.txt", 3)</f>
        <v>3</v>
      </c>
      <c r="BM526">
        <f>HYPERLINK("http://exon.niaid.nih.gov/transcriptome/Anopheles_sialome/links/cluster-b/anopheline-sialome-cds-pep-larger-orf25-50SimCLTL3.txt", 119)</f>
        <v>119</v>
      </c>
      <c r="BN526">
        <f>HYPERLINK("http://exon.niaid.nih.gov/transcriptome/Anopheles_sialome/links/cluster-b/anopheline-sialome-cds-pep-larger-orf30-50SimCLU3.txt", 3)</f>
        <v>3</v>
      </c>
      <c r="BO526">
        <f>HYPERLINK("http://exon.niaid.nih.gov/transcriptome/Anopheles_sialome/links/cluster-b/anopheline-sialome-cds-pep-larger-orf30-50SimCLTL3.txt", 119)</f>
        <v>119</v>
      </c>
      <c r="BP526">
        <f>HYPERLINK("http://exon.niaid.nih.gov/transcriptome/Anopheles_sialome/links/cluster-b/anopheline-sialome-cds-pep-larger-orf35-50SimCLU2.txt", 2)</f>
        <v>2</v>
      </c>
      <c r="BQ526">
        <f>HYPERLINK("http://exon.niaid.nih.gov/transcriptome/Anopheles_sialome/links/cluster-b/anopheline-sialome-cds-pep-larger-orf35-50SimCLTL2.txt", 119)</f>
        <v>119</v>
      </c>
      <c r="BR526">
        <f>HYPERLINK("http://exon.niaid.nih.gov/transcriptome/Anopheles_sialome/links/cluster-b/anopheline-sialome-cds-pep-larger-orf40-50SimCLU1.txt", 1)</f>
        <v>1</v>
      </c>
      <c r="BS526">
        <f>HYPERLINK("http://exon.niaid.nih.gov/transcriptome/Anopheles_sialome/links/cluster-b/anopheline-sialome-cds-pep-larger-orf40-50SimCLTL1.txt", 119)</f>
        <v>119</v>
      </c>
      <c r="BT526">
        <f>HYPERLINK("http://exon.niaid.nih.gov/transcriptome/Anopheles_sialome/links/cluster-b/anopheline-sialome-cds-pep-larger-orf45-50SimCLU22.txt", 22)</f>
        <v>22</v>
      </c>
      <c r="BU526">
        <f>HYPERLINK("http://exon.niaid.nih.gov/transcriptome/Anopheles_sialome/links/cluster-b/anopheline-sialome-cds-pep-larger-orf45-50SimCLTL22.txt", 18)</f>
        <v>18</v>
      </c>
      <c r="BV526">
        <f>HYPERLINK("http://exon.niaid.nih.gov/transcriptome/Anopheles_sialome/links/cluster-b/anopheline-sialome-cds-pep-larger-orf50-50SimCLU26.txt", 26)</f>
        <v>26</v>
      </c>
      <c r="BW526">
        <f>HYPERLINK("http://exon.niaid.nih.gov/transcriptome/Anopheles_sialome/links/cluster-b/anopheline-sialome-cds-pep-larger-orf50-50SimCLTL26.txt", 17)</f>
        <v>17</v>
      </c>
      <c r="BX526">
        <f>HYPERLINK("http://exon.niaid.nih.gov/transcriptome/Anopheles_sialome/links/cluster-b/anopheline-sialome-cds-pep-larger-orf55-50SimCLU32.txt", 32)</f>
        <v>32</v>
      </c>
      <c r="BY526">
        <f>HYPERLINK("http://exon.niaid.nih.gov/transcriptome/Anopheles_sialome/links/cluster-b/anopheline-sialome-cds-pep-larger-orf55-50SimCLTL32.txt", 15)</f>
        <v>15</v>
      </c>
      <c r="BZ526">
        <f>HYPERLINK("http://exon.niaid.nih.gov/transcriptome/Anopheles_sialome/links/cluster-b/anopheline-sialome-cds-pep-larger-orf60-50SimCLU33.txt", 33)</f>
        <v>33</v>
      </c>
      <c r="CA526">
        <f>HYPERLINK("http://exon.niaid.nih.gov/transcriptome/Anopheles_sialome/links/cluster-b/anopheline-sialome-cds-pep-larger-orf60-50SimCLTL33.txt", 13)</f>
        <v>13</v>
      </c>
      <c r="CB526">
        <f>HYPERLINK("http://exon.niaid.nih.gov/transcriptome/Anopheles_sialome/links/cluster-b/anopheline-sialome-cds-pep-larger-orf65-50SimCLU34.txt", 34)</f>
        <v>34</v>
      </c>
      <c r="CC526">
        <f>HYPERLINK("http://exon.niaid.nih.gov/transcriptome/Anopheles_sialome/links/cluster-b/anopheline-sialome-cds-pep-larger-orf65-50SimCLTL34.txt", 13)</f>
        <v>13</v>
      </c>
      <c r="CD526">
        <f>HYPERLINK("http://exon.niaid.nih.gov/transcriptome/Anopheles_sialome/links/cluster-b/anopheline-sialome-cds-pep-larger-orf70-50SimCLU35.txt", 35)</f>
        <v>35</v>
      </c>
      <c r="CE526">
        <f>HYPERLINK("http://exon.niaid.nih.gov/transcriptome/Anopheles_sialome/links/cluster-b/anopheline-sialome-cds-pep-larger-orf70-50SimCLTL35.txt", 13)</f>
        <v>13</v>
      </c>
      <c r="CF526">
        <f>HYPERLINK("http://exon.niaid.nih.gov/transcriptome/Anopheles_sialome/links/cluster-b/anopheline-sialome-cds-pep-larger-orf75-50SimCLU36.txt", 36)</f>
        <v>36</v>
      </c>
      <c r="CG526">
        <f>HYPERLINK("http://exon.niaid.nih.gov/transcriptome/Anopheles_sialome/links/cluster-b/anopheline-sialome-cds-pep-larger-orf75-50SimCLTL36.txt", 8)</f>
        <v>8</v>
      </c>
      <c r="CH526">
        <f>HYPERLINK("http://exon.niaid.nih.gov/transcriptome/Anopheles_sialome/links/cluster-b/anopheline-sialome-cds-pep-larger-orf80-50SimCLU44.txt", 44)</f>
        <v>44</v>
      </c>
      <c r="CI526">
        <f>HYPERLINK("http://exon.niaid.nih.gov/transcriptome/Anopheles_sialome/links/cluster-b/anopheline-sialome-cds-pep-larger-orf80-50SimCLTL44.txt", 6)</f>
        <v>6</v>
      </c>
      <c r="CJ526">
        <f>HYPERLINK("http://exon.niaid.nih.gov/transcriptome/Anopheles_sialome/links/cluster-b/anopheline-sialome-cds-pep-larger-orf85-50SimCLU43.txt", 43)</f>
        <v>43</v>
      </c>
      <c r="CK526">
        <f>HYPERLINK("http://exon.niaid.nih.gov/transcriptome/Anopheles_sialome/links/cluster-b/anopheline-sialome-cds-pep-larger-orf85-50SimCLTL43.txt", 6)</f>
        <v>6</v>
      </c>
      <c r="CL526">
        <f>HYPERLINK("http://exon.niaid.nih.gov/transcriptome/Anopheles_sialome/links/cluster-b/anopheline-sialome-cds-pep-larger-orf90-50SimCLU33.txt", 33)</f>
        <v>33</v>
      </c>
      <c r="CM526">
        <f>HYPERLINK("http://exon.niaid.nih.gov/transcriptome/Anopheles_sialome/links/cluster-b/anopheline-sialome-cds-pep-larger-orf90-50SimCLTL33.txt", 6)</f>
        <v>6</v>
      </c>
      <c r="CN526">
        <f>HYPERLINK("http://exon.niaid.nih.gov/transcriptome/Anopheles_sialome/links/cluster-b/anopheline-sialome-cds-pep-larger-orf95-50SimCLU24.txt", 24)</f>
        <v>24</v>
      </c>
      <c r="CO526">
        <f>HYPERLINK("http://exon.niaid.nih.gov/transcriptome/Anopheles_sialome/links/cluster-b/anopheline-sialome-cds-pep-larger-orf95-50SimCLTL24.txt", 6)</f>
        <v>6</v>
      </c>
    </row>
    <row r="527" spans="1:93">
      <c r="A527" s="2" t="str">
        <f>HYPERLINK("http://exon.niaid.nih.gov/transcriptome/Anopheles_sialome/links/cds/anoqua_SG1-like2-cds.txt","anoqua_SG1-like2")</f>
        <v>anoqua_SG1-like2</v>
      </c>
      <c r="B527">
        <v>1206</v>
      </c>
      <c r="C527" t="s">
        <v>421</v>
      </c>
      <c r="D527" t="s">
        <v>7</v>
      </c>
      <c r="E527" t="s">
        <v>5</v>
      </c>
      <c r="F527" t="s">
        <v>1</v>
      </c>
      <c r="G527" t="str">
        <f>HYPERLINK("http://exon.niaid.nih.gov/transcriptome/Anopheles_sialome/links/pep/anoqua_SG1-like2-pep.txt","anoqua_SG1-like2")</f>
        <v>anoqua_SG1-like2</v>
      </c>
      <c r="H527">
        <v>401</v>
      </c>
      <c r="I527">
        <v>0</v>
      </c>
      <c r="J527" s="3" t="str">
        <f>HYPERLINK("http://exon.niaid.nih.gov/transcriptome/Anopheles_sialome/links/Sigp/anoqua_SG1-like2-SigP.txt","SIG")</f>
        <v>SIG</v>
      </c>
      <c r="K527" t="s">
        <v>689</v>
      </c>
      <c r="L527">
        <v>46.075000000000003</v>
      </c>
      <c r="M527">
        <v>9.59</v>
      </c>
      <c r="N527">
        <v>43.941000000000003</v>
      </c>
      <c r="O527">
        <v>9.5399999999999991</v>
      </c>
      <c r="P527" t="s">
        <v>1827</v>
      </c>
      <c r="Q527" s="3">
        <v>0</v>
      </c>
      <c r="R527" t="s">
        <v>128</v>
      </c>
      <c r="S527" t="s">
        <v>128</v>
      </c>
      <c r="T527" t="s">
        <v>128</v>
      </c>
      <c r="U527" t="s">
        <v>128</v>
      </c>
      <c r="V527" t="s">
        <v>128</v>
      </c>
      <c r="W527" s="3" t="str">
        <f>HYPERLINK("http://exon.niaid.nih.gov/transcriptome/Anopheles_sialome/links/netoglyc/anoqua_SG1-like2-netoglyc.txt","1")</f>
        <v>1</v>
      </c>
      <c r="X527">
        <v>8.5</v>
      </c>
      <c r="Y527">
        <v>5.5</v>
      </c>
      <c r="Z527">
        <v>4.7</v>
      </c>
      <c r="AA527" t="s">
        <v>654</v>
      </c>
      <c r="AB527" t="s">
        <v>128</v>
      </c>
      <c r="AC527" s="2" t="str">
        <f>HYPERLINK("http://exon.niaid.nih.gov/transcriptome/Anopheles_sialome/links/DIPTERA/anoqua_SG1-like2-DIPTERA.txt","SG1-2")</f>
        <v>SG1-2</v>
      </c>
      <c r="AD527" t="str">
        <f>HYPERLINK("http://www.ncbi.nlm.nih.gov/sutils/blink.cgi?pid=445068798","0.0")</f>
        <v>0.0</v>
      </c>
      <c r="AE527" t="str">
        <f>HYPERLINK("http://www.ncbi.nlm.nih.gov/protein/445068798","gi|445068798")</f>
        <v>gi|445068798</v>
      </c>
      <c r="AF527">
        <v>91</v>
      </c>
      <c r="AG527">
        <v>94</v>
      </c>
      <c r="AH527">
        <v>100</v>
      </c>
      <c r="AI527" t="s">
        <v>2254</v>
      </c>
      <c r="AJ527" s="2" t="str">
        <f>HYPERLINK("http://exon.niaid.nih.gov/transcriptome/Anopheles_sialome/links/CULICOMORPHA/anoqua_SG1-like2-CULICOMORPHA.txt","SG1-2")</f>
        <v>SG1-2</v>
      </c>
      <c r="AK527" t="str">
        <f>HYPERLINK("http://www.ncbi.nlm.nih.gov/sutils/blink.cgi?pid=445068798","0.0")</f>
        <v>0.0</v>
      </c>
      <c r="AL527" t="str">
        <f>HYPERLINK("http://www.ncbi.nlm.nih.gov/protein/445068798","gi|445068798")</f>
        <v>gi|445068798</v>
      </c>
      <c r="AM527">
        <v>91</v>
      </c>
      <c r="AN527">
        <v>94</v>
      </c>
      <c r="AO527">
        <v>100</v>
      </c>
      <c r="AP527" t="s">
        <v>2254</v>
      </c>
      <c r="AQ527" s="2" t="str">
        <f>HYPERLINK("http://exon.niaid.nih.gov/transcriptome/Anopheles_sialome/links/NR-LIGHT/anoqua_SG1-like2-NR-LIGHT.txt","SG1-2")</f>
        <v>SG1-2</v>
      </c>
      <c r="AR527" t="str">
        <f>HYPERLINK("http://www.ncbi.nlm.nih.gov/sutils/blink.cgi?pid=445068798","0.0")</f>
        <v>0.0</v>
      </c>
      <c r="AS527" t="str">
        <f>HYPERLINK("http://www.ncbi.nlm.nih.gov/protein/445068798","gi|445068798")</f>
        <v>gi|445068798</v>
      </c>
      <c r="AT527">
        <v>91</v>
      </c>
      <c r="AU527">
        <v>94</v>
      </c>
      <c r="AV527">
        <v>100</v>
      </c>
      <c r="AW527" t="s">
        <v>2254</v>
      </c>
      <c r="AX527" s="2" t="str">
        <f>HYPERLINK("http://exon.niaid.nih.gov/transcriptome/Anopheles_sialome/links/CDD/anoqua_SG1-like2-CDD.txt","PRK14712")</f>
        <v>PRK14712</v>
      </c>
      <c r="AY527" t="str">
        <f>HYPERLINK("http://www.ncbi.nlm.nih.gov/Structure/cdd/cddsrv.cgi?uid=PRK14712&amp;version=v4.0","2.8")</f>
        <v>2.8</v>
      </c>
      <c r="AZ527" t="s">
        <v>2913</v>
      </c>
      <c r="BA527" s="2" t="str">
        <f>HYPERLINK("http://exon.niaid.nih.gov/transcriptome/Anopheles_sialome/links/KOG/anoqua_SG1-like2-KOG.txt","Surface glycoprotein")</f>
        <v>Surface glycoprotein</v>
      </c>
      <c r="BB527" t="str">
        <f>HYPERLINK("http://www.ncbi.nlm.nih.gov/Structure/cdd/cddsrv.cgi?uid=KOG2891","1.5")</f>
        <v>1.5</v>
      </c>
      <c r="BC527" t="s">
        <v>2310</v>
      </c>
      <c r="BD527" t="str">
        <f>HYPERLINK("http://exon.niaid.nih.gov/transcriptome/Anopheles_sialome/links/KOG/anoqua_SG1-like2-KOG.txt","KOG2891")</f>
        <v>KOG2891</v>
      </c>
      <c r="BE527" t="str">
        <f>HYPERLINK("http://exon.niaid.nih.gov/transcriptome/Anopheles_sialome/links/PFAM/anoqua_SG1-like2-PFAM.txt","Actin")</f>
        <v>Actin</v>
      </c>
      <c r="BF527" t="str">
        <f>HYPERLINK("http://pfam.sanger.ac.uk/family?acc=PF00022","2.7")</f>
        <v>2.7</v>
      </c>
      <c r="BG527" s="2" t="str">
        <f>HYPERLINK("http://exon.niaid.nih.gov/transcriptome/Anopheles_sialome/links/SMART/anoqua_SG1-like2-SMART.txt","RPOLD")</f>
        <v>RPOLD</v>
      </c>
      <c r="BH527" t="str">
        <f>HYPERLINK("http://smart.embl-heidelberg.de/smart/do_annotation.pl?DOMAIN=RPOLD&amp;BLAST=DUMMY","0.32")</f>
        <v>0.32</v>
      </c>
      <c r="BI527" t="str">
        <f>HYPERLINK("http://exon.niaid.nih.gov/transcriptome/Anopheles_sialome/links/TICK-BLOCKS/anoqua_SG1-like2-TICK-BLOCKS.txt","SG1_full |SG1_stringent_pattern |")</f>
        <v>SG1_full |SG1_stringent_pattern |</v>
      </c>
      <c r="BJ527" s="2" t="s">
        <v>2423</v>
      </c>
      <c r="BK527" t="s">
        <v>1826</v>
      </c>
      <c r="BL527">
        <f>HYPERLINK("http://exon.niaid.nih.gov/transcriptome/Anopheles_sialome/links/cluster-b/anopheline-sialome-cds-pep-larger-orf25-50SimCLU3.txt", 3)</f>
        <v>3</v>
      </c>
      <c r="BM527">
        <f>HYPERLINK("http://exon.niaid.nih.gov/transcriptome/Anopheles_sialome/links/cluster-b/anopheline-sialome-cds-pep-larger-orf25-50SimCLTL3.txt", 119)</f>
        <v>119</v>
      </c>
      <c r="BN527">
        <f>HYPERLINK("http://exon.niaid.nih.gov/transcriptome/Anopheles_sialome/links/cluster-b/anopheline-sialome-cds-pep-larger-orf30-50SimCLU3.txt", 3)</f>
        <v>3</v>
      </c>
      <c r="BO527">
        <f>HYPERLINK("http://exon.niaid.nih.gov/transcriptome/Anopheles_sialome/links/cluster-b/anopheline-sialome-cds-pep-larger-orf30-50SimCLTL3.txt", 119)</f>
        <v>119</v>
      </c>
      <c r="BP527">
        <f>HYPERLINK("http://exon.niaid.nih.gov/transcriptome/Anopheles_sialome/links/cluster-b/anopheline-sialome-cds-pep-larger-orf35-50SimCLU2.txt", 2)</f>
        <v>2</v>
      </c>
      <c r="BQ527">
        <f>HYPERLINK("http://exon.niaid.nih.gov/transcriptome/Anopheles_sialome/links/cluster-b/anopheline-sialome-cds-pep-larger-orf35-50SimCLTL2.txt", 119)</f>
        <v>119</v>
      </c>
      <c r="BR527">
        <f>HYPERLINK("http://exon.niaid.nih.gov/transcriptome/Anopheles_sialome/links/cluster-b/anopheline-sialome-cds-pep-larger-orf40-50SimCLU1.txt", 1)</f>
        <v>1</v>
      </c>
      <c r="BS527">
        <f>HYPERLINK("http://exon.niaid.nih.gov/transcriptome/Anopheles_sialome/links/cluster-b/anopheline-sialome-cds-pep-larger-orf40-50SimCLTL1.txt", 119)</f>
        <v>119</v>
      </c>
      <c r="BT527">
        <f>HYPERLINK("http://exon.niaid.nih.gov/transcriptome/Anopheles_sialome/links/cluster-b/anopheline-sialome-cds-pep-larger-orf45-50SimCLU22.txt", 22)</f>
        <v>22</v>
      </c>
      <c r="BU527">
        <f>HYPERLINK("http://exon.niaid.nih.gov/transcriptome/Anopheles_sialome/links/cluster-b/anopheline-sialome-cds-pep-larger-orf45-50SimCLTL22.txt", 18)</f>
        <v>18</v>
      </c>
      <c r="BV527">
        <f>HYPERLINK("http://exon.niaid.nih.gov/transcriptome/Anopheles_sialome/links/cluster-b/anopheline-sialome-cds-pep-larger-orf50-50SimCLU26.txt", 26)</f>
        <v>26</v>
      </c>
      <c r="BW527">
        <f>HYPERLINK("http://exon.niaid.nih.gov/transcriptome/Anopheles_sialome/links/cluster-b/anopheline-sialome-cds-pep-larger-orf50-50SimCLTL26.txt", 17)</f>
        <v>17</v>
      </c>
      <c r="BX527">
        <f>HYPERLINK("http://exon.niaid.nih.gov/transcriptome/Anopheles_sialome/links/cluster-b/anopheline-sialome-cds-pep-larger-orf55-50SimCLU32.txt", 32)</f>
        <v>32</v>
      </c>
      <c r="BY527">
        <f>HYPERLINK("http://exon.niaid.nih.gov/transcriptome/Anopheles_sialome/links/cluster-b/anopheline-sialome-cds-pep-larger-orf55-50SimCLTL32.txt", 15)</f>
        <v>15</v>
      </c>
      <c r="BZ527">
        <f>HYPERLINK("http://exon.niaid.nih.gov/transcriptome/Anopheles_sialome/links/cluster-b/anopheline-sialome-cds-pep-larger-orf60-50SimCLU33.txt", 33)</f>
        <v>33</v>
      </c>
      <c r="CA527">
        <f>HYPERLINK("http://exon.niaid.nih.gov/transcriptome/Anopheles_sialome/links/cluster-b/anopheline-sialome-cds-pep-larger-orf60-50SimCLTL33.txt", 13)</f>
        <v>13</v>
      </c>
      <c r="CB527">
        <f>HYPERLINK("http://exon.niaid.nih.gov/transcriptome/Anopheles_sialome/links/cluster-b/anopheline-sialome-cds-pep-larger-orf65-50SimCLU34.txt", 34)</f>
        <v>34</v>
      </c>
      <c r="CC527">
        <f>HYPERLINK("http://exon.niaid.nih.gov/transcriptome/Anopheles_sialome/links/cluster-b/anopheline-sialome-cds-pep-larger-orf65-50SimCLTL34.txt", 13)</f>
        <v>13</v>
      </c>
      <c r="CD527">
        <f>HYPERLINK("http://exon.niaid.nih.gov/transcriptome/Anopheles_sialome/links/cluster-b/anopheline-sialome-cds-pep-larger-orf70-50SimCLU35.txt", 35)</f>
        <v>35</v>
      </c>
      <c r="CE527">
        <f>HYPERLINK("http://exon.niaid.nih.gov/transcriptome/Anopheles_sialome/links/cluster-b/anopheline-sialome-cds-pep-larger-orf70-50SimCLTL35.txt", 13)</f>
        <v>13</v>
      </c>
      <c r="CF527">
        <f>HYPERLINK("http://exon.niaid.nih.gov/transcriptome/Anopheles_sialome/links/cluster-b/anopheline-sialome-cds-pep-larger-orf75-50SimCLU36.txt", 36)</f>
        <v>36</v>
      </c>
      <c r="CG527">
        <f>HYPERLINK("http://exon.niaid.nih.gov/transcriptome/Anopheles_sialome/links/cluster-b/anopheline-sialome-cds-pep-larger-orf75-50SimCLTL36.txt", 8)</f>
        <v>8</v>
      </c>
      <c r="CH527">
        <f>HYPERLINK("http://exon.niaid.nih.gov/transcriptome/Anopheles_sialome/links/cluster-b/anopheline-sialome-cds-pep-larger-orf80-50SimCLU44.txt", 44)</f>
        <v>44</v>
      </c>
      <c r="CI527">
        <f>HYPERLINK("http://exon.niaid.nih.gov/transcriptome/Anopheles_sialome/links/cluster-b/anopheline-sialome-cds-pep-larger-orf80-50SimCLTL44.txt", 6)</f>
        <v>6</v>
      </c>
      <c r="CJ527">
        <f>HYPERLINK("http://exon.niaid.nih.gov/transcriptome/Anopheles_sialome/links/cluster-b/anopheline-sialome-cds-pep-larger-orf85-50SimCLU43.txt", 43)</f>
        <v>43</v>
      </c>
      <c r="CK527">
        <f>HYPERLINK("http://exon.niaid.nih.gov/transcriptome/Anopheles_sialome/links/cluster-b/anopheline-sialome-cds-pep-larger-orf85-50SimCLTL43.txt", 6)</f>
        <v>6</v>
      </c>
      <c r="CL527">
        <f>HYPERLINK("http://exon.niaid.nih.gov/transcriptome/Anopheles_sialome/links/cluster-b/anopheline-sialome-cds-pep-larger-orf90-50SimCLU33.txt", 33)</f>
        <v>33</v>
      </c>
      <c r="CM527">
        <f>HYPERLINK("http://exon.niaid.nih.gov/transcriptome/Anopheles_sialome/links/cluster-b/anopheline-sialome-cds-pep-larger-orf90-50SimCLTL33.txt", 6)</f>
        <v>6</v>
      </c>
      <c r="CN527">
        <f>HYPERLINK("http://exon.niaid.nih.gov/transcriptome/Anopheles_sialome/links/cluster-b/anopheline-sialome-cds-pep-larger-orf95-50SimCLU24.txt", 24)</f>
        <v>24</v>
      </c>
      <c r="CO527">
        <f>HYPERLINK("http://exon.niaid.nih.gov/transcriptome/Anopheles_sialome/links/cluster-b/anopheline-sialome-cds-pep-larger-orf95-50SimCLTL24.txt", 6)</f>
        <v>6</v>
      </c>
    </row>
    <row r="528" spans="1:93">
      <c r="A528" s="2" t="str">
        <f>HYPERLINK("http://exon.niaid.nih.gov/transcriptome/Anopheles_sialome/links/cds/anomer_SG1-like2-cds.txt","anomer_SG1-like2")</f>
        <v>anomer_SG1-like2</v>
      </c>
      <c r="B528">
        <v>1206</v>
      </c>
      <c r="C528" t="s">
        <v>444</v>
      </c>
      <c r="D528" t="s">
        <v>7</v>
      </c>
      <c r="E528" t="s">
        <v>5</v>
      </c>
      <c r="F528" t="s">
        <v>1</v>
      </c>
      <c r="G528" t="str">
        <f>HYPERLINK("http://exon.niaid.nih.gov/transcriptome/Anopheles_sialome/links/pep/anomer_SG1-like2-pep.txt","anomer_SG1-like2")</f>
        <v>anomer_SG1-like2</v>
      </c>
      <c r="H528">
        <v>401</v>
      </c>
      <c r="I528">
        <v>0</v>
      </c>
      <c r="J528" s="3" t="str">
        <f>HYPERLINK("http://exon.niaid.nih.gov/transcriptome/Anopheles_sialome/links/Sigp/anomer_SG1-like2-SigP.txt","SIG")</f>
        <v>SIG</v>
      </c>
      <c r="K528" t="s">
        <v>689</v>
      </c>
      <c r="L528">
        <v>45.926000000000002</v>
      </c>
      <c r="M528">
        <v>9.69</v>
      </c>
      <c r="N528">
        <v>43.732999999999997</v>
      </c>
      <c r="O528">
        <v>9.6</v>
      </c>
      <c r="P528" t="s">
        <v>1829</v>
      </c>
      <c r="Q528" s="3">
        <v>0</v>
      </c>
      <c r="R528" t="s">
        <v>128</v>
      </c>
      <c r="S528" t="s">
        <v>128</v>
      </c>
      <c r="T528" t="s">
        <v>128</v>
      </c>
      <c r="U528" t="s">
        <v>128</v>
      </c>
      <c r="V528" t="s">
        <v>128</v>
      </c>
      <c r="W528" s="3" t="str">
        <f>HYPERLINK("http://exon.niaid.nih.gov/transcriptome/Anopheles_sialome/links/netoglyc/anomer_SG1-like2-netoglyc.txt","1")</f>
        <v>1</v>
      </c>
      <c r="X528">
        <v>8.5</v>
      </c>
      <c r="Y528">
        <v>5.5</v>
      </c>
      <c r="Z528">
        <v>4.7</v>
      </c>
      <c r="AA528">
        <v>0.7</v>
      </c>
      <c r="AB528" t="s">
        <v>128</v>
      </c>
      <c r="AC528" s="2" t="str">
        <f>HYPERLINK("http://exon.niaid.nih.gov/transcriptome/Anopheles_sialome/links/DIPTERA/anomer_SG1-like2-DIPTERA.txt","SG1-2")</f>
        <v>SG1-2</v>
      </c>
      <c r="AD528" t="str">
        <f>HYPERLINK("http://www.ncbi.nlm.nih.gov/sutils/blink.cgi?pid=445068894","0.0")</f>
        <v>0.0</v>
      </c>
      <c r="AE528" t="str">
        <f>HYPERLINK("http://www.ncbi.nlm.nih.gov/protein/445068894","gi|445068894")</f>
        <v>gi|445068894</v>
      </c>
      <c r="AF528">
        <v>100</v>
      </c>
      <c r="AG528">
        <v>100</v>
      </c>
      <c r="AH528">
        <v>100</v>
      </c>
      <c r="AI528" t="s">
        <v>2914</v>
      </c>
      <c r="AJ528" s="2" t="str">
        <f>HYPERLINK("http://exon.niaid.nih.gov/transcriptome/Anopheles_sialome/links/CULICOMORPHA/anomer_SG1-like2-CULICOMORPHA.txt","SG1-2")</f>
        <v>SG1-2</v>
      </c>
      <c r="AK528" t="str">
        <f>HYPERLINK("http://www.ncbi.nlm.nih.gov/sutils/blink.cgi?pid=445068894","0.0")</f>
        <v>0.0</v>
      </c>
      <c r="AL528" t="str">
        <f>HYPERLINK("http://www.ncbi.nlm.nih.gov/protein/445068894","gi|445068894")</f>
        <v>gi|445068894</v>
      </c>
      <c r="AM528">
        <v>100</v>
      </c>
      <c r="AN528">
        <v>100</v>
      </c>
      <c r="AO528">
        <v>100</v>
      </c>
      <c r="AP528" t="s">
        <v>2914</v>
      </c>
      <c r="AQ528" s="2" t="str">
        <f>HYPERLINK("http://exon.niaid.nih.gov/transcriptome/Anopheles_sialome/links/NR-LIGHT/anomer_SG1-like2-NR-LIGHT.txt","SG1-2")</f>
        <v>SG1-2</v>
      </c>
      <c r="AR528" t="str">
        <f>HYPERLINK("http://www.ncbi.nlm.nih.gov/sutils/blink.cgi?pid=445068894","0.0")</f>
        <v>0.0</v>
      </c>
      <c r="AS528" t="str">
        <f>HYPERLINK("http://www.ncbi.nlm.nih.gov/protein/445068894","gi|445068894")</f>
        <v>gi|445068894</v>
      </c>
      <c r="AT528">
        <v>100</v>
      </c>
      <c r="AU528">
        <v>100</v>
      </c>
      <c r="AV528">
        <v>100</v>
      </c>
      <c r="AW528" t="s">
        <v>2914</v>
      </c>
      <c r="AX528" s="2" t="str">
        <f>HYPERLINK("http://exon.niaid.nih.gov/transcriptome/Anopheles_sialome/links/CDD/anomer_SG1-like2-CDD.txt","PRK14712")</f>
        <v>PRK14712</v>
      </c>
      <c r="AY528" t="str">
        <f>HYPERLINK("http://www.ncbi.nlm.nih.gov/Structure/cdd/cddsrv.cgi?uid=PRK14712&amp;version=v4.0","0.15")</f>
        <v>0.15</v>
      </c>
      <c r="AZ528" t="s">
        <v>2915</v>
      </c>
      <c r="BA528" s="2" t="str">
        <f>HYPERLINK("http://exon.niaid.nih.gov/transcriptome/Anopheles_sialome/links/KOG/anomer_SG1-like2-KOG.txt","Transcriptional repressors of the hairy/E(spl) family (contains HLH)")</f>
        <v>Transcriptional repressors of the hairy/E(spl) family (contains HLH)</v>
      </c>
      <c r="BB528" t="str">
        <f>HYPERLINK("http://www.ncbi.nlm.nih.gov/Structure/cdd/cddsrv.cgi?uid=KOG4304","2.5")</f>
        <v>2.5</v>
      </c>
      <c r="BC528" t="s">
        <v>2262</v>
      </c>
      <c r="BD528" t="str">
        <f>HYPERLINK("http://exon.niaid.nih.gov/transcriptome/Anopheles_sialome/links/KOG/anomer_SG1-like2-KOG.txt","KOG4304")</f>
        <v>KOG4304</v>
      </c>
      <c r="BE528" t="str">
        <f>HYPERLINK("http://exon.niaid.nih.gov/transcriptome/Anopheles_sialome/links/PFAM/anomer_SG1-like2-PFAM.txt","DUF3137")</f>
        <v>DUF3137</v>
      </c>
      <c r="BF528" t="str">
        <f>HYPERLINK("http://pfam.sanger.ac.uk/family?acc=PF11335","0.54")</f>
        <v>0.54</v>
      </c>
      <c r="BG528" s="2" t="str">
        <f>HYPERLINK("http://exon.niaid.nih.gov/transcriptome/Anopheles_sialome/links/SMART/anomer_SG1-like2-SMART.txt","rADc")</f>
        <v>rADc</v>
      </c>
      <c r="BH528" t="str">
        <f>HYPERLINK("http://smart.embl-heidelberg.de/smart/do_annotation.pl?DOMAIN=rADc&amp;BLAST=DUMMY","0.34")</f>
        <v>0.34</v>
      </c>
      <c r="BI528" t="str">
        <f>HYPERLINK("http://exon.niaid.nih.gov/transcriptome/Anopheles_sialome/links/TICK-BLOCKS/anomer_SG1-like2-TICK-BLOCKS.txt","SG1_stringent_pattern |")</f>
        <v>SG1_stringent_pattern |</v>
      </c>
      <c r="BJ528" s="2" t="s">
        <v>128</v>
      </c>
      <c r="BK528" t="s">
        <v>1828</v>
      </c>
      <c r="BL528">
        <f>HYPERLINK("http://exon.niaid.nih.gov/transcriptome/Anopheles_sialome/links/cluster-b/anopheline-sialome-cds-pep-larger-orf25-50SimCLU3.txt", 3)</f>
        <v>3</v>
      </c>
      <c r="BM528">
        <f>HYPERLINK("http://exon.niaid.nih.gov/transcriptome/Anopheles_sialome/links/cluster-b/anopheline-sialome-cds-pep-larger-orf25-50SimCLTL3.txt", 119)</f>
        <v>119</v>
      </c>
      <c r="BN528">
        <f>HYPERLINK("http://exon.niaid.nih.gov/transcriptome/Anopheles_sialome/links/cluster-b/anopheline-sialome-cds-pep-larger-orf30-50SimCLU3.txt", 3)</f>
        <v>3</v>
      </c>
      <c r="BO528">
        <f>HYPERLINK("http://exon.niaid.nih.gov/transcriptome/Anopheles_sialome/links/cluster-b/anopheline-sialome-cds-pep-larger-orf30-50SimCLTL3.txt", 119)</f>
        <v>119</v>
      </c>
      <c r="BP528">
        <f>HYPERLINK("http://exon.niaid.nih.gov/transcriptome/Anopheles_sialome/links/cluster-b/anopheline-sialome-cds-pep-larger-orf35-50SimCLU2.txt", 2)</f>
        <v>2</v>
      </c>
      <c r="BQ528">
        <f>HYPERLINK("http://exon.niaid.nih.gov/transcriptome/Anopheles_sialome/links/cluster-b/anopheline-sialome-cds-pep-larger-orf35-50SimCLTL2.txt", 119)</f>
        <v>119</v>
      </c>
      <c r="BR528">
        <f>HYPERLINK("http://exon.niaid.nih.gov/transcriptome/Anopheles_sialome/links/cluster-b/anopheline-sialome-cds-pep-larger-orf40-50SimCLU1.txt", 1)</f>
        <v>1</v>
      </c>
      <c r="BS528">
        <f>HYPERLINK("http://exon.niaid.nih.gov/transcriptome/Anopheles_sialome/links/cluster-b/anopheline-sialome-cds-pep-larger-orf40-50SimCLTL1.txt", 119)</f>
        <v>119</v>
      </c>
      <c r="BT528">
        <f>HYPERLINK("http://exon.niaid.nih.gov/transcriptome/Anopheles_sialome/links/cluster-b/anopheline-sialome-cds-pep-larger-orf45-50SimCLU22.txt", 22)</f>
        <v>22</v>
      </c>
      <c r="BU528">
        <f>HYPERLINK("http://exon.niaid.nih.gov/transcriptome/Anopheles_sialome/links/cluster-b/anopheline-sialome-cds-pep-larger-orf45-50SimCLTL22.txt", 18)</f>
        <v>18</v>
      </c>
      <c r="BV528">
        <f>HYPERLINK("http://exon.niaid.nih.gov/transcriptome/Anopheles_sialome/links/cluster-b/anopheline-sialome-cds-pep-larger-orf50-50SimCLU26.txt", 26)</f>
        <v>26</v>
      </c>
      <c r="BW528">
        <f>HYPERLINK("http://exon.niaid.nih.gov/transcriptome/Anopheles_sialome/links/cluster-b/anopheline-sialome-cds-pep-larger-orf50-50SimCLTL26.txt", 17)</f>
        <v>17</v>
      </c>
      <c r="BX528">
        <f>HYPERLINK("http://exon.niaid.nih.gov/transcriptome/Anopheles_sialome/links/cluster-b/anopheline-sialome-cds-pep-larger-orf55-50SimCLU32.txt", 32)</f>
        <v>32</v>
      </c>
      <c r="BY528">
        <f>HYPERLINK("http://exon.niaid.nih.gov/transcriptome/Anopheles_sialome/links/cluster-b/anopheline-sialome-cds-pep-larger-orf55-50SimCLTL32.txt", 15)</f>
        <v>15</v>
      </c>
      <c r="BZ528">
        <f>HYPERLINK("http://exon.niaid.nih.gov/transcriptome/Anopheles_sialome/links/cluster-b/anopheline-sialome-cds-pep-larger-orf60-50SimCLU33.txt", 33)</f>
        <v>33</v>
      </c>
      <c r="CA528">
        <f>HYPERLINK("http://exon.niaid.nih.gov/transcriptome/Anopheles_sialome/links/cluster-b/anopheline-sialome-cds-pep-larger-orf60-50SimCLTL33.txt", 13)</f>
        <v>13</v>
      </c>
      <c r="CB528">
        <f>HYPERLINK("http://exon.niaid.nih.gov/transcriptome/Anopheles_sialome/links/cluster-b/anopheline-sialome-cds-pep-larger-orf65-50SimCLU34.txt", 34)</f>
        <v>34</v>
      </c>
      <c r="CC528">
        <f>HYPERLINK("http://exon.niaid.nih.gov/transcriptome/Anopheles_sialome/links/cluster-b/anopheline-sialome-cds-pep-larger-orf65-50SimCLTL34.txt", 13)</f>
        <v>13</v>
      </c>
      <c r="CD528">
        <f>HYPERLINK("http://exon.niaid.nih.gov/transcriptome/Anopheles_sialome/links/cluster-b/anopheline-sialome-cds-pep-larger-orf70-50SimCLU35.txt", 35)</f>
        <v>35</v>
      </c>
      <c r="CE528">
        <f>HYPERLINK("http://exon.niaid.nih.gov/transcriptome/Anopheles_sialome/links/cluster-b/anopheline-sialome-cds-pep-larger-orf70-50SimCLTL35.txt", 13)</f>
        <v>13</v>
      </c>
      <c r="CF528">
        <f>HYPERLINK("http://exon.niaid.nih.gov/transcriptome/Anopheles_sialome/links/cluster-b/anopheline-sialome-cds-pep-larger-orf75-50SimCLU36.txt", 36)</f>
        <v>36</v>
      </c>
      <c r="CG528">
        <f>HYPERLINK("http://exon.niaid.nih.gov/transcriptome/Anopheles_sialome/links/cluster-b/anopheline-sialome-cds-pep-larger-orf75-50SimCLTL36.txt", 8)</f>
        <v>8</v>
      </c>
      <c r="CH528">
        <f>HYPERLINK("http://exon.niaid.nih.gov/transcriptome/Anopheles_sialome/links/cluster-b/anopheline-sialome-cds-pep-larger-orf80-50SimCLU44.txt", 44)</f>
        <v>44</v>
      </c>
      <c r="CI528">
        <f>HYPERLINK("http://exon.niaid.nih.gov/transcriptome/Anopheles_sialome/links/cluster-b/anopheline-sialome-cds-pep-larger-orf80-50SimCLTL44.txt", 6)</f>
        <v>6</v>
      </c>
      <c r="CJ528">
        <f>HYPERLINK("http://exon.niaid.nih.gov/transcriptome/Anopheles_sialome/links/cluster-b/anopheline-sialome-cds-pep-larger-orf85-50SimCLU43.txt", 43)</f>
        <v>43</v>
      </c>
      <c r="CK528">
        <f>HYPERLINK("http://exon.niaid.nih.gov/transcriptome/Anopheles_sialome/links/cluster-b/anopheline-sialome-cds-pep-larger-orf85-50SimCLTL43.txt", 6)</f>
        <v>6</v>
      </c>
      <c r="CL528">
        <f>HYPERLINK("http://exon.niaid.nih.gov/transcriptome/Anopheles_sialome/links/cluster-b/anopheline-sialome-cds-pep-larger-orf90-50SimCLU33.txt", 33)</f>
        <v>33</v>
      </c>
      <c r="CM528">
        <f>HYPERLINK("http://exon.niaid.nih.gov/transcriptome/Anopheles_sialome/links/cluster-b/anopheline-sialome-cds-pep-larger-orf90-50SimCLTL33.txt", 6)</f>
        <v>6</v>
      </c>
      <c r="CN528">
        <f>HYPERLINK("http://exon.niaid.nih.gov/transcriptome/Anopheles_sialome/links/cluster-b/anopheline-sialome-cds-pep-larger-orf95-50SimCLU24.txt", 24)</f>
        <v>24</v>
      </c>
      <c r="CO528">
        <f>HYPERLINK("http://exon.niaid.nih.gov/transcriptome/Anopheles_sialome/links/cluster-b/anopheline-sialome-cds-pep-larger-orf95-50SimCLTL24.txt", 6)</f>
        <v>6</v>
      </c>
    </row>
    <row r="529" spans="1:93">
      <c r="A529" s="2" t="str">
        <f>HYPERLINK("http://exon.niaid.nih.gov/transcriptome/Anopheles_sialome/links/cds/anomel_SG1-like2-cds.txt","anomel_SG1-like2")</f>
        <v>anomel_SG1-like2</v>
      </c>
      <c r="B529">
        <v>1206</v>
      </c>
      <c r="C529" t="s">
        <v>453</v>
      </c>
      <c r="D529" t="s">
        <v>4</v>
      </c>
      <c r="E529" t="s">
        <v>5</v>
      </c>
      <c r="F529" t="s">
        <v>1</v>
      </c>
      <c r="G529" t="str">
        <f>HYPERLINK("http://exon.niaid.nih.gov/transcriptome/Anopheles_sialome/links/pep/anomel_SG1-like2-pep.txt","anomel_SG1-like2")</f>
        <v>anomel_SG1-like2</v>
      </c>
      <c r="H529">
        <v>401</v>
      </c>
      <c r="I529">
        <v>0</v>
      </c>
      <c r="J529" s="3" t="str">
        <f>HYPERLINK("http://exon.niaid.nih.gov/transcriptome/Anopheles_sialome/links/Sigp/anomel_SG1-like2-SigP.txt","SIG")</f>
        <v>SIG</v>
      </c>
      <c r="K529" t="s">
        <v>689</v>
      </c>
      <c r="L529">
        <v>46.21</v>
      </c>
      <c r="M529">
        <v>9.5399999999999991</v>
      </c>
      <c r="N529">
        <v>44.057000000000002</v>
      </c>
      <c r="O529">
        <v>9.49</v>
      </c>
      <c r="P529" t="s">
        <v>1831</v>
      </c>
      <c r="Q529" s="3">
        <v>0</v>
      </c>
      <c r="R529" t="s">
        <v>128</v>
      </c>
      <c r="S529" t="s">
        <v>128</v>
      </c>
      <c r="T529" t="s">
        <v>128</v>
      </c>
      <c r="U529" t="s">
        <v>128</v>
      </c>
      <c r="V529" t="s">
        <v>128</v>
      </c>
      <c r="W529" s="3" t="str">
        <f>HYPERLINK("http://exon.niaid.nih.gov/transcriptome/Anopheles_sialome/links/netoglyc/anomel_SG1-like2-netoglyc.txt","1")</f>
        <v>1</v>
      </c>
      <c r="X529">
        <v>8.1999999999999993</v>
      </c>
      <c r="Y529">
        <v>5</v>
      </c>
      <c r="Z529">
        <v>4.5</v>
      </c>
      <c r="AA529" t="s">
        <v>654</v>
      </c>
      <c r="AB529" t="s">
        <v>128</v>
      </c>
      <c r="AC529" s="2" t="str">
        <f>HYPERLINK("http://exon.niaid.nih.gov/transcriptome/Anopheles_sialome/links/DIPTERA/anomel_SG1-like2-DIPTERA.txt","SG1-2")</f>
        <v>SG1-2</v>
      </c>
      <c r="AD529" t="str">
        <f>HYPERLINK("http://www.ncbi.nlm.nih.gov/sutils/blink.cgi?pid=445068798","0.0")</f>
        <v>0.0</v>
      </c>
      <c r="AE529" t="str">
        <f>HYPERLINK("http://www.ncbi.nlm.nih.gov/protein/445068798","gi|445068798")</f>
        <v>gi|445068798</v>
      </c>
      <c r="AF529">
        <v>92</v>
      </c>
      <c r="AG529">
        <v>95</v>
      </c>
      <c r="AH529">
        <v>100</v>
      </c>
      <c r="AI529" t="s">
        <v>2254</v>
      </c>
      <c r="AJ529" s="2" t="str">
        <f>HYPERLINK("http://exon.niaid.nih.gov/transcriptome/Anopheles_sialome/links/CULICOMORPHA/anomel_SG1-like2-CULICOMORPHA.txt","SG1-2")</f>
        <v>SG1-2</v>
      </c>
      <c r="AK529" t="str">
        <f>HYPERLINK("http://www.ncbi.nlm.nih.gov/sutils/blink.cgi?pid=445068798","0.0")</f>
        <v>0.0</v>
      </c>
      <c r="AL529" t="str">
        <f>HYPERLINK("http://www.ncbi.nlm.nih.gov/protein/445068798","gi|445068798")</f>
        <v>gi|445068798</v>
      </c>
      <c r="AM529">
        <v>92</v>
      </c>
      <c r="AN529">
        <v>95</v>
      </c>
      <c r="AO529">
        <v>100</v>
      </c>
      <c r="AP529" t="s">
        <v>2254</v>
      </c>
      <c r="AQ529" s="2" t="str">
        <f>HYPERLINK("http://exon.niaid.nih.gov/transcriptome/Anopheles_sialome/links/NR-LIGHT/anomel_SG1-like2-NR-LIGHT.txt","SG1-2")</f>
        <v>SG1-2</v>
      </c>
      <c r="AR529" t="str">
        <f>HYPERLINK("http://www.ncbi.nlm.nih.gov/sutils/blink.cgi?pid=445068798","0.0")</f>
        <v>0.0</v>
      </c>
      <c r="AS529" t="str">
        <f>HYPERLINK("http://www.ncbi.nlm.nih.gov/protein/445068798","gi|445068798")</f>
        <v>gi|445068798</v>
      </c>
      <c r="AT529">
        <v>92</v>
      </c>
      <c r="AU529">
        <v>95</v>
      </c>
      <c r="AV529">
        <v>100</v>
      </c>
      <c r="AW529" t="s">
        <v>2254</v>
      </c>
      <c r="AX529" s="2" t="str">
        <f>HYPERLINK("http://exon.niaid.nih.gov/transcriptome/Anopheles_sialome/links/CDD/anomel_SG1-like2-CDD.txt","PRK14554")</f>
        <v>PRK14554</v>
      </c>
      <c r="AY529" t="str">
        <f>HYPERLINK("http://www.ncbi.nlm.nih.gov/Structure/cdd/cddsrv.cgi?uid=PRK14554&amp;version=v4.0","2.6")</f>
        <v>2.6</v>
      </c>
      <c r="AZ529" t="s">
        <v>2916</v>
      </c>
      <c r="BA529" s="2" t="str">
        <f>HYPERLINK("http://exon.niaid.nih.gov/transcriptome/Anopheles_sialome/links/KOG/anomel_SG1-like2-KOG.txt","Transcriptional repressors of the hairy/E(spl) family (contains HLH)")</f>
        <v>Transcriptional repressors of the hairy/E(spl) family (contains HLH)</v>
      </c>
      <c r="BB529" t="str">
        <f>HYPERLINK("http://www.ncbi.nlm.nih.gov/Structure/cdd/cddsrv.cgi?uid=KOG4304","1.9")</f>
        <v>1.9</v>
      </c>
      <c r="BC529" t="s">
        <v>2262</v>
      </c>
      <c r="BD529" t="str">
        <f>HYPERLINK("http://exon.niaid.nih.gov/transcriptome/Anopheles_sialome/links/KOG/anomel_SG1-like2-KOG.txt","KOG4304")</f>
        <v>KOG4304</v>
      </c>
      <c r="BE529" t="str">
        <f>HYPERLINK("http://exon.niaid.nih.gov/transcriptome/Anopheles_sialome/links/PFAM/anomel_SG1-like2-PFAM.txt","Actin")</f>
        <v>Actin</v>
      </c>
      <c r="BF529" t="str">
        <f>HYPERLINK("http://pfam.sanger.ac.uk/family?acc=PF00022","2.4")</f>
        <v>2.4</v>
      </c>
      <c r="BG529" s="2" t="str">
        <f>HYPERLINK("http://exon.niaid.nih.gov/transcriptome/Anopheles_sialome/links/SMART/anomel_SG1-like2-SMART.txt","TOP2c")</f>
        <v>TOP2c</v>
      </c>
      <c r="BH529" t="str">
        <f>HYPERLINK("http://smart.embl-heidelberg.de/smart/do_annotation.pl?DOMAIN=TOP2c&amp;BLAST=DUMMY","1.1")</f>
        <v>1.1</v>
      </c>
      <c r="BI529" t="str">
        <f>HYPERLINK("http://exon.niaid.nih.gov/transcriptome/Anopheles_sialome/links/TICK-BLOCKS/anomel_SG1-like2-TICK-BLOCKS.txt","SG1_full |SG1_stringent_pattern |")</f>
        <v>SG1_full |SG1_stringent_pattern |</v>
      </c>
      <c r="BJ529" s="2" t="s">
        <v>2423</v>
      </c>
      <c r="BK529" t="s">
        <v>1830</v>
      </c>
      <c r="BL529">
        <f>HYPERLINK("http://exon.niaid.nih.gov/transcriptome/Anopheles_sialome/links/cluster-b/anopheline-sialome-cds-pep-larger-orf25-50SimCLU3.txt", 3)</f>
        <v>3</v>
      </c>
      <c r="BM529">
        <f>HYPERLINK("http://exon.niaid.nih.gov/transcriptome/Anopheles_sialome/links/cluster-b/anopheline-sialome-cds-pep-larger-orf25-50SimCLTL3.txt", 119)</f>
        <v>119</v>
      </c>
      <c r="BN529">
        <f>HYPERLINK("http://exon.niaid.nih.gov/transcriptome/Anopheles_sialome/links/cluster-b/anopheline-sialome-cds-pep-larger-orf30-50SimCLU3.txt", 3)</f>
        <v>3</v>
      </c>
      <c r="BO529">
        <f>HYPERLINK("http://exon.niaid.nih.gov/transcriptome/Anopheles_sialome/links/cluster-b/anopheline-sialome-cds-pep-larger-orf30-50SimCLTL3.txt", 119)</f>
        <v>119</v>
      </c>
      <c r="BP529">
        <f>HYPERLINK("http://exon.niaid.nih.gov/transcriptome/Anopheles_sialome/links/cluster-b/anopheline-sialome-cds-pep-larger-orf35-50SimCLU2.txt", 2)</f>
        <v>2</v>
      </c>
      <c r="BQ529">
        <f>HYPERLINK("http://exon.niaid.nih.gov/transcriptome/Anopheles_sialome/links/cluster-b/anopheline-sialome-cds-pep-larger-orf35-50SimCLTL2.txt", 119)</f>
        <v>119</v>
      </c>
      <c r="BR529">
        <f>HYPERLINK("http://exon.niaid.nih.gov/transcriptome/Anopheles_sialome/links/cluster-b/anopheline-sialome-cds-pep-larger-orf40-50SimCLU1.txt", 1)</f>
        <v>1</v>
      </c>
      <c r="BS529">
        <f>HYPERLINK("http://exon.niaid.nih.gov/transcriptome/Anopheles_sialome/links/cluster-b/anopheline-sialome-cds-pep-larger-orf40-50SimCLTL1.txt", 119)</f>
        <v>119</v>
      </c>
      <c r="BT529">
        <f>HYPERLINK("http://exon.niaid.nih.gov/transcriptome/Anopheles_sialome/links/cluster-b/anopheline-sialome-cds-pep-larger-orf45-50SimCLU22.txt", 22)</f>
        <v>22</v>
      </c>
      <c r="BU529">
        <f>HYPERLINK("http://exon.niaid.nih.gov/transcriptome/Anopheles_sialome/links/cluster-b/anopheline-sialome-cds-pep-larger-orf45-50SimCLTL22.txt", 18)</f>
        <v>18</v>
      </c>
      <c r="BV529">
        <f>HYPERLINK("http://exon.niaid.nih.gov/transcriptome/Anopheles_sialome/links/cluster-b/anopheline-sialome-cds-pep-larger-orf50-50SimCLU26.txt", 26)</f>
        <v>26</v>
      </c>
      <c r="BW529">
        <f>HYPERLINK("http://exon.niaid.nih.gov/transcriptome/Anopheles_sialome/links/cluster-b/anopheline-sialome-cds-pep-larger-orf50-50SimCLTL26.txt", 17)</f>
        <v>17</v>
      </c>
      <c r="BX529">
        <f>HYPERLINK("http://exon.niaid.nih.gov/transcriptome/Anopheles_sialome/links/cluster-b/anopheline-sialome-cds-pep-larger-orf55-50SimCLU32.txt", 32)</f>
        <v>32</v>
      </c>
      <c r="BY529">
        <f>HYPERLINK("http://exon.niaid.nih.gov/transcriptome/Anopheles_sialome/links/cluster-b/anopheline-sialome-cds-pep-larger-orf55-50SimCLTL32.txt", 15)</f>
        <v>15</v>
      </c>
      <c r="BZ529">
        <f>HYPERLINK("http://exon.niaid.nih.gov/transcriptome/Anopheles_sialome/links/cluster-b/anopheline-sialome-cds-pep-larger-orf60-50SimCLU33.txt", 33)</f>
        <v>33</v>
      </c>
      <c r="CA529">
        <f>HYPERLINK("http://exon.niaid.nih.gov/transcriptome/Anopheles_sialome/links/cluster-b/anopheline-sialome-cds-pep-larger-orf60-50SimCLTL33.txt", 13)</f>
        <v>13</v>
      </c>
      <c r="CB529">
        <f>HYPERLINK("http://exon.niaid.nih.gov/transcriptome/Anopheles_sialome/links/cluster-b/anopheline-sialome-cds-pep-larger-orf65-50SimCLU34.txt", 34)</f>
        <v>34</v>
      </c>
      <c r="CC529">
        <f>HYPERLINK("http://exon.niaid.nih.gov/transcriptome/Anopheles_sialome/links/cluster-b/anopheline-sialome-cds-pep-larger-orf65-50SimCLTL34.txt", 13)</f>
        <v>13</v>
      </c>
      <c r="CD529">
        <f>HYPERLINK("http://exon.niaid.nih.gov/transcriptome/Anopheles_sialome/links/cluster-b/anopheline-sialome-cds-pep-larger-orf70-50SimCLU35.txt", 35)</f>
        <v>35</v>
      </c>
      <c r="CE529">
        <f>HYPERLINK("http://exon.niaid.nih.gov/transcriptome/Anopheles_sialome/links/cluster-b/anopheline-sialome-cds-pep-larger-orf70-50SimCLTL35.txt", 13)</f>
        <v>13</v>
      </c>
      <c r="CF529">
        <f>HYPERLINK("http://exon.niaid.nih.gov/transcriptome/Anopheles_sialome/links/cluster-b/anopheline-sialome-cds-pep-larger-orf75-50SimCLU36.txt", 36)</f>
        <v>36</v>
      </c>
      <c r="CG529">
        <f>HYPERLINK("http://exon.niaid.nih.gov/transcriptome/Anopheles_sialome/links/cluster-b/anopheline-sialome-cds-pep-larger-orf75-50SimCLTL36.txt", 8)</f>
        <v>8</v>
      </c>
      <c r="CH529">
        <f>HYPERLINK("http://exon.niaid.nih.gov/transcriptome/Anopheles_sialome/links/cluster-b/anopheline-sialome-cds-pep-larger-orf80-50SimCLU44.txt", 44)</f>
        <v>44</v>
      </c>
      <c r="CI529">
        <f>HYPERLINK("http://exon.niaid.nih.gov/transcriptome/Anopheles_sialome/links/cluster-b/anopheline-sialome-cds-pep-larger-orf80-50SimCLTL44.txt", 6)</f>
        <v>6</v>
      </c>
      <c r="CJ529">
        <f>HYPERLINK("http://exon.niaid.nih.gov/transcriptome/Anopheles_sialome/links/cluster-b/anopheline-sialome-cds-pep-larger-orf85-50SimCLU43.txt", 43)</f>
        <v>43</v>
      </c>
      <c r="CK529">
        <f>HYPERLINK("http://exon.niaid.nih.gov/transcriptome/Anopheles_sialome/links/cluster-b/anopheline-sialome-cds-pep-larger-orf85-50SimCLTL43.txt", 6)</f>
        <v>6</v>
      </c>
      <c r="CL529">
        <f>HYPERLINK("http://exon.niaid.nih.gov/transcriptome/Anopheles_sialome/links/cluster-b/anopheline-sialome-cds-pep-larger-orf90-50SimCLU33.txt", 33)</f>
        <v>33</v>
      </c>
      <c r="CM529">
        <f>HYPERLINK("http://exon.niaid.nih.gov/transcriptome/Anopheles_sialome/links/cluster-b/anopheline-sialome-cds-pep-larger-orf90-50SimCLTL33.txt", 6)</f>
        <v>6</v>
      </c>
      <c r="CN529">
        <f>HYPERLINK("http://exon.niaid.nih.gov/transcriptome/Anopheles_sialome/links/cluster-b/anopheline-sialome-cds-pep-larger-orf95-50SimCLU24.txt", 24)</f>
        <v>24</v>
      </c>
      <c r="CO529">
        <f>HYPERLINK("http://exon.niaid.nih.gov/transcriptome/Anopheles_sialome/links/cluster-b/anopheline-sialome-cds-pep-larger-orf95-50SimCLTL24.txt", 6)</f>
        <v>6</v>
      </c>
    </row>
    <row r="530" spans="1:93">
      <c r="A530" s="2" t="str">
        <f>HYPERLINK("http://exon.niaid.nih.gov/transcriptome/Anopheles_sialome/links/cds/anochris_SG1-like2-cds.txt","anochris_SG1-like2")</f>
        <v>anochris_SG1-like2</v>
      </c>
      <c r="B530">
        <v>1218</v>
      </c>
      <c r="C530" t="s">
        <v>424</v>
      </c>
      <c r="D530" t="s">
        <v>7</v>
      </c>
      <c r="E530" t="s">
        <v>5</v>
      </c>
      <c r="F530" t="s">
        <v>1</v>
      </c>
      <c r="G530" t="str">
        <f>HYPERLINK("http://exon.niaid.nih.gov/transcriptome/Anopheles_sialome/links/pep/anochris_SG1-like2-pep.txt","anochris_SG1-like2")</f>
        <v>anochris_SG1-like2</v>
      </c>
      <c r="H530">
        <v>405</v>
      </c>
      <c r="I530">
        <v>0</v>
      </c>
      <c r="J530" s="3" t="str">
        <f>HYPERLINK("http://exon.niaid.nih.gov/transcriptome/Anopheles_sialome/links/Sigp/anochris_SG1-like2-SigP.txt","SIG")</f>
        <v>SIG</v>
      </c>
      <c r="K530" t="s">
        <v>787</v>
      </c>
      <c r="L530">
        <v>47.277000000000001</v>
      </c>
      <c r="M530">
        <v>9.17</v>
      </c>
      <c r="N530">
        <v>44.59</v>
      </c>
      <c r="O530">
        <v>9.06</v>
      </c>
      <c r="P530" t="s">
        <v>1833</v>
      </c>
      <c r="Q530" s="3">
        <v>0</v>
      </c>
      <c r="R530" t="s">
        <v>128</v>
      </c>
      <c r="S530" t="s">
        <v>128</v>
      </c>
      <c r="T530" t="s">
        <v>128</v>
      </c>
      <c r="U530" t="s">
        <v>128</v>
      </c>
      <c r="V530" t="s">
        <v>128</v>
      </c>
      <c r="W530" s="3" t="str">
        <f>HYPERLINK("http://exon.niaid.nih.gov/transcriptome/Anopheles_sialome/links/netoglyc/anochris_SG1-like2-netoglyc.txt","0")</f>
        <v>0</v>
      </c>
      <c r="X530">
        <v>8.9</v>
      </c>
      <c r="Y530">
        <v>3</v>
      </c>
      <c r="Z530">
        <v>3.5</v>
      </c>
      <c r="AA530" t="s">
        <v>654</v>
      </c>
      <c r="AB530" t="s">
        <v>128</v>
      </c>
      <c r="AC530" s="2" t="str">
        <f>HYPERLINK("http://exon.niaid.nih.gov/transcriptome/Anopheles_sialome/links/DIPTERA/anochris_SG1-like2-DIPTERA.txt","SG1-2")</f>
        <v>SG1-2</v>
      </c>
      <c r="AD530" t="str">
        <f>HYPERLINK("http://www.ncbi.nlm.nih.gov/sutils/blink.cgi?pid=445068798","1E-145")</f>
        <v>1E-145</v>
      </c>
      <c r="AE530" t="str">
        <f>HYPERLINK("http://www.ncbi.nlm.nih.gov/protein/445068798","gi|445068798")</f>
        <v>gi|445068798</v>
      </c>
      <c r="AF530">
        <v>64</v>
      </c>
      <c r="AG530">
        <v>78</v>
      </c>
      <c r="AH530">
        <v>101</v>
      </c>
      <c r="AI530" t="s">
        <v>2254</v>
      </c>
      <c r="AJ530" s="2" t="str">
        <f>HYPERLINK("http://exon.niaid.nih.gov/transcriptome/Anopheles_sialome/links/CULICOMORPHA/anochris_SG1-like2-CULICOMORPHA.txt","SG1-2")</f>
        <v>SG1-2</v>
      </c>
      <c r="AK530" t="str">
        <f>HYPERLINK("http://www.ncbi.nlm.nih.gov/sutils/blink.cgi?pid=445068798","1E-145")</f>
        <v>1E-145</v>
      </c>
      <c r="AL530" t="str">
        <f>HYPERLINK("http://www.ncbi.nlm.nih.gov/protein/445068798","gi|445068798")</f>
        <v>gi|445068798</v>
      </c>
      <c r="AM530">
        <v>64</v>
      </c>
      <c r="AN530">
        <v>78</v>
      </c>
      <c r="AO530">
        <v>101</v>
      </c>
      <c r="AP530" t="s">
        <v>2254</v>
      </c>
      <c r="AQ530" s="2" t="str">
        <f>HYPERLINK("http://exon.niaid.nih.gov/transcriptome/Anopheles_sialome/links/NR-LIGHT/anochris_SG1-like2-NR-LIGHT.txt","SG1-2")</f>
        <v>SG1-2</v>
      </c>
      <c r="AR530" t="str">
        <f>HYPERLINK("http://www.ncbi.nlm.nih.gov/sutils/blink.cgi?pid=445068798","1E-144")</f>
        <v>1E-144</v>
      </c>
      <c r="AS530" t="str">
        <f>HYPERLINK("http://www.ncbi.nlm.nih.gov/protein/445068798","gi|445068798")</f>
        <v>gi|445068798</v>
      </c>
      <c r="AT530">
        <v>64</v>
      </c>
      <c r="AU530">
        <v>78</v>
      </c>
      <c r="AV530">
        <v>101</v>
      </c>
      <c r="AW530" t="s">
        <v>2254</v>
      </c>
      <c r="AX530" s="2" t="str">
        <f>HYPERLINK("http://exon.niaid.nih.gov/transcriptome/Anopheles_sialome/links/CDD/anochris_SG1-like2-CDD.txt","mnmA")</f>
        <v>mnmA</v>
      </c>
      <c r="AY530" t="str">
        <f>HYPERLINK("http://www.ncbi.nlm.nih.gov/Structure/cdd/cddsrv.cgi?uid=PRK14665&amp;version=v4.0","2.2")</f>
        <v>2.2</v>
      </c>
      <c r="AZ530" t="s">
        <v>2917</v>
      </c>
      <c r="BA530" s="2" t="str">
        <f>HYPERLINK("http://exon.niaid.nih.gov/transcriptome/Anopheles_sialome/links/KOG/anochris_SG1-like2-KOG.txt","Actin-related protein - Arp5p")</f>
        <v>Actin-related protein - Arp5p</v>
      </c>
      <c r="BB530" t="str">
        <f>HYPERLINK("http://www.ncbi.nlm.nih.gov/Structure/cdd/cddsrv.cgi?uid=KOG0681","0.12")</f>
        <v>0.12</v>
      </c>
      <c r="BC530" t="s">
        <v>2312</v>
      </c>
      <c r="BD530" t="str">
        <f>HYPERLINK("http://exon.niaid.nih.gov/transcriptome/Anopheles_sialome/links/KOG/anochris_SG1-like2-KOG.txt","KOG0681")</f>
        <v>KOG0681</v>
      </c>
      <c r="BE530" t="str">
        <f>HYPERLINK("http://exon.niaid.nih.gov/transcriptome/Anopheles_sialome/links/PFAM/anochris_SG1-like2-PFAM.txt","Vitellogenin_N")</f>
        <v>Vitellogenin_N</v>
      </c>
      <c r="BF530" t="str">
        <f>HYPERLINK("http://pfam.sanger.ac.uk/family?acc=PF01347","1.2")</f>
        <v>1.2</v>
      </c>
      <c r="BG530" s="2" t="str">
        <f>HYPERLINK("http://exon.niaid.nih.gov/transcriptome/Anopheles_sialome/links/SMART/anochris_SG1-like2-SMART.txt","RPOLD")</f>
        <v>RPOLD</v>
      </c>
      <c r="BH530" t="str">
        <f>HYPERLINK("http://smart.embl-heidelberg.de/smart/do_annotation.pl?DOMAIN=RPOLD&amp;BLAST=DUMMY","1.4")</f>
        <v>1.4</v>
      </c>
      <c r="BI530" t="str">
        <f>HYPERLINK("http://exon.niaid.nih.gov/transcriptome/Anopheles_sialome/links/TICK-BLOCKS/anochris_SG1-like2-TICK-BLOCKS.txt","SG1_full |SG1_stringent_pattern |")</f>
        <v>SG1_full |SG1_stringent_pattern |</v>
      </c>
      <c r="BJ530" s="2" t="s">
        <v>2423</v>
      </c>
      <c r="BK530" t="s">
        <v>1832</v>
      </c>
      <c r="BL530">
        <f>HYPERLINK("http://exon.niaid.nih.gov/transcriptome/Anopheles_sialome/links/cluster-b/anopheline-sialome-cds-pep-larger-orf25-50SimCLU3.txt", 3)</f>
        <v>3</v>
      </c>
      <c r="BM530">
        <f>HYPERLINK("http://exon.niaid.nih.gov/transcriptome/Anopheles_sialome/links/cluster-b/anopheline-sialome-cds-pep-larger-orf25-50SimCLTL3.txt", 119)</f>
        <v>119</v>
      </c>
      <c r="BN530">
        <f>HYPERLINK("http://exon.niaid.nih.gov/transcriptome/Anopheles_sialome/links/cluster-b/anopheline-sialome-cds-pep-larger-orf30-50SimCLU3.txt", 3)</f>
        <v>3</v>
      </c>
      <c r="BO530">
        <f>HYPERLINK("http://exon.niaid.nih.gov/transcriptome/Anopheles_sialome/links/cluster-b/anopheline-sialome-cds-pep-larger-orf30-50SimCLTL3.txt", 119)</f>
        <v>119</v>
      </c>
      <c r="BP530">
        <f>HYPERLINK("http://exon.niaid.nih.gov/transcriptome/Anopheles_sialome/links/cluster-b/anopheline-sialome-cds-pep-larger-orf35-50SimCLU2.txt", 2)</f>
        <v>2</v>
      </c>
      <c r="BQ530">
        <f>HYPERLINK("http://exon.niaid.nih.gov/transcriptome/Anopheles_sialome/links/cluster-b/anopheline-sialome-cds-pep-larger-orf35-50SimCLTL2.txt", 119)</f>
        <v>119</v>
      </c>
      <c r="BR530">
        <f>HYPERLINK("http://exon.niaid.nih.gov/transcriptome/Anopheles_sialome/links/cluster-b/anopheline-sialome-cds-pep-larger-orf40-50SimCLU1.txt", 1)</f>
        <v>1</v>
      </c>
      <c r="BS530">
        <f>HYPERLINK("http://exon.niaid.nih.gov/transcriptome/Anopheles_sialome/links/cluster-b/anopheline-sialome-cds-pep-larger-orf40-50SimCLTL1.txt", 119)</f>
        <v>119</v>
      </c>
      <c r="BT530">
        <f>HYPERLINK("http://exon.niaid.nih.gov/transcriptome/Anopheles_sialome/links/cluster-b/anopheline-sialome-cds-pep-larger-orf45-50SimCLU22.txt", 22)</f>
        <v>22</v>
      </c>
      <c r="BU530">
        <f>HYPERLINK("http://exon.niaid.nih.gov/transcriptome/Anopheles_sialome/links/cluster-b/anopheline-sialome-cds-pep-larger-orf45-50SimCLTL22.txt", 18)</f>
        <v>18</v>
      </c>
      <c r="BV530">
        <f>HYPERLINK("http://exon.niaid.nih.gov/transcriptome/Anopheles_sialome/links/cluster-b/anopheline-sialome-cds-pep-larger-orf50-50SimCLU26.txt", 26)</f>
        <v>26</v>
      </c>
      <c r="BW530">
        <f>HYPERLINK("http://exon.niaid.nih.gov/transcriptome/Anopheles_sialome/links/cluster-b/anopheline-sialome-cds-pep-larger-orf50-50SimCLTL26.txt", 17)</f>
        <v>17</v>
      </c>
      <c r="BX530">
        <f>HYPERLINK("http://exon.niaid.nih.gov/transcriptome/Anopheles_sialome/links/cluster-b/anopheline-sialome-cds-pep-larger-orf55-50SimCLU32.txt", 32)</f>
        <v>32</v>
      </c>
      <c r="BY530">
        <f>HYPERLINK("http://exon.niaid.nih.gov/transcriptome/Anopheles_sialome/links/cluster-b/anopheline-sialome-cds-pep-larger-orf55-50SimCLTL32.txt", 15)</f>
        <v>15</v>
      </c>
      <c r="BZ530">
        <f>HYPERLINK("http://exon.niaid.nih.gov/transcriptome/Anopheles_sialome/links/cluster-b/anopheline-sialome-cds-pep-larger-orf60-50SimCLU33.txt", 33)</f>
        <v>33</v>
      </c>
      <c r="CA530">
        <f>HYPERLINK("http://exon.niaid.nih.gov/transcriptome/Anopheles_sialome/links/cluster-b/anopheline-sialome-cds-pep-larger-orf60-50SimCLTL33.txt", 13)</f>
        <v>13</v>
      </c>
      <c r="CB530">
        <f>HYPERLINK("http://exon.niaid.nih.gov/transcriptome/Anopheles_sialome/links/cluster-b/anopheline-sialome-cds-pep-larger-orf65-50SimCLU34.txt", 34)</f>
        <v>34</v>
      </c>
      <c r="CC530">
        <f>HYPERLINK("http://exon.niaid.nih.gov/transcriptome/Anopheles_sialome/links/cluster-b/anopheline-sialome-cds-pep-larger-orf65-50SimCLTL34.txt", 13)</f>
        <v>13</v>
      </c>
      <c r="CD530">
        <f>HYPERLINK("http://exon.niaid.nih.gov/transcriptome/Anopheles_sialome/links/cluster-b/anopheline-sialome-cds-pep-larger-orf70-50SimCLU35.txt", 35)</f>
        <v>35</v>
      </c>
      <c r="CE530">
        <f>HYPERLINK("http://exon.niaid.nih.gov/transcriptome/Anopheles_sialome/links/cluster-b/anopheline-sialome-cds-pep-larger-orf70-50SimCLTL35.txt", 13)</f>
        <v>13</v>
      </c>
      <c r="CF530">
        <f>HYPERLINK("http://exon.niaid.nih.gov/transcriptome/Anopheles_sialome/links/cluster-b/anopheline-sialome-cds-pep-larger-orf75-50SimCLU36.txt", 36)</f>
        <v>36</v>
      </c>
      <c r="CG530">
        <f>HYPERLINK("http://exon.niaid.nih.gov/transcriptome/Anopheles_sialome/links/cluster-b/anopheline-sialome-cds-pep-larger-orf75-50SimCLTL36.txt", 8)</f>
        <v>8</v>
      </c>
      <c r="CH530">
        <f>HYPERLINK("http://exon.niaid.nih.gov/transcriptome/Anopheles_sialome/links/cluster-b/anopheline-sialome-cds-pep-larger-orf80-50SimCLU95.txt", 95)</f>
        <v>95</v>
      </c>
      <c r="CI530">
        <f>HYPERLINK("http://exon.niaid.nih.gov/transcriptome/Anopheles_sialome/links/cluster-b/anopheline-sialome-cds-pep-larger-orf80-50SimCLTL95.txt", 2)</f>
        <v>2</v>
      </c>
      <c r="CJ530">
        <v>276</v>
      </c>
      <c r="CK530">
        <v>1</v>
      </c>
      <c r="CL530">
        <v>348</v>
      </c>
      <c r="CM530">
        <v>1</v>
      </c>
      <c r="CN530">
        <v>419</v>
      </c>
      <c r="CO530">
        <v>1</v>
      </c>
    </row>
    <row r="531" spans="1:93">
      <c r="A531" s="2" t="str">
        <f>HYPERLINK("http://exon.niaid.nih.gov/transcriptome/Anopheles_sialome/links/cds/anoepi_SG1-like2-cds.txt","anoepi_SG1-like2")</f>
        <v>anoepi_SG1-like2</v>
      </c>
      <c r="B531">
        <v>1227</v>
      </c>
      <c r="C531" t="s">
        <v>454</v>
      </c>
      <c r="D531" t="s">
        <v>4</v>
      </c>
      <c r="E531" t="s">
        <v>5</v>
      </c>
      <c r="F531" t="s">
        <v>1</v>
      </c>
      <c r="G531" t="str">
        <f>HYPERLINK("http://exon.niaid.nih.gov/transcriptome/Anopheles_sialome/links/pep/anoepi_SG1-like2-pep.txt","anoepi_SG1-like2")</f>
        <v>anoepi_SG1-like2</v>
      </c>
      <c r="H531">
        <v>408</v>
      </c>
      <c r="I531">
        <v>0</v>
      </c>
      <c r="J531" s="3" t="str">
        <f>HYPERLINK("http://exon.niaid.nih.gov/transcriptome/Anopheles_sialome/links/Sigp/anoepi_SG1-like2-SigP.txt","SIG")</f>
        <v>SIG</v>
      </c>
      <c r="K531" t="s">
        <v>1182</v>
      </c>
      <c r="L531">
        <v>47.741</v>
      </c>
      <c r="M531">
        <v>9.14</v>
      </c>
      <c r="N531">
        <v>44.871000000000002</v>
      </c>
      <c r="O531">
        <v>8.9600000000000009</v>
      </c>
      <c r="P531" t="s">
        <v>1835</v>
      </c>
      <c r="Q531" s="3">
        <v>0</v>
      </c>
      <c r="R531" t="s">
        <v>128</v>
      </c>
      <c r="S531" t="s">
        <v>128</v>
      </c>
      <c r="T531" t="s">
        <v>128</v>
      </c>
      <c r="U531" t="s">
        <v>128</v>
      </c>
      <c r="V531" t="s">
        <v>128</v>
      </c>
      <c r="W531" s="3" t="str">
        <f>HYPERLINK("http://exon.niaid.nih.gov/transcriptome/Anopheles_sialome/links/netoglyc/anoepi_SG1-like2-netoglyc.txt","0")</f>
        <v>0</v>
      </c>
      <c r="X531">
        <v>9.6</v>
      </c>
      <c r="Y531">
        <v>3.4</v>
      </c>
      <c r="Z531">
        <v>4.2</v>
      </c>
      <c r="AA531" t="s">
        <v>654</v>
      </c>
      <c r="AB531" t="s">
        <v>128</v>
      </c>
      <c r="AC531" s="2" t="str">
        <f>HYPERLINK("http://exon.niaid.nih.gov/transcriptome/Anopheles_sialome/links/DIPTERA/anoepi_SG1-like2-DIPTERA.txt","SG1-2")</f>
        <v>SG1-2</v>
      </c>
      <c r="AD531" t="str">
        <f>HYPERLINK("http://www.ncbi.nlm.nih.gov/sutils/blink.cgi?pid=445068830","1E-136")</f>
        <v>1E-136</v>
      </c>
      <c r="AE531" t="str">
        <f>HYPERLINK("http://www.ncbi.nlm.nih.gov/protein/445068830","gi|445068830")</f>
        <v>gi|445068830</v>
      </c>
      <c r="AF531">
        <v>60</v>
      </c>
      <c r="AG531">
        <v>74</v>
      </c>
      <c r="AH531">
        <v>102</v>
      </c>
      <c r="AI531" t="s">
        <v>2254</v>
      </c>
      <c r="AJ531" s="2" t="str">
        <f>HYPERLINK("http://exon.niaid.nih.gov/transcriptome/Anopheles_sialome/links/CULICOMORPHA/anoepi_SG1-like2-CULICOMORPHA.txt","SG1-2")</f>
        <v>SG1-2</v>
      </c>
      <c r="AK531" t="str">
        <f>HYPERLINK("http://www.ncbi.nlm.nih.gov/sutils/blink.cgi?pid=445068830","1E-137")</f>
        <v>1E-137</v>
      </c>
      <c r="AL531" t="str">
        <f>HYPERLINK("http://www.ncbi.nlm.nih.gov/protein/445068830","gi|445068830")</f>
        <v>gi|445068830</v>
      </c>
      <c r="AM531">
        <v>60</v>
      </c>
      <c r="AN531">
        <v>74</v>
      </c>
      <c r="AO531">
        <v>102</v>
      </c>
      <c r="AP531" t="s">
        <v>2254</v>
      </c>
      <c r="AQ531" s="2" t="str">
        <f>HYPERLINK("http://exon.niaid.nih.gov/transcriptome/Anopheles_sialome/links/NR-LIGHT/anoepi_SG1-like2-NR-LIGHT.txt","SG1-2")</f>
        <v>SG1-2</v>
      </c>
      <c r="AR531" t="str">
        <f>HYPERLINK("http://www.ncbi.nlm.nih.gov/sutils/blink.cgi?pid=445068862","1E-135")</f>
        <v>1E-135</v>
      </c>
      <c r="AS531" t="str">
        <f>HYPERLINK("http://www.ncbi.nlm.nih.gov/protein/445068862","gi|445068862")</f>
        <v>gi|445068862</v>
      </c>
      <c r="AT531">
        <v>60</v>
      </c>
      <c r="AU531">
        <v>73</v>
      </c>
      <c r="AV531">
        <v>102</v>
      </c>
      <c r="AW531" t="s">
        <v>2254</v>
      </c>
      <c r="AX531" s="2" t="str">
        <f>HYPERLINK("http://exon.niaid.nih.gov/transcriptome/Anopheles_sialome/links/CDD/anoepi_SG1-like2-CDD.txt","PTZ00200")</f>
        <v>PTZ00200</v>
      </c>
      <c r="AY531" t="str">
        <f>HYPERLINK("http://www.ncbi.nlm.nih.gov/Structure/cdd/cddsrv.cgi?uid=PTZ00200&amp;version=v4.0","0.18")</f>
        <v>0.18</v>
      </c>
      <c r="AZ531" t="s">
        <v>2918</v>
      </c>
      <c r="BA531" s="2" t="str">
        <f>HYPERLINK("http://exon.niaid.nih.gov/transcriptome/Anopheles_sialome/links/KOG/anoepi_SG1-like2-KOG.txt","Transcriptional activator of the JUN family")</f>
        <v>Transcriptional activator of the JUN family</v>
      </c>
      <c r="BB531" t="str">
        <f>HYPERLINK("http://www.ncbi.nlm.nih.gov/Structure/cdd/cddsrv.cgi?uid=KOG0837","0.97")</f>
        <v>0.97</v>
      </c>
      <c r="BC531" t="s">
        <v>2262</v>
      </c>
      <c r="BD531" t="str">
        <f>HYPERLINK("http://exon.niaid.nih.gov/transcriptome/Anopheles_sialome/links/KOG/anoepi_SG1-like2-KOG.txt","KOG0837")</f>
        <v>KOG0837</v>
      </c>
      <c r="BE531" t="str">
        <f>HYPERLINK("http://exon.niaid.nih.gov/transcriptome/Anopheles_sialome/links/PFAM/anoepi_SG1-like2-PFAM.txt","SPG48")</f>
        <v>SPG48</v>
      </c>
      <c r="BF531" t="str">
        <f>HYPERLINK("http://pfam.sanger.ac.uk/family?acc=PF14764","0.049")</f>
        <v>0.049</v>
      </c>
      <c r="BG531" s="2" t="str">
        <f>HYPERLINK("http://exon.niaid.nih.gov/transcriptome/Anopheles_sialome/links/SMART/anoepi_SG1-like2-SMART.txt","CRISPR_assoc")</f>
        <v>CRISPR_assoc</v>
      </c>
      <c r="BH531" t="str">
        <f>HYPERLINK("http://smart.embl-heidelberg.de/smart/do_annotation.pl?DOMAIN=CRISPR_assoc&amp;BLAST=DUMMY","0.32")</f>
        <v>0.32</v>
      </c>
      <c r="BI531" t="str">
        <f>HYPERLINK("http://exon.niaid.nih.gov/transcriptome/Anopheles_sialome/links/TICK-BLOCKS/anoepi_SG1-like2-TICK-BLOCKS.txt","SG1_full |SG1_stringent_pattern |")</f>
        <v>SG1_full |SG1_stringent_pattern |</v>
      </c>
      <c r="BJ531" s="2" t="s">
        <v>2423</v>
      </c>
      <c r="BK531" t="s">
        <v>1834</v>
      </c>
      <c r="BL531">
        <f>HYPERLINK("http://exon.niaid.nih.gov/transcriptome/Anopheles_sialome/links/cluster-b/anopheline-sialome-cds-pep-larger-orf25-50SimCLU3.txt", 3)</f>
        <v>3</v>
      </c>
      <c r="BM531">
        <f>HYPERLINK("http://exon.niaid.nih.gov/transcriptome/Anopheles_sialome/links/cluster-b/anopheline-sialome-cds-pep-larger-orf25-50SimCLTL3.txt", 119)</f>
        <v>119</v>
      </c>
      <c r="BN531">
        <f>HYPERLINK("http://exon.niaid.nih.gov/transcriptome/Anopheles_sialome/links/cluster-b/anopheline-sialome-cds-pep-larger-orf30-50SimCLU3.txt", 3)</f>
        <v>3</v>
      </c>
      <c r="BO531">
        <f>HYPERLINK("http://exon.niaid.nih.gov/transcriptome/Anopheles_sialome/links/cluster-b/anopheline-sialome-cds-pep-larger-orf30-50SimCLTL3.txt", 119)</f>
        <v>119</v>
      </c>
      <c r="BP531">
        <f>HYPERLINK("http://exon.niaid.nih.gov/transcriptome/Anopheles_sialome/links/cluster-b/anopheline-sialome-cds-pep-larger-orf35-50SimCLU2.txt", 2)</f>
        <v>2</v>
      </c>
      <c r="BQ531">
        <f>HYPERLINK("http://exon.niaid.nih.gov/transcriptome/Anopheles_sialome/links/cluster-b/anopheline-sialome-cds-pep-larger-orf35-50SimCLTL2.txt", 119)</f>
        <v>119</v>
      </c>
      <c r="BR531">
        <f>HYPERLINK("http://exon.niaid.nih.gov/transcriptome/Anopheles_sialome/links/cluster-b/anopheline-sialome-cds-pep-larger-orf40-50SimCLU1.txt", 1)</f>
        <v>1</v>
      </c>
      <c r="BS531">
        <f>HYPERLINK("http://exon.niaid.nih.gov/transcriptome/Anopheles_sialome/links/cluster-b/anopheline-sialome-cds-pep-larger-orf40-50SimCLTL1.txt", 119)</f>
        <v>119</v>
      </c>
      <c r="BT531">
        <f>HYPERLINK("http://exon.niaid.nih.gov/transcriptome/Anopheles_sialome/links/cluster-b/anopheline-sialome-cds-pep-larger-orf45-50SimCLU22.txt", 22)</f>
        <v>22</v>
      </c>
      <c r="BU531">
        <f>HYPERLINK("http://exon.niaid.nih.gov/transcriptome/Anopheles_sialome/links/cluster-b/anopheline-sialome-cds-pep-larger-orf45-50SimCLTL22.txt", 18)</f>
        <v>18</v>
      </c>
      <c r="BV531">
        <f>HYPERLINK("http://exon.niaid.nih.gov/transcriptome/Anopheles_sialome/links/cluster-b/anopheline-sialome-cds-pep-larger-orf50-50SimCLU26.txt", 26)</f>
        <v>26</v>
      </c>
      <c r="BW531">
        <f>HYPERLINK("http://exon.niaid.nih.gov/transcriptome/Anopheles_sialome/links/cluster-b/anopheline-sialome-cds-pep-larger-orf50-50SimCLTL26.txt", 17)</f>
        <v>17</v>
      </c>
      <c r="BX531">
        <f>HYPERLINK("http://exon.niaid.nih.gov/transcriptome/Anopheles_sialome/links/cluster-b/anopheline-sialome-cds-pep-larger-orf55-50SimCLU32.txt", 32)</f>
        <v>32</v>
      </c>
      <c r="BY531">
        <f>HYPERLINK("http://exon.niaid.nih.gov/transcriptome/Anopheles_sialome/links/cluster-b/anopheline-sialome-cds-pep-larger-orf55-50SimCLTL32.txt", 15)</f>
        <v>15</v>
      </c>
      <c r="BZ531">
        <f>HYPERLINK("http://exon.niaid.nih.gov/transcriptome/Anopheles_sialome/links/cluster-b/anopheline-sialome-cds-pep-larger-orf60-50SimCLU33.txt", 33)</f>
        <v>33</v>
      </c>
      <c r="CA531">
        <f>HYPERLINK("http://exon.niaid.nih.gov/transcriptome/Anopheles_sialome/links/cluster-b/anopheline-sialome-cds-pep-larger-orf60-50SimCLTL33.txt", 13)</f>
        <v>13</v>
      </c>
      <c r="CB531">
        <f>HYPERLINK("http://exon.niaid.nih.gov/transcriptome/Anopheles_sialome/links/cluster-b/anopheline-sialome-cds-pep-larger-orf65-50SimCLU34.txt", 34)</f>
        <v>34</v>
      </c>
      <c r="CC531">
        <f>HYPERLINK("http://exon.niaid.nih.gov/transcriptome/Anopheles_sialome/links/cluster-b/anopheline-sialome-cds-pep-larger-orf65-50SimCLTL34.txt", 13)</f>
        <v>13</v>
      </c>
      <c r="CD531">
        <f>HYPERLINK("http://exon.niaid.nih.gov/transcriptome/Anopheles_sialome/links/cluster-b/anopheline-sialome-cds-pep-larger-orf70-50SimCLU35.txt", 35)</f>
        <v>35</v>
      </c>
      <c r="CE531">
        <f>HYPERLINK("http://exon.niaid.nih.gov/transcriptome/Anopheles_sialome/links/cluster-b/anopheline-sialome-cds-pep-larger-orf70-50SimCLTL35.txt", 13)</f>
        <v>13</v>
      </c>
      <c r="CF531">
        <f>HYPERLINK("http://exon.niaid.nih.gov/transcriptome/Anopheles_sialome/links/cluster-b/anopheline-sialome-cds-pep-larger-orf75-50SimCLU36.txt", 36)</f>
        <v>36</v>
      </c>
      <c r="CG531">
        <f>HYPERLINK("http://exon.niaid.nih.gov/transcriptome/Anopheles_sialome/links/cluster-b/anopheline-sialome-cds-pep-larger-orf75-50SimCLTL36.txt", 8)</f>
        <v>8</v>
      </c>
      <c r="CH531">
        <f>HYPERLINK("http://exon.niaid.nih.gov/transcriptome/Anopheles_sialome/links/cluster-b/anopheline-sialome-cds-pep-larger-orf80-50SimCLU95.txt", 95)</f>
        <v>95</v>
      </c>
      <c r="CI531">
        <f>HYPERLINK("http://exon.niaid.nih.gov/transcriptome/Anopheles_sialome/links/cluster-b/anopheline-sialome-cds-pep-larger-orf80-50SimCLTL95.txt", 2)</f>
        <v>2</v>
      </c>
      <c r="CJ531">
        <v>277</v>
      </c>
      <c r="CK531">
        <v>1</v>
      </c>
      <c r="CL531">
        <v>349</v>
      </c>
      <c r="CM531">
        <v>1</v>
      </c>
      <c r="CN531">
        <v>420</v>
      </c>
      <c r="CO531">
        <v>1</v>
      </c>
    </row>
    <row r="532" spans="1:93">
      <c r="A532" s="2" t="str">
        <f>HYPERLINK("http://exon.niaid.nih.gov/transcriptome/Anopheles_sialome/links/cds/anofun_SG1-like2-cds.txt","anofun_SG1-like2")</f>
        <v>anofun_SG1-like2</v>
      </c>
      <c r="B532">
        <v>1221</v>
      </c>
      <c r="C532" t="s">
        <v>447</v>
      </c>
      <c r="D532" t="s">
        <v>7</v>
      </c>
      <c r="E532" t="s">
        <v>5</v>
      </c>
      <c r="F532" t="s">
        <v>1</v>
      </c>
      <c r="G532" t="str">
        <f>HYPERLINK("http://exon.niaid.nih.gov/transcriptome/Anopheles_sialome/links/pep/anofun_SG1-like2-pep.txt","anofun_SG1-like2")</f>
        <v>anofun_SG1-like2</v>
      </c>
      <c r="H532">
        <v>406</v>
      </c>
      <c r="I532">
        <v>0</v>
      </c>
      <c r="J532" s="3" t="str">
        <f>HYPERLINK("http://exon.niaid.nih.gov/transcriptome/Anopheles_sialome/links/Sigp/anofun_SG1-like2-SigP.txt","SIG")</f>
        <v>SIG</v>
      </c>
      <c r="K532" t="s">
        <v>715</v>
      </c>
      <c r="L532">
        <v>47.402000000000001</v>
      </c>
      <c r="M532">
        <v>9.14</v>
      </c>
      <c r="N532">
        <v>44.813000000000002</v>
      </c>
      <c r="O532">
        <v>9.1300000000000008</v>
      </c>
      <c r="P532" t="s">
        <v>1837</v>
      </c>
      <c r="Q532" s="3">
        <v>0</v>
      </c>
      <c r="R532" t="s">
        <v>128</v>
      </c>
      <c r="S532" t="s">
        <v>128</v>
      </c>
      <c r="T532" t="s">
        <v>128</v>
      </c>
      <c r="U532" t="s">
        <v>128</v>
      </c>
      <c r="V532" t="s">
        <v>128</v>
      </c>
      <c r="W532" s="3" t="str">
        <f>HYPERLINK("http://exon.niaid.nih.gov/transcriptome/Anopheles_sialome/links/netoglyc/anofun_SG1-like2-netoglyc.txt","1")</f>
        <v>1</v>
      </c>
      <c r="X532">
        <v>8.4</v>
      </c>
      <c r="Y532">
        <v>3.4</v>
      </c>
      <c r="Z532">
        <v>3.9</v>
      </c>
      <c r="AA532" t="s">
        <v>654</v>
      </c>
      <c r="AB532" t="s">
        <v>128</v>
      </c>
      <c r="AC532" s="2" t="str">
        <f>HYPERLINK("http://exon.niaid.nih.gov/transcriptome/Anopheles_sialome/links/DIPTERA/anofun_SG1-like2-DIPTERA.txt","SG1D salivary protein precursor")</f>
        <v>SG1D salivary protein precursor</v>
      </c>
      <c r="AD532" t="str">
        <f>HYPERLINK("http://www.ncbi.nlm.nih.gov/sutils/blink.cgi?pid=29501536","1E-125")</f>
        <v>1E-125</v>
      </c>
      <c r="AE532" t="str">
        <f>HYPERLINK("http://www.ncbi.nlm.nih.gov/protein/29501536","gi|29501536")</f>
        <v>gi|29501536</v>
      </c>
      <c r="AF532">
        <v>56</v>
      </c>
      <c r="AG532">
        <v>71</v>
      </c>
      <c r="AH532">
        <v>100</v>
      </c>
      <c r="AI532" t="s">
        <v>2271</v>
      </c>
      <c r="AJ532" s="2" t="str">
        <f>HYPERLINK("http://exon.niaid.nih.gov/transcriptome/Anopheles_sialome/links/CULICOMORPHA/anofun_SG1-like2-CULICOMORPHA.txt","SG1D salivary protein precursor")</f>
        <v>SG1D salivary protein precursor</v>
      </c>
      <c r="AK532" t="str">
        <f>HYPERLINK("http://www.ncbi.nlm.nih.gov/sutils/blink.cgi?pid=29501536","1E-125")</f>
        <v>1E-125</v>
      </c>
      <c r="AL532" t="str">
        <f>HYPERLINK("http://www.ncbi.nlm.nih.gov/protein/29501536","gi|29501536")</f>
        <v>gi|29501536</v>
      </c>
      <c r="AM532">
        <v>56</v>
      </c>
      <c r="AN532">
        <v>71</v>
      </c>
      <c r="AO532">
        <v>100</v>
      </c>
      <c r="AP532" t="s">
        <v>2271</v>
      </c>
      <c r="AQ532" s="2" t="str">
        <f>HYPERLINK("http://exon.niaid.nih.gov/transcriptome/Anopheles_sialome/links/NR-LIGHT/anofun_SG1-like2-NR-LIGHT.txt","SG1D salivary protein precursor")</f>
        <v>SG1D salivary protein precursor</v>
      </c>
      <c r="AR532" t="str">
        <f>HYPERLINK("http://www.ncbi.nlm.nih.gov/sutils/blink.cgi?pid=29501536","1E-124")</f>
        <v>1E-124</v>
      </c>
      <c r="AS532" t="str">
        <f>HYPERLINK("http://www.ncbi.nlm.nih.gov/protein/29501536","gi|29501536")</f>
        <v>gi|29501536</v>
      </c>
      <c r="AT532">
        <v>56</v>
      </c>
      <c r="AU532">
        <v>71</v>
      </c>
      <c r="AV532">
        <v>100</v>
      </c>
      <c r="AW532" t="s">
        <v>2271</v>
      </c>
      <c r="AX532" s="2" t="str">
        <f>HYPERLINK("http://exon.niaid.nih.gov/transcriptome/Anopheles_sialome/links/CDD/anofun_SG1-like2-CDD.txt","PRK07787")</f>
        <v>PRK07787</v>
      </c>
      <c r="AY532" t="str">
        <f>HYPERLINK("http://www.ncbi.nlm.nih.gov/Structure/cdd/cddsrv.cgi?uid=PRK07787&amp;version=v4.0","3.5")</f>
        <v>3.5</v>
      </c>
      <c r="AZ532" t="s">
        <v>2919</v>
      </c>
      <c r="BA532" s="2" t="str">
        <f>HYPERLINK("http://exon.niaid.nih.gov/transcriptome/Anopheles_sialome/links/KOG/anofun_SG1-like2-KOG.txt","Intermediate filament-like protein, sorting nexins, and related proteins containing PX (PhoX) domain(s)")</f>
        <v>Intermediate filament-like protein, sorting nexins, and related proteins containing PX (PhoX) domain(s)</v>
      </c>
      <c r="BB532" t="str">
        <f>HYPERLINK("http://www.ncbi.nlm.nih.gov/Structure/cdd/cddsrv.cgi?uid=KOG2101","0.83")</f>
        <v>0.83</v>
      </c>
      <c r="BC532" t="s">
        <v>2920</v>
      </c>
      <c r="BD532" t="str">
        <f>HYPERLINK("http://exon.niaid.nih.gov/transcriptome/Anopheles_sialome/links/KOG/anofun_SG1-like2-KOG.txt","KOG2101")</f>
        <v>KOG2101</v>
      </c>
      <c r="BE532" t="str">
        <f>HYPERLINK("http://exon.niaid.nih.gov/transcriptome/Anopheles_sialome/links/PFAM/anofun_SG1-like2-PFAM.txt","DUF2290")</f>
        <v>DUF2290</v>
      </c>
      <c r="BF532" t="str">
        <f>HYPERLINK("http://pfam.sanger.ac.uk/family?acc=PF10053","6.3")</f>
        <v>6.3</v>
      </c>
      <c r="BG532" s="2" t="str">
        <f>HYPERLINK("http://exon.niaid.nih.gov/transcriptome/Anopheles_sialome/links/SMART/anofun_SG1-like2-SMART.txt","POLBc")</f>
        <v>POLBc</v>
      </c>
      <c r="BH532" t="str">
        <f>HYPERLINK("http://smart.embl-heidelberg.de/smart/do_annotation.pl?DOMAIN=POLBc&amp;BLAST=DUMMY","0.27")</f>
        <v>0.27</v>
      </c>
      <c r="BI532" t="str">
        <f>HYPERLINK("http://exon.niaid.nih.gov/transcriptome/Anopheles_sialome/links/TICK-BLOCKS/anofun_SG1-like2-TICK-BLOCKS.txt","SG1_full |SG1_stringent_pattern |")</f>
        <v>SG1_full |SG1_stringent_pattern |</v>
      </c>
      <c r="BJ532" s="2" t="s">
        <v>2423</v>
      </c>
      <c r="BK532" t="s">
        <v>1836</v>
      </c>
      <c r="BL532">
        <f>HYPERLINK("http://exon.niaid.nih.gov/transcriptome/Anopheles_sialome/links/cluster-b/anopheline-sialome-cds-pep-larger-orf25-50SimCLU3.txt", 3)</f>
        <v>3</v>
      </c>
      <c r="BM532">
        <f>HYPERLINK("http://exon.niaid.nih.gov/transcriptome/Anopheles_sialome/links/cluster-b/anopheline-sialome-cds-pep-larger-orf25-50SimCLTL3.txt", 119)</f>
        <v>119</v>
      </c>
      <c r="BN532">
        <f>HYPERLINK("http://exon.niaid.nih.gov/transcriptome/Anopheles_sialome/links/cluster-b/anopheline-sialome-cds-pep-larger-orf30-50SimCLU3.txt", 3)</f>
        <v>3</v>
      </c>
      <c r="BO532">
        <f>HYPERLINK("http://exon.niaid.nih.gov/transcriptome/Anopheles_sialome/links/cluster-b/anopheline-sialome-cds-pep-larger-orf30-50SimCLTL3.txt", 119)</f>
        <v>119</v>
      </c>
      <c r="BP532">
        <f>HYPERLINK("http://exon.niaid.nih.gov/transcriptome/Anopheles_sialome/links/cluster-b/anopheline-sialome-cds-pep-larger-orf35-50SimCLU2.txt", 2)</f>
        <v>2</v>
      </c>
      <c r="BQ532">
        <f>HYPERLINK("http://exon.niaid.nih.gov/transcriptome/Anopheles_sialome/links/cluster-b/anopheline-sialome-cds-pep-larger-orf35-50SimCLTL2.txt", 119)</f>
        <v>119</v>
      </c>
      <c r="BR532">
        <f>HYPERLINK("http://exon.niaid.nih.gov/transcriptome/Anopheles_sialome/links/cluster-b/anopheline-sialome-cds-pep-larger-orf40-50SimCLU1.txt", 1)</f>
        <v>1</v>
      </c>
      <c r="BS532">
        <f>HYPERLINK("http://exon.niaid.nih.gov/transcriptome/Anopheles_sialome/links/cluster-b/anopheline-sialome-cds-pep-larger-orf40-50SimCLTL1.txt", 119)</f>
        <v>119</v>
      </c>
      <c r="BT532">
        <f>HYPERLINK("http://exon.niaid.nih.gov/transcriptome/Anopheles_sialome/links/cluster-b/anopheline-sialome-cds-pep-larger-orf45-50SimCLU22.txt", 22)</f>
        <v>22</v>
      </c>
      <c r="BU532">
        <f>HYPERLINK("http://exon.niaid.nih.gov/transcriptome/Anopheles_sialome/links/cluster-b/anopheline-sialome-cds-pep-larger-orf45-50SimCLTL22.txt", 18)</f>
        <v>18</v>
      </c>
      <c r="BV532">
        <f>HYPERLINK("http://exon.niaid.nih.gov/transcriptome/Anopheles_sialome/links/cluster-b/anopheline-sialome-cds-pep-larger-orf50-50SimCLU26.txt", 26)</f>
        <v>26</v>
      </c>
      <c r="BW532">
        <f>HYPERLINK("http://exon.niaid.nih.gov/transcriptome/Anopheles_sialome/links/cluster-b/anopheline-sialome-cds-pep-larger-orf50-50SimCLTL26.txt", 17)</f>
        <v>17</v>
      </c>
      <c r="BX532">
        <f>HYPERLINK("http://exon.niaid.nih.gov/transcriptome/Anopheles_sialome/links/cluster-b/anopheline-sialome-cds-pep-larger-orf55-50SimCLU32.txt", 32)</f>
        <v>32</v>
      </c>
      <c r="BY532">
        <f>HYPERLINK("http://exon.niaid.nih.gov/transcriptome/Anopheles_sialome/links/cluster-b/anopheline-sialome-cds-pep-larger-orf55-50SimCLTL32.txt", 15)</f>
        <v>15</v>
      </c>
      <c r="BZ532">
        <f>HYPERLINK("http://exon.niaid.nih.gov/transcriptome/Anopheles_sialome/links/cluster-b/anopheline-sialome-cds-pep-larger-orf60-50SimCLU33.txt", 33)</f>
        <v>33</v>
      </c>
      <c r="CA532">
        <f>HYPERLINK("http://exon.niaid.nih.gov/transcriptome/Anopheles_sialome/links/cluster-b/anopheline-sialome-cds-pep-larger-orf60-50SimCLTL33.txt", 13)</f>
        <v>13</v>
      </c>
      <c r="CB532">
        <f>HYPERLINK("http://exon.niaid.nih.gov/transcriptome/Anopheles_sialome/links/cluster-b/anopheline-sialome-cds-pep-larger-orf65-50SimCLU34.txt", 34)</f>
        <v>34</v>
      </c>
      <c r="CC532">
        <f>HYPERLINK("http://exon.niaid.nih.gov/transcriptome/Anopheles_sialome/links/cluster-b/anopheline-sialome-cds-pep-larger-orf65-50SimCLTL34.txt", 13)</f>
        <v>13</v>
      </c>
      <c r="CD532">
        <f>HYPERLINK("http://exon.niaid.nih.gov/transcriptome/Anopheles_sialome/links/cluster-b/anopheline-sialome-cds-pep-larger-orf70-50SimCLU35.txt", 35)</f>
        <v>35</v>
      </c>
      <c r="CE532">
        <f>HYPERLINK("http://exon.niaid.nih.gov/transcriptome/Anopheles_sialome/links/cluster-b/anopheline-sialome-cds-pep-larger-orf70-50SimCLTL35.txt", 13)</f>
        <v>13</v>
      </c>
      <c r="CF532">
        <f>HYPERLINK("http://exon.niaid.nih.gov/transcriptome/Anopheles_sialome/links/cluster-b/anopheline-sialome-cds-pep-larger-orf75-50SimCLU49.txt", 49)</f>
        <v>49</v>
      </c>
      <c r="CG532">
        <f>HYPERLINK("http://exon.niaid.nih.gov/transcriptome/Anopheles_sialome/links/cluster-b/anopheline-sialome-cds-pep-larger-orf75-50SimCLTL49.txt", 5)</f>
        <v>5</v>
      </c>
      <c r="CH532">
        <v>205</v>
      </c>
      <c r="CI532">
        <v>1</v>
      </c>
      <c r="CJ532">
        <v>278</v>
      </c>
      <c r="CK532">
        <v>1</v>
      </c>
      <c r="CL532">
        <v>350</v>
      </c>
      <c r="CM532">
        <v>1</v>
      </c>
      <c r="CN532">
        <v>421</v>
      </c>
      <c r="CO532">
        <v>1</v>
      </c>
    </row>
    <row r="533" spans="1:93">
      <c r="A533" s="2" t="str">
        <f>HYPERLINK("http://exon.niaid.nih.gov/transcriptome/Anopheles_sialome/links/cds/anomin_SG1-like2-cds.txt","anomin_SG1-like2")</f>
        <v>anomin_SG1-like2</v>
      </c>
      <c r="B533">
        <v>1218</v>
      </c>
      <c r="C533" t="s">
        <v>427</v>
      </c>
      <c r="D533" t="s">
        <v>7</v>
      </c>
      <c r="E533" t="s">
        <v>5</v>
      </c>
      <c r="F533" t="s">
        <v>1</v>
      </c>
      <c r="G533" t="str">
        <f>HYPERLINK("http://exon.niaid.nih.gov/transcriptome/Anopheles_sialome/links/pep/anomin_SG1-like2-pep.txt","anomin_SG1-like2")</f>
        <v>anomin_SG1-like2</v>
      </c>
      <c r="H533">
        <v>405</v>
      </c>
      <c r="I533">
        <v>0</v>
      </c>
      <c r="J533" s="3" t="str">
        <f>HYPERLINK("http://exon.niaid.nih.gov/transcriptome/Anopheles_sialome/links/Sigp/anomin_SG1-like2-SigP.txt","SIG")</f>
        <v>SIG</v>
      </c>
      <c r="K533" t="s">
        <v>715</v>
      </c>
      <c r="L533">
        <v>47.835000000000001</v>
      </c>
      <c r="M533">
        <v>9.1999999999999993</v>
      </c>
      <c r="N533">
        <v>45.192</v>
      </c>
      <c r="O533">
        <v>9.19</v>
      </c>
      <c r="P533" t="s">
        <v>1837</v>
      </c>
      <c r="Q533" s="3">
        <v>0</v>
      </c>
      <c r="R533" t="s">
        <v>128</v>
      </c>
      <c r="S533" t="s">
        <v>128</v>
      </c>
      <c r="T533" t="s">
        <v>128</v>
      </c>
      <c r="U533" t="s">
        <v>128</v>
      </c>
      <c r="V533" t="s">
        <v>128</v>
      </c>
      <c r="W533" s="3" t="str">
        <f>HYPERLINK("http://exon.niaid.nih.gov/transcriptome/Anopheles_sialome/links/netoglyc/anomin_SG1-like2-netoglyc.txt","0")</f>
        <v>0</v>
      </c>
      <c r="X533">
        <v>9.4</v>
      </c>
      <c r="Y533">
        <v>3.5</v>
      </c>
      <c r="Z533">
        <v>4.2</v>
      </c>
      <c r="AA533" t="s">
        <v>654</v>
      </c>
      <c r="AB533" t="s">
        <v>128</v>
      </c>
      <c r="AC533" s="2" t="str">
        <f>HYPERLINK("http://exon.niaid.nih.gov/transcriptome/Anopheles_sialome/links/DIPTERA/anomin_SG1-like2-DIPTERA.txt","SG1D salivary protein precursor")</f>
        <v>SG1D salivary protein precursor</v>
      </c>
      <c r="AD533" t="str">
        <f>HYPERLINK("http://www.ncbi.nlm.nih.gov/sutils/blink.cgi?pid=29501536","1E-122")</f>
        <v>1E-122</v>
      </c>
      <c r="AE533" t="str">
        <f>HYPERLINK("http://www.ncbi.nlm.nih.gov/protein/29501536","gi|29501536")</f>
        <v>gi|29501536</v>
      </c>
      <c r="AF533">
        <v>54</v>
      </c>
      <c r="AG533">
        <v>71</v>
      </c>
      <c r="AH533">
        <v>101</v>
      </c>
      <c r="AI533" t="s">
        <v>2271</v>
      </c>
      <c r="AJ533" s="2" t="str">
        <f>HYPERLINK("http://exon.niaid.nih.gov/transcriptome/Anopheles_sialome/links/CULICOMORPHA/anomin_SG1-like2-CULICOMORPHA.txt","SG1D salivary protein precursor")</f>
        <v>SG1D salivary protein precursor</v>
      </c>
      <c r="AK533" t="str">
        <f>HYPERLINK("http://www.ncbi.nlm.nih.gov/sutils/blink.cgi?pid=29501536","1E-123")</f>
        <v>1E-123</v>
      </c>
      <c r="AL533" t="str">
        <f>HYPERLINK("http://www.ncbi.nlm.nih.gov/protein/29501536","gi|29501536")</f>
        <v>gi|29501536</v>
      </c>
      <c r="AM533">
        <v>54</v>
      </c>
      <c r="AN533">
        <v>71</v>
      </c>
      <c r="AO533">
        <v>101</v>
      </c>
      <c r="AP533" t="s">
        <v>2271</v>
      </c>
      <c r="AQ533" s="2" t="str">
        <f>HYPERLINK("http://exon.niaid.nih.gov/transcriptome/Anopheles_sialome/links/NR-LIGHT/anomin_SG1-like2-NR-LIGHT.txt","SG1D salivary protein precursor")</f>
        <v>SG1D salivary protein precursor</v>
      </c>
      <c r="AR533" t="str">
        <f>HYPERLINK("http://www.ncbi.nlm.nih.gov/sutils/blink.cgi?pid=29501536","1E-121")</f>
        <v>1E-121</v>
      </c>
      <c r="AS533" t="str">
        <f>HYPERLINK("http://www.ncbi.nlm.nih.gov/protein/29501536","gi|29501536")</f>
        <v>gi|29501536</v>
      </c>
      <c r="AT533">
        <v>54</v>
      </c>
      <c r="AU533">
        <v>71</v>
      </c>
      <c r="AV533">
        <v>101</v>
      </c>
      <c r="AW533" t="s">
        <v>2271</v>
      </c>
      <c r="AX533" s="2" t="str">
        <f>HYPERLINK("http://exon.niaid.nih.gov/transcriptome/Anopheles_sialome/links/CDD/anomin_SG1-like2-CDD.txt","HyuA")</f>
        <v>HyuA</v>
      </c>
      <c r="AY533" t="str">
        <f>HYPERLINK("http://www.ncbi.nlm.nih.gov/Structure/cdd/cddsrv.cgi?uid=COG0145&amp;version=v4.0","0.009")</f>
        <v>0.009</v>
      </c>
      <c r="AZ533" t="s">
        <v>2921</v>
      </c>
      <c r="BA533" s="2" t="str">
        <f>HYPERLINK("http://exon.niaid.nih.gov/transcriptome/Anopheles_sialome/links/KOG/anomin_SG1-like2-KOG.txt","Vacuolar assembly/sorting protein VPS41")</f>
        <v>Vacuolar assembly/sorting protein VPS41</v>
      </c>
      <c r="BB533" t="str">
        <f>HYPERLINK("http://www.ncbi.nlm.nih.gov/Structure/cdd/cddsrv.cgi?uid=KOG2066","0.072")</f>
        <v>0.072</v>
      </c>
      <c r="BC533" t="s">
        <v>2487</v>
      </c>
      <c r="BD533" t="str">
        <f>HYPERLINK("http://exon.niaid.nih.gov/transcriptome/Anopheles_sialome/links/KOG/anomin_SG1-like2-KOG.txt","KOG2066")</f>
        <v>KOG2066</v>
      </c>
      <c r="BE533" t="str">
        <f>HYPERLINK("http://exon.niaid.nih.gov/transcriptome/Anopheles_sialome/links/PFAM/anomin_SG1-like2-PFAM.txt","Tricho_coat")</f>
        <v>Tricho_coat</v>
      </c>
      <c r="BF533" t="str">
        <f>HYPERLINK("http://pfam.sanger.ac.uk/family?acc=PF05892","1.0")</f>
        <v>1.0</v>
      </c>
      <c r="BG533" s="2" t="str">
        <f>HYPERLINK("http://exon.niaid.nih.gov/transcriptome/Anopheles_sialome/links/SMART/anomin_SG1-like2-SMART.txt","SERPIN")</f>
        <v>SERPIN</v>
      </c>
      <c r="BH533" t="str">
        <f>HYPERLINK("http://smart.embl-heidelberg.de/smart/do_annotation.pl?DOMAIN=SERPIN&amp;BLAST=DUMMY","1.0")</f>
        <v>1.0</v>
      </c>
      <c r="BI533" t="str">
        <f>HYPERLINK("http://exon.niaid.nih.gov/transcriptome/Anopheles_sialome/links/TICK-BLOCKS/anomin_SG1-like2-TICK-BLOCKS.txt","SG1_full |SG1_stringent_pattern |")</f>
        <v>SG1_full |SG1_stringent_pattern |</v>
      </c>
      <c r="BJ533" s="2" t="s">
        <v>2423</v>
      </c>
      <c r="BK533" t="s">
        <v>1838</v>
      </c>
      <c r="BL533">
        <f>HYPERLINK("http://exon.niaid.nih.gov/transcriptome/Anopheles_sialome/links/cluster-b/anopheline-sialome-cds-pep-larger-orf25-50SimCLU3.txt", 3)</f>
        <v>3</v>
      </c>
      <c r="BM533">
        <f>HYPERLINK("http://exon.niaid.nih.gov/transcriptome/Anopheles_sialome/links/cluster-b/anopheline-sialome-cds-pep-larger-orf25-50SimCLTL3.txt", 119)</f>
        <v>119</v>
      </c>
      <c r="BN533">
        <f>HYPERLINK("http://exon.niaid.nih.gov/transcriptome/Anopheles_sialome/links/cluster-b/anopheline-sialome-cds-pep-larger-orf30-50SimCLU3.txt", 3)</f>
        <v>3</v>
      </c>
      <c r="BO533">
        <f>HYPERLINK("http://exon.niaid.nih.gov/transcriptome/Anopheles_sialome/links/cluster-b/anopheline-sialome-cds-pep-larger-orf30-50SimCLTL3.txt", 119)</f>
        <v>119</v>
      </c>
      <c r="BP533">
        <f>HYPERLINK("http://exon.niaid.nih.gov/transcriptome/Anopheles_sialome/links/cluster-b/anopheline-sialome-cds-pep-larger-orf35-50SimCLU2.txt", 2)</f>
        <v>2</v>
      </c>
      <c r="BQ533">
        <f>HYPERLINK("http://exon.niaid.nih.gov/transcriptome/Anopheles_sialome/links/cluster-b/anopheline-sialome-cds-pep-larger-orf35-50SimCLTL2.txt", 119)</f>
        <v>119</v>
      </c>
      <c r="BR533">
        <f>HYPERLINK("http://exon.niaid.nih.gov/transcriptome/Anopheles_sialome/links/cluster-b/anopheline-sialome-cds-pep-larger-orf40-50SimCLU1.txt", 1)</f>
        <v>1</v>
      </c>
      <c r="BS533">
        <f>HYPERLINK("http://exon.niaid.nih.gov/transcriptome/Anopheles_sialome/links/cluster-b/anopheline-sialome-cds-pep-larger-orf40-50SimCLTL1.txt", 119)</f>
        <v>119</v>
      </c>
      <c r="BT533">
        <f>HYPERLINK("http://exon.niaid.nih.gov/transcriptome/Anopheles_sialome/links/cluster-b/anopheline-sialome-cds-pep-larger-orf45-50SimCLU22.txt", 22)</f>
        <v>22</v>
      </c>
      <c r="BU533">
        <f>HYPERLINK("http://exon.niaid.nih.gov/transcriptome/Anopheles_sialome/links/cluster-b/anopheline-sialome-cds-pep-larger-orf45-50SimCLTL22.txt", 18)</f>
        <v>18</v>
      </c>
      <c r="BV533">
        <f>HYPERLINK("http://exon.niaid.nih.gov/transcriptome/Anopheles_sialome/links/cluster-b/anopheline-sialome-cds-pep-larger-orf50-50SimCLU26.txt", 26)</f>
        <v>26</v>
      </c>
      <c r="BW533">
        <f>HYPERLINK("http://exon.niaid.nih.gov/transcriptome/Anopheles_sialome/links/cluster-b/anopheline-sialome-cds-pep-larger-orf50-50SimCLTL26.txt", 17)</f>
        <v>17</v>
      </c>
      <c r="BX533">
        <f>HYPERLINK("http://exon.niaid.nih.gov/transcriptome/Anopheles_sialome/links/cluster-b/anopheline-sialome-cds-pep-larger-orf55-50SimCLU32.txt", 32)</f>
        <v>32</v>
      </c>
      <c r="BY533">
        <f>HYPERLINK("http://exon.niaid.nih.gov/transcriptome/Anopheles_sialome/links/cluster-b/anopheline-sialome-cds-pep-larger-orf55-50SimCLTL32.txt", 15)</f>
        <v>15</v>
      </c>
      <c r="BZ533">
        <f>HYPERLINK("http://exon.niaid.nih.gov/transcriptome/Anopheles_sialome/links/cluster-b/anopheline-sialome-cds-pep-larger-orf60-50SimCLU33.txt", 33)</f>
        <v>33</v>
      </c>
      <c r="CA533">
        <f>HYPERLINK("http://exon.niaid.nih.gov/transcriptome/Anopheles_sialome/links/cluster-b/anopheline-sialome-cds-pep-larger-orf60-50SimCLTL33.txt", 13)</f>
        <v>13</v>
      </c>
      <c r="CB533">
        <f>HYPERLINK("http://exon.niaid.nih.gov/transcriptome/Anopheles_sialome/links/cluster-b/anopheline-sialome-cds-pep-larger-orf65-50SimCLU34.txt", 34)</f>
        <v>34</v>
      </c>
      <c r="CC533">
        <f>HYPERLINK("http://exon.niaid.nih.gov/transcriptome/Anopheles_sialome/links/cluster-b/anopheline-sialome-cds-pep-larger-orf65-50SimCLTL34.txt", 13)</f>
        <v>13</v>
      </c>
      <c r="CD533">
        <f>HYPERLINK("http://exon.niaid.nih.gov/transcriptome/Anopheles_sialome/links/cluster-b/anopheline-sialome-cds-pep-larger-orf70-50SimCLU35.txt", 35)</f>
        <v>35</v>
      </c>
      <c r="CE533">
        <f>HYPERLINK("http://exon.niaid.nih.gov/transcriptome/Anopheles_sialome/links/cluster-b/anopheline-sialome-cds-pep-larger-orf70-50SimCLTL35.txt", 13)</f>
        <v>13</v>
      </c>
      <c r="CF533">
        <f>HYPERLINK("http://exon.niaid.nih.gov/transcriptome/Anopheles_sialome/links/cluster-b/anopheline-sialome-cds-pep-larger-orf75-50SimCLU49.txt", 49)</f>
        <v>49</v>
      </c>
      <c r="CG533">
        <f>HYPERLINK("http://exon.niaid.nih.gov/transcriptome/Anopheles_sialome/links/cluster-b/anopheline-sialome-cds-pep-larger-orf75-50SimCLTL49.txt", 5)</f>
        <v>5</v>
      </c>
      <c r="CH533">
        <f>HYPERLINK("http://exon.niaid.nih.gov/transcriptome/Anopheles_sialome/links/cluster-b/anopheline-sialome-cds-pep-larger-orf80-50SimCLU96.txt", 96)</f>
        <v>96</v>
      </c>
      <c r="CI533">
        <f>HYPERLINK("http://exon.niaid.nih.gov/transcriptome/Anopheles_sialome/links/cluster-b/anopheline-sialome-cds-pep-larger-orf80-50SimCLTL96.txt", 2)</f>
        <v>2</v>
      </c>
      <c r="CJ533">
        <f>HYPERLINK("http://exon.niaid.nih.gov/transcriptome/Anopheles_sialome/links/cluster-b/anopheline-sialome-cds-pep-larger-orf85-50SimCLU96.txt", 96)</f>
        <v>96</v>
      </c>
      <c r="CK533">
        <f>HYPERLINK("http://exon.niaid.nih.gov/transcriptome/Anopheles_sialome/links/cluster-b/anopheline-sialome-cds-pep-larger-orf85-50SimCLTL96.txt", 2)</f>
        <v>2</v>
      </c>
      <c r="CL533">
        <v>351</v>
      </c>
      <c r="CM533">
        <v>1</v>
      </c>
      <c r="CN533">
        <v>422</v>
      </c>
      <c r="CO533">
        <v>1</v>
      </c>
    </row>
    <row r="534" spans="1:93">
      <c r="A534" s="2" t="str">
        <f>HYPERLINK("http://exon.niaid.nih.gov/transcriptome/Anopheles_sialome/links/cds/anocul_SG1-like2-cds.txt","anocul_SG1-like2")</f>
        <v>anocul_SG1-like2</v>
      </c>
      <c r="B534">
        <v>1224</v>
      </c>
      <c r="C534" t="s">
        <v>455</v>
      </c>
      <c r="D534" t="s">
        <v>4</v>
      </c>
      <c r="E534" t="s">
        <v>5</v>
      </c>
      <c r="F534" t="s">
        <v>1</v>
      </c>
      <c r="G534" t="str">
        <f>HYPERLINK("http://exon.niaid.nih.gov/transcriptome/Anopheles_sialome/links/pep/anocul_SG1-like2-pep.txt","anocul_SG1-like2")</f>
        <v>anocul_SG1-like2</v>
      </c>
      <c r="H534">
        <v>407</v>
      </c>
      <c r="I534">
        <v>1</v>
      </c>
      <c r="J534" s="3" t="str">
        <f>HYPERLINK("http://exon.niaid.nih.gov/transcriptome/Anopheles_sialome/links/Sigp/anocul_SG1-like2-SigP.txt","SIG")</f>
        <v>SIG</v>
      </c>
      <c r="K534" t="s">
        <v>708</v>
      </c>
      <c r="L534">
        <v>47.9</v>
      </c>
      <c r="M534">
        <v>9.17</v>
      </c>
      <c r="N534">
        <v>45.354999999999997</v>
      </c>
      <c r="O534">
        <v>9.16</v>
      </c>
      <c r="P534" t="s">
        <v>1840</v>
      </c>
      <c r="Q534" s="3">
        <v>0</v>
      </c>
      <c r="R534" t="s">
        <v>128</v>
      </c>
      <c r="S534" t="s">
        <v>128</v>
      </c>
      <c r="T534" t="s">
        <v>128</v>
      </c>
      <c r="U534" t="s">
        <v>128</v>
      </c>
      <c r="V534" t="s">
        <v>128</v>
      </c>
      <c r="W534" s="3" t="str">
        <f>HYPERLINK("http://exon.niaid.nih.gov/transcriptome/Anopheles_sialome/links/netoglyc/anocul_SG1-like2-netoglyc.txt","1")</f>
        <v>1</v>
      </c>
      <c r="X534">
        <v>9.3000000000000007</v>
      </c>
      <c r="Y534">
        <v>2.9</v>
      </c>
      <c r="Z534">
        <v>4.2</v>
      </c>
      <c r="AA534" t="s">
        <v>654</v>
      </c>
      <c r="AB534" t="s">
        <v>128</v>
      </c>
      <c r="AC534" s="2" t="str">
        <f>HYPERLINK("http://exon.niaid.nih.gov/transcriptome/Anopheles_sialome/links/DIPTERA/anocul_SG1-like2-DIPTERA.txt","SG1D salivary protein precursor")</f>
        <v>SG1D salivary protein precursor</v>
      </c>
      <c r="AD534" t="str">
        <f>HYPERLINK("http://www.ncbi.nlm.nih.gov/sutils/blink.cgi?pid=29501536","1E-130")</f>
        <v>1E-130</v>
      </c>
      <c r="AE534" t="str">
        <f>HYPERLINK("http://www.ncbi.nlm.nih.gov/protein/29501536","gi|29501536")</f>
        <v>gi|29501536</v>
      </c>
      <c r="AF534">
        <v>55</v>
      </c>
      <c r="AG534">
        <v>74</v>
      </c>
      <c r="AH534">
        <v>101</v>
      </c>
      <c r="AI534" t="s">
        <v>2271</v>
      </c>
      <c r="AJ534" s="2" t="str">
        <f>HYPERLINK("http://exon.niaid.nih.gov/transcriptome/Anopheles_sialome/links/CULICOMORPHA/anocul_SG1-like2-CULICOMORPHA.txt","SG1D salivary protein precursor")</f>
        <v>SG1D salivary protein precursor</v>
      </c>
      <c r="AK534" t="str">
        <f>HYPERLINK("http://www.ncbi.nlm.nih.gov/sutils/blink.cgi?pid=29501536","1E-131")</f>
        <v>1E-131</v>
      </c>
      <c r="AL534" t="str">
        <f>HYPERLINK("http://www.ncbi.nlm.nih.gov/protein/29501536","gi|29501536")</f>
        <v>gi|29501536</v>
      </c>
      <c r="AM534">
        <v>55</v>
      </c>
      <c r="AN534">
        <v>74</v>
      </c>
      <c r="AO534">
        <v>101</v>
      </c>
      <c r="AP534" t="s">
        <v>2271</v>
      </c>
      <c r="AQ534" s="2" t="str">
        <f>HYPERLINK("http://exon.niaid.nih.gov/transcriptome/Anopheles_sialome/links/NR-LIGHT/anocul_SG1-like2-NR-LIGHT.txt","SG1D salivary protein precursor")</f>
        <v>SG1D salivary protein precursor</v>
      </c>
      <c r="AR534" t="str">
        <f>HYPERLINK("http://www.ncbi.nlm.nih.gov/sutils/blink.cgi?pid=29501536","1E-130")</f>
        <v>1E-130</v>
      </c>
      <c r="AS534" t="str">
        <f>HYPERLINK("http://www.ncbi.nlm.nih.gov/protein/29501536","gi|29501536")</f>
        <v>gi|29501536</v>
      </c>
      <c r="AT534">
        <v>55</v>
      </c>
      <c r="AU534">
        <v>74</v>
      </c>
      <c r="AV534">
        <v>101</v>
      </c>
      <c r="AW534" t="s">
        <v>2271</v>
      </c>
      <c r="AX534" s="2" t="str">
        <f>HYPERLINK("http://exon.niaid.nih.gov/transcriptome/Anopheles_sialome/links/CDD/anocul_SG1-like2-CDD.txt","SGNH_plant_lipa")</f>
        <v>SGNH_plant_lipa</v>
      </c>
      <c r="AY534" t="str">
        <f>HYPERLINK("http://www.ncbi.nlm.nih.gov/Structure/cdd/cddsrv.cgi?uid=cd01837&amp;version=v4.0","1.0")</f>
        <v>1.0</v>
      </c>
      <c r="AZ534" t="s">
        <v>2922</v>
      </c>
      <c r="BA534" s="2" t="str">
        <f>HYPERLINK("http://exon.niaid.nih.gov/transcriptome/Anopheles_sialome/links/KOG/anocul_SG1-like2-KOG.txt","Uncharacterized conserved glycine-rich protein")</f>
        <v>Uncharacterized conserved glycine-rich protein</v>
      </c>
      <c r="BB534" t="str">
        <f>HYPERLINK("http://www.ncbi.nlm.nih.gov/Structure/cdd/cddsrv.cgi?uid=KOG3973","1.5")</f>
        <v>1.5</v>
      </c>
      <c r="BC534" t="s">
        <v>2304</v>
      </c>
      <c r="BD534" t="str">
        <f>HYPERLINK("http://exon.niaid.nih.gov/transcriptome/Anopheles_sialome/links/KOG/anocul_SG1-like2-KOG.txt","KOG3973")</f>
        <v>KOG3973</v>
      </c>
      <c r="BE534" t="str">
        <f>HYPERLINK("http://exon.niaid.nih.gov/transcriptome/Anopheles_sialome/links/PFAM/anocul_SG1-like2-PFAM.txt","Methyltransf_32")</f>
        <v>Methyltransf_32</v>
      </c>
      <c r="BF534" t="str">
        <f>HYPERLINK("http://pfam.sanger.ac.uk/family?acc=PF13679","3.9")</f>
        <v>3.9</v>
      </c>
      <c r="BG534" s="2" t="str">
        <f>HYPERLINK("http://exon.niaid.nih.gov/transcriptome/Anopheles_sialome/links/SMART/anocul_SG1-like2-SMART.txt","TOP1Ac")</f>
        <v>TOP1Ac</v>
      </c>
      <c r="BH534" t="str">
        <f>HYPERLINK("http://smart.embl-heidelberg.de/smart/do_annotation.pl?DOMAIN=TOP1Ac&amp;BLAST=DUMMY","0.054")</f>
        <v>0.054</v>
      </c>
      <c r="BI534" t="str">
        <f>HYPERLINK("http://exon.niaid.nih.gov/transcriptome/Anopheles_sialome/links/TICK-BLOCKS/anocul_SG1-like2-TICK-BLOCKS.txt","SG1_full |SG1_stringent_pattern |")</f>
        <v>SG1_full |SG1_stringent_pattern |</v>
      </c>
      <c r="BJ534" s="2" t="s">
        <v>2423</v>
      </c>
      <c r="BK534" t="s">
        <v>1839</v>
      </c>
      <c r="BL534">
        <f>HYPERLINK("http://exon.niaid.nih.gov/transcriptome/Anopheles_sialome/links/cluster-b/anopheline-sialome-cds-pep-larger-orf25-50SimCLU3.txt", 3)</f>
        <v>3</v>
      </c>
      <c r="BM534">
        <f>HYPERLINK("http://exon.niaid.nih.gov/transcriptome/Anopheles_sialome/links/cluster-b/anopheline-sialome-cds-pep-larger-orf25-50SimCLTL3.txt", 119)</f>
        <v>119</v>
      </c>
      <c r="BN534">
        <f>HYPERLINK("http://exon.niaid.nih.gov/transcriptome/Anopheles_sialome/links/cluster-b/anopheline-sialome-cds-pep-larger-orf30-50SimCLU3.txt", 3)</f>
        <v>3</v>
      </c>
      <c r="BO534">
        <f>HYPERLINK("http://exon.niaid.nih.gov/transcriptome/Anopheles_sialome/links/cluster-b/anopheline-sialome-cds-pep-larger-orf30-50SimCLTL3.txt", 119)</f>
        <v>119</v>
      </c>
      <c r="BP534">
        <f>HYPERLINK("http://exon.niaid.nih.gov/transcriptome/Anopheles_sialome/links/cluster-b/anopheline-sialome-cds-pep-larger-orf35-50SimCLU2.txt", 2)</f>
        <v>2</v>
      </c>
      <c r="BQ534">
        <f>HYPERLINK("http://exon.niaid.nih.gov/transcriptome/Anopheles_sialome/links/cluster-b/anopheline-sialome-cds-pep-larger-orf35-50SimCLTL2.txt", 119)</f>
        <v>119</v>
      </c>
      <c r="BR534">
        <f>HYPERLINK("http://exon.niaid.nih.gov/transcriptome/Anopheles_sialome/links/cluster-b/anopheline-sialome-cds-pep-larger-orf40-50SimCLU1.txt", 1)</f>
        <v>1</v>
      </c>
      <c r="BS534">
        <f>HYPERLINK("http://exon.niaid.nih.gov/transcriptome/Anopheles_sialome/links/cluster-b/anopheline-sialome-cds-pep-larger-orf40-50SimCLTL1.txt", 119)</f>
        <v>119</v>
      </c>
      <c r="BT534">
        <f>HYPERLINK("http://exon.niaid.nih.gov/transcriptome/Anopheles_sialome/links/cluster-b/anopheline-sialome-cds-pep-larger-orf45-50SimCLU22.txt", 22)</f>
        <v>22</v>
      </c>
      <c r="BU534">
        <f>HYPERLINK("http://exon.niaid.nih.gov/transcriptome/Anopheles_sialome/links/cluster-b/anopheline-sialome-cds-pep-larger-orf45-50SimCLTL22.txt", 18)</f>
        <v>18</v>
      </c>
      <c r="BV534">
        <f>HYPERLINK("http://exon.niaid.nih.gov/transcriptome/Anopheles_sialome/links/cluster-b/anopheline-sialome-cds-pep-larger-orf50-50SimCLU26.txt", 26)</f>
        <v>26</v>
      </c>
      <c r="BW534">
        <f>HYPERLINK("http://exon.niaid.nih.gov/transcriptome/Anopheles_sialome/links/cluster-b/anopheline-sialome-cds-pep-larger-orf50-50SimCLTL26.txt", 17)</f>
        <v>17</v>
      </c>
      <c r="BX534">
        <f>HYPERLINK("http://exon.niaid.nih.gov/transcriptome/Anopheles_sialome/links/cluster-b/anopheline-sialome-cds-pep-larger-orf55-50SimCLU32.txt", 32)</f>
        <v>32</v>
      </c>
      <c r="BY534">
        <f>HYPERLINK("http://exon.niaid.nih.gov/transcriptome/Anopheles_sialome/links/cluster-b/anopheline-sialome-cds-pep-larger-orf55-50SimCLTL32.txt", 15)</f>
        <v>15</v>
      </c>
      <c r="BZ534">
        <f>HYPERLINK("http://exon.niaid.nih.gov/transcriptome/Anopheles_sialome/links/cluster-b/anopheline-sialome-cds-pep-larger-orf60-50SimCLU33.txt", 33)</f>
        <v>33</v>
      </c>
      <c r="CA534">
        <f>HYPERLINK("http://exon.niaid.nih.gov/transcriptome/Anopheles_sialome/links/cluster-b/anopheline-sialome-cds-pep-larger-orf60-50SimCLTL33.txt", 13)</f>
        <v>13</v>
      </c>
      <c r="CB534">
        <f>HYPERLINK("http://exon.niaid.nih.gov/transcriptome/Anopheles_sialome/links/cluster-b/anopheline-sialome-cds-pep-larger-orf65-50SimCLU34.txt", 34)</f>
        <v>34</v>
      </c>
      <c r="CC534">
        <f>HYPERLINK("http://exon.niaid.nih.gov/transcriptome/Anopheles_sialome/links/cluster-b/anopheline-sialome-cds-pep-larger-orf65-50SimCLTL34.txt", 13)</f>
        <v>13</v>
      </c>
      <c r="CD534">
        <f>HYPERLINK("http://exon.niaid.nih.gov/transcriptome/Anopheles_sialome/links/cluster-b/anopheline-sialome-cds-pep-larger-orf70-50SimCLU35.txt", 35)</f>
        <v>35</v>
      </c>
      <c r="CE534">
        <f>HYPERLINK("http://exon.niaid.nih.gov/transcriptome/Anopheles_sialome/links/cluster-b/anopheline-sialome-cds-pep-larger-orf70-50SimCLTL35.txt", 13)</f>
        <v>13</v>
      </c>
      <c r="CF534">
        <f>HYPERLINK("http://exon.niaid.nih.gov/transcriptome/Anopheles_sialome/links/cluster-b/anopheline-sialome-cds-pep-larger-orf75-50SimCLU49.txt", 49)</f>
        <v>49</v>
      </c>
      <c r="CG534">
        <f>HYPERLINK("http://exon.niaid.nih.gov/transcriptome/Anopheles_sialome/links/cluster-b/anopheline-sialome-cds-pep-larger-orf75-50SimCLTL49.txt", 5)</f>
        <v>5</v>
      </c>
      <c r="CH534">
        <f>HYPERLINK("http://exon.niaid.nih.gov/transcriptome/Anopheles_sialome/links/cluster-b/anopheline-sialome-cds-pep-larger-orf80-50SimCLU96.txt", 96)</f>
        <v>96</v>
      </c>
      <c r="CI534">
        <f>HYPERLINK("http://exon.niaid.nih.gov/transcriptome/Anopheles_sialome/links/cluster-b/anopheline-sialome-cds-pep-larger-orf80-50SimCLTL96.txt", 2)</f>
        <v>2</v>
      </c>
      <c r="CJ534">
        <f>HYPERLINK("http://exon.niaid.nih.gov/transcriptome/Anopheles_sialome/links/cluster-b/anopheline-sialome-cds-pep-larger-orf85-50SimCLU96.txt", 96)</f>
        <v>96</v>
      </c>
      <c r="CK534">
        <f>HYPERLINK("http://exon.niaid.nih.gov/transcriptome/Anopheles_sialome/links/cluster-b/anopheline-sialome-cds-pep-larger-orf85-50SimCLTL96.txt", 2)</f>
        <v>2</v>
      </c>
      <c r="CL534">
        <v>352</v>
      </c>
      <c r="CM534">
        <v>1</v>
      </c>
      <c r="CN534">
        <v>423</v>
      </c>
      <c r="CO534">
        <v>1</v>
      </c>
    </row>
    <row r="535" spans="1:93">
      <c r="A535" s="2" t="str">
        <f>HYPERLINK("http://exon.niaid.nih.gov/transcriptome/Anopheles_sialome/links/cds/anoste_SG1-like2-cds.txt","anoste_SG1-like2")</f>
        <v>anoste_SG1-like2</v>
      </c>
      <c r="B535">
        <v>1215</v>
      </c>
      <c r="C535" t="s">
        <v>456</v>
      </c>
      <c r="D535" t="s">
        <v>4</v>
      </c>
      <c r="E535" t="s">
        <v>5</v>
      </c>
      <c r="F535" t="s">
        <v>1</v>
      </c>
      <c r="G535" t="str">
        <f>HYPERLINK("http://exon.niaid.nih.gov/transcriptome/Anopheles_sialome/links/pep/anoste_SG1-like2-pep.txt","anoste_SG1-like2")</f>
        <v>anoste_SG1-like2</v>
      </c>
      <c r="H535">
        <v>404</v>
      </c>
      <c r="I535">
        <v>0</v>
      </c>
      <c r="J535" s="3" t="str">
        <f>HYPERLINK("http://exon.niaid.nih.gov/transcriptome/Anopheles_sialome/links/Sigp/anoste_SG1-like2-SigP.txt","SIG")</f>
        <v>SIG</v>
      </c>
      <c r="K535" t="s">
        <v>715</v>
      </c>
      <c r="L535">
        <v>46.75</v>
      </c>
      <c r="M535">
        <v>9.4600000000000009</v>
      </c>
      <c r="N535">
        <v>44.203000000000003</v>
      </c>
      <c r="O535">
        <v>9.57</v>
      </c>
      <c r="P535" t="s">
        <v>1842</v>
      </c>
      <c r="Q535" s="3">
        <v>0</v>
      </c>
      <c r="R535" t="s">
        <v>128</v>
      </c>
      <c r="S535" t="s">
        <v>128</v>
      </c>
      <c r="T535" t="s">
        <v>128</v>
      </c>
      <c r="U535" t="s">
        <v>128</v>
      </c>
      <c r="V535" t="s">
        <v>128</v>
      </c>
      <c r="W535" s="3" t="str">
        <f>HYPERLINK("http://exon.niaid.nih.gov/transcriptome/Anopheles_sialome/links/netoglyc/anoste_SG1-like2-netoglyc.txt","1")</f>
        <v>1</v>
      </c>
      <c r="X535">
        <v>9.4</v>
      </c>
      <c r="Y535">
        <v>3.5</v>
      </c>
      <c r="Z535">
        <v>3.2</v>
      </c>
      <c r="AA535" t="s">
        <v>654</v>
      </c>
      <c r="AB535" t="s">
        <v>128</v>
      </c>
      <c r="AC535" s="2" t="str">
        <f>HYPERLINK("http://exon.niaid.nih.gov/transcriptome/Anopheles_sialome/links/DIPTERA/anoste_SG1-like2-DIPTERA.txt","SG1D salivary protein precursor")</f>
        <v>SG1D salivary protein precursor</v>
      </c>
      <c r="AD535" t="str">
        <f>HYPERLINK("http://www.ncbi.nlm.nih.gov/sutils/blink.cgi?pid=29501536","0.0")</f>
        <v>0.0</v>
      </c>
      <c r="AE535" t="str">
        <f>HYPERLINK("http://www.ncbi.nlm.nih.gov/protein/29501536","gi|29501536")</f>
        <v>gi|29501536</v>
      </c>
      <c r="AF535">
        <v>97</v>
      </c>
      <c r="AG535">
        <v>98</v>
      </c>
      <c r="AH535">
        <v>100</v>
      </c>
      <c r="AI535" t="s">
        <v>2271</v>
      </c>
      <c r="AJ535" s="2" t="str">
        <f>HYPERLINK("http://exon.niaid.nih.gov/transcriptome/Anopheles_sialome/links/CULICOMORPHA/anoste_SG1-like2-CULICOMORPHA.txt","SG1D salivary protein precursor")</f>
        <v>SG1D salivary protein precursor</v>
      </c>
      <c r="AK535" t="str">
        <f>HYPERLINK("http://www.ncbi.nlm.nih.gov/sutils/blink.cgi?pid=29501536","0.0")</f>
        <v>0.0</v>
      </c>
      <c r="AL535" t="str">
        <f>HYPERLINK("http://www.ncbi.nlm.nih.gov/protein/29501536","gi|29501536")</f>
        <v>gi|29501536</v>
      </c>
      <c r="AM535">
        <v>97</v>
      </c>
      <c r="AN535">
        <v>98</v>
      </c>
      <c r="AO535">
        <v>100</v>
      </c>
      <c r="AP535" t="s">
        <v>2271</v>
      </c>
      <c r="AQ535" s="2" t="str">
        <f>HYPERLINK("http://exon.niaid.nih.gov/transcriptome/Anopheles_sialome/links/NR-LIGHT/anoste_SG1-like2-NR-LIGHT.txt","SG1D salivary protein precursor")</f>
        <v>SG1D salivary protein precursor</v>
      </c>
      <c r="AR535" t="str">
        <f>HYPERLINK("http://www.ncbi.nlm.nih.gov/sutils/blink.cgi?pid=29501536","0.0")</f>
        <v>0.0</v>
      </c>
      <c r="AS535" t="str">
        <f>HYPERLINK("http://www.ncbi.nlm.nih.gov/protein/29501536","gi|29501536")</f>
        <v>gi|29501536</v>
      </c>
      <c r="AT535">
        <v>97</v>
      </c>
      <c r="AU535">
        <v>98</v>
      </c>
      <c r="AV535">
        <v>100</v>
      </c>
      <c r="AW535" t="s">
        <v>2271</v>
      </c>
      <c r="AX535" s="2" t="str">
        <f>HYPERLINK("http://exon.niaid.nih.gov/transcriptome/Anopheles_sialome/links/CDD/anoste_SG1-like2-CDD.txt","tRNA-splicing_e")</f>
        <v>tRNA-splicing_e</v>
      </c>
      <c r="AY535" t="str">
        <f>HYPERLINK("http://www.ncbi.nlm.nih.gov/Structure/cdd/cddsrv.cgi?uid=TIGR00324&amp;version=v4.0","1.2")</f>
        <v>1.2</v>
      </c>
      <c r="AZ535" t="s">
        <v>2923</v>
      </c>
      <c r="BA535" s="2" t="str">
        <f>HYPERLINK("http://exon.niaid.nih.gov/transcriptome/Anopheles_sialome/links/KOG/anoste_SG1-like2-KOG.txt","Predicted DNA-binding protein")</f>
        <v>Predicted DNA-binding protein</v>
      </c>
      <c r="BB535" t="str">
        <f>HYPERLINK("http://www.ncbi.nlm.nih.gov/Structure/cdd/cddsrv.cgi?uid=KOG2588","0.79")</f>
        <v>0.79</v>
      </c>
      <c r="BC535" t="s">
        <v>2262</v>
      </c>
      <c r="BD535" t="str">
        <f>HYPERLINK("http://exon.niaid.nih.gov/transcriptome/Anopheles_sialome/links/KOG/anoste_SG1-like2-KOG.txt","KOG2588")</f>
        <v>KOG2588</v>
      </c>
      <c r="BE535" t="str">
        <f>HYPERLINK("http://exon.niaid.nih.gov/transcriptome/Anopheles_sialome/links/PFAM/anoste_SG1-like2-PFAM.txt","MSP1_C")</f>
        <v>MSP1_C</v>
      </c>
      <c r="BF535" t="str">
        <f>HYPERLINK("http://pfam.sanger.ac.uk/family?acc=PF07462","0.28")</f>
        <v>0.28</v>
      </c>
      <c r="BG535" s="2" t="str">
        <f>HYPERLINK("http://exon.niaid.nih.gov/transcriptome/Anopheles_sialome/links/SMART/anoste_SG1-like2-SMART.txt","TBC")</f>
        <v>TBC</v>
      </c>
      <c r="BH535" t="str">
        <f>HYPERLINK("http://smart.embl-heidelberg.de/smart/do_annotation.pl?DOMAIN=TBC&amp;BLAST=DUMMY","0.22")</f>
        <v>0.22</v>
      </c>
      <c r="BI535" t="str">
        <f>HYPERLINK("http://exon.niaid.nih.gov/transcriptome/Anopheles_sialome/links/TICK-BLOCKS/anoste_SG1-like2-TICK-BLOCKS.txt","SG1_full |SG1_stringent_pattern |")</f>
        <v>SG1_full |SG1_stringent_pattern |</v>
      </c>
      <c r="BJ535" s="2" t="s">
        <v>2423</v>
      </c>
      <c r="BK535" t="s">
        <v>1841</v>
      </c>
      <c r="BL535">
        <f>HYPERLINK("http://exon.niaid.nih.gov/transcriptome/Anopheles_sialome/links/cluster-b/anopheline-sialome-cds-pep-larger-orf25-50SimCLU3.txt", 3)</f>
        <v>3</v>
      </c>
      <c r="BM535">
        <f>HYPERLINK("http://exon.niaid.nih.gov/transcriptome/Anopheles_sialome/links/cluster-b/anopheline-sialome-cds-pep-larger-orf25-50SimCLTL3.txt", 119)</f>
        <v>119</v>
      </c>
      <c r="BN535">
        <f>HYPERLINK("http://exon.niaid.nih.gov/transcriptome/Anopheles_sialome/links/cluster-b/anopheline-sialome-cds-pep-larger-orf30-50SimCLU3.txt", 3)</f>
        <v>3</v>
      </c>
      <c r="BO535">
        <f>HYPERLINK("http://exon.niaid.nih.gov/transcriptome/Anopheles_sialome/links/cluster-b/anopheline-sialome-cds-pep-larger-orf30-50SimCLTL3.txt", 119)</f>
        <v>119</v>
      </c>
      <c r="BP535">
        <f>HYPERLINK("http://exon.niaid.nih.gov/transcriptome/Anopheles_sialome/links/cluster-b/anopheline-sialome-cds-pep-larger-orf35-50SimCLU2.txt", 2)</f>
        <v>2</v>
      </c>
      <c r="BQ535">
        <f>HYPERLINK("http://exon.niaid.nih.gov/transcriptome/Anopheles_sialome/links/cluster-b/anopheline-sialome-cds-pep-larger-orf35-50SimCLTL2.txt", 119)</f>
        <v>119</v>
      </c>
      <c r="BR535">
        <f>HYPERLINK("http://exon.niaid.nih.gov/transcriptome/Anopheles_sialome/links/cluster-b/anopheline-sialome-cds-pep-larger-orf40-50SimCLU1.txt", 1)</f>
        <v>1</v>
      </c>
      <c r="BS535">
        <f>HYPERLINK("http://exon.niaid.nih.gov/transcriptome/Anopheles_sialome/links/cluster-b/anopheline-sialome-cds-pep-larger-orf40-50SimCLTL1.txt", 119)</f>
        <v>119</v>
      </c>
      <c r="BT535">
        <f>HYPERLINK("http://exon.niaid.nih.gov/transcriptome/Anopheles_sialome/links/cluster-b/anopheline-sialome-cds-pep-larger-orf45-50SimCLU22.txt", 22)</f>
        <v>22</v>
      </c>
      <c r="BU535">
        <f>HYPERLINK("http://exon.niaid.nih.gov/transcriptome/Anopheles_sialome/links/cluster-b/anopheline-sialome-cds-pep-larger-orf45-50SimCLTL22.txt", 18)</f>
        <v>18</v>
      </c>
      <c r="BV535">
        <f>HYPERLINK("http://exon.niaid.nih.gov/transcriptome/Anopheles_sialome/links/cluster-b/anopheline-sialome-cds-pep-larger-orf50-50SimCLU26.txt", 26)</f>
        <v>26</v>
      </c>
      <c r="BW535">
        <f>HYPERLINK("http://exon.niaid.nih.gov/transcriptome/Anopheles_sialome/links/cluster-b/anopheline-sialome-cds-pep-larger-orf50-50SimCLTL26.txt", 17)</f>
        <v>17</v>
      </c>
      <c r="BX535">
        <f>HYPERLINK("http://exon.niaid.nih.gov/transcriptome/Anopheles_sialome/links/cluster-b/anopheline-sialome-cds-pep-larger-orf55-50SimCLU32.txt", 32)</f>
        <v>32</v>
      </c>
      <c r="BY535">
        <f>HYPERLINK("http://exon.niaid.nih.gov/transcriptome/Anopheles_sialome/links/cluster-b/anopheline-sialome-cds-pep-larger-orf55-50SimCLTL32.txt", 15)</f>
        <v>15</v>
      </c>
      <c r="BZ535">
        <f>HYPERLINK("http://exon.niaid.nih.gov/transcriptome/Anopheles_sialome/links/cluster-b/anopheline-sialome-cds-pep-larger-orf60-50SimCLU33.txt", 33)</f>
        <v>33</v>
      </c>
      <c r="CA535">
        <f>HYPERLINK("http://exon.niaid.nih.gov/transcriptome/Anopheles_sialome/links/cluster-b/anopheline-sialome-cds-pep-larger-orf60-50SimCLTL33.txt", 13)</f>
        <v>13</v>
      </c>
      <c r="CB535">
        <f>HYPERLINK("http://exon.niaid.nih.gov/transcriptome/Anopheles_sialome/links/cluster-b/anopheline-sialome-cds-pep-larger-orf65-50SimCLU34.txt", 34)</f>
        <v>34</v>
      </c>
      <c r="CC535">
        <f>HYPERLINK("http://exon.niaid.nih.gov/transcriptome/Anopheles_sialome/links/cluster-b/anopheline-sialome-cds-pep-larger-orf65-50SimCLTL34.txt", 13)</f>
        <v>13</v>
      </c>
      <c r="CD535">
        <f>HYPERLINK("http://exon.niaid.nih.gov/transcriptome/Anopheles_sialome/links/cluster-b/anopheline-sialome-cds-pep-larger-orf70-50SimCLU35.txt", 35)</f>
        <v>35</v>
      </c>
      <c r="CE535">
        <f>HYPERLINK("http://exon.niaid.nih.gov/transcriptome/Anopheles_sialome/links/cluster-b/anopheline-sialome-cds-pep-larger-orf70-50SimCLTL35.txt", 13)</f>
        <v>13</v>
      </c>
      <c r="CF535">
        <f>HYPERLINK("http://exon.niaid.nih.gov/transcriptome/Anopheles_sialome/links/cluster-b/anopheline-sialome-cds-pep-larger-orf75-50SimCLU49.txt", 49)</f>
        <v>49</v>
      </c>
      <c r="CG535">
        <f>HYPERLINK("http://exon.niaid.nih.gov/transcriptome/Anopheles_sialome/links/cluster-b/anopheline-sialome-cds-pep-larger-orf75-50SimCLTL49.txt", 5)</f>
        <v>5</v>
      </c>
      <c r="CH535">
        <f>HYPERLINK("http://exon.niaid.nih.gov/transcriptome/Anopheles_sialome/links/cluster-b/anopheline-sialome-cds-pep-larger-orf80-50SimCLU97.txt", 97)</f>
        <v>97</v>
      </c>
      <c r="CI535">
        <f>HYPERLINK("http://exon.niaid.nih.gov/transcriptome/Anopheles_sialome/links/cluster-b/anopheline-sialome-cds-pep-larger-orf80-50SimCLTL97.txt", 2)</f>
        <v>2</v>
      </c>
      <c r="CJ535">
        <f>HYPERLINK("http://exon.niaid.nih.gov/transcriptome/Anopheles_sialome/links/cluster-b/anopheline-sialome-cds-pep-larger-orf85-50SimCLU97.txt", 97)</f>
        <v>97</v>
      </c>
      <c r="CK535">
        <f>HYPERLINK("http://exon.niaid.nih.gov/transcriptome/Anopheles_sialome/links/cluster-b/anopheline-sialome-cds-pep-larger-orf85-50SimCLTL97.txt", 2)</f>
        <v>2</v>
      </c>
      <c r="CL535">
        <v>353</v>
      </c>
      <c r="CM535">
        <v>1</v>
      </c>
      <c r="CN535">
        <v>424</v>
      </c>
      <c r="CO535">
        <v>1</v>
      </c>
    </row>
    <row r="536" spans="1:93">
      <c r="A536" s="2" t="str">
        <f>HYPERLINK("http://exon.niaid.nih.gov/transcriptome/Anopheles_sialome/links/cds/anomac_SG1-like2-cds.txt","anomac_SG1-like2")</f>
        <v>anomac_SG1-like2</v>
      </c>
      <c r="B536">
        <v>1221</v>
      </c>
      <c r="C536" t="s">
        <v>448</v>
      </c>
      <c r="D536" t="s">
        <v>7</v>
      </c>
      <c r="E536" t="s">
        <v>5</v>
      </c>
      <c r="F536" t="s">
        <v>1</v>
      </c>
      <c r="G536" t="str">
        <f>HYPERLINK("http://exon.niaid.nih.gov/transcriptome/Anopheles_sialome/links/pep/anomac_SG1-like2-pep.txt","anomac_SG1-like2")</f>
        <v>anomac_SG1-like2</v>
      </c>
      <c r="H536">
        <v>406</v>
      </c>
      <c r="I536">
        <v>0</v>
      </c>
      <c r="J536" s="3" t="str">
        <f>HYPERLINK("http://exon.niaid.nih.gov/transcriptome/Anopheles_sialome/links/Sigp/anomac_SG1-like2-SigP.txt","SIG")</f>
        <v>SIG</v>
      </c>
      <c r="K536" t="s">
        <v>715</v>
      </c>
      <c r="L536">
        <v>47.271000000000001</v>
      </c>
      <c r="M536">
        <v>9.4</v>
      </c>
      <c r="N536">
        <v>44.655000000000001</v>
      </c>
      <c r="O536">
        <v>9.4</v>
      </c>
      <c r="P536" t="s">
        <v>1844</v>
      </c>
      <c r="Q536" s="3">
        <v>0</v>
      </c>
      <c r="R536" t="s">
        <v>128</v>
      </c>
      <c r="S536" t="s">
        <v>128</v>
      </c>
      <c r="T536" t="s">
        <v>128</v>
      </c>
      <c r="U536" t="s">
        <v>128</v>
      </c>
      <c r="V536" t="s">
        <v>128</v>
      </c>
      <c r="W536" s="3" t="str">
        <f>HYPERLINK("http://exon.niaid.nih.gov/transcriptome/Anopheles_sialome/links/netoglyc/anomac_SG1-like2-netoglyc.txt","1")</f>
        <v>1</v>
      </c>
      <c r="X536">
        <v>8.9</v>
      </c>
      <c r="Y536">
        <v>3.2</v>
      </c>
      <c r="Z536">
        <v>3.7</v>
      </c>
      <c r="AA536" t="s">
        <v>654</v>
      </c>
      <c r="AB536" t="s">
        <v>128</v>
      </c>
      <c r="AC536" s="2" t="str">
        <f>HYPERLINK("http://exon.niaid.nih.gov/transcriptome/Anopheles_sialome/links/DIPTERA/anomac_SG1-like2-DIPTERA.txt","SG1D salivary protein precursor")</f>
        <v>SG1D salivary protein precursor</v>
      </c>
      <c r="AD536" t="str">
        <f>HYPERLINK("http://www.ncbi.nlm.nih.gov/sutils/blink.cgi?pid=29501536","1E-172")</f>
        <v>1E-172</v>
      </c>
      <c r="AE536" t="str">
        <f>HYPERLINK("http://www.ncbi.nlm.nih.gov/protein/29501536","gi|29501536")</f>
        <v>gi|29501536</v>
      </c>
      <c r="AF536">
        <v>71</v>
      </c>
      <c r="AG536">
        <v>85</v>
      </c>
      <c r="AH536">
        <v>100</v>
      </c>
      <c r="AI536" t="s">
        <v>2271</v>
      </c>
      <c r="AJ536" s="2" t="str">
        <f>HYPERLINK("http://exon.niaid.nih.gov/transcriptome/Anopheles_sialome/links/CULICOMORPHA/anomac_SG1-like2-CULICOMORPHA.txt","SG1D salivary protein precursor")</f>
        <v>SG1D salivary protein precursor</v>
      </c>
      <c r="AK536" t="str">
        <f>HYPERLINK("http://www.ncbi.nlm.nih.gov/sutils/blink.cgi?pid=29501536","1E-173")</f>
        <v>1E-173</v>
      </c>
      <c r="AL536" t="str">
        <f>HYPERLINK("http://www.ncbi.nlm.nih.gov/protein/29501536","gi|29501536")</f>
        <v>gi|29501536</v>
      </c>
      <c r="AM536">
        <v>71</v>
      </c>
      <c r="AN536">
        <v>85</v>
      </c>
      <c r="AO536">
        <v>100</v>
      </c>
      <c r="AP536" t="s">
        <v>2271</v>
      </c>
      <c r="AQ536" s="2" t="str">
        <f>HYPERLINK("http://exon.niaid.nih.gov/transcriptome/Anopheles_sialome/links/NR-LIGHT/anomac_SG1-like2-NR-LIGHT.txt","SG1D salivary protein precursor")</f>
        <v>SG1D salivary protein precursor</v>
      </c>
      <c r="AR536" t="str">
        <f>HYPERLINK("http://www.ncbi.nlm.nih.gov/sutils/blink.cgi?pid=29501536","1E-172")</f>
        <v>1E-172</v>
      </c>
      <c r="AS536" t="str">
        <f>HYPERLINK("http://www.ncbi.nlm.nih.gov/protein/29501536","gi|29501536")</f>
        <v>gi|29501536</v>
      </c>
      <c r="AT536">
        <v>71</v>
      </c>
      <c r="AU536">
        <v>85</v>
      </c>
      <c r="AV536">
        <v>100</v>
      </c>
      <c r="AW536" t="s">
        <v>2271</v>
      </c>
      <c r="AX536" s="2" t="str">
        <f>HYPERLINK("http://exon.niaid.nih.gov/transcriptome/Anopheles_sialome/links/CDD/anomac_SG1-like2-CDD.txt","MAM33")</f>
        <v>MAM33</v>
      </c>
      <c r="AY536" t="str">
        <f>HYPERLINK("http://www.ncbi.nlm.nih.gov/Structure/cdd/cddsrv.cgi?uid=pfam02330&amp;version=v4.0","2.8")</f>
        <v>2.8</v>
      </c>
      <c r="AZ536" t="s">
        <v>2924</v>
      </c>
      <c r="BA536" s="2" t="str">
        <f>HYPERLINK("http://exon.niaid.nih.gov/transcriptome/Anopheles_sialome/links/KOG/anomac_SG1-like2-KOG.txt","BAG family molecular chaperone regulator 2")</f>
        <v>BAG family molecular chaperone regulator 2</v>
      </c>
      <c r="BB536" t="str">
        <f>HYPERLINK("http://www.ncbi.nlm.nih.gov/Structure/cdd/cddsrv.cgi?uid=KOG3633","2.0")</f>
        <v>2.0</v>
      </c>
      <c r="BC536" t="s">
        <v>2296</v>
      </c>
      <c r="BD536" t="str">
        <f>HYPERLINK("http://exon.niaid.nih.gov/transcriptome/Anopheles_sialome/links/KOG/anomac_SG1-like2-KOG.txt","KOG3633")</f>
        <v>KOG3633</v>
      </c>
      <c r="BE536" t="str">
        <f>HYPERLINK("http://exon.niaid.nih.gov/transcriptome/Anopheles_sialome/links/PFAM/anomac_SG1-like2-PFAM.txt","MAM33")</f>
        <v>MAM33</v>
      </c>
      <c r="BF536" t="str">
        <f>HYPERLINK("http://pfam.sanger.ac.uk/family?acc=PF02330","0.54")</f>
        <v>0.54</v>
      </c>
      <c r="BG536" s="2" t="str">
        <f>HYPERLINK("http://exon.niaid.nih.gov/transcriptome/Anopheles_sialome/links/SMART/anomac_SG1-like2-SMART.txt","PIPKc")</f>
        <v>PIPKc</v>
      </c>
      <c r="BH536" t="str">
        <f>HYPERLINK("http://smart.embl-heidelberg.de/smart/do_annotation.pl?DOMAIN=PIPKc&amp;BLAST=DUMMY","0.058")</f>
        <v>0.058</v>
      </c>
      <c r="BI536" t="str">
        <f>HYPERLINK("http://exon.niaid.nih.gov/transcriptome/Anopheles_sialome/links/TICK-BLOCKS/anomac_SG1-like2-TICK-BLOCKS.txt","SG1_full |SG1_stringent_pattern |")</f>
        <v>SG1_full |SG1_stringent_pattern |</v>
      </c>
      <c r="BJ536" s="2" t="s">
        <v>2423</v>
      </c>
      <c r="BK536" t="s">
        <v>1843</v>
      </c>
      <c r="BL536">
        <f>HYPERLINK("http://exon.niaid.nih.gov/transcriptome/Anopheles_sialome/links/cluster-b/anopheline-sialome-cds-pep-larger-orf25-50SimCLU3.txt", 3)</f>
        <v>3</v>
      </c>
      <c r="BM536">
        <f>HYPERLINK("http://exon.niaid.nih.gov/transcriptome/Anopheles_sialome/links/cluster-b/anopheline-sialome-cds-pep-larger-orf25-50SimCLTL3.txt", 119)</f>
        <v>119</v>
      </c>
      <c r="BN536">
        <f>HYPERLINK("http://exon.niaid.nih.gov/transcriptome/Anopheles_sialome/links/cluster-b/anopheline-sialome-cds-pep-larger-orf30-50SimCLU3.txt", 3)</f>
        <v>3</v>
      </c>
      <c r="BO536">
        <f>HYPERLINK("http://exon.niaid.nih.gov/transcriptome/Anopheles_sialome/links/cluster-b/anopheline-sialome-cds-pep-larger-orf30-50SimCLTL3.txt", 119)</f>
        <v>119</v>
      </c>
      <c r="BP536">
        <f>HYPERLINK("http://exon.niaid.nih.gov/transcriptome/Anopheles_sialome/links/cluster-b/anopheline-sialome-cds-pep-larger-orf35-50SimCLU2.txt", 2)</f>
        <v>2</v>
      </c>
      <c r="BQ536">
        <f>HYPERLINK("http://exon.niaid.nih.gov/transcriptome/Anopheles_sialome/links/cluster-b/anopheline-sialome-cds-pep-larger-orf35-50SimCLTL2.txt", 119)</f>
        <v>119</v>
      </c>
      <c r="BR536">
        <f>HYPERLINK("http://exon.niaid.nih.gov/transcriptome/Anopheles_sialome/links/cluster-b/anopheline-sialome-cds-pep-larger-orf40-50SimCLU1.txt", 1)</f>
        <v>1</v>
      </c>
      <c r="BS536">
        <f>HYPERLINK("http://exon.niaid.nih.gov/transcriptome/Anopheles_sialome/links/cluster-b/anopheline-sialome-cds-pep-larger-orf40-50SimCLTL1.txt", 119)</f>
        <v>119</v>
      </c>
      <c r="BT536">
        <f>HYPERLINK("http://exon.niaid.nih.gov/transcriptome/Anopheles_sialome/links/cluster-b/anopheline-sialome-cds-pep-larger-orf45-50SimCLU22.txt", 22)</f>
        <v>22</v>
      </c>
      <c r="BU536">
        <f>HYPERLINK("http://exon.niaid.nih.gov/transcriptome/Anopheles_sialome/links/cluster-b/anopheline-sialome-cds-pep-larger-orf45-50SimCLTL22.txt", 18)</f>
        <v>18</v>
      </c>
      <c r="BV536">
        <f>HYPERLINK("http://exon.niaid.nih.gov/transcriptome/Anopheles_sialome/links/cluster-b/anopheline-sialome-cds-pep-larger-orf50-50SimCLU26.txt", 26)</f>
        <v>26</v>
      </c>
      <c r="BW536">
        <f>HYPERLINK("http://exon.niaid.nih.gov/transcriptome/Anopheles_sialome/links/cluster-b/anopheline-sialome-cds-pep-larger-orf50-50SimCLTL26.txt", 17)</f>
        <v>17</v>
      </c>
      <c r="BX536">
        <f>HYPERLINK("http://exon.niaid.nih.gov/transcriptome/Anopheles_sialome/links/cluster-b/anopheline-sialome-cds-pep-larger-orf55-50SimCLU32.txt", 32)</f>
        <v>32</v>
      </c>
      <c r="BY536">
        <f>HYPERLINK("http://exon.niaid.nih.gov/transcriptome/Anopheles_sialome/links/cluster-b/anopheline-sialome-cds-pep-larger-orf55-50SimCLTL32.txt", 15)</f>
        <v>15</v>
      </c>
      <c r="BZ536">
        <f>HYPERLINK("http://exon.niaid.nih.gov/transcriptome/Anopheles_sialome/links/cluster-b/anopheline-sialome-cds-pep-larger-orf60-50SimCLU33.txt", 33)</f>
        <v>33</v>
      </c>
      <c r="CA536">
        <f>HYPERLINK("http://exon.niaid.nih.gov/transcriptome/Anopheles_sialome/links/cluster-b/anopheline-sialome-cds-pep-larger-orf60-50SimCLTL33.txt", 13)</f>
        <v>13</v>
      </c>
      <c r="CB536">
        <f>HYPERLINK("http://exon.niaid.nih.gov/transcriptome/Anopheles_sialome/links/cluster-b/anopheline-sialome-cds-pep-larger-orf65-50SimCLU34.txt", 34)</f>
        <v>34</v>
      </c>
      <c r="CC536">
        <f>HYPERLINK("http://exon.niaid.nih.gov/transcriptome/Anopheles_sialome/links/cluster-b/anopheline-sialome-cds-pep-larger-orf65-50SimCLTL34.txt", 13)</f>
        <v>13</v>
      </c>
      <c r="CD536">
        <f>HYPERLINK("http://exon.niaid.nih.gov/transcriptome/Anopheles_sialome/links/cluster-b/anopheline-sialome-cds-pep-larger-orf70-50SimCLU35.txt", 35)</f>
        <v>35</v>
      </c>
      <c r="CE536">
        <f>HYPERLINK("http://exon.niaid.nih.gov/transcriptome/Anopheles_sialome/links/cluster-b/anopheline-sialome-cds-pep-larger-orf70-50SimCLTL35.txt", 13)</f>
        <v>13</v>
      </c>
      <c r="CF536">
        <f>HYPERLINK("http://exon.niaid.nih.gov/transcriptome/Anopheles_sialome/links/cluster-b/anopheline-sialome-cds-pep-larger-orf75-50SimCLU49.txt", 49)</f>
        <v>49</v>
      </c>
      <c r="CG536">
        <f>HYPERLINK("http://exon.niaid.nih.gov/transcriptome/Anopheles_sialome/links/cluster-b/anopheline-sialome-cds-pep-larger-orf75-50SimCLTL49.txt", 5)</f>
        <v>5</v>
      </c>
      <c r="CH536">
        <f>HYPERLINK("http://exon.niaid.nih.gov/transcriptome/Anopheles_sialome/links/cluster-b/anopheline-sialome-cds-pep-larger-orf80-50SimCLU97.txt", 97)</f>
        <v>97</v>
      </c>
      <c r="CI536">
        <f>HYPERLINK("http://exon.niaid.nih.gov/transcriptome/Anopheles_sialome/links/cluster-b/anopheline-sialome-cds-pep-larger-orf80-50SimCLTL97.txt", 2)</f>
        <v>2</v>
      </c>
      <c r="CJ536">
        <f>HYPERLINK("http://exon.niaid.nih.gov/transcriptome/Anopheles_sialome/links/cluster-b/anopheline-sialome-cds-pep-larger-orf85-50SimCLU97.txt", 97)</f>
        <v>97</v>
      </c>
      <c r="CK536">
        <f>HYPERLINK("http://exon.niaid.nih.gov/transcriptome/Anopheles_sialome/links/cluster-b/anopheline-sialome-cds-pep-larger-orf85-50SimCLTL97.txt", 2)</f>
        <v>2</v>
      </c>
      <c r="CL536">
        <v>354</v>
      </c>
      <c r="CM536">
        <v>1</v>
      </c>
      <c r="CN536">
        <v>425</v>
      </c>
      <c r="CO536">
        <v>1</v>
      </c>
    </row>
    <row r="537" spans="1:93">
      <c r="A537" s="2" t="str">
        <f>HYPERLINK("http://exon.niaid.nih.gov/transcriptome/Anopheles_sialome/links/cds/anofar_SG1-like2-cds.txt","anofar_SG1-like2")</f>
        <v>anofar_SG1-like2</v>
      </c>
      <c r="B537">
        <v>1194</v>
      </c>
      <c r="C537" t="s">
        <v>457</v>
      </c>
      <c r="D537" t="s">
        <v>7</v>
      </c>
      <c r="E537" t="s">
        <v>5</v>
      </c>
      <c r="F537" t="s">
        <v>1</v>
      </c>
      <c r="G537" t="str">
        <f>HYPERLINK("http://exon.niaid.nih.gov/transcriptome/Anopheles_sialome/links/pep/anofar_SG1-like2-pep.txt","anofar_SG1-like2")</f>
        <v>anofar_SG1-like2</v>
      </c>
      <c r="H537">
        <v>397</v>
      </c>
      <c r="I537">
        <v>0</v>
      </c>
      <c r="J537" s="3" t="str">
        <f>HYPERLINK("http://exon.niaid.nih.gov/transcriptome/Anopheles_sialome/links/Sigp/anofar_SG1-like2-SigP.txt","SIG")</f>
        <v>SIG</v>
      </c>
      <c r="K537" t="s">
        <v>652</v>
      </c>
      <c r="L537">
        <v>46.737000000000002</v>
      </c>
      <c r="M537">
        <v>8.0299999999999994</v>
      </c>
      <c r="N537">
        <v>44.613999999999997</v>
      </c>
      <c r="O537">
        <v>7.66</v>
      </c>
      <c r="P537" t="s">
        <v>1846</v>
      </c>
      <c r="Q537" s="3">
        <v>0</v>
      </c>
      <c r="R537" t="s">
        <v>128</v>
      </c>
      <c r="S537" t="s">
        <v>128</v>
      </c>
      <c r="T537" t="s">
        <v>128</v>
      </c>
      <c r="U537" t="s">
        <v>128</v>
      </c>
      <c r="V537" t="s">
        <v>128</v>
      </c>
      <c r="W537" s="3" t="str">
        <f>HYPERLINK("http://exon.niaid.nih.gov/transcriptome/Anopheles_sialome/links/netoglyc/anofar_SG1-like2-netoglyc.txt","0")</f>
        <v>0</v>
      </c>
      <c r="X537">
        <v>7.1</v>
      </c>
      <c r="Y537">
        <v>4.5</v>
      </c>
      <c r="Z537">
        <v>4.5</v>
      </c>
      <c r="AA537" t="s">
        <v>654</v>
      </c>
      <c r="AB537" t="s">
        <v>128</v>
      </c>
      <c r="AC537" s="2" t="str">
        <f>HYPERLINK("http://exon.niaid.nih.gov/transcriptome/Anopheles_sialome/links/DIPTERA/anofar_SG1-like2-DIPTERA.txt","SG1D-like salivary protein precursor, partial")</f>
        <v>SG1D-like salivary protein precursor, partial</v>
      </c>
      <c r="AD537" t="str">
        <f>HYPERLINK("http://www.ncbi.nlm.nih.gov/sutils/blink.cgi?pid=31747229","6E-097")</f>
        <v>6E-097</v>
      </c>
      <c r="AE537" t="str">
        <f>HYPERLINK("http://www.ncbi.nlm.nih.gov/protein/31747229","gi|31747229")</f>
        <v>gi|31747229</v>
      </c>
      <c r="AF537">
        <v>47</v>
      </c>
      <c r="AG537">
        <v>65</v>
      </c>
      <c r="AH537">
        <v>100</v>
      </c>
      <c r="AI537" t="s">
        <v>2274</v>
      </c>
      <c r="AJ537" s="2" t="str">
        <f>HYPERLINK("http://exon.niaid.nih.gov/transcriptome/Anopheles_sialome/links/CULICOMORPHA/anofar_SG1-like2-CULICOMORPHA.txt","SG1D-like salivary protein precursor, partial")</f>
        <v>SG1D-like salivary protein precursor, partial</v>
      </c>
      <c r="AK537" t="str">
        <f>HYPERLINK("http://www.ncbi.nlm.nih.gov/sutils/blink.cgi?pid=31747229","1E-097")</f>
        <v>1E-097</v>
      </c>
      <c r="AL537" t="str">
        <f>HYPERLINK("http://www.ncbi.nlm.nih.gov/protein/31747229","gi|31747229")</f>
        <v>gi|31747229</v>
      </c>
      <c r="AM537">
        <v>47</v>
      </c>
      <c r="AN537">
        <v>65</v>
      </c>
      <c r="AO537">
        <v>100</v>
      </c>
      <c r="AP537" t="s">
        <v>2274</v>
      </c>
      <c r="AQ537" s="2" t="str">
        <f>HYPERLINK("http://exon.niaid.nih.gov/transcriptome/Anopheles_sialome/links/NR-LIGHT/anofar_SG1-like2-NR-LIGHT.txt","SG1D-like salivary protein precursor")</f>
        <v>SG1D-like salivary protein precursor</v>
      </c>
      <c r="AR537" t="str">
        <f>HYPERLINK("http://www.ncbi.nlm.nih.gov/sutils/blink.cgi?pid=31747229","2E-096")</f>
        <v>2E-096</v>
      </c>
      <c r="AS537" t="str">
        <f>HYPERLINK("http://www.ncbi.nlm.nih.gov/protein/31747229","gi|31747229")</f>
        <v>gi|31747229</v>
      </c>
      <c r="AT537">
        <v>47</v>
      </c>
      <c r="AU537">
        <v>65</v>
      </c>
      <c r="AV537">
        <v>100</v>
      </c>
      <c r="AW537" t="s">
        <v>2274</v>
      </c>
      <c r="AX537" s="2" t="str">
        <f>HYPERLINK("http://exon.niaid.nih.gov/transcriptome/Anopheles_sialome/links/CDD/anofar_SG1-like2-CDD.txt","PRK02195")</f>
        <v>PRK02195</v>
      </c>
      <c r="AY537" t="str">
        <f>HYPERLINK("http://www.ncbi.nlm.nih.gov/Structure/cdd/cddsrv.cgi?uid=PRK02195&amp;version=v4.0","1.9")</f>
        <v>1.9</v>
      </c>
      <c r="AZ537" t="s">
        <v>2925</v>
      </c>
      <c r="BA537" s="2" t="str">
        <f>HYPERLINK("http://exon.niaid.nih.gov/transcriptome/Anopheles_sialome/links/KOG/anofar_SG1-like2-KOG.txt","Uncharacterized conserved protein")</f>
        <v>Uncharacterized conserved protein</v>
      </c>
      <c r="BB537" t="str">
        <f>HYPERLINK("http://www.ncbi.nlm.nih.gov/Structure/cdd/cddsrv.cgi?uid=KOG4344","0.17")</f>
        <v>0.17</v>
      </c>
      <c r="BC537" t="s">
        <v>2304</v>
      </c>
      <c r="BD537" t="str">
        <f>HYPERLINK("http://exon.niaid.nih.gov/transcriptome/Anopheles_sialome/links/KOG/anofar_SG1-like2-KOG.txt","KOG4344")</f>
        <v>KOG4344</v>
      </c>
      <c r="BE537" t="str">
        <f>HYPERLINK("http://exon.niaid.nih.gov/transcriptome/Anopheles_sialome/links/PFAM/anofar_SG1-like2-PFAM.txt","Peptidase_C50")</f>
        <v>Peptidase_C50</v>
      </c>
      <c r="BF537" t="str">
        <f>HYPERLINK("http://pfam.sanger.ac.uk/family?acc=PF03568","0.60")</f>
        <v>0.60</v>
      </c>
      <c r="BG537" s="2" t="str">
        <f>HYPERLINK("http://exon.niaid.nih.gov/transcriptome/Anopheles_sialome/links/SMART/anofar_SG1-like2-SMART.txt","AIP3")</f>
        <v>AIP3</v>
      </c>
      <c r="BH537" t="str">
        <f>HYPERLINK("http://smart.embl-heidelberg.de/smart/do_annotation.pl?DOMAIN=AIP3&amp;BLAST=DUMMY","0.18")</f>
        <v>0.18</v>
      </c>
      <c r="BI537" t="str">
        <f>HYPERLINK("http://exon.niaid.nih.gov/transcriptome/Anopheles_sialome/links/TICK-BLOCKS/anofar_SG1-like2-TICK-BLOCKS.txt","SG1_full |SG1_stringent_pattern |")</f>
        <v>SG1_full |SG1_stringent_pattern |</v>
      </c>
      <c r="BJ537" s="2" t="s">
        <v>2423</v>
      </c>
      <c r="BK537" t="s">
        <v>1845</v>
      </c>
      <c r="BL537">
        <f>HYPERLINK("http://exon.niaid.nih.gov/transcriptome/Anopheles_sialome/links/cluster-b/anopheline-sialome-cds-pep-larger-orf25-50SimCLU3.txt", 3)</f>
        <v>3</v>
      </c>
      <c r="BM537">
        <f>HYPERLINK("http://exon.niaid.nih.gov/transcriptome/Anopheles_sialome/links/cluster-b/anopheline-sialome-cds-pep-larger-orf25-50SimCLTL3.txt", 119)</f>
        <v>119</v>
      </c>
      <c r="BN537">
        <f>HYPERLINK("http://exon.niaid.nih.gov/transcriptome/Anopheles_sialome/links/cluster-b/anopheline-sialome-cds-pep-larger-orf30-50SimCLU3.txt", 3)</f>
        <v>3</v>
      </c>
      <c r="BO537">
        <f>HYPERLINK("http://exon.niaid.nih.gov/transcriptome/Anopheles_sialome/links/cluster-b/anopheline-sialome-cds-pep-larger-orf30-50SimCLTL3.txt", 119)</f>
        <v>119</v>
      </c>
      <c r="BP537">
        <f>HYPERLINK("http://exon.niaid.nih.gov/transcriptome/Anopheles_sialome/links/cluster-b/anopheline-sialome-cds-pep-larger-orf35-50SimCLU2.txt", 2)</f>
        <v>2</v>
      </c>
      <c r="BQ537">
        <f>HYPERLINK("http://exon.niaid.nih.gov/transcriptome/Anopheles_sialome/links/cluster-b/anopheline-sialome-cds-pep-larger-orf35-50SimCLTL2.txt", 119)</f>
        <v>119</v>
      </c>
      <c r="BR537">
        <f>HYPERLINK("http://exon.niaid.nih.gov/transcriptome/Anopheles_sialome/links/cluster-b/anopheline-sialome-cds-pep-larger-orf40-50SimCLU1.txt", 1)</f>
        <v>1</v>
      </c>
      <c r="BS537">
        <f>HYPERLINK("http://exon.niaid.nih.gov/transcriptome/Anopheles_sialome/links/cluster-b/anopheline-sialome-cds-pep-larger-orf40-50SimCLTL1.txt", 119)</f>
        <v>119</v>
      </c>
      <c r="BT537">
        <f>HYPERLINK("http://exon.niaid.nih.gov/transcriptome/Anopheles_sialome/links/cluster-b/anopheline-sialome-cds-pep-larger-orf45-50SimCLU22.txt", 22)</f>
        <v>22</v>
      </c>
      <c r="BU537">
        <f>HYPERLINK("http://exon.niaid.nih.gov/transcriptome/Anopheles_sialome/links/cluster-b/anopheline-sialome-cds-pep-larger-orf45-50SimCLTL22.txt", 18)</f>
        <v>18</v>
      </c>
      <c r="BV537">
        <f>HYPERLINK("http://exon.niaid.nih.gov/transcriptome/Anopheles_sialome/links/cluster-b/anopheline-sialome-cds-pep-larger-orf50-50SimCLU26.txt", 26)</f>
        <v>26</v>
      </c>
      <c r="BW537">
        <f>HYPERLINK("http://exon.niaid.nih.gov/transcriptome/Anopheles_sialome/links/cluster-b/anopheline-sialome-cds-pep-larger-orf50-50SimCLTL26.txt", 17)</f>
        <v>17</v>
      </c>
      <c r="BX537">
        <f>HYPERLINK("http://exon.niaid.nih.gov/transcriptome/Anopheles_sialome/links/cluster-b/anopheline-sialome-cds-pep-larger-orf55-50SimCLU32.txt", 32)</f>
        <v>32</v>
      </c>
      <c r="BY537">
        <f>HYPERLINK("http://exon.niaid.nih.gov/transcriptome/Anopheles_sialome/links/cluster-b/anopheline-sialome-cds-pep-larger-orf55-50SimCLTL32.txt", 15)</f>
        <v>15</v>
      </c>
      <c r="BZ537">
        <f>HYPERLINK("http://exon.niaid.nih.gov/transcriptome/Anopheles_sialome/links/cluster-b/anopheline-sialome-cds-pep-larger-orf60-50SimCLU44.txt", 44)</f>
        <v>44</v>
      </c>
      <c r="CA537">
        <f>HYPERLINK("http://exon.niaid.nih.gov/transcriptome/Anopheles_sialome/links/cluster-b/anopheline-sialome-cds-pep-larger-orf60-50SimCLTL44.txt", 2)</f>
        <v>2</v>
      </c>
      <c r="CB537">
        <f>HYPERLINK("http://exon.niaid.nih.gov/transcriptome/Anopheles_sialome/links/cluster-b/anopheline-sialome-cds-pep-larger-orf65-50SimCLU53.txt", 53)</f>
        <v>53</v>
      </c>
      <c r="CC537">
        <f>HYPERLINK("http://exon.niaid.nih.gov/transcriptome/Anopheles_sialome/links/cluster-b/anopheline-sialome-cds-pep-larger-orf65-50SimCLTL53.txt", 2)</f>
        <v>2</v>
      </c>
      <c r="CD537">
        <v>102</v>
      </c>
      <c r="CE537">
        <v>1</v>
      </c>
      <c r="CF537">
        <v>146</v>
      </c>
      <c r="CG537">
        <v>1</v>
      </c>
      <c r="CH537">
        <v>206</v>
      </c>
      <c r="CI537">
        <v>1</v>
      </c>
      <c r="CJ537">
        <v>279</v>
      </c>
      <c r="CK537">
        <v>1</v>
      </c>
      <c r="CL537">
        <v>355</v>
      </c>
      <c r="CM537">
        <v>1</v>
      </c>
      <c r="CN537">
        <v>426</v>
      </c>
      <c r="CO537">
        <v>1</v>
      </c>
    </row>
    <row r="538" spans="1:93">
      <c r="A538" s="2" t="str">
        <f>HYPERLINK("http://exon.niaid.nih.gov/transcriptome/Anopheles_sialome/links/cds/anodir_SG1-like2-cds.txt","anodir_SG1-like2")</f>
        <v>anodir_SG1-like2</v>
      </c>
      <c r="B538">
        <v>1212</v>
      </c>
      <c r="C538" t="s">
        <v>458</v>
      </c>
      <c r="D538" t="s">
        <v>4</v>
      </c>
      <c r="E538" t="s">
        <v>5</v>
      </c>
      <c r="F538" t="s">
        <v>1</v>
      </c>
      <c r="G538" t="str">
        <f>HYPERLINK("http://exon.niaid.nih.gov/transcriptome/Anopheles_sialome/links/pep/anodir_SG1-like2-pep.txt","anodir_SG1-like2")</f>
        <v>anodir_SG1-like2</v>
      </c>
      <c r="H538">
        <v>403</v>
      </c>
      <c r="I538">
        <v>0</v>
      </c>
      <c r="J538" s="3" t="str">
        <f>HYPERLINK("http://exon.niaid.nih.gov/transcriptome/Anopheles_sialome/links/Sigp/anodir_SG1-like2-SigP.txt","SIG")</f>
        <v>SIG</v>
      </c>
      <c r="K538" t="s">
        <v>708</v>
      </c>
      <c r="L538">
        <v>46.555999999999997</v>
      </c>
      <c r="M538">
        <v>9.27</v>
      </c>
      <c r="N538">
        <v>43.962000000000003</v>
      </c>
      <c r="O538">
        <v>9.32</v>
      </c>
      <c r="P538" t="s">
        <v>1295</v>
      </c>
      <c r="Q538" s="3">
        <v>0</v>
      </c>
      <c r="R538" t="s">
        <v>128</v>
      </c>
      <c r="S538" t="s">
        <v>128</v>
      </c>
      <c r="T538" t="s">
        <v>128</v>
      </c>
      <c r="U538" t="s">
        <v>128</v>
      </c>
      <c r="V538" t="s">
        <v>128</v>
      </c>
      <c r="W538" s="3" t="str">
        <f>HYPERLINK("http://exon.niaid.nih.gov/transcriptome/Anopheles_sialome/links/netoglyc/anodir_SG1-like2-netoglyc.txt","2")</f>
        <v>2</v>
      </c>
      <c r="X538">
        <v>8.4</v>
      </c>
      <c r="Y538">
        <v>6.2</v>
      </c>
      <c r="Z538">
        <v>4</v>
      </c>
      <c r="AA538" t="s">
        <v>654</v>
      </c>
      <c r="AB538" t="s">
        <v>128</v>
      </c>
      <c r="AC538" s="2" t="str">
        <f>HYPERLINK("http://exon.niaid.nih.gov/transcriptome/Anopheles_sialome/links/DIPTERA/anodir_SG1-like2-DIPTERA.txt","SG1D-like salivary protein precursor, partial")</f>
        <v>SG1D-like salivary protein precursor, partial</v>
      </c>
      <c r="AD538" t="str">
        <f>HYPERLINK("http://www.ncbi.nlm.nih.gov/sutils/blink.cgi?pid=31747229","0.0")</f>
        <v>0.0</v>
      </c>
      <c r="AE538" t="str">
        <f>HYPERLINK("http://www.ncbi.nlm.nih.gov/protein/31747229","gi|31747229")</f>
        <v>gi|31747229</v>
      </c>
      <c r="AF538">
        <v>92</v>
      </c>
      <c r="AG538">
        <v>94</v>
      </c>
      <c r="AH538">
        <v>100</v>
      </c>
      <c r="AI538" t="s">
        <v>2274</v>
      </c>
      <c r="AJ538" s="2" t="str">
        <f>HYPERLINK("http://exon.niaid.nih.gov/transcriptome/Anopheles_sialome/links/CULICOMORPHA/anodir_SG1-like2-CULICOMORPHA.txt","SG1D-like salivary protein precursor, partial")</f>
        <v>SG1D-like salivary protein precursor, partial</v>
      </c>
      <c r="AK538" t="str">
        <f>HYPERLINK("http://www.ncbi.nlm.nih.gov/sutils/blink.cgi?pid=31747229","0.0")</f>
        <v>0.0</v>
      </c>
      <c r="AL538" t="str">
        <f>HYPERLINK("http://www.ncbi.nlm.nih.gov/protein/31747229","gi|31747229")</f>
        <v>gi|31747229</v>
      </c>
      <c r="AM538">
        <v>92</v>
      </c>
      <c r="AN538">
        <v>94</v>
      </c>
      <c r="AO538">
        <v>100</v>
      </c>
      <c r="AP538" t="s">
        <v>2274</v>
      </c>
      <c r="AQ538" s="2" t="str">
        <f>HYPERLINK("http://exon.niaid.nih.gov/transcriptome/Anopheles_sialome/links/NR-LIGHT/anodir_SG1-like2-NR-LIGHT.txt","SG1D-like salivary protein precursor")</f>
        <v>SG1D-like salivary protein precursor</v>
      </c>
      <c r="AR538" t="str">
        <f>HYPERLINK("http://www.ncbi.nlm.nih.gov/sutils/blink.cgi?pid=31747229","0.0")</f>
        <v>0.0</v>
      </c>
      <c r="AS538" t="str">
        <f>HYPERLINK("http://www.ncbi.nlm.nih.gov/protein/31747229","gi|31747229")</f>
        <v>gi|31747229</v>
      </c>
      <c r="AT538">
        <v>92</v>
      </c>
      <c r="AU538">
        <v>94</v>
      </c>
      <c r="AV538">
        <v>100</v>
      </c>
      <c r="AW538" t="s">
        <v>2274</v>
      </c>
      <c r="AX538" s="2" t="str">
        <f>HYPERLINK("http://exon.niaid.nih.gov/transcriptome/Anopheles_sialome/links/CDD/anodir_SG1-like2-CDD.txt","O-ag_pol_Wzy")</f>
        <v>O-ag_pol_Wzy</v>
      </c>
      <c r="AY538" t="str">
        <f>HYPERLINK("http://www.ncbi.nlm.nih.gov/Structure/cdd/cddsrv.cgi?uid=pfam14296&amp;version=v4.0","0.28")</f>
        <v>0.28</v>
      </c>
      <c r="AZ538" t="s">
        <v>2926</v>
      </c>
      <c r="BA538" s="2" t="str">
        <f>HYPERLINK("http://exon.niaid.nih.gov/transcriptome/Anopheles_sialome/links/KOG/anodir_SG1-like2-KOG.txt","WD40 repeat protein")</f>
        <v>WD40 repeat protein</v>
      </c>
      <c r="BB538" t="str">
        <f>HYPERLINK("http://www.ncbi.nlm.nih.gov/Structure/cdd/cddsrv.cgi?uid=KOG1274","1.2")</f>
        <v>1.2</v>
      </c>
      <c r="BC538" t="s">
        <v>2310</v>
      </c>
      <c r="BD538" t="str">
        <f>HYPERLINK("http://exon.niaid.nih.gov/transcriptome/Anopheles_sialome/links/KOG/anodir_SG1-like2-KOG.txt","KOG1274")</f>
        <v>KOG1274</v>
      </c>
      <c r="BE538" t="str">
        <f>HYPERLINK("http://exon.niaid.nih.gov/transcriptome/Anopheles_sialome/links/PFAM/anodir_SG1-like2-PFAM.txt","O-ag_pol_Wzy")</f>
        <v>O-ag_pol_Wzy</v>
      </c>
      <c r="BF538" t="str">
        <f>HYPERLINK("http://pfam.sanger.ac.uk/family?acc=PF14296","0.053")</f>
        <v>0.053</v>
      </c>
      <c r="BG538" s="2" t="str">
        <f>HYPERLINK("http://exon.niaid.nih.gov/transcriptome/Anopheles_sialome/links/SMART/anodir_SG1-like2-SMART.txt","Arg_tRNA_synt_N")</f>
        <v>Arg_tRNA_synt_N</v>
      </c>
      <c r="BH538" t="str">
        <f>HYPERLINK("http://smart.embl-heidelberg.de/smart/do_annotation.pl?DOMAIN=Arg_tRNA_synt_N&amp;BLAST=DUMMY","0.23")</f>
        <v>0.23</v>
      </c>
      <c r="BI538" t="str">
        <f>HYPERLINK("http://exon.niaid.nih.gov/transcriptome/Anopheles_sialome/links/TICK-BLOCKS/anodir_SG1-like2-TICK-BLOCKS.txt","SG1_full |SG1_stringent_pattern |")</f>
        <v>SG1_full |SG1_stringent_pattern |</v>
      </c>
      <c r="BJ538" s="2" t="s">
        <v>2423</v>
      </c>
      <c r="BK538" t="s">
        <v>1847</v>
      </c>
      <c r="BL538">
        <f>HYPERLINK("http://exon.niaid.nih.gov/transcriptome/Anopheles_sialome/links/cluster-b/anopheline-sialome-cds-pep-larger-orf25-50SimCLU3.txt", 3)</f>
        <v>3</v>
      </c>
      <c r="BM538">
        <f>HYPERLINK("http://exon.niaid.nih.gov/transcriptome/Anopheles_sialome/links/cluster-b/anopheline-sialome-cds-pep-larger-orf25-50SimCLTL3.txt", 119)</f>
        <v>119</v>
      </c>
      <c r="BN538">
        <f>HYPERLINK("http://exon.niaid.nih.gov/transcriptome/Anopheles_sialome/links/cluster-b/anopheline-sialome-cds-pep-larger-orf30-50SimCLU3.txt", 3)</f>
        <v>3</v>
      </c>
      <c r="BO538">
        <f>HYPERLINK("http://exon.niaid.nih.gov/transcriptome/Anopheles_sialome/links/cluster-b/anopheline-sialome-cds-pep-larger-orf30-50SimCLTL3.txt", 119)</f>
        <v>119</v>
      </c>
      <c r="BP538">
        <f>HYPERLINK("http://exon.niaid.nih.gov/transcriptome/Anopheles_sialome/links/cluster-b/anopheline-sialome-cds-pep-larger-orf35-50SimCLU2.txt", 2)</f>
        <v>2</v>
      </c>
      <c r="BQ538">
        <f>HYPERLINK("http://exon.niaid.nih.gov/transcriptome/Anopheles_sialome/links/cluster-b/anopheline-sialome-cds-pep-larger-orf35-50SimCLTL2.txt", 119)</f>
        <v>119</v>
      </c>
      <c r="BR538">
        <f>HYPERLINK("http://exon.niaid.nih.gov/transcriptome/Anopheles_sialome/links/cluster-b/anopheline-sialome-cds-pep-larger-orf40-50SimCLU1.txt", 1)</f>
        <v>1</v>
      </c>
      <c r="BS538">
        <f>HYPERLINK("http://exon.niaid.nih.gov/transcriptome/Anopheles_sialome/links/cluster-b/anopheline-sialome-cds-pep-larger-orf40-50SimCLTL1.txt", 119)</f>
        <v>119</v>
      </c>
      <c r="BT538">
        <f>HYPERLINK("http://exon.niaid.nih.gov/transcriptome/Anopheles_sialome/links/cluster-b/anopheline-sialome-cds-pep-larger-orf45-50SimCLU22.txt", 22)</f>
        <v>22</v>
      </c>
      <c r="BU538">
        <f>HYPERLINK("http://exon.niaid.nih.gov/transcriptome/Anopheles_sialome/links/cluster-b/anopheline-sialome-cds-pep-larger-orf45-50SimCLTL22.txt", 18)</f>
        <v>18</v>
      </c>
      <c r="BV538">
        <f>HYPERLINK("http://exon.niaid.nih.gov/transcriptome/Anopheles_sialome/links/cluster-b/anopheline-sialome-cds-pep-larger-orf50-50SimCLU26.txt", 26)</f>
        <v>26</v>
      </c>
      <c r="BW538">
        <f>HYPERLINK("http://exon.niaid.nih.gov/transcriptome/Anopheles_sialome/links/cluster-b/anopheline-sialome-cds-pep-larger-orf50-50SimCLTL26.txt", 17)</f>
        <v>17</v>
      </c>
      <c r="BX538">
        <f>HYPERLINK("http://exon.niaid.nih.gov/transcriptome/Anopheles_sialome/links/cluster-b/anopheline-sialome-cds-pep-larger-orf55-50SimCLU32.txt", 32)</f>
        <v>32</v>
      </c>
      <c r="BY538">
        <f>HYPERLINK("http://exon.niaid.nih.gov/transcriptome/Anopheles_sialome/links/cluster-b/anopheline-sialome-cds-pep-larger-orf55-50SimCLTL32.txt", 15)</f>
        <v>15</v>
      </c>
      <c r="BZ538">
        <f>HYPERLINK("http://exon.niaid.nih.gov/transcriptome/Anopheles_sialome/links/cluster-b/anopheline-sialome-cds-pep-larger-orf60-50SimCLU44.txt", 44)</f>
        <v>44</v>
      </c>
      <c r="CA538">
        <f>HYPERLINK("http://exon.niaid.nih.gov/transcriptome/Anopheles_sialome/links/cluster-b/anopheline-sialome-cds-pep-larger-orf60-50SimCLTL44.txt", 2)</f>
        <v>2</v>
      </c>
      <c r="CB538">
        <f>HYPERLINK("http://exon.niaid.nih.gov/transcriptome/Anopheles_sialome/links/cluster-b/anopheline-sialome-cds-pep-larger-orf65-50SimCLU53.txt", 53)</f>
        <v>53</v>
      </c>
      <c r="CC538">
        <f>HYPERLINK("http://exon.niaid.nih.gov/transcriptome/Anopheles_sialome/links/cluster-b/anopheline-sialome-cds-pep-larger-orf65-50SimCLTL53.txt", 2)</f>
        <v>2</v>
      </c>
      <c r="CD538">
        <v>103</v>
      </c>
      <c r="CE538">
        <v>1</v>
      </c>
      <c r="CF538">
        <v>147</v>
      </c>
      <c r="CG538">
        <v>1</v>
      </c>
      <c r="CH538">
        <v>207</v>
      </c>
      <c r="CI538">
        <v>1</v>
      </c>
      <c r="CJ538">
        <v>280</v>
      </c>
      <c r="CK538">
        <v>1</v>
      </c>
      <c r="CL538">
        <v>356</v>
      </c>
      <c r="CM538">
        <v>1</v>
      </c>
      <c r="CN538">
        <v>427</v>
      </c>
      <c r="CO538">
        <v>1</v>
      </c>
    </row>
    <row r="539" spans="1:93">
      <c r="A539" s="2" t="str">
        <f>HYPERLINK("http://exon.niaid.nih.gov/transcriptome/Anopheles_sialome/links/cds/anoatro_SG1-like2-cds.txt","anoatro_SG1-like2")</f>
        <v>anoatro_SG1-like2</v>
      </c>
      <c r="B539">
        <v>1182</v>
      </c>
      <c r="C539" t="s">
        <v>450</v>
      </c>
      <c r="D539" t="s">
        <v>7</v>
      </c>
      <c r="E539" t="s">
        <v>5</v>
      </c>
      <c r="F539" t="s">
        <v>1</v>
      </c>
      <c r="G539" t="str">
        <f>HYPERLINK("http://exon.niaid.nih.gov/transcriptome/Anopheles_sialome/links/pep/anoatro_SG1-like2-pep.txt","anoatro_SG1-like2")</f>
        <v>anoatro_SG1-like2</v>
      </c>
      <c r="H539">
        <v>393</v>
      </c>
      <c r="I539">
        <v>1</v>
      </c>
      <c r="J539" s="3" t="str">
        <f>HYPERLINK("http://exon.niaid.nih.gov/transcriptome/Anopheles_sialome/links/Sigp/anoatro_SG1-like2-SigP.txt","SIG")</f>
        <v>SIG</v>
      </c>
      <c r="K539" t="s">
        <v>689</v>
      </c>
      <c r="L539">
        <v>45.497</v>
      </c>
      <c r="M539">
        <v>7.14</v>
      </c>
      <c r="N539">
        <v>43.204000000000001</v>
      </c>
      <c r="O539">
        <v>7.28</v>
      </c>
      <c r="P539" t="s">
        <v>1849</v>
      </c>
      <c r="Q539" s="3">
        <v>0</v>
      </c>
      <c r="R539" t="s">
        <v>128</v>
      </c>
      <c r="S539" t="s">
        <v>128</v>
      </c>
      <c r="T539" t="s">
        <v>128</v>
      </c>
      <c r="U539" t="s">
        <v>128</v>
      </c>
      <c r="V539" t="s">
        <v>128</v>
      </c>
      <c r="W539" s="3" t="str">
        <f>HYPERLINK("http://exon.niaid.nih.gov/transcriptome/Anopheles_sialome/links/netoglyc/anoatro_SG1-like2-netoglyc.txt","0")</f>
        <v>0</v>
      </c>
      <c r="X539">
        <v>12</v>
      </c>
      <c r="Y539">
        <v>3.3</v>
      </c>
      <c r="Z539">
        <v>4.8</v>
      </c>
      <c r="AA539" t="s">
        <v>654</v>
      </c>
      <c r="AB539" t="s">
        <v>128</v>
      </c>
      <c r="AC539" s="2" t="str">
        <f>HYPERLINK("http://exon.niaid.nih.gov/transcriptome/Anopheles_sialome/links/DIPTERA/anoatro_SG1-like2-DIPTERA.txt","SG1B-like salivary protein")</f>
        <v>SG1B-like salivary protein</v>
      </c>
      <c r="AD539" t="str">
        <f>HYPERLINK("http://www.ncbi.nlm.nih.gov/sutils/blink.cgi?pid=668449455","2E-087")</f>
        <v>2E-087</v>
      </c>
      <c r="AE539" t="str">
        <f>HYPERLINK("http://www.ncbi.nlm.nih.gov/protein/668449455","gi|668449455")</f>
        <v>gi|668449455</v>
      </c>
      <c r="AF539">
        <v>47</v>
      </c>
      <c r="AG539">
        <v>65</v>
      </c>
      <c r="AH539">
        <v>48</v>
      </c>
      <c r="AI539" t="s">
        <v>2277</v>
      </c>
      <c r="AJ539" s="2" t="str">
        <f>HYPERLINK("http://exon.niaid.nih.gov/transcriptome/Anopheles_sialome/links/CULICOMORPHA/anoatro_SG1-like2-CULICOMORPHA.txt","SG1B-like salivary protein")</f>
        <v>SG1B-like salivary protein</v>
      </c>
      <c r="AK539" t="str">
        <f>HYPERLINK("http://www.ncbi.nlm.nih.gov/sutils/blink.cgi?pid=668449455","3E-088")</f>
        <v>3E-088</v>
      </c>
      <c r="AL539" t="str">
        <f>HYPERLINK("http://www.ncbi.nlm.nih.gov/protein/668449455","gi|668449455")</f>
        <v>gi|668449455</v>
      </c>
      <c r="AM539">
        <v>47</v>
      </c>
      <c r="AN539">
        <v>65</v>
      </c>
      <c r="AO539">
        <v>48</v>
      </c>
      <c r="AP539" t="s">
        <v>2277</v>
      </c>
      <c r="AQ539" s="2" t="str">
        <f>HYPERLINK("http://exon.niaid.nih.gov/transcriptome/Anopheles_sialome/links/NR-LIGHT/anoatro_SG1-like2-NR-LIGHT.txt","SG1B-like salivary protein")</f>
        <v>SG1B-like salivary protein</v>
      </c>
      <c r="AR539" t="str">
        <f>HYPERLINK("http://www.ncbi.nlm.nih.gov/sutils/blink.cgi?pid=668449455","4E-087")</f>
        <v>4E-087</v>
      </c>
      <c r="AS539" t="str">
        <f>HYPERLINK("http://www.ncbi.nlm.nih.gov/protein/668449455","gi|668449455")</f>
        <v>gi|668449455</v>
      </c>
      <c r="AT539">
        <v>47</v>
      </c>
      <c r="AU539">
        <v>65</v>
      </c>
      <c r="AV539">
        <v>48</v>
      </c>
      <c r="AW539" t="s">
        <v>2277</v>
      </c>
      <c r="AX539" s="2" t="str">
        <f>HYPERLINK("http://exon.niaid.nih.gov/transcriptome/Anopheles_sialome/links/CDD/anoatro_SG1-like2-CDD.txt","Cell_shape-dete")</f>
        <v>Cell_shape-dete</v>
      </c>
      <c r="AY539" t="str">
        <f>HYPERLINK("http://www.ncbi.nlm.nih.gov/Structure/cdd/cddsrv.cgi?uid=TIGR00219&amp;version=v4.0","0.012")</f>
        <v>0.012</v>
      </c>
      <c r="AZ539" t="s">
        <v>2927</v>
      </c>
      <c r="BA539" s="2" t="str">
        <f>HYPERLINK("http://exon.niaid.nih.gov/transcriptome/Anopheles_sialome/links/KOG/anoatro_SG1-like2-KOG.txt","Transcription factor CA150")</f>
        <v>Transcription factor CA150</v>
      </c>
      <c r="BB539" t="str">
        <f>HYPERLINK("http://www.ncbi.nlm.nih.gov/Structure/cdd/cddsrv.cgi?uid=KOG0155","6.5")</f>
        <v>6.5</v>
      </c>
      <c r="BC539" t="s">
        <v>2262</v>
      </c>
      <c r="BD539" t="str">
        <f>HYPERLINK("http://exon.niaid.nih.gov/transcriptome/Anopheles_sialome/links/KOG/anoatro_SG1-like2-KOG.txt","KOG0155")</f>
        <v>KOG0155</v>
      </c>
      <c r="BE539" t="str">
        <f>HYPERLINK("http://exon.niaid.nih.gov/transcriptome/Anopheles_sialome/links/PFAM/anoatro_SG1-like2-PFAM.txt","Ubie_methyltran")</f>
        <v>Ubie_methyltran</v>
      </c>
      <c r="BF539" t="str">
        <f>HYPERLINK("http://pfam.sanger.ac.uk/family?acc=PF01209","2.8")</f>
        <v>2.8</v>
      </c>
      <c r="BG539" s="2" t="str">
        <f>HYPERLINK("http://exon.niaid.nih.gov/transcriptome/Anopheles_sialome/links/SMART/anoatro_SG1-like2-SMART.txt","LPD_N")</f>
        <v>LPD_N</v>
      </c>
      <c r="BH539" t="str">
        <f>HYPERLINK("http://smart.embl-heidelberg.de/smart/do_annotation.pl?DOMAIN=LPD_N&amp;BLAST=DUMMY","0.69")</f>
        <v>0.69</v>
      </c>
      <c r="BI539" t="str">
        <f>HYPERLINK("http://exon.niaid.nih.gov/transcriptome/Anopheles_sialome/links/TICK-BLOCKS/anoatro_SG1-like2-TICK-BLOCKS.txt","SG1_stringent_pattern |")</f>
        <v>SG1_stringent_pattern |</v>
      </c>
      <c r="BJ539" s="2" t="s">
        <v>128</v>
      </c>
      <c r="BK539" t="s">
        <v>1848</v>
      </c>
      <c r="BL539">
        <f>HYPERLINK("http://exon.niaid.nih.gov/transcriptome/Anopheles_sialome/links/cluster-b/anopheline-sialome-cds-pep-larger-orf25-50SimCLU3.txt", 3)</f>
        <v>3</v>
      </c>
      <c r="BM539">
        <f>HYPERLINK("http://exon.niaid.nih.gov/transcriptome/Anopheles_sialome/links/cluster-b/anopheline-sialome-cds-pep-larger-orf25-50SimCLTL3.txt", 119)</f>
        <v>119</v>
      </c>
      <c r="BN539">
        <f>HYPERLINK("http://exon.niaid.nih.gov/transcriptome/Anopheles_sialome/links/cluster-b/anopheline-sialome-cds-pep-larger-orf30-50SimCLU3.txt", 3)</f>
        <v>3</v>
      </c>
      <c r="BO539">
        <f>HYPERLINK("http://exon.niaid.nih.gov/transcriptome/Anopheles_sialome/links/cluster-b/anopheline-sialome-cds-pep-larger-orf30-50SimCLTL3.txt", 119)</f>
        <v>119</v>
      </c>
      <c r="BP539">
        <f>HYPERLINK("http://exon.niaid.nih.gov/transcriptome/Anopheles_sialome/links/cluster-b/anopheline-sialome-cds-pep-larger-orf35-50SimCLU2.txt", 2)</f>
        <v>2</v>
      </c>
      <c r="BQ539">
        <f>HYPERLINK("http://exon.niaid.nih.gov/transcriptome/Anopheles_sialome/links/cluster-b/anopheline-sialome-cds-pep-larger-orf35-50SimCLTL2.txt", 119)</f>
        <v>119</v>
      </c>
      <c r="BR539">
        <f>HYPERLINK("http://exon.niaid.nih.gov/transcriptome/Anopheles_sialome/links/cluster-b/anopheline-sialome-cds-pep-larger-orf40-50SimCLU1.txt", 1)</f>
        <v>1</v>
      </c>
      <c r="BS539">
        <f>HYPERLINK("http://exon.niaid.nih.gov/transcriptome/Anopheles_sialome/links/cluster-b/anopheline-sialome-cds-pep-larger-orf40-50SimCLTL1.txt", 119)</f>
        <v>119</v>
      </c>
      <c r="BT539">
        <f>HYPERLINK("http://exon.niaid.nih.gov/transcriptome/Anopheles_sialome/links/cluster-b/anopheline-sialome-cds-pep-larger-orf45-50SimCLU22.txt", 22)</f>
        <v>22</v>
      </c>
      <c r="BU539">
        <f>HYPERLINK("http://exon.niaid.nih.gov/transcriptome/Anopheles_sialome/links/cluster-b/anopheline-sialome-cds-pep-larger-orf45-50SimCLTL22.txt", 18)</f>
        <v>18</v>
      </c>
      <c r="BV539">
        <f>HYPERLINK("http://exon.niaid.nih.gov/transcriptome/Anopheles_sialome/links/cluster-b/anopheline-sialome-cds-pep-larger-orf50-50SimCLU26.txt", 26)</f>
        <v>26</v>
      </c>
      <c r="BW539">
        <f>HYPERLINK("http://exon.niaid.nih.gov/transcriptome/Anopheles_sialome/links/cluster-b/anopheline-sialome-cds-pep-larger-orf50-50SimCLTL26.txt", 17)</f>
        <v>17</v>
      </c>
      <c r="BX539">
        <f>HYPERLINK("http://exon.niaid.nih.gov/transcriptome/Anopheles_sialome/links/cluster-b/anopheline-sialome-cds-pep-larger-orf55-50SimCLU35.txt", 35)</f>
        <v>35</v>
      </c>
      <c r="BY539">
        <f>HYPERLINK("http://exon.niaid.nih.gov/transcriptome/Anopheles_sialome/links/cluster-b/anopheline-sialome-cds-pep-larger-orf55-50SimCLTL35.txt", 2)</f>
        <v>2</v>
      </c>
      <c r="BZ539">
        <f>HYPERLINK("http://exon.niaid.nih.gov/transcriptome/Anopheles_sialome/links/cluster-b/anopheline-sialome-cds-pep-larger-orf60-50SimCLU45.txt", 45)</f>
        <v>45</v>
      </c>
      <c r="CA539">
        <f>HYPERLINK("http://exon.niaid.nih.gov/transcriptome/Anopheles_sialome/links/cluster-b/anopheline-sialome-cds-pep-larger-orf60-50SimCLTL45.txt", 2)</f>
        <v>2</v>
      </c>
      <c r="CB539">
        <v>80</v>
      </c>
      <c r="CC539">
        <v>1</v>
      </c>
      <c r="CD539">
        <v>104</v>
      </c>
      <c r="CE539">
        <v>1</v>
      </c>
      <c r="CF539">
        <v>148</v>
      </c>
      <c r="CG539">
        <v>1</v>
      </c>
      <c r="CH539">
        <v>208</v>
      </c>
      <c r="CI539">
        <v>1</v>
      </c>
      <c r="CJ539">
        <v>281</v>
      </c>
      <c r="CK539">
        <v>1</v>
      </c>
      <c r="CL539">
        <v>357</v>
      </c>
      <c r="CM539">
        <v>1</v>
      </c>
      <c r="CN539">
        <v>428</v>
      </c>
      <c r="CO539">
        <v>1</v>
      </c>
    </row>
    <row r="540" spans="1:93">
      <c r="A540" s="2" t="str">
        <f>HYPERLINK("http://exon.niaid.nih.gov/transcriptome/Anopheles_sialome/links/cds/anosin_SG1-like2-cds.txt","anosin_SG1-like2")</f>
        <v>anosin_SG1-like2</v>
      </c>
      <c r="B540">
        <v>1224</v>
      </c>
      <c r="C540" t="s">
        <v>459</v>
      </c>
      <c r="D540" t="s">
        <v>7</v>
      </c>
      <c r="E540" t="s">
        <v>5</v>
      </c>
      <c r="F540" t="s">
        <v>1</v>
      </c>
      <c r="G540" t="str">
        <f>HYPERLINK("http://exon.niaid.nih.gov/transcriptome/Anopheles_sialome/links/pep/anosin_SG1-like2-pep.txt","anosin_SG1-like2")</f>
        <v>anosin_SG1-like2</v>
      </c>
      <c r="H540">
        <v>407</v>
      </c>
      <c r="I540">
        <v>1</v>
      </c>
      <c r="J540" s="3" t="str">
        <f>HYPERLINK("http://exon.niaid.nih.gov/transcriptome/Anopheles_sialome/links/Sigp/anosin_SG1-like2-SigP.txt","SIG")</f>
        <v>SIG</v>
      </c>
      <c r="K540" t="s">
        <v>708</v>
      </c>
      <c r="L540">
        <v>47.82</v>
      </c>
      <c r="M540">
        <v>9.0500000000000007</v>
      </c>
      <c r="N540">
        <v>45.436</v>
      </c>
      <c r="O540">
        <v>9.07</v>
      </c>
      <c r="P540" t="s">
        <v>1851</v>
      </c>
      <c r="Q540" s="3">
        <v>0</v>
      </c>
      <c r="R540" t="s">
        <v>128</v>
      </c>
      <c r="S540" t="s">
        <v>128</v>
      </c>
      <c r="T540" t="s">
        <v>128</v>
      </c>
      <c r="U540" t="s">
        <v>128</v>
      </c>
      <c r="V540" t="s">
        <v>128</v>
      </c>
      <c r="W540" s="3" t="str">
        <f>HYPERLINK("http://exon.niaid.nih.gov/transcriptome/Anopheles_sialome/links/netoglyc/anosin_SG1-like2-netoglyc.txt","1")</f>
        <v>1</v>
      </c>
      <c r="X540">
        <v>9.6</v>
      </c>
      <c r="Y540">
        <v>3.4</v>
      </c>
      <c r="Z540">
        <v>3.4</v>
      </c>
      <c r="AA540" t="s">
        <v>654</v>
      </c>
      <c r="AB540" t="s">
        <v>128</v>
      </c>
      <c r="AC540" s="2" t="str">
        <f>HYPERLINK("http://exon.niaid.nih.gov/transcriptome/Anopheles_sialome/links/DIPTERA/anosin_SG1-like2-DIPTERA.txt","SG1B-like salivary protein")</f>
        <v>SG1B-like salivary protein</v>
      </c>
      <c r="AD540" t="str">
        <f>HYPERLINK("http://www.ncbi.nlm.nih.gov/sutils/blink.cgi?pid=668449455","0.0")</f>
        <v>0.0</v>
      </c>
      <c r="AE540" t="str">
        <f>HYPERLINK("http://www.ncbi.nlm.nih.gov/protein/668449455","gi|668449455")</f>
        <v>gi|668449455</v>
      </c>
      <c r="AF540">
        <v>96</v>
      </c>
      <c r="AG540">
        <v>97</v>
      </c>
      <c r="AH540">
        <v>48</v>
      </c>
      <c r="AI540" t="s">
        <v>2277</v>
      </c>
      <c r="AJ540" s="2" t="str">
        <f>HYPERLINK("http://exon.niaid.nih.gov/transcriptome/Anopheles_sialome/links/CULICOMORPHA/anosin_SG1-like2-CULICOMORPHA.txt","SG1B-like salivary protein")</f>
        <v>SG1B-like salivary protein</v>
      </c>
      <c r="AK540" t="str">
        <f>HYPERLINK("http://www.ncbi.nlm.nih.gov/sutils/blink.cgi?pid=668449455","0.0")</f>
        <v>0.0</v>
      </c>
      <c r="AL540" t="str">
        <f>HYPERLINK("http://www.ncbi.nlm.nih.gov/protein/668449455","gi|668449455")</f>
        <v>gi|668449455</v>
      </c>
      <c r="AM540">
        <v>96</v>
      </c>
      <c r="AN540">
        <v>97</v>
      </c>
      <c r="AO540">
        <v>48</v>
      </c>
      <c r="AP540" t="s">
        <v>2277</v>
      </c>
      <c r="AQ540" s="2" t="str">
        <f>HYPERLINK("http://exon.niaid.nih.gov/transcriptome/Anopheles_sialome/links/NR-LIGHT/anosin_SG1-like2-NR-LIGHT.txt","SG1B-like salivary protein")</f>
        <v>SG1B-like salivary protein</v>
      </c>
      <c r="AR540" t="str">
        <f>HYPERLINK("http://www.ncbi.nlm.nih.gov/sutils/blink.cgi?pid=668449455","0.0")</f>
        <v>0.0</v>
      </c>
      <c r="AS540" t="str">
        <f>HYPERLINK("http://www.ncbi.nlm.nih.gov/protein/668449455","gi|668449455")</f>
        <v>gi|668449455</v>
      </c>
      <c r="AT540">
        <v>96</v>
      </c>
      <c r="AU540">
        <v>97</v>
      </c>
      <c r="AV540">
        <v>48</v>
      </c>
      <c r="AW540" t="s">
        <v>2277</v>
      </c>
      <c r="AX540" s="2" t="str">
        <f>HYPERLINK("http://exon.niaid.nih.gov/transcriptome/Anopheles_sialome/links/CDD/anosin_SG1-like2-CDD.txt","COG5283:_Phage-")</f>
        <v>COG5283:_Phage-</v>
      </c>
      <c r="AY540" t="str">
        <f>HYPERLINK("http://www.ncbi.nlm.nih.gov/Structure/cdd/cddsrv.cgi?uid=TIGR01760&amp;version=v4.0","2.0")</f>
        <v>2.0</v>
      </c>
      <c r="AZ540" t="s">
        <v>2928</v>
      </c>
      <c r="BA540" s="2" t="str">
        <f>HYPERLINK("http://exon.niaid.nih.gov/transcriptome/Anopheles_sialome/links/KOG/anosin_SG1-like2-KOG.txt","Acyl-CoA synthetase")</f>
        <v>Acyl-CoA synthetase</v>
      </c>
      <c r="BB540" t="str">
        <f>HYPERLINK("http://www.ncbi.nlm.nih.gov/Structure/cdd/cddsrv.cgi?uid=KOG1176","0.45")</f>
        <v>0.45</v>
      </c>
      <c r="BC540" t="s">
        <v>2298</v>
      </c>
      <c r="BD540" t="str">
        <f>HYPERLINK("http://exon.niaid.nih.gov/transcriptome/Anopheles_sialome/links/KOG/anosin_SG1-like2-KOG.txt","KOG1176")</f>
        <v>KOG1176</v>
      </c>
      <c r="BE540" t="str">
        <f>HYPERLINK("http://exon.niaid.nih.gov/transcriptome/Anopheles_sialome/links/PFAM/anosin_SG1-like2-PFAM.txt","BROMI")</f>
        <v>BROMI</v>
      </c>
      <c r="BF540" t="str">
        <f>HYPERLINK("http://pfam.sanger.ac.uk/family?acc=PF14961","2.4")</f>
        <v>2.4</v>
      </c>
      <c r="BG540" s="2" t="str">
        <f>HYPERLINK("http://exon.niaid.nih.gov/transcriptome/Anopheles_sialome/links/SMART/anosin_SG1-like2-SMART.txt","TRCF")</f>
        <v>TRCF</v>
      </c>
      <c r="BH540" t="str">
        <f>HYPERLINK("http://smart.embl-heidelberg.de/smart/do_annotation.pl?DOMAIN=TRCF&amp;BLAST=DUMMY","0.66")</f>
        <v>0.66</v>
      </c>
      <c r="BI540" t="s">
        <v>128</v>
      </c>
      <c r="BJ540" s="2" t="s">
        <v>128</v>
      </c>
      <c r="BK540" t="s">
        <v>1850</v>
      </c>
      <c r="BL540">
        <f>HYPERLINK("http://exon.niaid.nih.gov/transcriptome/Anopheles_sialome/links/cluster-b/anopheline-sialome-cds-pep-larger-orf25-50SimCLU3.txt", 3)</f>
        <v>3</v>
      </c>
      <c r="BM540">
        <f>HYPERLINK("http://exon.niaid.nih.gov/transcriptome/Anopheles_sialome/links/cluster-b/anopheline-sialome-cds-pep-larger-orf25-50SimCLTL3.txt", 119)</f>
        <v>119</v>
      </c>
      <c r="BN540">
        <f>HYPERLINK("http://exon.niaid.nih.gov/transcriptome/Anopheles_sialome/links/cluster-b/anopheline-sialome-cds-pep-larger-orf30-50SimCLU3.txt", 3)</f>
        <v>3</v>
      </c>
      <c r="BO540">
        <f>HYPERLINK("http://exon.niaid.nih.gov/transcriptome/Anopheles_sialome/links/cluster-b/anopheline-sialome-cds-pep-larger-orf30-50SimCLTL3.txt", 119)</f>
        <v>119</v>
      </c>
      <c r="BP540">
        <f>HYPERLINK("http://exon.niaid.nih.gov/transcriptome/Anopheles_sialome/links/cluster-b/anopheline-sialome-cds-pep-larger-orf35-50SimCLU2.txt", 2)</f>
        <v>2</v>
      </c>
      <c r="BQ540">
        <f>HYPERLINK("http://exon.niaid.nih.gov/transcriptome/Anopheles_sialome/links/cluster-b/anopheline-sialome-cds-pep-larger-orf35-50SimCLTL2.txt", 119)</f>
        <v>119</v>
      </c>
      <c r="BR540">
        <f>HYPERLINK("http://exon.niaid.nih.gov/transcriptome/Anopheles_sialome/links/cluster-b/anopheline-sialome-cds-pep-larger-orf40-50SimCLU1.txt", 1)</f>
        <v>1</v>
      </c>
      <c r="BS540">
        <f>HYPERLINK("http://exon.niaid.nih.gov/transcriptome/Anopheles_sialome/links/cluster-b/anopheline-sialome-cds-pep-larger-orf40-50SimCLTL1.txt", 119)</f>
        <v>119</v>
      </c>
      <c r="BT540">
        <f>HYPERLINK("http://exon.niaid.nih.gov/transcriptome/Anopheles_sialome/links/cluster-b/anopheline-sialome-cds-pep-larger-orf45-50SimCLU22.txt", 22)</f>
        <v>22</v>
      </c>
      <c r="BU540">
        <f>HYPERLINK("http://exon.niaid.nih.gov/transcriptome/Anopheles_sialome/links/cluster-b/anopheline-sialome-cds-pep-larger-orf45-50SimCLTL22.txt", 18)</f>
        <v>18</v>
      </c>
      <c r="BV540">
        <f>HYPERLINK("http://exon.niaid.nih.gov/transcriptome/Anopheles_sialome/links/cluster-b/anopheline-sialome-cds-pep-larger-orf50-50SimCLU26.txt", 26)</f>
        <v>26</v>
      </c>
      <c r="BW540">
        <f>HYPERLINK("http://exon.niaid.nih.gov/transcriptome/Anopheles_sialome/links/cluster-b/anopheline-sialome-cds-pep-larger-orf50-50SimCLTL26.txt", 17)</f>
        <v>17</v>
      </c>
      <c r="BX540">
        <f>HYPERLINK("http://exon.niaid.nih.gov/transcriptome/Anopheles_sialome/links/cluster-b/anopheline-sialome-cds-pep-larger-orf55-50SimCLU35.txt", 35)</f>
        <v>35</v>
      </c>
      <c r="BY540">
        <f>HYPERLINK("http://exon.niaid.nih.gov/transcriptome/Anopheles_sialome/links/cluster-b/anopheline-sialome-cds-pep-larger-orf55-50SimCLTL35.txt", 2)</f>
        <v>2</v>
      </c>
      <c r="BZ540">
        <f>HYPERLINK("http://exon.niaid.nih.gov/transcriptome/Anopheles_sialome/links/cluster-b/anopheline-sialome-cds-pep-larger-orf60-50SimCLU45.txt", 45)</f>
        <v>45</v>
      </c>
      <c r="CA540">
        <f>HYPERLINK("http://exon.niaid.nih.gov/transcriptome/Anopheles_sialome/links/cluster-b/anopheline-sialome-cds-pep-larger-orf60-50SimCLTL45.txt", 2)</f>
        <v>2</v>
      </c>
      <c r="CB540">
        <v>81</v>
      </c>
      <c r="CC540">
        <v>1</v>
      </c>
      <c r="CD540">
        <v>105</v>
      </c>
      <c r="CE540">
        <v>1</v>
      </c>
      <c r="CF540">
        <v>149</v>
      </c>
      <c r="CG540">
        <v>1</v>
      </c>
      <c r="CH540">
        <v>209</v>
      </c>
      <c r="CI540">
        <v>1</v>
      </c>
      <c r="CJ540">
        <v>282</v>
      </c>
      <c r="CK540">
        <v>1</v>
      </c>
      <c r="CL540">
        <v>358</v>
      </c>
      <c r="CM540">
        <v>1</v>
      </c>
      <c r="CN540">
        <v>429</v>
      </c>
      <c r="CO540">
        <v>1</v>
      </c>
    </row>
    <row r="541" spans="1:93">
      <c r="A541" s="2" t="str">
        <f>HYPERLINK("http://exon.niaid.nih.gov/transcriptome/Anopheles_sialome/links/cds/anoalb_SG1-like2-cds.txt","anoalb_SG1-like2")</f>
        <v>anoalb_SG1-like2</v>
      </c>
      <c r="B541">
        <v>1173</v>
      </c>
      <c r="C541" t="s">
        <v>460</v>
      </c>
      <c r="D541" t="s">
        <v>4</v>
      </c>
      <c r="E541" t="s">
        <v>5</v>
      </c>
      <c r="F541" t="s">
        <v>1</v>
      </c>
      <c r="G541" t="str">
        <f>HYPERLINK("http://exon.niaid.nih.gov/transcriptome/Anopheles_sialome/links/pep/anoalb_SG1-like2-pep.txt","anoalb_SG1-like2")</f>
        <v>anoalb_SG1-like2</v>
      </c>
      <c r="H541">
        <v>390</v>
      </c>
      <c r="I541">
        <v>0</v>
      </c>
      <c r="J541" s="3" t="str">
        <f>HYPERLINK("http://exon.niaid.nih.gov/transcriptome/Anopheles_sialome/links/Sigp/anoalb_SG1-like2-SigP.txt","SIG")</f>
        <v>SIG</v>
      </c>
      <c r="K541" t="s">
        <v>689</v>
      </c>
      <c r="L541">
        <v>45.286999999999999</v>
      </c>
      <c r="M541">
        <v>9.64</v>
      </c>
      <c r="N541">
        <v>43.28</v>
      </c>
      <c r="O541">
        <v>9.64</v>
      </c>
      <c r="P541" t="s">
        <v>1074</v>
      </c>
      <c r="Q541" s="3">
        <v>0</v>
      </c>
      <c r="R541" t="s">
        <v>128</v>
      </c>
      <c r="S541" t="s">
        <v>128</v>
      </c>
      <c r="T541" t="s">
        <v>128</v>
      </c>
      <c r="U541" t="s">
        <v>128</v>
      </c>
      <c r="V541" t="s">
        <v>128</v>
      </c>
      <c r="W541" s="3" t="str">
        <f>HYPERLINK("http://exon.niaid.nih.gov/transcriptome/Anopheles_sialome/links/netoglyc/anoalb_SG1-like2-netoglyc.txt","0")</f>
        <v>0</v>
      </c>
      <c r="X541">
        <v>8.5</v>
      </c>
      <c r="Y541">
        <v>4.0999999999999996</v>
      </c>
      <c r="Z541">
        <v>3.8</v>
      </c>
      <c r="AA541" t="s">
        <v>654</v>
      </c>
      <c r="AB541" t="s">
        <v>128</v>
      </c>
      <c r="AC541" s="2" t="str">
        <f>HYPERLINK("http://exon.niaid.nih.gov/transcriptome/Anopheles_sialome/links/DIPTERA/anoalb_SG1-like2-DIPTERA.txt","putative sg1d-like salivary protein precursor")</f>
        <v>putative sg1d-like salivary protein precursor</v>
      </c>
      <c r="AD541" t="str">
        <f>HYPERLINK("http://www.ncbi.nlm.nih.gov/sutils/blink.cgi?pid=524933553","1E-175")</f>
        <v>1E-175</v>
      </c>
      <c r="AE541" t="str">
        <f>HYPERLINK("http://www.ncbi.nlm.nih.gov/protein/524933553","gi|524933553")</f>
        <v>gi|524933553</v>
      </c>
      <c r="AF541">
        <v>78</v>
      </c>
      <c r="AG541">
        <v>88</v>
      </c>
      <c r="AH541">
        <v>96</v>
      </c>
      <c r="AI541" t="s">
        <v>2477</v>
      </c>
      <c r="AJ541" s="2" t="str">
        <f>HYPERLINK("http://exon.niaid.nih.gov/transcriptome/Anopheles_sialome/links/CULICOMORPHA/anoalb_SG1-like2-CULICOMORPHA.txt","putative sg1d-like salivary protein precursor")</f>
        <v>putative sg1d-like salivary protein precursor</v>
      </c>
      <c r="AK541" t="str">
        <f>HYPERLINK("http://www.ncbi.nlm.nih.gov/sutils/blink.cgi?pid=524933553","1E-176")</f>
        <v>1E-176</v>
      </c>
      <c r="AL541" t="str">
        <f>HYPERLINK("http://www.ncbi.nlm.nih.gov/protein/524933553","gi|524933553")</f>
        <v>gi|524933553</v>
      </c>
      <c r="AM541">
        <v>78</v>
      </c>
      <c r="AN541">
        <v>88</v>
      </c>
      <c r="AO541">
        <v>96</v>
      </c>
      <c r="AP541" t="s">
        <v>2477</v>
      </c>
      <c r="AQ541" s="2" t="str">
        <f>HYPERLINK("http://exon.niaid.nih.gov/transcriptome/Anopheles_sialome/links/NR-LIGHT/anoalb_SG1-like2-NR-LIGHT.txt","SG1-2")</f>
        <v>SG1-2</v>
      </c>
      <c r="AR541" t="str">
        <f>HYPERLINK("http://www.ncbi.nlm.nih.gov/sutils/blink.cgi?pid=445068798","1E-036")</f>
        <v>1E-036</v>
      </c>
      <c r="AS541" t="str">
        <f>HYPERLINK("http://www.ncbi.nlm.nih.gov/protein/445068798","gi|445068798")</f>
        <v>gi|445068798</v>
      </c>
      <c r="AT541">
        <v>27</v>
      </c>
      <c r="AU541">
        <v>48</v>
      </c>
      <c r="AV541">
        <v>96</v>
      </c>
      <c r="AW541" t="s">
        <v>2254</v>
      </c>
      <c r="AX541" s="2" t="str">
        <f>HYPERLINK("http://exon.niaid.nih.gov/transcriptome/Anopheles_sialome/links/CDD/anoalb_SG1-like2-CDD.txt","MYSc_Myo42")</f>
        <v>MYSc_Myo42</v>
      </c>
      <c r="AY541" t="str">
        <f>HYPERLINK("http://www.ncbi.nlm.nih.gov/Structure/cdd/cddsrv.cgi?uid=cd14903&amp;version=v4.0","1.1")</f>
        <v>1.1</v>
      </c>
      <c r="AZ541" t="s">
        <v>2929</v>
      </c>
      <c r="BA541" s="2" t="str">
        <f>HYPERLINK("http://exon.niaid.nih.gov/transcriptome/Anopheles_sialome/links/KOG/anoalb_SG1-like2-KOG.txt","Clathrin assembly protein AP180 and related proteins, contain ENTH domain")</f>
        <v>Clathrin assembly protein AP180 and related proteins, contain ENTH domain</v>
      </c>
      <c r="BB541" t="str">
        <f>HYPERLINK("http://www.ncbi.nlm.nih.gov/Structure/cdd/cddsrv.cgi?uid=KOG0251","0.070")</f>
        <v>0.070</v>
      </c>
      <c r="BC541" t="s">
        <v>2909</v>
      </c>
      <c r="BD541" t="str">
        <f>HYPERLINK("http://exon.niaid.nih.gov/transcriptome/Anopheles_sialome/links/KOG/anoalb_SG1-like2-KOG.txt","KOG0251")</f>
        <v>KOG0251</v>
      </c>
      <c r="BE541" t="str">
        <f>HYPERLINK("http://exon.niaid.nih.gov/transcriptome/Anopheles_sialome/links/PFAM/anoalb_SG1-like2-PFAM.txt","ROS_MUCR")</f>
        <v>ROS_MUCR</v>
      </c>
      <c r="BF541" t="str">
        <f>HYPERLINK("http://pfam.sanger.ac.uk/family?acc=PF05443","1.1")</f>
        <v>1.1</v>
      </c>
      <c r="BG541" s="2" t="str">
        <f>HYPERLINK("http://exon.niaid.nih.gov/transcriptome/Anopheles_sialome/links/SMART/anoalb_SG1-like2-SMART.txt","Ala_racemase_C")</f>
        <v>Ala_racemase_C</v>
      </c>
      <c r="BH541" t="str">
        <f>HYPERLINK("http://smart.embl-heidelberg.de/smart/do_annotation.pl?DOMAIN=Ala_racemase_C&amp;BLAST=DUMMY","3.0")</f>
        <v>3.0</v>
      </c>
      <c r="BI541" t="str">
        <f>HYPERLINK("http://exon.niaid.nih.gov/transcriptome/Anopheles_sialome/links/TICK-BLOCKS/anoalb_SG1-like2-TICK-BLOCKS.txt","SG1_full |SG1_stringent_pattern |")</f>
        <v>SG1_full |SG1_stringent_pattern |</v>
      </c>
      <c r="BJ541" s="2" t="s">
        <v>2423</v>
      </c>
      <c r="BK541" t="s">
        <v>1852</v>
      </c>
      <c r="BL541">
        <f>HYPERLINK("http://exon.niaid.nih.gov/transcriptome/Anopheles_sialome/links/cluster-b/anopheline-sialome-cds-pep-larger-orf25-50SimCLU3.txt", 3)</f>
        <v>3</v>
      </c>
      <c r="BM541">
        <f>HYPERLINK("http://exon.niaid.nih.gov/transcriptome/Anopheles_sialome/links/cluster-b/anopheline-sialome-cds-pep-larger-orf25-50SimCLTL3.txt", 119)</f>
        <v>119</v>
      </c>
      <c r="BN541">
        <f>HYPERLINK("http://exon.niaid.nih.gov/transcriptome/Anopheles_sialome/links/cluster-b/anopheline-sialome-cds-pep-larger-orf30-50SimCLU3.txt", 3)</f>
        <v>3</v>
      </c>
      <c r="BO541">
        <f>HYPERLINK("http://exon.niaid.nih.gov/transcriptome/Anopheles_sialome/links/cluster-b/anopheline-sialome-cds-pep-larger-orf30-50SimCLTL3.txt", 119)</f>
        <v>119</v>
      </c>
      <c r="BP541">
        <f>HYPERLINK("http://exon.niaid.nih.gov/transcriptome/Anopheles_sialome/links/cluster-b/anopheline-sialome-cds-pep-larger-orf35-50SimCLU2.txt", 2)</f>
        <v>2</v>
      </c>
      <c r="BQ541">
        <f>HYPERLINK("http://exon.niaid.nih.gov/transcriptome/Anopheles_sialome/links/cluster-b/anopheline-sialome-cds-pep-larger-orf35-50SimCLTL2.txt", 119)</f>
        <v>119</v>
      </c>
      <c r="BR541">
        <f>HYPERLINK("http://exon.niaid.nih.gov/transcriptome/Anopheles_sialome/links/cluster-b/anopheline-sialome-cds-pep-larger-orf40-50SimCLU1.txt", 1)</f>
        <v>1</v>
      </c>
      <c r="BS541">
        <f>HYPERLINK("http://exon.niaid.nih.gov/transcriptome/Anopheles_sialome/links/cluster-b/anopheline-sialome-cds-pep-larger-orf40-50SimCLTL1.txt", 119)</f>
        <v>119</v>
      </c>
      <c r="BT541">
        <f>HYPERLINK("http://exon.niaid.nih.gov/transcriptome/Anopheles_sialome/links/cluster-b/anopheline-sialome-cds-pep-larger-orf45-50SimCLU22.txt", 22)</f>
        <v>22</v>
      </c>
      <c r="BU541">
        <f>HYPERLINK("http://exon.niaid.nih.gov/transcriptome/Anopheles_sialome/links/cluster-b/anopheline-sialome-cds-pep-larger-orf45-50SimCLTL22.txt", 18)</f>
        <v>18</v>
      </c>
      <c r="BV541">
        <v>35</v>
      </c>
      <c r="BW541">
        <v>1</v>
      </c>
      <c r="BX541">
        <v>43</v>
      </c>
      <c r="BY541">
        <v>1</v>
      </c>
      <c r="BZ541">
        <v>62</v>
      </c>
      <c r="CA541">
        <v>1</v>
      </c>
      <c r="CB541">
        <v>82</v>
      </c>
      <c r="CC541">
        <v>1</v>
      </c>
      <c r="CD541">
        <v>106</v>
      </c>
      <c r="CE541">
        <v>1</v>
      </c>
      <c r="CF541">
        <v>150</v>
      </c>
      <c r="CG541">
        <v>1</v>
      </c>
      <c r="CH541">
        <v>210</v>
      </c>
      <c r="CI541">
        <v>1</v>
      </c>
      <c r="CJ541">
        <v>283</v>
      </c>
      <c r="CK541">
        <v>1</v>
      </c>
      <c r="CL541">
        <v>359</v>
      </c>
      <c r="CM541">
        <v>1</v>
      </c>
      <c r="CN541">
        <v>430</v>
      </c>
      <c r="CO541">
        <v>1</v>
      </c>
    </row>
    <row r="542" spans="1:93">
      <c r="A542" s="6" t="s">
        <v>3210</v>
      </c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</row>
    <row r="543" spans="1:93">
      <c r="A543" s="2" t="str">
        <f>HYPERLINK("http://exon.niaid.nih.gov/transcriptome/Anopheles_sialome/links/cds/anoga_SG1-like3-cds.txt","anoga_SG1-like3")</f>
        <v>anoga_SG1-like3</v>
      </c>
      <c r="B543">
        <v>1179</v>
      </c>
      <c r="C543" t="s">
        <v>461</v>
      </c>
      <c r="D543" t="s">
        <v>4</v>
      </c>
      <c r="E543" t="s">
        <v>5</v>
      </c>
      <c r="F543" t="s">
        <v>1</v>
      </c>
      <c r="G543" t="str">
        <f>HYPERLINK("http://exon.niaid.nih.gov/transcriptome/Anopheles_sialome/links/pep/anoga_SG1-like3-pep.txt","anoga_SG1-like3")</f>
        <v>anoga_SG1-like3</v>
      </c>
      <c r="H543">
        <v>392</v>
      </c>
      <c r="I543">
        <v>0</v>
      </c>
      <c r="J543" s="3" t="str">
        <f>HYPERLINK("http://exon.niaid.nih.gov/transcriptome/Anopheles_sialome/links/Sigp/anoga_SG1-like3-SigP.txt","SIG")</f>
        <v>SIG</v>
      </c>
      <c r="K543" t="s">
        <v>692</v>
      </c>
      <c r="L543">
        <v>44.588000000000001</v>
      </c>
      <c r="M543">
        <v>5.86</v>
      </c>
      <c r="N543">
        <v>42.58</v>
      </c>
      <c r="O543">
        <v>5.81</v>
      </c>
      <c r="P543" t="s">
        <v>1854</v>
      </c>
      <c r="Q543" s="3">
        <v>0</v>
      </c>
      <c r="R543" t="s">
        <v>128</v>
      </c>
      <c r="S543" t="s">
        <v>128</v>
      </c>
      <c r="T543" t="s">
        <v>128</v>
      </c>
      <c r="U543" t="s">
        <v>128</v>
      </c>
      <c r="V543" t="s">
        <v>128</v>
      </c>
      <c r="W543" s="3" t="str">
        <f>HYPERLINK("http://exon.niaid.nih.gov/transcriptome/Anopheles_sialome/links/netoglyc/anoga_SG1-like3-netoglyc.txt","0")</f>
        <v>0</v>
      </c>
      <c r="X543">
        <v>8.6999999999999993</v>
      </c>
      <c r="Y543">
        <v>5.0999999999999996</v>
      </c>
      <c r="Z543">
        <v>3.1</v>
      </c>
      <c r="AA543" t="s">
        <v>654</v>
      </c>
      <c r="AB543" t="s">
        <v>128</v>
      </c>
      <c r="AC543" s="2" t="str">
        <f>HYPERLINK("http://exon.niaid.nih.gov/transcriptome/Anopheles_sialome/links/DIPTERA/anoga_SG1-like3-DIPTERA.txt","AGAP000607-PA")</f>
        <v>AGAP000607-PA</v>
      </c>
      <c r="AD543" t="str">
        <f>HYPERLINK("http://www.ncbi.nlm.nih.gov/sutils/blink.cgi?pid=333466868","0.0")</f>
        <v>0.0</v>
      </c>
      <c r="AE543" t="str">
        <f t="shared" ref="AE543" si="174">HYPERLINK("http://www.ncbi.nlm.nih.gov/protein/333466868","gi|333466868")</f>
        <v>gi|333466868</v>
      </c>
      <c r="AF543">
        <v>100</v>
      </c>
      <c r="AG543">
        <v>100</v>
      </c>
      <c r="AH543">
        <v>100</v>
      </c>
      <c r="AI543" t="s">
        <v>2285</v>
      </c>
      <c r="AJ543" s="2" t="str">
        <f>HYPERLINK("http://exon.niaid.nih.gov/transcriptome/Anopheles_sialome/links/CULICOMORPHA/anoga_SG1-like3-CULICOMORPHA.txt","AGAP000607-PA")</f>
        <v>AGAP000607-PA</v>
      </c>
      <c r="AK543" t="str">
        <f>HYPERLINK("http://www.ncbi.nlm.nih.gov/sutils/blink.cgi?pid=333466868","0.0")</f>
        <v>0.0</v>
      </c>
      <c r="AL543" t="str">
        <f t="shared" ref="AL543" si="175">HYPERLINK("http://www.ncbi.nlm.nih.gov/protein/333466868","gi|333466868")</f>
        <v>gi|333466868</v>
      </c>
      <c r="AM543">
        <v>100</v>
      </c>
      <c r="AN543">
        <v>100</v>
      </c>
      <c r="AO543">
        <v>100</v>
      </c>
      <c r="AP543" t="s">
        <v>2285</v>
      </c>
      <c r="AQ543" s="2" t="str">
        <f>HYPERLINK("http://exon.niaid.nih.gov/transcriptome/Anopheles_sialome/links/NR-LIGHT/anoga_SG1-like3-NR-LIGHT.txt","AGAP000607-PA")</f>
        <v>AGAP000607-PA</v>
      </c>
      <c r="AR543" t="str">
        <f>HYPERLINK("http://www.ncbi.nlm.nih.gov/sutils/blink.cgi?pid=347964146","0.0")</f>
        <v>0.0</v>
      </c>
      <c r="AS543" t="str">
        <f t="shared" ref="AS543" si="176">HYPERLINK("http://www.ncbi.nlm.nih.gov/protein/347964146","gi|347964146")</f>
        <v>gi|347964146</v>
      </c>
      <c r="AT543">
        <v>100</v>
      </c>
      <c r="AU543">
        <v>100</v>
      </c>
      <c r="AV543">
        <v>100</v>
      </c>
      <c r="AW543" t="s">
        <v>2285</v>
      </c>
      <c r="AX543" s="2" t="str">
        <f>HYPERLINK("http://exon.niaid.nih.gov/transcriptome/Anopheles_sialome/links/CDD/anoga_SG1-like3-CDD.txt","NqrB")</f>
        <v>NqrB</v>
      </c>
      <c r="AY543" t="str">
        <f>HYPERLINK("http://www.ncbi.nlm.nih.gov/Structure/cdd/cddsrv.cgi?uid=COG1805&amp;version=v4.0","0.57")</f>
        <v>0.57</v>
      </c>
      <c r="AZ543" t="s">
        <v>2930</v>
      </c>
      <c r="BA543" s="2" t="str">
        <f>HYPERLINK("http://exon.niaid.nih.gov/transcriptome/Anopheles_sialome/links/KOG/anoga_SG1-like3-KOG.txt","Translation initiation factor 3, subunit b (eIF-3b)")</f>
        <v>Translation initiation factor 3, subunit b (eIF-3b)</v>
      </c>
      <c r="BB543" t="str">
        <f>HYPERLINK("http://www.ncbi.nlm.nih.gov/Structure/cdd/cddsrv.cgi?uid=KOG2314","0.53")</f>
        <v>0.53</v>
      </c>
      <c r="BC543" t="s">
        <v>2260</v>
      </c>
      <c r="BD543" t="str">
        <f>HYPERLINK("http://exon.niaid.nih.gov/transcriptome/Anopheles_sialome/links/KOG/anoga_SG1-like3-KOG.txt","KOG2314")</f>
        <v>KOG2314</v>
      </c>
      <c r="BE543" t="str">
        <f>HYPERLINK("http://exon.niaid.nih.gov/transcriptome/Anopheles_sialome/links/PFAM/anoga_SG1-like3-PFAM.txt","HAUS-augmin3")</f>
        <v>HAUS-augmin3</v>
      </c>
      <c r="BF543" t="str">
        <f>HYPERLINK("http://pfam.sanger.ac.uk/family?acc=PF14932","0.20")</f>
        <v>0.20</v>
      </c>
      <c r="BG543" s="2" t="str">
        <f>HYPERLINK("http://exon.niaid.nih.gov/transcriptome/Anopheles_sialome/links/SMART/anoga_SG1-like3-SMART.txt","PLAc")</f>
        <v>PLAc</v>
      </c>
      <c r="BH543" t="str">
        <f>HYPERLINK("http://smart.embl-heidelberg.de/smart/do_annotation.pl?DOMAIN=PLAc&amp;BLAST=DUMMY","0.43")</f>
        <v>0.43</v>
      </c>
      <c r="BI543" t="str">
        <f>HYPERLINK("http://exon.niaid.nih.gov/transcriptome/Anopheles_sialome/links/TICK-BLOCKS/anoga_SG1-like3-TICK-BLOCKS.txt","SG1_full |SG1_stringent_pattern |")</f>
        <v>SG1_full |SG1_stringent_pattern |</v>
      </c>
      <c r="BJ543" s="2" t="s">
        <v>2423</v>
      </c>
      <c r="BK543" t="s">
        <v>1853</v>
      </c>
      <c r="BL543">
        <f>HYPERLINK("http://exon.niaid.nih.gov/transcriptome/Anopheles_sialome/links/cluster-b/anopheline-sialome-cds-pep-larger-orf25-50SimCLU3.txt", 3)</f>
        <v>3</v>
      </c>
      <c r="BM543">
        <f>HYPERLINK("http://exon.niaid.nih.gov/transcriptome/Anopheles_sialome/links/cluster-b/anopheline-sialome-cds-pep-larger-orf25-50SimCLTL3.txt", 119)</f>
        <v>119</v>
      </c>
      <c r="BN543">
        <f>HYPERLINK("http://exon.niaid.nih.gov/transcriptome/Anopheles_sialome/links/cluster-b/anopheline-sialome-cds-pep-larger-orf30-50SimCLU3.txt", 3)</f>
        <v>3</v>
      </c>
      <c r="BO543">
        <f>HYPERLINK("http://exon.niaid.nih.gov/transcriptome/Anopheles_sialome/links/cluster-b/anopheline-sialome-cds-pep-larger-orf30-50SimCLTL3.txt", 119)</f>
        <v>119</v>
      </c>
      <c r="BP543">
        <f>HYPERLINK("http://exon.niaid.nih.gov/transcriptome/Anopheles_sialome/links/cluster-b/anopheline-sialome-cds-pep-larger-orf35-50SimCLU2.txt", 2)</f>
        <v>2</v>
      </c>
      <c r="BQ543">
        <f>HYPERLINK("http://exon.niaid.nih.gov/transcriptome/Anopheles_sialome/links/cluster-b/anopheline-sialome-cds-pep-larger-orf35-50SimCLTL2.txt", 119)</f>
        <v>119</v>
      </c>
      <c r="BR543">
        <f>HYPERLINK("http://exon.niaid.nih.gov/transcriptome/Anopheles_sialome/links/cluster-b/anopheline-sialome-cds-pep-larger-orf40-50SimCLU1.txt", 1)</f>
        <v>1</v>
      </c>
      <c r="BS543">
        <f>HYPERLINK("http://exon.niaid.nih.gov/transcriptome/Anopheles_sialome/links/cluster-b/anopheline-sialome-cds-pep-larger-orf40-50SimCLTL1.txt", 119)</f>
        <v>119</v>
      </c>
      <c r="BT543">
        <f>HYPERLINK("http://exon.niaid.nih.gov/transcriptome/Anopheles_sialome/links/cluster-b/anopheline-sialome-cds-pep-larger-orf45-50SimCLU3.txt", 3)</f>
        <v>3</v>
      </c>
      <c r="BU543">
        <f>HYPERLINK("http://exon.niaid.nih.gov/transcriptome/Anopheles_sialome/links/cluster-b/anopheline-sialome-cds-pep-larger-orf45-50SimCLTL3.txt", 65)</f>
        <v>65</v>
      </c>
      <c r="BV543">
        <f>HYPERLINK("http://exon.niaid.nih.gov/transcriptome/Anopheles_sialome/links/cluster-b/anopheline-sialome-cds-pep-larger-orf50-50SimCLU27.txt", 27)</f>
        <v>27</v>
      </c>
      <c r="BW543">
        <f>HYPERLINK("http://exon.niaid.nih.gov/transcriptome/Anopheles_sialome/links/cluster-b/anopheline-sialome-cds-pep-larger-orf50-50SimCLTL27.txt", 17)</f>
        <v>17</v>
      </c>
      <c r="BX543">
        <f>HYPERLINK("http://exon.niaid.nih.gov/transcriptome/Anopheles_sialome/links/cluster-b/anopheline-sialome-cds-pep-larger-orf55-50SimCLU26.txt", 26)</f>
        <v>26</v>
      </c>
      <c r="BY543">
        <f>HYPERLINK("http://exon.niaid.nih.gov/transcriptome/Anopheles_sialome/links/cluster-b/anopheline-sialome-cds-pep-larger-orf55-50SimCLTL26.txt", 17)</f>
        <v>17</v>
      </c>
      <c r="BZ543">
        <f>HYPERLINK("http://exon.niaid.nih.gov/transcriptome/Anopheles_sialome/links/cluster-b/anopheline-sialome-cds-pep-larger-orf60-50SimCLU28.txt", 28)</f>
        <v>28</v>
      </c>
      <c r="CA543">
        <f>HYPERLINK("http://exon.niaid.nih.gov/transcriptome/Anopheles_sialome/links/cluster-b/anopheline-sialome-cds-pep-larger-orf60-50SimCLTL28.txt", 16)</f>
        <v>16</v>
      </c>
      <c r="CB543">
        <f>HYPERLINK("http://exon.niaid.nih.gov/transcriptome/Anopheles_sialome/links/cluster-b/anopheline-sialome-cds-pep-larger-orf65-50SimCLU25.txt", 25)</f>
        <v>25</v>
      </c>
      <c r="CC543">
        <f>HYPERLINK("http://exon.niaid.nih.gov/transcriptome/Anopheles_sialome/links/cluster-b/anopheline-sialome-cds-pep-larger-orf65-50SimCLTL25.txt", 16)</f>
        <v>16</v>
      </c>
      <c r="CD543">
        <f>HYPERLINK("http://exon.niaid.nih.gov/transcriptome/Anopheles_sialome/links/cluster-b/anopheline-sialome-cds-pep-larger-orf70-50SimCLU33.txt", 33)</f>
        <v>33</v>
      </c>
      <c r="CE543">
        <f>HYPERLINK("http://exon.niaid.nih.gov/transcriptome/Anopheles_sialome/links/cluster-b/anopheline-sialome-cds-pep-larger-orf70-50SimCLTL33.txt", 14)</f>
        <v>14</v>
      </c>
      <c r="CF543">
        <f>HYPERLINK("http://exon.niaid.nih.gov/transcriptome/Anopheles_sialome/links/cluster-b/anopheline-sialome-cds-pep-larger-orf75-50SimCLU31.txt", 31)</f>
        <v>31</v>
      </c>
      <c r="CG543">
        <f>HYPERLINK("http://exon.niaid.nih.gov/transcriptome/Anopheles_sialome/links/cluster-b/anopheline-sialome-cds-pep-larger-orf75-50SimCLTL31.txt", 12)</f>
        <v>12</v>
      </c>
      <c r="CH543">
        <f>HYPERLINK("http://exon.niaid.nih.gov/transcriptome/Anopheles_sialome/links/cluster-b/anopheline-sialome-cds-pep-larger-orf80-50SimCLU22.txt", 22)</f>
        <v>22</v>
      </c>
      <c r="CI543">
        <f>HYPERLINK("http://exon.niaid.nih.gov/transcriptome/Anopheles_sialome/links/cluster-b/anopheline-sialome-cds-pep-larger-orf80-50SimCLTL22.txt", 12)</f>
        <v>12</v>
      </c>
      <c r="CJ543">
        <f>HYPERLINK("http://exon.niaid.nih.gov/transcriptome/Anopheles_sialome/links/cluster-b/anopheline-sialome-cds-pep-larger-orf85-50SimCLU24.txt", 24)</f>
        <v>24</v>
      </c>
      <c r="CK543">
        <f>HYPERLINK("http://exon.niaid.nih.gov/transcriptome/Anopheles_sialome/links/cluster-b/anopheline-sialome-cds-pep-larger-orf85-50SimCLTL24.txt", 7)</f>
        <v>7</v>
      </c>
      <c r="CL543">
        <f>HYPERLINK("http://exon.niaid.nih.gov/transcriptome/Anopheles_sialome/links/cluster-b/anopheline-sialome-cds-pep-larger-orf90-50SimCLU47.txt", 47)</f>
        <v>47</v>
      </c>
      <c r="CM543">
        <f>HYPERLINK("http://exon.niaid.nih.gov/transcriptome/Anopheles_sialome/links/cluster-b/anopheline-sialome-cds-pep-larger-orf90-50SimCLTL47.txt", 5)</f>
        <v>5</v>
      </c>
      <c r="CN543">
        <f>HYPERLINK("http://exon.niaid.nih.gov/transcriptome/Anopheles_sialome/links/cluster-b/anopheline-sialome-cds-pep-larger-orf95-50SimCLU44.txt", 44)</f>
        <v>44</v>
      </c>
      <c r="CO543">
        <f>HYPERLINK("http://exon.niaid.nih.gov/transcriptome/Anopheles_sialome/links/cluster-b/anopheline-sialome-cds-pep-larger-orf95-50SimCLTL44.txt", 5)</f>
        <v>5</v>
      </c>
    </row>
    <row r="544" spans="1:93">
      <c r="A544" s="2" t="str">
        <f>HYPERLINK("http://exon.niaid.nih.gov/transcriptome/Anopheles_sialome/links/cds/anoara_SG1-like3-cds.txt","anoara_SG1-like3")</f>
        <v>anoara_SG1-like3</v>
      </c>
      <c r="B544">
        <v>1179</v>
      </c>
      <c r="C544" t="s">
        <v>462</v>
      </c>
      <c r="D544" t="s">
        <v>4</v>
      </c>
      <c r="E544" t="s">
        <v>5</v>
      </c>
      <c r="F544" t="s">
        <v>1</v>
      </c>
      <c r="G544" t="str">
        <f>HYPERLINK("http://exon.niaid.nih.gov/transcriptome/Anopheles_sialome/links/pep/anoara_SG1-like3-pep.txt","anoara_SG1-like3")</f>
        <v>anoara_SG1-like3</v>
      </c>
      <c r="H544">
        <v>392</v>
      </c>
      <c r="I544">
        <v>0</v>
      </c>
      <c r="J544" s="3" t="str">
        <f>HYPERLINK("http://exon.niaid.nih.gov/transcriptome/Anopheles_sialome/links/Sigp/anoara_SG1-like3-SigP.txt","SIG")</f>
        <v>SIG</v>
      </c>
      <c r="K544" t="s">
        <v>692</v>
      </c>
      <c r="L544">
        <v>44.594999999999999</v>
      </c>
      <c r="M544">
        <v>5.9</v>
      </c>
      <c r="N544">
        <v>42.588999999999999</v>
      </c>
      <c r="O544">
        <v>5.85</v>
      </c>
      <c r="P544" t="s">
        <v>1854</v>
      </c>
      <c r="Q544" s="3">
        <v>0</v>
      </c>
      <c r="R544" t="s">
        <v>128</v>
      </c>
      <c r="S544" t="s">
        <v>128</v>
      </c>
      <c r="T544" t="s">
        <v>128</v>
      </c>
      <c r="U544" t="s">
        <v>128</v>
      </c>
      <c r="V544" t="s">
        <v>128</v>
      </c>
      <c r="W544" s="3" t="str">
        <f>HYPERLINK("http://exon.niaid.nih.gov/transcriptome/Anopheles_sialome/links/netoglyc/anoara_SG1-like3-netoglyc.txt","0")</f>
        <v>0</v>
      </c>
      <c r="X544">
        <v>8.1999999999999993</v>
      </c>
      <c r="Y544">
        <v>4.8</v>
      </c>
      <c r="Z544">
        <v>3.1</v>
      </c>
      <c r="AA544" t="s">
        <v>654</v>
      </c>
      <c r="AB544" t="s">
        <v>128</v>
      </c>
      <c r="AC544" s="2" t="str">
        <f>HYPERLINK("http://exon.niaid.nih.gov/transcriptome/Anopheles_sialome/links/DIPTERA/anoara_SG1-like3-DIPTERA.txt","AGAP000607-PA")</f>
        <v>AGAP000607-PA</v>
      </c>
      <c r="AD544" t="str">
        <f>HYPERLINK("http://www.ncbi.nlm.nih.gov/sutils/blink.cgi?pid=333466868","0.0")</f>
        <v>0.0</v>
      </c>
      <c r="AE544" t="str">
        <f>HYPERLINK("http://www.ncbi.nlm.nih.gov/protein/333466868","gi|333466868")</f>
        <v>gi|333466868</v>
      </c>
      <c r="AF544">
        <v>97</v>
      </c>
      <c r="AG544">
        <v>98</v>
      </c>
      <c r="AH544">
        <v>100</v>
      </c>
      <c r="AI544" t="s">
        <v>2285</v>
      </c>
      <c r="AJ544" s="2" t="str">
        <f>HYPERLINK("http://exon.niaid.nih.gov/transcriptome/Anopheles_sialome/links/CULICOMORPHA/anoara_SG1-like3-CULICOMORPHA.txt","AGAP000607-PA")</f>
        <v>AGAP000607-PA</v>
      </c>
      <c r="AK544" t="str">
        <f>HYPERLINK("http://www.ncbi.nlm.nih.gov/sutils/blink.cgi?pid=333466868","0.0")</f>
        <v>0.0</v>
      </c>
      <c r="AL544" t="str">
        <f>HYPERLINK("http://www.ncbi.nlm.nih.gov/protein/333466868","gi|333466868")</f>
        <v>gi|333466868</v>
      </c>
      <c r="AM544">
        <v>97</v>
      </c>
      <c r="AN544">
        <v>98</v>
      </c>
      <c r="AO544">
        <v>100</v>
      </c>
      <c r="AP544" t="s">
        <v>2285</v>
      </c>
      <c r="AQ544" s="2" t="str">
        <f>HYPERLINK("http://exon.niaid.nih.gov/transcriptome/Anopheles_sialome/links/NR-LIGHT/anoara_SG1-like3-NR-LIGHT.txt","AGAP000607-PA")</f>
        <v>AGAP000607-PA</v>
      </c>
      <c r="AR544" t="str">
        <f>HYPERLINK("http://www.ncbi.nlm.nih.gov/sutils/blink.cgi?pid=347964146","0.0")</f>
        <v>0.0</v>
      </c>
      <c r="AS544" t="str">
        <f>HYPERLINK("http://www.ncbi.nlm.nih.gov/protein/347964146","gi|347964146")</f>
        <v>gi|347964146</v>
      </c>
      <c r="AT544">
        <v>97</v>
      </c>
      <c r="AU544">
        <v>98</v>
      </c>
      <c r="AV544">
        <v>100</v>
      </c>
      <c r="AW544" t="s">
        <v>2285</v>
      </c>
      <c r="AX544" s="2" t="str">
        <f>HYPERLINK("http://exon.niaid.nih.gov/transcriptome/Anopheles_sialome/links/CDD/anoara_SG1-like3-CDD.txt","NqrB")</f>
        <v>NqrB</v>
      </c>
      <c r="AY544" t="str">
        <f>HYPERLINK("http://www.ncbi.nlm.nih.gov/Structure/cdd/cddsrv.cgi?uid=COG1805&amp;version=v4.0","0.31")</f>
        <v>0.31</v>
      </c>
      <c r="AZ544" t="s">
        <v>2931</v>
      </c>
      <c r="BA544" s="2" t="str">
        <f>HYPERLINK("http://exon.niaid.nih.gov/transcriptome/Anopheles_sialome/links/KOG/anoara_SG1-like3-KOG.txt","Translation initiation factor 3, subunit b (eIF-3b)")</f>
        <v>Translation initiation factor 3, subunit b (eIF-3b)</v>
      </c>
      <c r="BB544" t="str">
        <f>HYPERLINK("http://www.ncbi.nlm.nih.gov/Structure/cdd/cddsrv.cgi?uid=KOG2314","0.047")</f>
        <v>0.047</v>
      </c>
      <c r="BC544" t="s">
        <v>2260</v>
      </c>
      <c r="BD544" t="str">
        <f>HYPERLINK("http://exon.niaid.nih.gov/transcriptome/Anopheles_sialome/links/KOG/anoara_SG1-like3-KOG.txt","KOG2314")</f>
        <v>KOG2314</v>
      </c>
      <c r="BE544" t="str">
        <f>HYPERLINK("http://exon.niaid.nih.gov/transcriptome/Anopheles_sialome/links/PFAM/anoara_SG1-like3-PFAM.txt","HAUS-augmin3")</f>
        <v>HAUS-augmin3</v>
      </c>
      <c r="BF544" t="str">
        <f>HYPERLINK("http://pfam.sanger.ac.uk/family?acc=PF14932","0.31")</f>
        <v>0.31</v>
      </c>
      <c r="BG544" s="2" t="str">
        <f>HYPERLINK("http://exon.niaid.nih.gov/transcriptome/Anopheles_sialome/links/SMART/anoara_SG1-like3-SMART.txt","PLAc")</f>
        <v>PLAc</v>
      </c>
      <c r="BH544" t="str">
        <f>HYPERLINK("http://smart.embl-heidelberg.de/smart/do_annotation.pl?DOMAIN=PLAc&amp;BLAST=DUMMY","1.1")</f>
        <v>1.1</v>
      </c>
      <c r="BI544" t="str">
        <f>HYPERLINK("http://exon.niaid.nih.gov/transcriptome/Anopheles_sialome/links/TICK-BLOCKS/anoara_SG1-like3-TICK-BLOCKS.txt","SG1_full |SG1_stringent_pattern |")</f>
        <v>SG1_full |SG1_stringent_pattern |</v>
      </c>
      <c r="BJ544" s="2" t="s">
        <v>2423</v>
      </c>
      <c r="BK544" t="s">
        <v>1855</v>
      </c>
      <c r="BL544">
        <f>HYPERLINK("http://exon.niaid.nih.gov/transcriptome/Anopheles_sialome/links/cluster-b/anopheline-sialome-cds-pep-larger-orf25-50SimCLU3.txt", 3)</f>
        <v>3</v>
      </c>
      <c r="BM544">
        <f>HYPERLINK("http://exon.niaid.nih.gov/transcriptome/Anopheles_sialome/links/cluster-b/anopheline-sialome-cds-pep-larger-orf25-50SimCLTL3.txt", 119)</f>
        <v>119</v>
      </c>
      <c r="BN544">
        <f>HYPERLINK("http://exon.niaid.nih.gov/transcriptome/Anopheles_sialome/links/cluster-b/anopheline-sialome-cds-pep-larger-orf30-50SimCLU3.txt", 3)</f>
        <v>3</v>
      </c>
      <c r="BO544">
        <f>HYPERLINK("http://exon.niaid.nih.gov/transcriptome/Anopheles_sialome/links/cluster-b/anopheline-sialome-cds-pep-larger-orf30-50SimCLTL3.txt", 119)</f>
        <v>119</v>
      </c>
      <c r="BP544">
        <f>HYPERLINK("http://exon.niaid.nih.gov/transcriptome/Anopheles_sialome/links/cluster-b/anopheline-sialome-cds-pep-larger-orf35-50SimCLU2.txt", 2)</f>
        <v>2</v>
      </c>
      <c r="BQ544">
        <f>HYPERLINK("http://exon.niaid.nih.gov/transcriptome/Anopheles_sialome/links/cluster-b/anopheline-sialome-cds-pep-larger-orf35-50SimCLTL2.txt", 119)</f>
        <v>119</v>
      </c>
      <c r="BR544">
        <f>HYPERLINK("http://exon.niaid.nih.gov/transcriptome/Anopheles_sialome/links/cluster-b/anopheline-sialome-cds-pep-larger-orf40-50SimCLU1.txt", 1)</f>
        <v>1</v>
      </c>
      <c r="BS544">
        <f>HYPERLINK("http://exon.niaid.nih.gov/transcriptome/Anopheles_sialome/links/cluster-b/anopheline-sialome-cds-pep-larger-orf40-50SimCLTL1.txt", 119)</f>
        <v>119</v>
      </c>
      <c r="BT544">
        <f>HYPERLINK("http://exon.niaid.nih.gov/transcriptome/Anopheles_sialome/links/cluster-b/anopheline-sialome-cds-pep-larger-orf45-50SimCLU3.txt", 3)</f>
        <v>3</v>
      </c>
      <c r="BU544">
        <f>HYPERLINK("http://exon.niaid.nih.gov/transcriptome/Anopheles_sialome/links/cluster-b/anopheline-sialome-cds-pep-larger-orf45-50SimCLTL3.txt", 65)</f>
        <v>65</v>
      </c>
      <c r="BV544">
        <f>HYPERLINK("http://exon.niaid.nih.gov/transcriptome/Anopheles_sialome/links/cluster-b/anopheline-sialome-cds-pep-larger-orf50-50SimCLU27.txt", 27)</f>
        <v>27</v>
      </c>
      <c r="BW544">
        <f>HYPERLINK("http://exon.niaid.nih.gov/transcriptome/Anopheles_sialome/links/cluster-b/anopheline-sialome-cds-pep-larger-orf50-50SimCLTL27.txt", 17)</f>
        <v>17</v>
      </c>
      <c r="BX544">
        <f>HYPERLINK("http://exon.niaid.nih.gov/transcriptome/Anopheles_sialome/links/cluster-b/anopheline-sialome-cds-pep-larger-orf55-50SimCLU26.txt", 26)</f>
        <v>26</v>
      </c>
      <c r="BY544">
        <f>HYPERLINK("http://exon.niaid.nih.gov/transcriptome/Anopheles_sialome/links/cluster-b/anopheline-sialome-cds-pep-larger-orf55-50SimCLTL26.txt", 17)</f>
        <v>17</v>
      </c>
      <c r="BZ544">
        <f>HYPERLINK("http://exon.niaid.nih.gov/transcriptome/Anopheles_sialome/links/cluster-b/anopheline-sialome-cds-pep-larger-orf60-50SimCLU28.txt", 28)</f>
        <v>28</v>
      </c>
      <c r="CA544">
        <f>HYPERLINK("http://exon.niaid.nih.gov/transcriptome/Anopheles_sialome/links/cluster-b/anopheline-sialome-cds-pep-larger-orf60-50SimCLTL28.txt", 16)</f>
        <v>16</v>
      </c>
      <c r="CB544">
        <f>HYPERLINK("http://exon.niaid.nih.gov/transcriptome/Anopheles_sialome/links/cluster-b/anopheline-sialome-cds-pep-larger-orf65-50SimCLU25.txt", 25)</f>
        <v>25</v>
      </c>
      <c r="CC544">
        <f>HYPERLINK("http://exon.niaid.nih.gov/transcriptome/Anopheles_sialome/links/cluster-b/anopheline-sialome-cds-pep-larger-orf65-50SimCLTL25.txt", 16)</f>
        <v>16</v>
      </c>
      <c r="CD544">
        <f>HYPERLINK("http://exon.niaid.nih.gov/transcriptome/Anopheles_sialome/links/cluster-b/anopheline-sialome-cds-pep-larger-orf70-50SimCLU33.txt", 33)</f>
        <v>33</v>
      </c>
      <c r="CE544">
        <f>HYPERLINK("http://exon.niaid.nih.gov/transcriptome/Anopheles_sialome/links/cluster-b/anopheline-sialome-cds-pep-larger-orf70-50SimCLTL33.txt", 14)</f>
        <v>14</v>
      </c>
      <c r="CF544">
        <f>HYPERLINK("http://exon.niaid.nih.gov/transcriptome/Anopheles_sialome/links/cluster-b/anopheline-sialome-cds-pep-larger-orf75-50SimCLU31.txt", 31)</f>
        <v>31</v>
      </c>
      <c r="CG544">
        <f>HYPERLINK("http://exon.niaid.nih.gov/transcriptome/Anopheles_sialome/links/cluster-b/anopheline-sialome-cds-pep-larger-orf75-50SimCLTL31.txt", 12)</f>
        <v>12</v>
      </c>
      <c r="CH544">
        <f>HYPERLINK("http://exon.niaid.nih.gov/transcriptome/Anopheles_sialome/links/cluster-b/anopheline-sialome-cds-pep-larger-orf80-50SimCLU22.txt", 22)</f>
        <v>22</v>
      </c>
      <c r="CI544">
        <f>HYPERLINK("http://exon.niaid.nih.gov/transcriptome/Anopheles_sialome/links/cluster-b/anopheline-sialome-cds-pep-larger-orf80-50SimCLTL22.txt", 12)</f>
        <v>12</v>
      </c>
      <c r="CJ544">
        <f>HYPERLINK("http://exon.niaid.nih.gov/transcriptome/Anopheles_sialome/links/cluster-b/anopheline-sialome-cds-pep-larger-orf85-50SimCLU24.txt", 24)</f>
        <v>24</v>
      </c>
      <c r="CK544">
        <f>HYPERLINK("http://exon.niaid.nih.gov/transcriptome/Anopheles_sialome/links/cluster-b/anopheline-sialome-cds-pep-larger-orf85-50SimCLTL24.txt", 7)</f>
        <v>7</v>
      </c>
      <c r="CL544">
        <f>HYPERLINK("http://exon.niaid.nih.gov/transcriptome/Anopheles_sialome/links/cluster-b/anopheline-sialome-cds-pep-larger-orf90-50SimCLU47.txt", 47)</f>
        <v>47</v>
      </c>
      <c r="CM544">
        <f>HYPERLINK("http://exon.niaid.nih.gov/transcriptome/Anopheles_sialome/links/cluster-b/anopheline-sialome-cds-pep-larger-orf90-50SimCLTL47.txt", 5)</f>
        <v>5</v>
      </c>
      <c r="CN544">
        <f>HYPERLINK("http://exon.niaid.nih.gov/transcriptome/Anopheles_sialome/links/cluster-b/anopheline-sialome-cds-pep-larger-orf95-50SimCLU44.txt", 44)</f>
        <v>44</v>
      </c>
      <c r="CO544">
        <f>HYPERLINK("http://exon.niaid.nih.gov/transcriptome/Anopheles_sialome/links/cluster-b/anopheline-sialome-cds-pep-larger-orf95-50SimCLTL44.txt", 5)</f>
        <v>5</v>
      </c>
    </row>
    <row r="545" spans="1:93">
      <c r="A545" s="2" t="str">
        <f>HYPERLINK("http://exon.niaid.nih.gov/transcriptome/Anopheles_sialome/links/cds/anoqua_SG1-like3-cds.txt","anoqua_SG1-like3")</f>
        <v>anoqua_SG1-like3</v>
      </c>
      <c r="B545">
        <v>1179</v>
      </c>
      <c r="C545" t="s">
        <v>463</v>
      </c>
      <c r="D545" t="s">
        <v>4</v>
      </c>
      <c r="E545" t="s">
        <v>5</v>
      </c>
      <c r="F545" t="s">
        <v>1</v>
      </c>
      <c r="G545" t="str">
        <f>HYPERLINK("http://exon.niaid.nih.gov/transcriptome/Anopheles_sialome/links/pep/anoqua_SG1-like3-pep.txt","anoqua_SG1-like3")</f>
        <v>anoqua_SG1-like3</v>
      </c>
      <c r="H545">
        <v>392</v>
      </c>
      <c r="I545">
        <v>0</v>
      </c>
      <c r="J545" s="3" t="str">
        <f>HYPERLINK("http://exon.niaid.nih.gov/transcriptome/Anopheles_sialome/links/Sigp/anoqua_SG1-like3-SigP.txt","SIG")</f>
        <v>SIG</v>
      </c>
      <c r="K545" t="s">
        <v>692</v>
      </c>
      <c r="L545">
        <v>44.552</v>
      </c>
      <c r="M545">
        <v>5.9</v>
      </c>
      <c r="N545">
        <v>42.545000000000002</v>
      </c>
      <c r="O545">
        <v>5.85</v>
      </c>
      <c r="P545" t="s">
        <v>1854</v>
      </c>
      <c r="Q545" s="3">
        <v>0</v>
      </c>
      <c r="R545" t="s">
        <v>128</v>
      </c>
      <c r="S545" t="s">
        <v>128</v>
      </c>
      <c r="T545" t="s">
        <v>128</v>
      </c>
      <c r="U545" t="s">
        <v>128</v>
      </c>
      <c r="V545" t="s">
        <v>128</v>
      </c>
      <c r="W545" s="3" t="str">
        <f>HYPERLINK("http://exon.niaid.nih.gov/transcriptome/Anopheles_sialome/links/netoglyc/anoqua_SG1-like3-netoglyc.txt","0")</f>
        <v>0</v>
      </c>
      <c r="X545">
        <v>8.1999999999999993</v>
      </c>
      <c r="Y545">
        <v>5.0999999999999996</v>
      </c>
      <c r="Z545">
        <v>3.1</v>
      </c>
      <c r="AA545" t="s">
        <v>654</v>
      </c>
      <c r="AB545" t="s">
        <v>128</v>
      </c>
      <c r="AC545" s="2" t="str">
        <f>HYPERLINK("http://exon.niaid.nih.gov/transcriptome/Anopheles_sialome/links/DIPTERA/anoqua_SG1-like3-DIPTERA.txt","AGAP000607-PA")</f>
        <v>AGAP000607-PA</v>
      </c>
      <c r="AD545" t="str">
        <f>HYPERLINK("http://www.ncbi.nlm.nih.gov/sutils/blink.cgi?pid=333466868","0.0")</f>
        <v>0.0</v>
      </c>
      <c r="AE545" t="str">
        <f t="shared" ref="AE545" si="177">HYPERLINK("http://www.ncbi.nlm.nih.gov/protein/333466868","gi|333466868")</f>
        <v>gi|333466868</v>
      </c>
      <c r="AF545">
        <v>97</v>
      </c>
      <c r="AG545">
        <v>98</v>
      </c>
      <c r="AH545">
        <v>100</v>
      </c>
      <c r="AI545" t="s">
        <v>2285</v>
      </c>
      <c r="AJ545" s="2" t="str">
        <f>HYPERLINK("http://exon.niaid.nih.gov/transcriptome/Anopheles_sialome/links/CULICOMORPHA/anoqua_SG1-like3-CULICOMORPHA.txt","AGAP000607-PA")</f>
        <v>AGAP000607-PA</v>
      </c>
      <c r="AK545" t="str">
        <f>HYPERLINK("http://www.ncbi.nlm.nih.gov/sutils/blink.cgi?pid=333466868","0.0")</f>
        <v>0.0</v>
      </c>
      <c r="AL545" t="str">
        <f t="shared" ref="AL545" si="178">HYPERLINK("http://www.ncbi.nlm.nih.gov/protein/333466868","gi|333466868")</f>
        <v>gi|333466868</v>
      </c>
      <c r="AM545">
        <v>97</v>
      </c>
      <c r="AN545">
        <v>98</v>
      </c>
      <c r="AO545">
        <v>100</v>
      </c>
      <c r="AP545" t="s">
        <v>2285</v>
      </c>
      <c r="AQ545" s="2" t="str">
        <f>HYPERLINK("http://exon.niaid.nih.gov/transcriptome/Anopheles_sialome/links/NR-LIGHT/anoqua_SG1-like3-NR-LIGHT.txt","AGAP000607-PA")</f>
        <v>AGAP000607-PA</v>
      </c>
      <c r="AR545" t="str">
        <f>HYPERLINK("http://www.ncbi.nlm.nih.gov/sutils/blink.cgi?pid=347964146","0.0")</f>
        <v>0.0</v>
      </c>
      <c r="AS545" t="str">
        <f t="shared" ref="AS545" si="179">HYPERLINK("http://www.ncbi.nlm.nih.gov/protein/347964146","gi|347964146")</f>
        <v>gi|347964146</v>
      </c>
      <c r="AT545">
        <v>97</v>
      </c>
      <c r="AU545">
        <v>98</v>
      </c>
      <c r="AV545">
        <v>100</v>
      </c>
      <c r="AW545" t="s">
        <v>2285</v>
      </c>
      <c r="AX545" s="2" t="str">
        <f>HYPERLINK("http://exon.niaid.nih.gov/transcriptome/Anopheles_sialome/links/CDD/anoqua_SG1-like3-CDD.txt","NqrB")</f>
        <v>NqrB</v>
      </c>
      <c r="AY545" t="str">
        <f>HYPERLINK("http://www.ncbi.nlm.nih.gov/Structure/cdd/cddsrv.cgi?uid=COG1805&amp;version=v4.0","0.32")</f>
        <v>0.32</v>
      </c>
      <c r="AZ545" t="s">
        <v>2932</v>
      </c>
      <c r="BA545" s="2" t="str">
        <f>HYPERLINK("http://exon.niaid.nih.gov/transcriptome/Anopheles_sialome/links/KOG/anoqua_SG1-like3-KOG.txt","Translation initiation factor 3, subunit b (eIF-3b)")</f>
        <v>Translation initiation factor 3, subunit b (eIF-3b)</v>
      </c>
      <c r="BB545" t="str">
        <f>HYPERLINK("http://www.ncbi.nlm.nih.gov/Structure/cdd/cddsrv.cgi?uid=KOG2314","0.046")</f>
        <v>0.046</v>
      </c>
      <c r="BC545" t="s">
        <v>2260</v>
      </c>
      <c r="BD545" t="str">
        <f>HYPERLINK("http://exon.niaid.nih.gov/transcriptome/Anopheles_sialome/links/KOG/anoqua_SG1-like3-KOG.txt","KOG2314")</f>
        <v>KOG2314</v>
      </c>
      <c r="BE545" t="str">
        <f>HYPERLINK("http://exon.niaid.nih.gov/transcriptome/Anopheles_sialome/links/PFAM/anoqua_SG1-like3-PFAM.txt","IDH")</f>
        <v>IDH</v>
      </c>
      <c r="BF545" t="str">
        <f>HYPERLINK("http://pfam.sanger.ac.uk/family?acc=PF03971","0.20")</f>
        <v>0.20</v>
      </c>
      <c r="BG545" s="2" t="str">
        <f>HYPERLINK("http://exon.niaid.nih.gov/transcriptome/Anopheles_sialome/links/SMART/anoqua_SG1-like3-SMART.txt","PLAc")</f>
        <v>PLAc</v>
      </c>
      <c r="BH545" t="str">
        <f>HYPERLINK("http://smart.embl-heidelberg.de/smart/do_annotation.pl?DOMAIN=PLAc&amp;BLAST=DUMMY","1.0")</f>
        <v>1.0</v>
      </c>
      <c r="BI545" t="str">
        <f>HYPERLINK("http://exon.niaid.nih.gov/transcriptome/Anopheles_sialome/links/TICK-BLOCKS/anoqua_SG1-like3-TICK-BLOCKS.txt","SG1_full |SG1_stringent_pattern |")</f>
        <v>SG1_full |SG1_stringent_pattern |</v>
      </c>
      <c r="BJ545" s="2" t="s">
        <v>2423</v>
      </c>
      <c r="BK545" t="s">
        <v>1856</v>
      </c>
      <c r="BL545">
        <f>HYPERLINK("http://exon.niaid.nih.gov/transcriptome/Anopheles_sialome/links/cluster-b/anopheline-sialome-cds-pep-larger-orf25-50SimCLU3.txt", 3)</f>
        <v>3</v>
      </c>
      <c r="BM545">
        <f>HYPERLINK("http://exon.niaid.nih.gov/transcriptome/Anopheles_sialome/links/cluster-b/anopheline-sialome-cds-pep-larger-orf25-50SimCLTL3.txt", 119)</f>
        <v>119</v>
      </c>
      <c r="BN545">
        <f>HYPERLINK("http://exon.niaid.nih.gov/transcriptome/Anopheles_sialome/links/cluster-b/anopheline-sialome-cds-pep-larger-orf30-50SimCLU3.txt", 3)</f>
        <v>3</v>
      </c>
      <c r="BO545">
        <f>HYPERLINK("http://exon.niaid.nih.gov/transcriptome/Anopheles_sialome/links/cluster-b/anopheline-sialome-cds-pep-larger-orf30-50SimCLTL3.txt", 119)</f>
        <v>119</v>
      </c>
      <c r="BP545">
        <f>HYPERLINK("http://exon.niaid.nih.gov/transcriptome/Anopheles_sialome/links/cluster-b/anopheline-sialome-cds-pep-larger-orf35-50SimCLU2.txt", 2)</f>
        <v>2</v>
      </c>
      <c r="BQ545">
        <f>HYPERLINK("http://exon.niaid.nih.gov/transcriptome/Anopheles_sialome/links/cluster-b/anopheline-sialome-cds-pep-larger-orf35-50SimCLTL2.txt", 119)</f>
        <v>119</v>
      </c>
      <c r="BR545">
        <f>HYPERLINK("http://exon.niaid.nih.gov/transcriptome/Anopheles_sialome/links/cluster-b/anopheline-sialome-cds-pep-larger-orf40-50SimCLU1.txt", 1)</f>
        <v>1</v>
      </c>
      <c r="BS545">
        <f>HYPERLINK("http://exon.niaid.nih.gov/transcriptome/Anopheles_sialome/links/cluster-b/anopheline-sialome-cds-pep-larger-orf40-50SimCLTL1.txt", 119)</f>
        <v>119</v>
      </c>
      <c r="BT545">
        <f>HYPERLINK("http://exon.niaid.nih.gov/transcriptome/Anopheles_sialome/links/cluster-b/anopheline-sialome-cds-pep-larger-orf45-50SimCLU3.txt", 3)</f>
        <v>3</v>
      </c>
      <c r="BU545">
        <f>HYPERLINK("http://exon.niaid.nih.gov/transcriptome/Anopheles_sialome/links/cluster-b/anopheline-sialome-cds-pep-larger-orf45-50SimCLTL3.txt", 65)</f>
        <v>65</v>
      </c>
      <c r="BV545">
        <f>HYPERLINK("http://exon.niaid.nih.gov/transcriptome/Anopheles_sialome/links/cluster-b/anopheline-sialome-cds-pep-larger-orf50-50SimCLU27.txt", 27)</f>
        <v>27</v>
      </c>
      <c r="BW545">
        <f>HYPERLINK("http://exon.niaid.nih.gov/transcriptome/Anopheles_sialome/links/cluster-b/anopheline-sialome-cds-pep-larger-orf50-50SimCLTL27.txt", 17)</f>
        <v>17</v>
      </c>
      <c r="BX545">
        <f>HYPERLINK("http://exon.niaid.nih.gov/transcriptome/Anopheles_sialome/links/cluster-b/anopheline-sialome-cds-pep-larger-orf55-50SimCLU26.txt", 26)</f>
        <v>26</v>
      </c>
      <c r="BY545">
        <f>HYPERLINK("http://exon.niaid.nih.gov/transcriptome/Anopheles_sialome/links/cluster-b/anopheline-sialome-cds-pep-larger-orf55-50SimCLTL26.txt", 17)</f>
        <v>17</v>
      </c>
      <c r="BZ545">
        <f>HYPERLINK("http://exon.niaid.nih.gov/transcriptome/Anopheles_sialome/links/cluster-b/anopheline-sialome-cds-pep-larger-orf60-50SimCLU28.txt", 28)</f>
        <v>28</v>
      </c>
      <c r="CA545">
        <f>HYPERLINK("http://exon.niaid.nih.gov/transcriptome/Anopheles_sialome/links/cluster-b/anopheline-sialome-cds-pep-larger-orf60-50SimCLTL28.txt", 16)</f>
        <v>16</v>
      </c>
      <c r="CB545">
        <f>HYPERLINK("http://exon.niaid.nih.gov/transcriptome/Anopheles_sialome/links/cluster-b/anopheline-sialome-cds-pep-larger-orf65-50SimCLU25.txt", 25)</f>
        <v>25</v>
      </c>
      <c r="CC545">
        <f>HYPERLINK("http://exon.niaid.nih.gov/transcriptome/Anopheles_sialome/links/cluster-b/anopheline-sialome-cds-pep-larger-orf65-50SimCLTL25.txt", 16)</f>
        <v>16</v>
      </c>
      <c r="CD545">
        <f>HYPERLINK("http://exon.niaid.nih.gov/transcriptome/Anopheles_sialome/links/cluster-b/anopheline-sialome-cds-pep-larger-orf70-50SimCLU33.txt", 33)</f>
        <v>33</v>
      </c>
      <c r="CE545">
        <f>HYPERLINK("http://exon.niaid.nih.gov/transcriptome/Anopheles_sialome/links/cluster-b/anopheline-sialome-cds-pep-larger-orf70-50SimCLTL33.txt", 14)</f>
        <v>14</v>
      </c>
      <c r="CF545">
        <f>HYPERLINK("http://exon.niaid.nih.gov/transcriptome/Anopheles_sialome/links/cluster-b/anopheline-sialome-cds-pep-larger-orf75-50SimCLU31.txt", 31)</f>
        <v>31</v>
      </c>
      <c r="CG545">
        <f>HYPERLINK("http://exon.niaid.nih.gov/transcriptome/Anopheles_sialome/links/cluster-b/anopheline-sialome-cds-pep-larger-orf75-50SimCLTL31.txt", 12)</f>
        <v>12</v>
      </c>
      <c r="CH545">
        <f>HYPERLINK("http://exon.niaid.nih.gov/transcriptome/Anopheles_sialome/links/cluster-b/anopheline-sialome-cds-pep-larger-orf80-50SimCLU22.txt", 22)</f>
        <v>22</v>
      </c>
      <c r="CI545">
        <f>HYPERLINK("http://exon.niaid.nih.gov/transcriptome/Anopheles_sialome/links/cluster-b/anopheline-sialome-cds-pep-larger-orf80-50SimCLTL22.txt", 12)</f>
        <v>12</v>
      </c>
      <c r="CJ545">
        <f>HYPERLINK("http://exon.niaid.nih.gov/transcriptome/Anopheles_sialome/links/cluster-b/anopheline-sialome-cds-pep-larger-orf85-50SimCLU24.txt", 24)</f>
        <v>24</v>
      </c>
      <c r="CK545">
        <f>HYPERLINK("http://exon.niaid.nih.gov/transcriptome/Anopheles_sialome/links/cluster-b/anopheline-sialome-cds-pep-larger-orf85-50SimCLTL24.txt", 7)</f>
        <v>7</v>
      </c>
      <c r="CL545">
        <f>HYPERLINK("http://exon.niaid.nih.gov/transcriptome/Anopheles_sialome/links/cluster-b/anopheline-sialome-cds-pep-larger-orf90-50SimCLU47.txt", 47)</f>
        <v>47</v>
      </c>
      <c r="CM545">
        <f>HYPERLINK("http://exon.niaid.nih.gov/transcriptome/Anopheles_sialome/links/cluster-b/anopheline-sialome-cds-pep-larger-orf90-50SimCLTL47.txt", 5)</f>
        <v>5</v>
      </c>
      <c r="CN545">
        <f>HYPERLINK("http://exon.niaid.nih.gov/transcriptome/Anopheles_sialome/links/cluster-b/anopheline-sialome-cds-pep-larger-orf95-50SimCLU44.txt", 44)</f>
        <v>44</v>
      </c>
      <c r="CO545">
        <f>HYPERLINK("http://exon.niaid.nih.gov/transcriptome/Anopheles_sialome/links/cluster-b/anopheline-sialome-cds-pep-larger-orf95-50SimCLTL44.txt", 5)</f>
        <v>5</v>
      </c>
    </row>
    <row r="546" spans="1:93">
      <c r="A546" s="2" t="str">
        <f>HYPERLINK("http://exon.niaid.nih.gov/transcriptome/Anopheles_sialome/links/cds/anomer_SG1-like3-cds.txt","anomer_SG1-like3")</f>
        <v>anomer_SG1-like3</v>
      </c>
      <c r="B546">
        <v>1179</v>
      </c>
      <c r="C546" t="s">
        <v>464</v>
      </c>
      <c r="D546" t="s">
        <v>7</v>
      </c>
      <c r="E546" t="s">
        <v>5</v>
      </c>
      <c r="F546" t="s">
        <v>1</v>
      </c>
      <c r="G546" t="str">
        <f>HYPERLINK("http://exon.niaid.nih.gov/transcriptome/Anopheles_sialome/links/pep/anomer_SG1-like3-pep.txt","anomer_SG1-like3")</f>
        <v>anomer_SG1-like3</v>
      </c>
      <c r="H546">
        <v>392</v>
      </c>
      <c r="I546">
        <v>0</v>
      </c>
      <c r="J546" s="3" t="str">
        <f>HYPERLINK("http://exon.niaid.nih.gov/transcriptome/Anopheles_sialome/links/Sigp/anomer_SG1-like3-SigP.txt","SIG")</f>
        <v>SIG</v>
      </c>
      <c r="K546" t="s">
        <v>692</v>
      </c>
      <c r="L546">
        <v>44.517000000000003</v>
      </c>
      <c r="M546">
        <v>5.83</v>
      </c>
      <c r="N546">
        <v>42.542000000000002</v>
      </c>
      <c r="O546">
        <v>5.78</v>
      </c>
      <c r="P546" t="s">
        <v>1021</v>
      </c>
      <c r="Q546" s="3">
        <v>0</v>
      </c>
      <c r="R546" t="s">
        <v>128</v>
      </c>
      <c r="S546" t="s">
        <v>128</v>
      </c>
      <c r="T546" t="s">
        <v>128</v>
      </c>
      <c r="U546" t="s">
        <v>128</v>
      </c>
      <c r="V546" t="s">
        <v>128</v>
      </c>
      <c r="W546" s="3" t="str">
        <f>HYPERLINK("http://exon.niaid.nih.gov/transcriptome/Anopheles_sialome/links/netoglyc/anomer_SG1-like3-netoglyc.txt","0")</f>
        <v>0</v>
      </c>
      <c r="X546">
        <v>7.9</v>
      </c>
      <c r="Y546">
        <v>4.5999999999999996</v>
      </c>
      <c r="Z546">
        <v>3.3</v>
      </c>
      <c r="AA546" t="s">
        <v>654</v>
      </c>
      <c r="AB546" t="s">
        <v>128</v>
      </c>
      <c r="AC546" s="2" t="str">
        <f>HYPERLINK("http://exon.niaid.nih.gov/transcriptome/Anopheles_sialome/links/DIPTERA/anomer_SG1-like3-DIPTERA.txt","AGAP000607-PA")</f>
        <v>AGAP000607-PA</v>
      </c>
      <c r="AD546" t="str">
        <f>HYPERLINK("http://www.ncbi.nlm.nih.gov/sutils/blink.cgi?pid=333466868","0.0")</f>
        <v>0.0</v>
      </c>
      <c r="AE546" t="str">
        <f t="shared" ref="AE546:AE547" si="180">HYPERLINK("http://www.ncbi.nlm.nih.gov/protein/333466868","gi|333466868")</f>
        <v>gi|333466868</v>
      </c>
      <c r="AF546">
        <v>95</v>
      </c>
      <c r="AG546">
        <v>96</v>
      </c>
      <c r="AH546">
        <v>100</v>
      </c>
      <c r="AI546" t="s">
        <v>2285</v>
      </c>
      <c r="AJ546" s="2" t="str">
        <f>HYPERLINK("http://exon.niaid.nih.gov/transcriptome/Anopheles_sialome/links/CULICOMORPHA/anomer_SG1-like3-CULICOMORPHA.txt","AGAP000607-PA")</f>
        <v>AGAP000607-PA</v>
      </c>
      <c r="AK546" t="str">
        <f>HYPERLINK("http://www.ncbi.nlm.nih.gov/sutils/blink.cgi?pid=333466868","0.0")</f>
        <v>0.0</v>
      </c>
      <c r="AL546" t="str">
        <f t="shared" ref="AL546:AL547" si="181">HYPERLINK("http://www.ncbi.nlm.nih.gov/protein/333466868","gi|333466868")</f>
        <v>gi|333466868</v>
      </c>
      <c r="AM546">
        <v>95</v>
      </c>
      <c r="AN546">
        <v>96</v>
      </c>
      <c r="AO546">
        <v>100</v>
      </c>
      <c r="AP546" t="s">
        <v>2285</v>
      </c>
      <c r="AQ546" s="2" t="str">
        <f>HYPERLINK("http://exon.niaid.nih.gov/transcriptome/Anopheles_sialome/links/NR-LIGHT/anomer_SG1-like3-NR-LIGHT.txt","AGAP000607-PA")</f>
        <v>AGAP000607-PA</v>
      </c>
      <c r="AR546" t="str">
        <f>HYPERLINK("http://www.ncbi.nlm.nih.gov/sutils/blink.cgi?pid=347964146","0.0")</f>
        <v>0.0</v>
      </c>
      <c r="AS546" t="str">
        <f t="shared" ref="AS546:AS547" si="182">HYPERLINK("http://www.ncbi.nlm.nih.gov/protein/347964146","gi|347964146")</f>
        <v>gi|347964146</v>
      </c>
      <c r="AT546">
        <v>95</v>
      </c>
      <c r="AU546">
        <v>96</v>
      </c>
      <c r="AV546">
        <v>100</v>
      </c>
      <c r="AW546" t="s">
        <v>2285</v>
      </c>
      <c r="AX546" s="2" t="str">
        <f>HYPERLINK("http://exon.niaid.nih.gov/transcriptome/Anopheles_sialome/links/CDD/anomer_SG1-like3-CDD.txt","NqrB")</f>
        <v>NqrB</v>
      </c>
      <c r="AY546" t="str">
        <f>HYPERLINK("http://www.ncbi.nlm.nih.gov/Structure/cdd/cddsrv.cgi?uid=COG1805&amp;version=v4.0","0.33")</f>
        <v>0.33</v>
      </c>
      <c r="AZ546" t="s">
        <v>2933</v>
      </c>
      <c r="BA546" s="2" t="str">
        <f>HYPERLINK("http://exon.niaid.nih.gov/transcriptome/Anopheles_sialome/links/KOG/anomer_SG1-like3-KOG.txt","Rho-associated, coiled-coil containing protein kinase")</f>
        <v>Rho-associated, coiled-coil containing protein kinase</v>
      </c>
      <c r="BB546" t="str">
        <f>HYPERLINK("http://www.ncbi.nlm.nih.gov/Structure/cdd/cddsrv.cgi?uid=KOG0612","1.1")</f>
        <v>1.1</v>
      </c>
      <c r="BC546" t="s">
        <v>2292</v>
      </c>
      <c r="BD546" t="str">
        <f>HYPERLINK("http://exon.niaid.nih.gov/transcriptome/Anopheles_sialome/links/KOG/anomer_SG1-like3-KOG.txt","KOG0612")</f>
        <v>KOG0612</v>
      </c>
      <c r="BE546" t="str">
        <f>HYPERLINK("http://exon.niaid.nih.gov/transcriptome/Anopheles_sialome/links/PFAM/anomer_SG1-like3-PFAM.txt","HAUS-augmin3")</f>
        <v>HAUS-augmin3</v>
      </c>
      <c r="BF546" t="str">
        <f>HYPERLINK("http://pfam.sanger.ac.uk/family?acc=PF14932","0.89")</f>
        <v>0.89</v>
      </c>
      <c r="BG546" s="2" t="str">
        <f>HYPERLINK("http://exon.niaid.nih.gov/transcriptome/Anopheles_sialome/links/SMART/anomer_SG1-like3-SMART.txt","Zpr1")</f>
        <v>Zpr1</v>
      </c>
      <c r="BH546" t="str">
        <f>HYPERLINK("http://smart.embl-heidelberg.de/smart/do_annotation.pl?DOMAIN=Zpr1&amp;BLAST=DUMMY","2.1")</f>
        <v>2.1</v>
      </c>
      <c r="BI546" t="str">
        <f>HYPERLINK("http://exon.niaid.nih.gov/transcriptome/Anopheles_sialome/links/TICK-BLOCKS/anomer_SG1-like3-TICK-BLOCKS.txt","SG1_full |SG1_stringent_pattern |")</f>
        <v>SG1_full |SG1_stringent_pattern |</v>
      </c>
      <c r="BJ546" s="2" t="s">
        <v>2423</v>
      </c>
      <c r="BK546" t="s">
        <v>1857</v>
      </c>
      <c r="BL546">
        <f>HYPERLINK("http://exon.niaid.nih.gov/transcriptome/Anopheles_sialome/links/cluster-b/anopheline-sialome-cds-pep-larger-orf25-50SimCLU3.txt", 3)</f>
        <v>3</v>
      </c>
      <c r="BM546">
        <f>HYPERLINK("http://exon.niaid.nih.gov/transcriptome/Anopheles_sialome/links/cluster-b/anopheline-sialome-cds-pep-larger-orf25-50SimCLTL3.txt", 119)</f>
        <v>119</v>
      </c>
      <c r="BN546">
        <f>HYPERLINK("http://exon.niaid.nih.gov/transcriptome/Anopheles_sialome/links/cluster-b/anopheline-sialome-cds-pep-larger-orf30-50SimCLU3.txt", 3)</f>
        <v>3</v>
      </c>
      <c r="BO546">
        <f>HYPERLINK("http://exon.niaid.nih.gov/transcriptome/Anopheles_sialome/links/cluster-b/anopheline-sialome-cds-pep-larger-orf30-50SimCLTL3.txt", 119)</f>
        <v>119</v>
      </c>
      <c r="BP546">
        <f>HYPERLINK("http://exon.niaid.nih.gov/transcriptome/Anopheles_sialome/links/cluster-b/anopheline-sialome-cds-pep-larger-orf35-50SimCLU2.txt", 2)</f>
        <v>2</v>
      </c>
      <c r="BQ546">
        <f>HYPERLINK("http://exon.niaid.nih.gov/transcriptome/Anopheles_sialome/links/cluster-b/anopheline-sialome-cds-pep-larger-orf35-50SimCLTL2.txt", 119)</f>
        <v>119</v>
      </c>
      <c r="BR546">
        <f>HYPERLINK("http://exon.niaid.nih.gov/transcriptome/Anopheles_sialome/links/cluster-b/anopheline-sialome-cds-pep-larger-orf40-50SimCLU1.txt", 1)</f>
        <v>1</v>
      </c>
      <c r="BS546">
        <f>HYPERLINK("http://exon.niaid.nih.gov/transcriptome/Anopheles_sialome/links/cluster-b/anopheline-sialome-cds-pep-larger-orf40-50SimCLTL1.txt", 119)</f>
        <v>119</v>
      </c>
      <c r="BT546">
        <f>HYPERLINK("http://exon.niaid.nih.gov/transcriptome/Anopheles_sialome/links/cluster-b/anopheline-sialome-cds-pep-larger-orf45-50SimCLU3.txt", 3)</f>
        <v>3</v>
      </c>
      <c r="BU546">
        <f>HYPERLINK("http://exon.niaid.nih.gov/transcriptome/Anopheles_sialome/links/cluster-b/anopheline-sialome-cds-pep-larger-orf45-50SimCLTL3.txt", 65)</f>
        <v>65</v>
      </c>
      <c r="BV546">
        <f>HYPERLINK("http://exon.niaid.nih.gov/transcriptome/Anopheles_sialome/links/cluster-b/anopheline-sialome-cds-pep-larger-orf50-50SimCLU27.txt", 27)</f>
        <v>27</v>
      </c>
      <c r="BW546">
        <f>HYPERLINK("http://exon.niaid.nih.gov/transcriptome/Anopheles_sialome/links/cluster-b/anopheline-sialome-cds-pep-larger-orf50-50SimCLTL27.txt", 17)</f>
        <v>17</v>
      </c>
      <c r="BX546">
        <f>HYPERLINK("http://exon.niaid.nih.gov/transcriptome/Anopheles_sialome/links/cluster-b/anopheline-sialome-cds-pep-larger-orf55-50SimCLU26.txt", 26)</f>
        <v>26</v>
      </c>
      <c r="BY546">
        <f>HYPERLINK("http://exon.niaid.nih.gov/transcriptome/Anopheles_sialome/links/cluster-b/anopheline-sialome-cds-pep-larger-orf55-50SimCLTL26.txt", 17)</f>
        <v>17</v>
      </c>
      <c r="BZ546">
        <f>HYPERLINK("http://exon.niaid.nih.gov/transcriptome/Anopheles_sialome/links/cluster-b/anopheline-sialome-cds-pep-larger-orf60-50SimCLU28.txt", 28)</f>
        <v>28</v>
      </c>
      <c r="CA546">
        <f>HYPERLINK("http://exon.niaid.nih.gov/transcriptome/Anopheles_sialome/links/cluster-b/anopheline-sialome-cds-pep-larger-orf60-50SimCLTL28.txt", 16)</f>
        <v>16</v>
      </c>
      <c r="CB546">
        <f>HYPERLINK("http://exon.niaid.nih.gov/transcriptome/Anopheles_sialome/links/cluster-b/anopheline-sialome-cds-pep-larger-orf65-50SimCLU25.txt", 25)</f>
        <v>25</v>
      </c>
      <c r="CC546">
        <f>HYPERLINK("http://exon.niaid.nih.gov/transcriptome/Anopheles_sialome/links/cluster-b/anopheline-sialome-cds-pep-larger-orf65-50SimCLTL25.txt", 16)</f>
        <v>16</v>
      </c>
      <c r="CD546">
        <f>HYPERLINK("http://exon.niaid.nih.gov/transcriptome/Anopheles_sialome/links/cluster-b/anopheline-sialome-cds-pep-larger-orf70-50SimCLU33.txt", 33)</f>
        <v>33</v>
      </c>
      <c r="CE546">
        <f>HYPERLINK("http://exon.niaid.nih.gov/transcriptome/Anopheles_sialome/links/cluster-b/anopheline-sialome-cds-pep-larger-orf70-50SimCLTL33.txt", 14)</f>
        <v>14</v>
      </c>
      <c r="CF546">
        <f>HYPERLINK("http://exon.niaid.nih.gov/transcriptome/Anopheles_sialome/links/cluster-b/anopheline-sialome-cds-pep-larger-orf75-50SimCLU31.txt", 31)</f>
        <v>31</v>
      </c>
      <c r="CG546">
        <f>HYPERLINK("http://exon.niaid.nih.gov/transcriptome/Anopheles_sialome/links/cluster-b/anopheline-sialome-cds-pep-larger-orf75-50SimCLTL31.txt", 12)</f>
        <v>12</v>
      </c>
      <c r="CH546">
        <f>HYPERLINK("http://exon.niaid.nih.gov/transcriptome/Anopheles_sialome/links/cluster-b/anopheline-sialome-cds-pep-larger-orf80-50SimCLU22.txt", 22)</f>
        <v>22</v>
      </c>
      <c r="CI546">
        <f>HYPERLINK("http://exon.niaid.nih.gov/transcriptome/Anopheles_sialome/links/cluster-b/anopheline-sialome-cds-pep-larger-orf80-50SimCLTL22.txt", 12)</f>
        <v>12</v>
      </c>
      <c r="CJ546">
        <f>HYPERLINK("http://exon.niaid.nih.gov/transcriptome/Anopheles_sialome/links/cluster-b/anopheline-sialome-cds-pep-larger-orf85-50SimCLU24.txt", 24)</f>
        <v>24</v>
      </c>
      <c r="CK546">
        <f>HYPERLINK("http://exon.niaid.nih.gov/transcriptome/Anopheles_sialome/links/cluster-b/anopheline-sialome-cds-pep-larger-orf85-50SimCLTL24.txt", 7)</f>
        <v>7</v>
      </c>
      <c r="CL546">
        <f>HYPERLINK("http://exon.niaid.nih.gov/transcriptome/Anopheles_sialome/links/cluster-b/anopheline-sialome-cds-pep-larger-orf90-50SimCLU47.txt", 47)</f>
        <v>47</v>
      </c>
      <c r="CM546">
        <f>HYPERLINK("http://exon.niaid.nih.gov/transcriptome/Anopheles_sialome/links/cluster-b/anopheline-sialome-cds-pep-larger-orf90-50SimCLTL47.txt", 5)</f>
        <v>5</v>
      </c>
      <c r="CN546">
        <f>HYPERLINK("http://exon.niaid.nih.gov/transcriptome/Anopheles_sialome/links/cluster-b/anopheline-sialome-cds-pep-larger-orf95-50SimCLU44.txt", 44)</f>
        <v>44</v>
      </c>
      <c r="CO546">
        <f>HYPERLINK("http://exon.niaid.nih.gov/transcriptome/Anopheles_sialome/links/cluster-b/anopheline-sialome-cds-pep-larger-orf95-50SimCLTL44.txt", 5)</f>
        <v>5</v>
      </c>
    </row>
    <row r="547" spans="1:93">
      <c r="A547" s="2" t="str">
        <f>HYPERLINK("http://exon.niaid.nih.gov/transcriptome/Anopheles_sialome/links/cds/anomel_SG1-like3-cds.txt","anomel_SG1-like3")</f>
        <v>anomel_SG1-like3</v>
      </c>
      <c r="B547">
        <v>1179</v>
      </c>
      <c r="C547" t="s">
        <v>465</v>
      </c>
      <c r="D547" t="s">
        <v>4</v>
      </c>
      <c r="E547" t="s">
        <v>5</v>
      </c>
      <c r="F547" t="s">
        <v>1</v>
      </c>
      <c r="G547" t="str">
        <f>HYPERLINK("http://exon.niaid.nih.gov/transcriptome/Anopheles_sialome/links/pep/anomel_SG1-like3-pep.txt","anomel_SG1-like3")</f>
        <v>anomel_SG1-like3</v>
      </c>
      <c r="H547">
        <v>392</v>
      </c>
      <c r="I547">
        <v>0</v>
      </c>
      <c r="J547" s="3" t="str">
        <f>HYPERLINK("http://exon.niaid.nih.gov/transcriptome/Anopheles_sialome/links/Sigp/anomel_SG1-like3-SigP.txt","SIG")</f>
        <v>SIG</v>
      </c>
      <c r="K547" t="s">
        <v>692</v>
      </c>
      <c r="L547">
        <v>44.677999999999997</v>
      </c>
      <c r="M547">
        <v>5.95</v>
      </c>
      <c r="N547">
        <v>42.671999999999997</v>
      </c>
      <c r="O547">
        <v>5.91</v>
      </c>
      <c r="P547" t="s">
        <v>1854</v>
      </c>
      <c r="Q547" s="3">
        <v>0</v>
      </c>
      <c r="R547" t="s">
        <v>128</v>
      </c>
      <c r="S547" t="s">
        <v>128</v>
      </c>
      <c r="T547" t="s">
        <v>128</v>
      </c>
      <c r="U547" t="s">
        <v>128</v>
      </c>
      <c r="V547" t="s">
        <v>128</v>
      </c>
      <c r="W547" s="3" t="str">
        <f>HYPERLINK("http://exon.niaid.nih.gov/transcriptome/Anopheles_sialome/links/netoglyc/anomel_SG1-like3-netoglyc.txt","0")</f>
        <v>0</v>
      </c>
      <c r="X547">
        <v>8.1999999999999993</v>
      </c>
      <c r="Y547">
        <v>4.8</v>
      </c>
      <c r="Z547">
        <v>3.1</v>
      </c>
      <c r="AA547" t="s">
        <v>654</v>
      </c>
      <c r="AB547" t="s">
        <v>128</v>
      </c>
      <c r="AC547" s="2" t="str">
        <f>HYPERLINK("http://exon.niaid.nih.gov/transcriptome/Anopheles_sialome/links/DIPTERA/anomel_SG1-like3-DIPTERA.txt","AGAP000607-PA")</f>
        <v>AGAP000607-PA</v>
      </c>
      <c r="AD547" t="str">
        <f>HYPERLINK("http://www.ncbi.nlm.nih.gov/sutils/blink.cgi?pid=333466868","0.0")</f>
        <v>0.0</v>
      </c>
      <c r="AE547" t="str">
        <f t="shared" si="180"/>
        <v>gi|333466868</v>
      </c>
      <c r="AF547">
        <v>97</v>
      </c>
      <c r="AG547">
        <v>98</v>
      </c>
      <c r="AH547">
        <v>100</v>
      </c>
      <c r="AI547" t="s">
        <v>2285</v>
      </c>
      <c r="AJ547" s="2" t="str">
        <f>HYPERLINK("http://exon.niaid.nih.gov/transcriptome/Anopheles_sialome/links/CULICOMORPHA/anomel_SG1-like3-CULICOMORPHA.txt","AGAP000607-PA")</f>
        <v>AGAP000607-PA</v>
      </c>
      <c r="AK547" t="str">
        <f>HYPERLINK("http://www.ncbi.nlm.nih.gov/sutils/blink.cgi?pid=333466868","0.0")</f>
        <v>0.0</v>
      </c>
      <c r="AL547" t="str">
        <f t="shared" si="181"/>
        <v>gi|333466868</v>
      </c>
      <c r="AM547">
        <v>97</v>
      </c>
      <c r="AN547">
        <v>98</v>
      </c>
      <c r="AO547">
        <v>100</v>
      </c>
      <c r="AP547" t="s">
        <v>2285</v>
      </c>
      <c r="AQ547" s="2" t="str">
        <f>HYPERLINK("http://exon.niaid.nih.gov/transcriptome/Anopheles_sialome/links/NR-LIGHT/anomel_SG1-like3-NR-LIGHT.txt","AGAP000607-PA")</f>
        <v>AGAP000607-PA</v>
      </c>
      <c r="AR547" t="str">
        <f>HYPERLINK("http://www.ncbi.nlm.nih.gov/sutils/blink.cgi?pid=347964146","0.0")</f>
        <v>0.0</v>
      </c>
      <c r="AS547" t="str">
        <f t="shared" si="182"/>
        <v>gi|347964146</v>
      </c>
      <c r="AT547">
        <v>97</v>
      </c>
      <c r="AU547">
        <v>98</v>
      </c>
      <c r="AV547">
        <v>100</v>
      </c>
      <c r="AW547" t="s">
        <v>2285</v>
      </c>
      <c r="AX547" s="2" t="str">
        <f>HYPERLINK("http://exon.niaid.nih.gov/transcriptome/Anopheles_sialome/links/CDD/anomel_SG1-like3-CDD.txt","NqrB")</f>
        <v>NqrB</v>
      </c>
      <c r="AY547" t="str">
        <f>HYPERLINK("http://www.ncbi.nlm.nih.gov/Structure/cdd/cddsrv.cgi?uid=COG1805&amp;version=v4.0","0.31")</f>
        <v>0.31</v>
      </c>
      <c r="AZ547" t="s">
        <v>2934</v>
      </c>
      <c r="BA547" s="2" t="str">
        <f>HYPERLINK("http://exon.niaid.nih.gov/transcriptome/Anopheles_sialome/links/KOG/anomel_SG1-like3-KOG.txt","Translation initiation factor 3, subunit b (eIF-3b)")</f>
        <v>Translation initiation factor 3, subunit b (eIF-3b)</v>
      </c>
      <c r="BB547" t="str">
        <f>HYPERLINK("http://www.ncbi.nlm.nih.gov/Structure/cdd/cddsrv.cgi?uid=KOG2314","0.046")</f>
        <v>0.046</v>
      </c>
      <c r="BC547" t="s">
        <v>2260</v>
      </c>
      <c r="BD547" t="str">
        <f>HYPERLINK("http://exon.niaid.nih.gov/transcriptome/Anopheles_sialome/links/KOG/anomel_SG1-like3-KOG.txt","KOG2314")</f>
        <v>KOG2314</v>
      </c>
      <c r="BE547" t="str">
        <f>HYPERLINK("http://exon.niaid.nih.gov/transcriptome/Anopheles_sialome/links/PFAM/anomel_SG1-like3-PFAM.txt","HAUS-augmin3")</f>
        <v>HAUS-augmin3</v>
      </c>
      <c r="BF547" t="str">
        <f>HYPERLINK("http://pfam.sanger.ac.uk/family?acc=PF14932","0.087")</f>
        <v>0.087</v>
      </c>
      <c r="BG547" s="2" t="str">
        <f>HYPERLINK("http://exon.niaid.nih.gov/transcriptome/Anopheles_sialome/links/SMART/anomel_SG1-like3-SMART.txt","PLAc")</f>
        <v>PLAc</v>
      </c>
      <c r="BH547" t="str">
        <f>HYPERLINK("http://smart.embl-heidelberg.de/smart/do_annotation.pl?DOMAIN=PLAc&amp;BLAST=DUMMY","1.0")</f>
        <v>1.0</v>
      </c>
      <c r="BI547" t="str">
        <f>HYPERLINK("http://exon.niaid.nih.gov/transcriptome/Anopheles_sialome/links/TICK-BLOCKS/anomel_SG1-like3-TICK-BLOCKS.txt","SG1_full |SG1_stringent_pattern |")</f>
        <v>SG1_full |SG1_stringent_pattern |</v>
      </c>
      <c r="BJ547" s="2" t="s">
        <v>2423</v>
      </c>
      <c r="BK547" t="s">
        <v>1858</v>
      </c>
      <c r="BL547">
        <f>HYPERLINK("http://exon.niaid.nih.gov/transcriptome/Anopheles_sialome/links/cluster-b/anopheline-sialome-cds-pep-larger-orf25-50SimCLU3.txt", 3)</f>
        <v>3</v>
      </c>
      <c r="BM547">
        <f>HYPERLINK("http://exon.niaid.nih.gov/transcriptome/Anopheles_sialome/links/cluster-b/anopheline-sialome-cds-pep-larger-orf25-50SimCLTL3.txt", 119)</f>
        <v>119</v>
      </c>
      <c r="BN547">
        <f>HYPERLINK("http://exon.niaid.nih.gov/transcriptome/Anopheles_sialome/links/cluster-b/anopheline-sialome-cds-pep-larger-orf30-50SimCLU3.txt", 3)</f>
        <v>3</v>
      </c>
      <c r="BO547">
        <f>HYPERLINK("http://exon.niaid.nih.gov/transcriptome/Anopheles_sialome/links/cluster-b/anopheline-sialome-cds-pep-larger-orf30-50SimCLTL3.txt", 119)</f>
        <v>119</v>
      </c>
      <c r="BP547">
        <f>HYPERLINK("http://exon.niaid.nih.gov/transcriptome/Anopheles_sialome/links/cluster-b/anopheline-sialome-cds-pep-larger-orf35-50SimCLU2.txt", 2)</f>
        <v>2</v>
      </c>
      <c r="BQ547">
        <f>HYPERLINK("http://exon.niaid.nih.gov/transcriptome/Anopheles_sialome/links/cluster-b/anopheline-sialome-cds-pep-larger-orf35-50SimCLTL2.txt", 119)</f>
        <v>119</v>
      </c>
      <c r="BR547">
        <f>HYPERLINK("http://exon.niaid.nih.gov/transcriptome/Anopheles_sialome/links/cluster-b/anopheline-sialome-cds-pep-larger-orf40-50SimCLU1.txt", 1)</f>
        <v>1</v>
      </c>
      <c r="BS547">
        <f>HYPERLINK("http://exon.niaid.nih.gov/transcriptome/Anopheles_sialome/links/cluster-b/anopheline-sialome-cds-pep-larger-orf40-50SimCLTL1.txt", 119)</f>
        <v>119</v>
      </c>
      <c r="BT547">
        <f>HYPERLINK("http://exon.niaid.nih.gov/transcriptome/Anopheles_sialome/links/cluster-b/anopheline-sialome-cds-pep-larger-orf45-50SimCLU3.txt", 3)</f>
        <v>3</v>
      </c>
      <c r="BU547">
        <f>HYPERLINK("http://exon.niaid.nih.gov/transcriptome/Anopheles_sialome/links/cluster-b/anopheline-sialome-cds-pep-larger-orf45-50SimCLTL3.txt", 65)</f>
        <v>65</v>
      </c>
      <c r="BV547">
        <f>HYPERLINK("http://exon.niaid.nih.gov/transcriptome/Anopheles_sialome/links/cluster-b/anopheline-sialome-cds-pep-larger-orf50-50SimCLU27.txt", 27)</f>
        <v>27</v>
      </c>
      <c r="BW547">
        <f>HYPERLINK("http://exon.niaid.nih.gov/transcriptome/Anopheles_sialome/links/cluster-b/anopheline-sialome-cds-pep-larger-orf50-50SimCLTL27.txt", 17)</f>
        <v>17</v>
      </c>
      <c r="BX547">
        <f>HYPERLINK("http://exon.niaid.nih.gov/transcriptome/Anopheles_sialome/links/cluster-b/anopheline-sialome-cds-pep-larger-orf55-50SimCLU26.txt", 26)</f>
        <v>26</v>
      </c>
      <c r="BY547">
        <f>HYPERLINK("http://exon.niaid.nih.gov/transcriptome/Anopheles_sialome/links/cluster-b/anopheline-sialome-cds-pep-larger-orf55-50SimCLTL26.txt", 17)</f>
        <v>17</v>
      </c>
      <c r="BZ547">
        <f>HYPERLINK("http://exon.niaid.nih.gov/transcriptome/Anopheles_sialome/links/cluster-b/anopheline-sialome-cds-pep-larger-orf60-50SimCLU28.txt", 28)</f>
        <v>28</v>
      </c>
      <c r="CA547">
        <f>HYPERLINK("http://exon.niaid.nih.gov/transcriptome/Anopheles_sialome/links/cluster-b/anopheline-sialome-cds-pep-larger-orf60-50SimCLTL28.txt", 16)</f>
        <v>16</v>
      </c>
      <c r="CB547">
        <f>HYPERLINK("http://exon.niaid.nih.gov/transcriptome/Anopheles_sialome/links/cluster-b/anopheline-sialome-cds-pep-larger-orf65-50SimCLU25.txt", 25)</f>
        <v>25</v>
      </c>
      <c r="CC547">
        <f>HYPERLINK("http://exon.niaid.nih.gov/transcriptome/Anopheles_sialome/links/cluster-b/anopheline-sialome-cds-pep-larger-orf65-50SimCLTL25.txt", 16)</f>
        <v>16</v>
      </c>
      <c r="CD547">
        <f>HYPERLINK("http://exon.niaid.nih.gov/transcriptome/Anopheles_sialome/links/cluster-b/anopheline-sialome-cds-pep-larger-orf70-50SimCLU33.txt", 33)</f>
        <v>33</v>
      </c>
      <c r="CE547">
        <f>HYPERLINK("http://exon.niaid.nih.gov/transcriptome/Anopheles_sialome/links/cluster-b/anopheline-sialome-cds-pep-larger-orf70-50SimCLTL33.txt", 14)</f>
        <v>14</v>
      </c>
      <c r="CF547">
        <f>HYPERLINK("http://exon.niaid.nih.gov/transcriptome/Anopheles_sialome/links/cluster-b/anopheline-sialome-cds-pep-larger-orf75-50SimCLU31.txt", 31)</f>
        <v>31</v>
      </c>
      <c r="CG547">
        <f>HYPERLINK("http://exon.niaid.nih.gov/transcriptome/Anopheles_sialome/links/cluster-b/anopheline-sialome-cds-pep-larger-orf75-50SimCLTL31.txt", 12)</f>
        <v>12</v>
      </c>
      <c r="CH547">
        <f>HYPERLINK("http://exon.niaid.nih.gov/transcriptome/Anopheles_sialome/links/cluster-b/anopheline-sialome-cds-pep-larger-orf80-50SimCLU22.txt", 22)</f>
        <v>22</v>
      </c>
      <c r="CI547">
        <f>HYPERLINK("http://exon.niaid.nih.gov/transcriptome/Anopheles_sialome/links/cluster-b/anopheline-sialome-cds-pep-larger-orf80-50SimCLTL22.txt", 12)</f>
        <v>12</v>
      </c>
      <c r="CJ547">
        <f>HYPERLINK("http://exon.niaid.nih.gov/transcriptome/Anopheles_sialome/links/cluster-b/anopheline-sialome-cds-pep-larger-orf85-50SimCLU24.txt", 24)</f>
        <v>24</v>
      </c>
      <c r="CK547">
        <f>HYPERLINK("http://exon.niaid.nih.gov/transcriptome/Anopheles_sialome/links/cluster-b/anopheline-sialome-cds-pep-larger-orf85-50SimCLTL24.txt", 7)</f>
        <v>7</v>
      </c>
      <c r="CL547">
        <f>HYPERLINK("http://exon.niaid.nih.gov/transcriptome/Anopheles_sialome/links/cluster-b/anopheline-sialome-cds-pep-larger-orf90-50SimCLU47.txt", 47)</f>
        <v>47</v>
      </c>
      <c r="CM547">
        <f>HYPERLINK("http://exon.niaid.nih.gov/transcriptome/Anopheles_sialome/links/cluster-b/anopheline-sialome-cds-pep-larger-orf90-50SimCLTL47.txt", 5)</f>
        <v>5</v>
      </c>
      <c r="CN547">
        <f>HYPERLINK("http://exon.niaid.nih.gov/transcriptome/Anopheles_sialome/links/cluster-b/anopheline-sialome-cds-pep-larger-orf95-50SimCLU44.txt", 44)</f>
        <v>44</v>
      </c>
      <c r="CO547">
        <f>HYPERLINK("http://exon.niaid.nih.gov/transcriptome/Anopheles_sialome/links/cluster-b/anopheline-sialome-cds-pep-larger-orf95-50SimCLTL44.txt", 5)</f>
        <v>5</v>
      </c>
    </row>
    <row r="548" spans="1:93">
      <c r="A548" s="2" t="str">
        <f>HYPERLINK("http://exon.niaid.nih.gov/transcriptome/Anopheles_sialome/links/cds/anochris_SG1-like3-cds.txt","anochris_SG1-like3")</f>
        <v>anochris_SG1-like3</v>
      </c>
      <c r="B548">
        <v>1194</v>
      </c>
      <c r="C548" t="s">
        <v>466</v>
      </c>
      <c r="D548" t="s">
        <v>4</v>
      </c>
      <c r="E548" t="s">
        <v>5</v>
      </c>
      <c r="F548" t="s">
        <v>1</v>
      </c>
      <c r="G548" t="str">
        <f>HYPERLINK("http://exon.niaid.nih.gov/transcriptome/Anopheles_sialome/links/pep/anochris_SG1-like3-pep.txt","anochris_SG1-like3")</f>
        <v>anochris_SG1-like3</v>
      </c>
      <c r="H548">
        <v>397</v>
      </c>
      <c r="I548">
        <v>1</v>
      </c>
      <c r="J548" s="3" t="str">
        <f>HYPERLINK("http://exon.niaid.nih.gov/transcriptome/Anopheles_sialome/links/Sigp/anochris_SG1-like3-SigP.txt","SIG")</f>
        <v>SIG</v>
      </c>
      <c r="K548" t="s">
        <v>715</v>
      </c>
      <c r="L548">
        <v>45.238</v>
      </c>
      <c r="M548">
        <v>5.99</v>
      </c>
      <c r="N548">
        <v>42.807000000000002</v>
      </c>
      <c r="O548">
        <v>5.94</v>
      </c>
      <c r="P548" t="s">
        <v>1860</v>
      </c>
      <c r="Q548" s="3">
        <v>0</v>
      </c>
      <c r="R548" t="s">
        <v>128</v>
      </c>
      <c r="S548" t="s">
        <v>128</v>
      </c>
      <c r="T548" t="s">
        <v>128</v>
      </c>
      <c r="U548" t="s">
        <v>128</v>
      </c>
      <c r="V548" t="s">
        <v>128</v>
      </c>
      <c r="W548" s="3" t="str">
        <f>HYPERLINK("http://exon.niaid.nih.gov/transcriptome/Anopheles_sialome/links/netoglyc/anochris_SG1-like3-netoglyc.txt","0")</f>
        <v>0</v>
      </c>
      <c r="X548">
        <v>9.1</v>
      </c>
      <c r="Y548">
        <v>3.3</v>
      </c>
      <c r="Z548">
        <v>3.8</v>
      </c>
      <c r="AA548" t="s">
        <v>654</v>
      </c>
      <c r="AB548" t="s">
        <v>128</v>
      </c>
      <c r="AC548" s="2" t="str">
        <f>HYPERLINK("http://exon.niaid.nih.gov/transcriptome/Anopheles_sialome/links/DIPTERA/anochris_SG1-like3-DIPTERA.txt","AGAP000607-PA")</f>
        <v>AGAP000607-PA</v>
      </c>
      <c r="AD548" t="str">
        <f>HYPERLINK("http://www.ncbi.nlm.nih.gov/sutils/blink.cgi?pid=333466868","1E-160")</f>
        <v>1E-160</v>
      </c>
      <c r="AE548" t="str">
        <f>HYPERLINK("http://www.ncbi.nlm.nih.gov/protein/333466868","gi|333466868")</f>
        <v>gi|333466868</v>
      </c>
      <c r="AF548">
        <v>71</v>
      </c>
      <c r="AG548">
        <v>82</v>
      </c>
      <c r="AH548">
        <v>101</v>
      </c>
      <c r="AI548" t="s">
        <v>2285</v>
      </c>
      <c r="AJ548" s="2" t="str">
        <f>HYPERLINK("http://exon.niaid.nih.gov/transcriptome/Anopheles_sialome/links/CULICOMORPHA/anochris_SG1-like3-CULICOMORPHA.txt","AGAP000607-PA")</f>
        <v>AGAP000607-PA</v>
      </c>
      <c r="AK548" t="str">
        <f>HYPERLINK("http://www.ncbi.nlm.nih.gov/sutils/blink.cgi?pid=333466868","1E-161")</f>
        <v>1E-161</v>
      </c>
      <c r="AL548" t="str">
        <f>HYPERLINK("http://www.ncbi.nlm.nih.gov/protein/333466868","gi|333466868")</f>
        <v>gi|333466868</v>
      </c>
      <c r="AM548">
        <v>71</v>
      </c>
      <c r="AN548">
        <v>82</v>
      </c>
      <c r="AO548">
        <v>101</v>
      </c>
      <c r="AP548" t="s">
        <v>2285</v>
      </c>
      <c r="AQ548" s="2" t="str">
        <f>HYPERLINK("http://exon.niaid.nih.gov/transcriptome/Anopheles_sialome/links/NR-LIGHT/anochris_SG1-like3-NR-LIGHT.txt","AGAP000607-PA")</f>
        <v>AGAP000607-PA</v>
      </c>
      <c r="AR548" t="str">
        <f>HYPERLINK("http://www.ncbi.nlm.nih.gov/sutils/blink.cgi?pid=347964146","1E-159")</f>
        <v>1E-159</v>
      </c>
      <c r="AS548" t="str">
        <f>HYPERLINK("http://www.ncbi.nlm.nih.gov/protein/347964146","gi|347964146")</f>
        <v>gi|347964146</v>
      </c>
      <c r="AT548">
        <v>71</v>
      </c>
      <c r="AU548">
        <v>82</v>
      </c>
      <c r="AV548">
        <v>101</v>
      </c>
      <c r="AW548" t="s">
        <v>2285</v>
      </c>
      <c r="AX548" s="2" t="str">
        <f>HYPERLINK("http://exon.niaid.nih.gov/transcriptome/Anopheles_sialome/links/CDD/anochris_SG1-like3-CDD.txt","PRK09751")</f>
        <v>PRK09751</v>
      </c>
      <c r="AY548" t="str">
        <f>HYPERLINK("http://www.ncbi.nlm.nih.gov/Structure/cdd/cddsrv.cgi?uid=PRK09751&amp;version=v4.0","0.18")</f>
        <v>0.18</v>
      </c>
      <c r="AZ548" t="s">
        <v>2935</v>
      </c>
      <c r="BA548" s="2" t="str">
        <f>HYPERLINK("http://exon.niaid.nih.gov/transcriptome/Anopheles_sialome/links/KOG/anochris_SG1-like3-KOG.txt","Nuclear pore complex, Nup155 component (D Nup154, sc Nup157/Nup170)")</f>
        <v>Nuclear pore complex, Nup155 component (D Nup154, sc Nup157/Nup170)</v>
      </c>
      <c r="BB548" t="str">
        <f>HYPERLINK("http://www.ncbi.nlm.nih.gov/Structure/cdd/cddsrv.cgi?uid=KOG1900","1.5")</f>
        <v>1.5</v>
      </c>
      <c r="BC548" t="s">
        <v>2451</v>
      </c>
      <c r="BD548" t="str">
        <f>HYPERLINK("http://exon.niaid.nih.gov/transcriptome/Anopheles_sialome/links/KOG/anochris_SG1-like3-KOG.txt","KOG1900")</f>
        <v>KOG1900</v>
      </c>
      <c r="BE548" t="str">
        <f>HYPERLINK("http://exon.niaid.nih.gov/transcriptome/Anopheles_sialome/links/PFAM/anochris_SG1-like3-PFAM.txt","FHIPEP")</f>
        <v>FHIPEP</v>
      </c>
      <c r="BF548" t="str">
        <f>HYPERLINK("http://pfam.sanger.ac.uk/family?acc=PF00771","0.13")</f>
        <v>0.13</v>
      </c>
      <c r="BG548" s="2" t="str">
        <f>HYPERLINK("http://exon.niaid.nih.gov/transcriptome/Anopheles_sialome/links/SMART/anochris_SG1-like3-SMART.txt","MYSc")</f>
        <v>MYSc</v>
      </c>
      <c r="BH548" t="str">
        <f>HYPERLINK("http://smart.embl-heidelberg.de/smart/do_annotation.pl?DOMAIN=MYSc&amp;BLAST=DUMMY","0.13")</f>
        <v>0.13</v>
      </c>
      <c r="BI548" t="str">
        <f>HYPERLINK("http://exon.niaid.nih.gov/transcriptome/Anopheles_sialome/links/TICK-BLOCKS/anochris_SG1-like3-TICK-BLOCKS.txt","SG1_full |SG1_stringent_pattern |")</f>
        <v>SG1_full |SG1_stringent_pattern |</v>
      </c>
      <c r="BJ548" s="2" t="s">
        <v>2423</v>
      </c>
      <c r="BK548" t="s">
        <v>1859</v>
      </c>
      <c r="BL548">
        <f>HYPERLINK("http://exon.niaid.nih.gov/transcriptome/Anopheles_sialome/links/cluster-b/anopheline-sialome-cds-pep-larger-orf25-50SimCLU3.txt", 3)</f>
        <v>3</v>
      </c>
      <c r="BM548">
        <f>HYPERLINK("http://exon.niaid.nih.gov/transcriptome/Anopheles_sialome/links/cluster-b/anopheline-sialome-cds-pep-larger-orf25-50SimCLTL3.txt", 119)</f>
        <v>119</v>
      </c>
      <c r="BN548">
        <f>HYPERLINK("http://exon.niaid.nih.gov/transcriptome/Anopheles_sialome/links/cluster-b/anopheline-sialome-cds-pep-larger-orf30-50SimCLU3.txt", 3)</f>
        <v>3</v>
      </c>
      <c r="BO548">
        <f>HYPERLINK("http://exon.niaid.nih.gov/transcriptome/Anopheles_sialome/links/cluster-b/anopheline-sialome-cds-pep-larger-orf30-50SimCLTL3.txt", 119)</f>
        <v>119</v>
      </c>
      <c r="BP548">
        <f>HYPERLINK("http://exon.niaid.nih.gov/transcriptome/Anopheles_sialome/links/cluster-b/anopheline-sialome-cds-pep-larger-orf35-50SimCLU2.txt", 2)</f>
        <v>2</v>
      </c>
      <c r="BQ548">
        <f>HYPERLINK("http://exon.niaid.nih.gov/transcriptome/Anopheles_sialome/links/cluster-b/anopheline-sialome-cds-pep-larger-orf35-50SimCLTL2.txt", 119)</f>
        <v>119</v>
      </c>
      <c r="BR548">
        <f>HYPERLINK("http://exon.niaid.nih.gov/transcriptome/Anopheles_sialome/links/cluster-b/anopheline-sialome-cds-pep-larger-orf40-50SimCLU1.txt", 1)</f>
        <v>1</v>
      </c>
      <c r="BS548">
        <f>HYPERLINK("http://exon.niaid.nih.gov/transcriptome/Anopheles_sialome/links/cluster-b/anopheline-sialome-cds-pep-larger-orf40-50SimCLTL1.txt", 119)</f>
        <v>119</v>
      </c>
      <c r="BT548">
        <f>HYPERLINK("http://exon.niaid.nih.gov/transcriptome/Anopheles_sialome/links/cluster-b/anopheline-sialome-cds-pep-larger-orf45-50SimCLU3.txt", 3)</f>
        <v>3</v>
      </c>
      <c r="BU548">
        <f>HYPERLINK("http://exon.niaid.nih.gov/transcriptome/Anopheles_sialome/links/cluster-b/anopheline-sialome-cds-pep-larger-orf45-50SimCLTL3.txt", 65)</f>
        <v>65</v>
      </c>
      <c r="BV548">
        <f>HYPERLINK("http://exon.niaid.nih.gov/transcriptome/Anopheles_sialome/links/cluster-b/anopheline-sialome-cds-pep-larger-orf50-50SimCLU27.txt", 27)</f>
        <v>27</v>
      </c>
      <c r="BW548">
        <f>HYPERLINK("http://exon.niaid.nih.gov/transcriptome/Anopheles_sialome/links/cluster-b/anopheline-sialome-cds-pep-larger-orf50-50SimCLTL27.txt", 17)</f>
        <v>17</v>
      </c>
      <c r="BX548">
        <f>HYPERLINK("http://exon.niaid.nih.gov/transcriptome/Anopheles_sialome/links/cluster-b/anopheline-sialome-cds-pep-larger-orf55-50SimCLU26.txt", 26)</f>
        <v>26</v>
      </c>
      <c r="BY548">
        <f>HYPERLINK("http://exon.niaid.nih.gov/transcriptome/Anopheles_sialome/links/cluster-b/anopheline-sialome-cds-pep-larger-orf55-50SimCLTL26.txt", 17)</f>
        <v>17</v>
      </c>
      <c r="BZ548">
        <f>HYPERLINK("http://exon.niaid.nih.gov/transcriptome/Anopheles_sialome/links/cluster-b/anopheline-sialome-cds-pep-larger-orf60-50SimCLU28.txt", 28)</f>
        <v>28</v>
      </c>
      <c r="CA548">
        <f>HYPERLINK("http://exon.niaid.nih.gov/transcriptome/Anopheles_sialome/links/cluster-b/anopheline-sialome-cds-pep-larger-orf60-50SimCLTL28.txt", 16)</f>
        <v>16</v>
      </c>
      <c r="CB548">
        <f>HYPERLINK("http://exon.niaid.nih.gov/transcriptome/Anopheles_sialome/links/cluster-b/anopheline-sialome-cds-pep-larger-orf65-50SimCLU25.txt", 25)</f>
        <v>25</v>
      </c>
      <c r="CC548">
        <f>HYPERLINK("http://exon.niaid.nih.gov/transcriptome/Anopheles_sialome/links/cluster-b/anopheline-sialome-cds-pep-larger-orf65-50SimCLTL25.txt", 16)</f>
        <v>16</v>
      </c>
      <c r="CD548">
        <f>HYPERLINK("http://exon.niaid.nih.gov/transcriptome/Anopheles_sialome/links/cluster-b/anopheline-sialome-cds-pep-larger-orf70-50SimCLU33.txt", 33)</f>
        <v>33</v>
      </c>
      <c r="CE548">
        <f>HYPERLINK("http://exon.niaid.nih.gov/transcriptome/Anopheles_sialome/links/cluster-b/anopheline-sialome-cds-pep-larger-orf70-50SimCLTL33.txt", 14)</f>
        <v>14</v>
      </c>
      <c r="CF548">
        <f>HYPERLINK("http://exon.niaid.nih.gov/transcriptome/Anopheles_sialome/links/cluster-b/anopheline-sialome-cds-pep-larger-orf75-50SimCLU31.txt", 31)</f>
        <v>31</v>
      </c>
      <c r="CG548">
        <f>HYPERLINK("http://exon.niaid.nih.gov/transcriptome/Anopheles_sialome/links/cluster-b/anopheline-sialome-cds-pep-larger-orf75-50SimCLTL31.txt", 12)</f>
        <v>12</v>
      </c>
      <c r="CH548">
        <f>HYPERLINK("http://exon.niaid.nih.gov/transcriptome/Anopheles_sialome/links/cluster-b/anopheline-sialome-cds-pep-larger-orf80-50SimCLU22.txt", 22)</f>
        <v>22</v>
      </c>
      <c r="CI548">
        <f>HYPERLINK("http://exon.niaid.nih.gov/transcriptome/Anopheles_sialome/links/cluster-b/anopheline-sialome-cds-pep-larger-orf80-50SimCLTL22.txt", 12)</f>
        <v>12</v>
      </c>
      <c r="CJ548">
        <f>HYPERLINK("http://exon.niaid.nih.gov/transcriptome/Anopheles_sialome/links/cluster-b/anopheline-sialome-cds-pep-larger-orf85-50SimCLU24.txt", 24)</f>
        <v>24</v>
      </c>
      <c r="CK548">
        <f>HYPERLINK("http://exon.niaid.nih.gov/transcriptome/Anopheles_sialome/links/cluster-b/anopheline-sialome-cds-pep-larger-orf85-50SimCLTL24.txt", 7)</f>
        <v>7</v>
      </c>
      <c r="CL548">
        <v>360</v>
      </c>
      <c r="CM548">
        <v>1</v>
      </c>
      <c r="CN548">
        <v>431</v>
      </c>
      <c r="CO548">
        <v>1</v>
      </c>
    </row>
    <row r="549" spans="1:93">
      <c r="A549" s="2" t="str">
        <f>HYPERLINK("http://exon.niaid.nih.gov/transcriptome/Anopheles_sialome/links/cds/anoepi_SG1-like3-cds.txt","anoepi_SG1-like3")</f>
        <v>anoepi_SG1-like3</v>
      </c>
      <c r="B549">
        <v>1188</v>
      </c>
      <c r="C549" t="s">
        <v>467</v>
      </c>
      <c r="D549" t="s">
        <v>4</v>
      </c>
      <c r="E549" t="s">
        <v>5</v>
      </c>
      <c r="F549" t="s">
        <v>1</v>
      </c>
      <c r="G549" t="str">
        <f>HYPERLINK("http://exon.niaid.nih.gov/transcriptome/Anopheles_sialome/links/pep/anoepi_SG1-like3-pep.txt","anoepi_SG1-like3")</f>
        <v>anoepi_SG1-like3</v>
      </c>
      <c r="H549">
        <v>395</v>
      </c>
      <c r="I549">
        <v>0</v>
      </c>
      <c r="J549" s="3" t="str">
        <f>HYPERLINK("http://exon.niaid.nih.gov/transcriptome/Anopheles_sialome/links/Sigp/anoepi_SG1-like3-SigP.txt","SIG")</f>
        <v>SIG</v>
      </c>
      <c r="K549" t="s">
        <v>708</v>
      </c>
      <c r="L549">
        <v>44.633000000000003</v>
      </c>
      <c r="M549">
        <v>5.78</v>
      </c>
      <c r="N549">
        <v>42.417000000000002</v>
      </c>
      <c r="O549">
        <v>5.72</v>
      </c>
      <c r="P549" t="s">
        <v>1162</v>
      </c>
      <c r="Q549" s="3">
        <v>0</v>
      </c>
      <c r="R549" t="s">
        <v>128</v>
      </c>
      <c r="S549" t="s">
        <v>128</v>
      </c>
      <c r="T549" t="s">
        <v>128</v>
      </c>
      <c r="U549" t="s">
        <v>128</v>
      </c>
      <c r="V549" t="s">
        <v>128</v>
      </c>
      <c r="W549" s="3" t="str">
        <f>HYPERLINK("http://exon.niaid.nih.gov/transcriptome/Anopheles_sialome/links/netoglyc/anoepi_SG1-like3-netoglyc.txt","0")</f>
        <v>0</v>
      </c>
      <c r="X549">
        <v>9.4</v>
      </c>
      <c r="Y549">
        <v>4.0999999999999996</v>
      </c>
      <c r="Z549">
        <v>3</v>
      </c>
      <c r="AA549" t="s">
        <v>654</v>
      </c>
      <c r="AB549" t="s">
        <v>128</v>
      </c>
      <c r="AC549" s="2" t="str">
        <f>HYPERLINK("http://exon.niaid.nih.gov/transcriptome/Anopheles_sialome/links/DIPTERA/anoepi_SG1-like3-DIPTERA.txt","AGAP000607-PA")</f>
        <v>AGAP000607-PA</v>
      </c>
      <c r="AD549" t="str">
        <f>HYPERLINK("http://www.ncbi.nlm.nih.gov/sutils/blink.cgi?pid=333466868","1E-164")</f>
        <v>1E-164</v>
      </c>
      <c r="AE549" t="str">
        <f>HYPERLINK("http://www.ncbi.nlm.nih.gov/protein/333466868","gi|333466868")</f>
        <v>gi|333466868</v>
      </c>
      <c r="AF549">
        <v>71</v>
      </c>
      <c r="AG549">
        <v>84</v>
      </c>
      <c r="AH549">
        <v>101</v>
      </c>
      <c r="AI549" t="s">
        <v>2285</v>
      </c>
      <c r="AJ549" s="2" t="str">
        <f>HYPERLINK("http://exon.niaid.nih.gov/transcriptome/Anopheles_sialome/links/CULICOMORPHA/anoepi_SG1-like3-CULICOMORPHA.txt","AGAP000607-PA")</f>
        <v>AGAP000607-PA</v>
      </c>
      <c r="AK549" t="str">
        <f>HYPERLINK("http://www.ncbi.nlm.nih.gov/sutils/blink.cgi?pid=333466868","1E-164")</f>
        <v>1E-164</v>
      </c>
      <c r="AL549" t="str">
        <f>HYPERLINK("http://www.ncbi.nlm.nih.gov/protein/333466868","gi|333466868")</f>
        <v>gi|333466868</v>
      </c>
      <c r="AM549">
        <v>71</v>
      </c>
      <c r="AN549">
        <v>84</v>
      </c>
      <c r="AO549">
        <v>101</v>
      </c>
      <c r="AP549" t="s">
        <v>2285</v>
      </c>
      <c r="AQ549" s="2" t="str">
        <f>HYPERLINK("http://exon.niaid.nih.gov/transcriptome/Anopheles_sialome/links/NR-LIGHT/anoepi_SG1-like3-NR-LIGHT.txt","AGAP000607-PA")</f>
        <v>AGAP000607-PA</v>
      </c>
      <c r="AR549" t="str">
        <f>HYPERLINK("http://www.ncbi.nlm.nih.gov/sutils/blink.cgi?pid=347964146","1E-163")</f>
        <v>1E-163</v>
      </c>
      <c r="AS549" t="str">
        <f>HYPERLINK("http://www.ncbi.nlm.nih.gov/protein/347964146","gi|347964146")</f>
        <v>gi|347964146</v>
      </c>
      <c r="AT549">
        <v>71</v>
      </c>
      <c r="AU549">
        <v>84</v>
      </c>
      <c r="AV549">
        <v>101</v>
      </c>
      <c r="AW549" t="s">
        <v>2285</v>
      </c>
      <c r="AX549" s="2" t="str">
        <f>HYPERLINK("http://exon.niaid.nih.gov/transcriptome/Anopheles_sialome/links/CDD/anoepi_SG1-like3-CDD.txt","PRK09751")</f>
        <v>PRK09751</v>
      </c>
      <c r="AY549" t="str">
        <f>HYPERLINK("http://www.ncbi.nlm.nih.gov/Structure/cdd/cddsrv.cgi?uid=PRK09751&amp;version=v4.0","0.18")</f>
        <v>0.18</v>
      </c>
      <c r="AZ549" t="s">
        <v>2936</v>
      </c>
      <c r="BA549" s="2" t="str">
        <f>HYPERLINK("http://exon.niaid.nih.gov/transcriptome/Anopheles_sialome/links/KOG/anoepi_SG1-like3-KOG.txt","Elongation factor 2")</f>
        <v>Elongation factor 2</v>
      </c>
      <c r="BB549" t="str">
        <f>HYPERLINK("http://www.ncbi.nlm.nih.gov/Structure/cdd/cddsrv.cgi?uid=KOG0469","0.71")</f>
        <v>0.71</v>
      </c>
      <c r="BC549" t="s">
        <v>2260</v>
      </c>
      <c r="BD549" t="str">
        <f>HYPERLINK("http://exon.niaid.nih.gov/transcriptome/Anopheles_sialome/links/KOG/anoepi_SG1-like3-KOG.txt","KOG0469")</f>
        <v>KOG0469</v>
      </c>
      <c r="BE549" t="str">
        <f>HYPERLINK("http://exon.niaid.nih.gov/transcriptome/Anopheles_sialome/links/PFAM/anoepi_SG1-like3-PFAM.txt","LTV")</f>
        <v>LTV</v>
      </c>
      <c r="BF549" t="str">
        <f>HYPERLINK("http://pfam.sanger.ac.uk/family?acc=PF04180","0.60")</f>
        <v>0.60</v>
      </c>
      <c r="BG549" s="2" t="str">
        <f>HYPERLINK("http://exon.niaid.nih.gov/transcriptome/Anopheles_sialome/links/SMART/anoepi_SG1-like3-SMART.txt","MYSc")</f>
        <v>MYSc</v>
      </c>
      <c r="BH549" t="str">
        <f>HYPERLINK("http://smart.embl-heidelberg.de/smart/do_annotation.pl?DOMAIN=MYSc&amp;BLAST=DUMMY","0.056")</f>
        <v>0.056</v>
      </c>
      <c r="BI549" t="str">
        <f>HYPERLINK("http://exon.niaid.nih.gov/transcriptome/Anopheles_sialome/links/TICK-BLOCKS/anoepi_SG1-like3-TICK-BLOCKS.txt","SG1_full |SG1_stringent_pattern |")</f>
        <v>SG1_full |SG1_stringent_pattern |</v>
      </c>
      <c r="BJ549" s="2" t="s">
        <v>2423</v>
      </c>
      <c r="BK549" t="s">
        <v>1861</v>
      </c>
      <c r="BL549">
        <f>HYPERLINK("http://exon.niaid.nih.gov/transcriptome/Anopheles_sialome/links/cluster-b/anopheline-sialome-cds-pep-larger-orf25-50SimCLU3.txt", 3)</f>
        <v>3</v>
      </c>
      <c r="BM549">
        <f>HYPERLINK("http://exon.niaid.nih.gov/transcriptome/Anopheles_sialome/links/cluster-b/anopheline-sialome-cds-pep-larger-orf25-50SimCLTL3.txt", 119)</f>
        <v>119</v>
      </c>
      <c r="BN549">
        <f>HYPERLINK("http://exon.niaid.nih.gov/transcriptome/Anopheles_sialome/links/cluster-b/anopheline-sialome-cds-pep-larger-orf30-50SimCLU3.txt", 3)</f>
        <v>3</v>
      </c>
      <c r="BO549">
        <f>HYPERLINK("http://exon.niaid.nih.gov/transcriptome/Anopheles_sialome/links/cluster-b/anopheline-sialome-cds-pep-larger-orf30-50SimCLTL3.txt", 119)</f>
        <v>119</v>
      </c>
      <c r="BP549">
        <f>HYPERLINK("http://exon.niaid.nih.gov/transcriptome/Anopheles_sialome/links/cluster-b/anopheline-sialome-cds-pep-larger-orf35-50SimCLU2.txt", 2)</f>
        <v>2</v>
      </c>
      <c r="BQ549">
        <f>HYPERLINK("http://exon.niaid.nih.gov/transcriptome/Anopheles_sialome/links/cluster-b/anopheline-sialome-cds-pep-larger-orf35-50SimCLTL2.txt", 119)</f>
        <v>119</v>
      </c>
      <c r="BR549">
        <f>HYPERLINK("http://exon.niaid.nih.gov/transcriptome/Anopheles_sialome/links/cluster-b/anopheline-sialome-cds-pep-larger-orf40-50SimCLU1.txt", 1)</f>
        <v>1</v>
      </c>
      <c r="BS549">
        <f>HYPERLINK("http://exon.niaid.nih.gov/transcriptome/Anopheles_sialome/links/cluster-b/anopheline-sialome-cds-pep-larger-orf40-50SimCLTL1.txt", 119)</f>
        <v>119</v>
      </c>
      <c r="BT549">
        <f>HYPERLINK("http://exon.niaid.nih.gov/transcriptome/Anopheles_sialome/links/cluster-b/anopheline-sialome-cds-pep-larger-orf45-50SimCLU3.txt", 3)</f>
        <v>3</v>
      </c>
      <c r="BU549">
        <f>HYPERLINK("http://exon.niaid.nih.gov/transcriptome/Anopheles_sialome/links/cluster-b/anopheline-sialome-cds-pep-larger-orf45-50SimCLTL3.txt", 65)</f>
        <v>65</v>
      </c>
      <c r="BV549">
        <f>HYPERLINK("http://exon.niaid.nih.gov/transcriptome/Anopheles_sialome/links/cluster-b/anopheline-sialome-cds-pep-larger-orf50-50SimCLU27.txt", 27)</f>
        <v>27</v>
      </c>
      <c r="BW549">
        <f>HYPERLINK("http://exon.niaid.nih.gov/transcriptome/Anopheles_sialome/links/cluster-b/anopheline-sialome-cds-pep-larger-orf50-50SimCLTL27.txt", 17)</f>
        <v>17</v>
      </c>
      <c r="BX549">
        <f>HYPERLINK("http://exon.niaid.nih.gov/transcriptome/Anopheles_sialome/links/cluster-b/anopheline-sialome-cds-pep-larger-orf55-50SimCLU26.txt", 26)</f>
        <v>26</v>
      </c>
      <c r="BY549">
        <f>HYPERLINK("http://exon.niaid.nih.gov/transcriptome/Anopheles_sialome/links/cluster-b/anopheline-sialome-cds-pep-larger-orf55-50SimCLTL26.txt", 17)</f>
        <v>17</v>
      </c>
      <c r="BZ549">
        <f>HYPERLINK("http://exon.niaid.nih.gov/transcriptome/Anopheles_sialome/links/cluster-b/anopheline-sialome-cds-pep-larger-orf60-50SimCLU28.txt", 28)</f>
        <v>28</v>
      </c>
      <c r="CA549">
        <f>HYPERLINK("http://exon.niaid.nih.gov/transcriptome/Anopheles_sialome/links/cluster-b/anopheline-sialome-cds-pep-larger-orf60-50SimCLTL28.txt", 16)</f>
        <v>16</v>
      </c>
      <c r="CB549">
        <f>HYPERLINK("http://exon.niaid.nih.gov/transcriptome/Anopheles_sialome/links/cluster-b/anopheline-sialome-cds-pep-larger-orf65-50SimCLU25.txt", 25)</f>
        <v>25</v>
      </c>
      <c r="CC549">
        <f>HYPERLINK("http://exon.niaid.nih.gov/transcriptome/Anopheles_sialome/links/cluster-b/anopheline-sialome-cds-pep-larger-orf65-50SimCLTL25.txt", 16)</f>
        <v>16</v>
      </c>
      <c r="CD549">
        <f>HYPERLINK("http://exon.niaid.nih.gov/transcriptome/Anopheles_sialome/links/cluster-b/anopheline-sialome-cds-pep-larger-orf70-50SimCLU33.txt", 33)</f>
        <v>33</v>
      </c>
      <c r="CE549">
        <f>HYPERLINK("http://exon.niaid.nih.gov/transcriptome/Anopheles_sialome/links/cluster-b/anopheline-sialome-cds-pep-larger-orf70-50SimCLTL33.txt", 14)</f>
        <v>14</v>
      </c>
      <c r="CF549">
        <f>HYPERLINK("http://exon.niaid.nih.gov/transcriptome/Anopheles_sialome/links/cluster-b/anopheline-sialome-cds-pep-larger-orf75-50SimCLU31.txt", 31)</f>
        <v>31</v>
      </c>
      <c r="CG549">
        <f>HYPERLINK("http://exon.niaid.nih.gov/transcriptome/Anopheles_sialome/links/cluster-b/anopheline-sialome-cds-pep-larger-orf75-50SimCLTL31.txt", 12)</f>
        <v>12</v>
      </c>
      <c r="CH549">
        <f>HYPERLINK("http://exon.niaid.nih.gov/transcriptome/Anopheles_sialome/links/cluster-b/anopheline-sialome-cds-pep-larger-orf80-50SimCLU22.txt", 22)</f>
        <v>22</v>
      </c>
      <c r="CI549">
        <f>HYPERLINK("http://exon.niaid.nih.gov/transcriptome/Anopheles_sialome/links/cluster-b/anopheline-sialome-cds-pep-larger-orf80-50SimCLTL22.txt", 12)</f>
        <v>12</v>
      </c>
      <c r="CJ549">
        <f>HYPERLINK("http://exon.niaid.nih.gov/transcriptome/Anopheles_sialome/links/cluster-b/anopheline-sialome-cds-pep-larger-orf85-50SimCLU24.txt", 24)</f>
        <v>24</v>
      </c>
      <c r="CK549">
        <f>HYPERLINK("http://exon.niaid.nih.gov/transcriptome/Anopheles_sialome/links/cluster-b/anopheline-sialome-cds-pep-larger-orf85-50SimCLTL24.txt", 7)</f>
        <v>7</v>
      </c>
      <c r="CL549">
        <v>361</v>
      </c>
      <c r="CM549">
        <v>1</v>
      </c>
      <c r="CN549">
        <v>432</v>
      </c>
      <c r="CO549">
        <v>1</v>
      </c>
    </row>
    <row r="550" spans="1:93">
      <c r="A550" s="2" t="str">
        <f>HYPERLINK("http://exon.niaid.nih.gov/transcriptome/Anopheles_sialome/links/cds/anofun_SG1-like3-cds.txt","anofun_SG1-like3")</f>
        <v>anofun_SG1-like3</v>
      </c>
      <c r="B550">
        <v>1182</v>
      </c>
      <c r="C550" t="s">
        <v>468</v>
      </c>
      <c r="D550" t="s">
        <v>4</v>
      </c>
      <c r="E550" t="s">
        <v>5</v>
      </c>
      <c r="F550" t="s">
        <v>1</v>
      </c>
      <c r="G550" t="str">
        <f>HYPERLINK("http://exon.niaid.nih.gov/transcriptome/Anopheles_sialome/links/pep/anofun_SG1-like3-pep.txt","anofun_SG1-like3")</f>
        <v>anofun_SG1-like3</v>
      </c>
      <c r="H550">
        <v>393</v>
      </c>
      <c r="I550">
        <v>0</v>
      </c>
      <c r="J550" s="3" t="str">
        <f>HYPERLINK("http://exon.niaid.nih.gov/transcriptome/Anopheles_sialome/links/Sigp/anofun_SG1-like3-SigP.txt","SIG")</f>
        <v>SIG</v>
      </c>
      <c r="K550" t="s">
        <v>692</v>
      </c>
      <c r="L550">
        <v>45.128999999999998</v>
      </c>
      <c r="M550">
        <v>6.39</v>
      </c>
      <c r="N550">
        <v>43.03</v>
      </c>
      <c r="O550">
        <v>6.42</v>
      </c>
      <c r="P550" t="s">
        <v>1816</v>
      </c>
      <c r="Q550" s="3">
        <v>0</v>
      </c>
      <c r="R550" t="s">
        <v>128</v>
      </c>
      <c r="S550" t="s">
        <v>128</v>
      </c>
      <c r="T550" t="s">
        <v>128</v>
      </c>
      <c r="U550" t="s">
        <v>128</v>
      </c>
      <c r="V550" t="s">
        <v>128</v>
      </c>
      <c r="W550" s="3" t="str">
        <f>HYPERLINK("http://exon.niaid.nih.gov/transcriptome/Anopheles_sialome/links/netoglyc/anofun_SG1-like3-netoglyc.txt","0")</f>
        <v>0</v>
      </c>
      <c r="X550">
        <v>10.9</v>
      </c>
      <c r="Y550">
        <v>2.8</v>
      </c>
      <c r="Z550">
        <v>2.8</v>
      </c>
      <c r="AA550" t="s">
        <v>654</v>
      </c>
      <c r="AB550" t="s">
        <v>128</v>
      </c>
      <c r="AC550" s="2" t="str">
        <f>HYPERLINK("http://exon.niaid.nih.gov/transcriptome/Anopheles_sialome/links/DIPTERA/anofun_SG1-like3-DIPTERA.txt","G1 family long form salivary protein 3")</f>
        <v>G1 family long form salivary protein 3</v>
      </c>
      <c r="AD550" t="str">
        <f>HYPERLINK("http://www.ncbi.nlm.nih.gov/sutils/blink.cgi?pid=114864734","1E-148")</f>
        <v>1E-148</v>
      </c>
      <c r="AE550" t="str">
        <f>HYPERLINK("http://www.ncbi.nlm.nih.gov/protein/114864734","gi|114864734")</f>
        <v>gi|114864734</v>
      </c>
      <c r="AF550">
        <v>99</v>
      </c>
      <c r="AG550">
        <v>100</v>
      </c>
      <c r="AH550">
        <v>100</v>
      </c>
      <c r="AI550" t="s">
        <v>2266</v>
      </c>
      <c r="AJ550" s="2" t="str">
        <f>HYPERLINK("http://exon.niaid.nih.gov/transcriptome/Anopheles_sialome/links/CULICOMORPHA/anofun_SG1-like3-CULICOMORPHA.txt","G1 family long form salivary protein 3")</f>
        <v>G1 family long form salivary protein 3</v>
      </c>
      <c r="AK550" t="str">
        <f>HYPERLINK("http://www.ncbi.nlm.nih.gov/sutils/blink.cgi?pid=114864734","1E-148")</f>
        <v>1E-148</v>
      </c>
      <c r="AL550" t="str">
        <f>HYPERLINK("http://www.ncbi.nlm.nih.gov/protein/114864734","gi|114864734")</f>
        <v>gi|114864734</v>
      </c>
      <c r="AM550">
        <v>99</v>
      </c>
      <c r="AN550">
        <v>100</v>
      </c>
      <c r="AO550">
        <v>100</v>
      </c>
      <c r="AP550" t="s">
        <v>2266</v>
      </c>
      <c r="AQ550" s="2" t="str">
        <f>HYPERLINK("http://exon.niaid.nih.gov/transcriptome/Anopheles_sialome/links/NR-LIGHT/anofun_SG1-like3-NR-LIGHT.txt","G1 family long form salivary protein 3")</f>
        <v>G1 family long form salivary protein 3</v>
      </c>
      <c r="AR550" t="str">
        <f>HYPERLINK("http://www.ncbi.nlm.nih.gov/sutils/blink.cgi?pid=114864734","1E-147")</f>
        <v>1E-147</v>
      </c>
      <c r="AS550" t="str">
        <f>HYPERLINK("http://www.ncbi.nlm.nih.gov/protein/114864734","gi|114864734")</f>
        <v>gi|114864734</v>
      </c>
      <c r="AT550">
        <v>99</v>
      </c>
      <c r="AU550">
        <v>100</v>
      </c>
      <c r="AV550">
        <v>100</v>
      </c>
      <c r="AW550" t="s">
        <v>2266</v>
      </c>
      <c r="AX550" s="2" t="str">
        <f>HYPERLINK("http://exon.niaid.nih.gov/transcriptome/Anopheles_sialome/links/CDD/anofun_SG1-like3-CDD.txt","PLN03093")</f>
        <v>PLN03093</v>
      </c>
      <c r="AY550" t="str">
        <f>HYPERLINK("http://www.ncbi.nlm.nih.gov/Structure/cdd/cddsrv.cgi?uid=PLN03093&amp;version=v4.0","1.3")</f>
        <v>1.3</v>
      </c>
      <c r="AZ550" t="s">
        <v>2937</v>
      </c>
      <c r="BA550" s="2" t="str">
        <f>HYPERLINK("http://exon.niaid.nih.gov/transcriptome/Anopheles_sialome/links/KOG/anofun_SG1-like3-KOG.txt","Rho-associated, coiled-coil containing protein kinase")</f>
        <v>Rho-associated, coiled-coil containing protein kinase</v>
      </c>
      <c r="BB550" t="str">
        <f>HYPERLINK("http://www.ncbi.nlm.nih.gov/Structure/cdd/cddsrv.cgi?uid=KOG0612","1.2")</f>
        <v>1.2</v>
      </c>
      <c r="BC550" t="s">
        <v>2292</v>
      </c>
      <c r="BD550" t="str">
        <f>HYPERLINK("http://exon.niaid.nih.gov/transcriptome/Anopheles_sialome/links/KOG/anofun_SG1-like3-KOG.txt","KOG0612")</f>
        <v>KOG0612</v>
      </c>
      <c r="BE550" t="str">
        <f>HYPERLINK("http://exon.niaid.nih.gov/transcriptome/Anopheles_sialome/links/PFAM/anofun_SG1-like3-PFAM.txt","APG6")</f>
        <v>APG6</v>
      </c>
      <c r="BF550" t="str">
        <f>HYPERLINK("http://pfam.sanger.ac.uk/family?acc=PF04111","0.49")</f>
        <v>0.49</v>
      </c>
      <c r="BG550" s="2" t="str">
        <f>HYPERLINK("http://exon.niaid.nih.gov/transcriptome/Anopheles_sialome/links/SMART/anofun_SG1-like3-SMART.txt","WNT1")</f>
        <v>WNT1</v>
      </c>
      <c r="BH550" t="str">
        <f>HYPERLINK("http://smart.embl-heidelberg.de/smart/do_annotation.pl?DOMAIN=WNT1&amp;BLAST=DUMMY","0.50")</f>
        <v>0.50</v>
      </c>
      <c r="BI550" t="str">
        <f>HYPERLINK("http://exon.niaid.nih.gov/transcriptome/Anopheles_sialome/links/TICK-BLOCKS/anofun_SG1-like3-TICK-BLOCKS.txt","SG1_full |SG1_stringent_pattern |")</f>
        <v>SG1_full |SG1_stringent_pattern |</v>
      </c>
      <c r="BJ550" s="2" t="s">
        <v>2423</v>
      </c>
      <c r="BK550" t="s">
        <v>1862</v>
      </c>
      <c r="BL550">
        <f>HYPERLINK("http://exon.niaid.nih.gov/transcriptome/Anopheles_sialome/links/cluster-b/anopheline-sialome-cds-pep-larger-orf25-50SimCLU3.txt", 3)</f>
        <v>3</v>
      </c>
      <c r="BM550">
        <f>HYPERLINK("http://exon.niaid.nih.gov/transcriptome/Anopheles_sialome/links/cluster-b/anopheline-sialome-cds-pep-larger-orf25-50SimCLTL3.txt", 119)</f>
        <v>119</v>
      </c>
      <c r="BN550">
        <f>HYPERLINK("http://exon.niaid.nih.gov/transcriptome/Anopheles_sialome/links/cluster-b/anopheline-sialome-cds-pep-larger-orf30-50SimCLU3.txt", 3)</f>
        <v>3</v>
      </c>
      <c r="BO550">
        <f>HYPERLINK("http://exon.niaid.nih.gov/transcriptome/Anopheles_sialome/links/cluster-b/anopheline-sialome-cds-pep-larger-orf30-50SimCLTL3.txt", 119)</f>
        <v>119</v>
      </c>
      <c r="BP550">
        <f>HYPERLINK("http://exon.niaid.nih.gov/transcriptome/Anopheles_sialome/links/cluster-b/anopheline-sialome-cds-pep-larger-orf35-50SimCLU2.txt", 2)</f>
        <v>2</v>
      </c>
      <c r="BQ550">
        <f>HYPERLINK("http://exon.niaid.nih.gov/transcriptome/Anopheles_sialome/links/cluster-b/anopheline-sialome-cds-pep-larger-orf35-50SimCLTL2.txt", 119)</f>
        <v>119</v>
      </c>
      <c r="BR550">
        <f>HYPERLINK("http://exon.niaid.nih.gov/transcriptome/Anopheles_sialome/links/cluster-b/anopheline-sialome-cds-pep-larger-orf40-50SimCLU1.txt", 1)</f>
        <v>1</v>
      </c>
      <c r="BS550">
        <f>HYPERLINK("http://exon.niaid.nih.gov/transcriptome/Anopheles_sialome/links/cluster-b/anopheline-sialome-cds-pep-larger-orf40-50SimCLTL1.txt", 119)</f>
        <v>119</v>
      </c>
      <c r="BT550">
        <f>HYPERLINK("http://exon.niaid.nih.gov/transcriptome/Anopheles_sialome/links/cluster-b/anopheline-sialome-cds-pep-larger-orf45-50SimCLU3.txt", 3)</f>
        <v>3</v>
      </c>
      <c r="BU550">
        <f>HYPERLINK("http://exon.niaid.nih.gov/transcriptome/Anopheles_sialome/links/cluster-b/anopheline-sialome-cds-pep-larger-orf45-50SimCLTL3.txt", 65)</f>
        <v>65</v>
      </c>
      <c r="BV550">
        <f>HYPERLINK("http://exon.niaid.nih.gov/transcriptome/Anopheles_sialome/links/cluster-b/anopheline-sialome-cds-pep-larger-orf50-50SimCLU27.txt", 27)</f>
        <v>27</v>
      </c>
      <c r="BW550">
        <f>HYPERLINK("http://exon.niaid.nih.gov/transcriptome/Anopheles_sialome/links/cluster-b/anopheline-sialome-cds-pep-larger-orf50-50SimCLTL27.txt", 17)</f>
        <v>17</v>
      </c>
      <c r="BX550">
        <f>HYPERLINK("http://exon.niaid.nih.gov/transcriptome/Anopheles_sialome/links/cluster-b/anopheline-sialome-cds-pep-larger-orf55-50SimCLU26.txt", 26)</f>
        <v>26</v>
      </c>
      <c r="BY550">
        <f>HYPERLINK("http://exon.niaid.nih.gov/transcriptome/Anopheles_sialome/links/cluster-b/anopheline-sialome-cds-pep-larger-orf55-50SimCLTL26.txt", 17)</f>
        <v>17</v>
      </c>
      <c r="BZ550">
        <f>HYPERLINK("http://exon.niaid.nih.gov/transcriptome/Anopheles_sialome/links/cluster-b/anopheline-sialome-cds-pep-larger-orf60-50SimCLU28.txt", 28)</f>
        <v>28</v>
      </c>
      <c r="CA550">
        <f>HYPERLINK("http://exon.niaid.nih.gov/transcriptome/Anopheles_sialome/links/cluster-b/anopheline-sialome-cds-pep-larger-orf60-50SimCLTL28.txt", 16)</f>
        <v>16</v>
      </c>
      <c r="CB550">
        <f>HYPERLINK("http://exon.niaid.nih.gov/transcriptome/Anopheles_sialome/links/cluster-b/anopheline-sialome-cds-pep-larger-orf65-50SimCLU25.txt", 25)</f>
        <v>25</v>
      </c>
      <c r="CC550">
        <f>HYPERLINK("http://exon.niaid.nih.gov/transcriptome/Anopheles_sialome/links/cluster-b/anopheline-sialome-cds-pep-larger-orf65-50SimCLTL25.txt", 16)</f>
        <v>16</v>
      </c>
      <c r="CD550">
        <f>HYPERLINK("http://exon.niaid.nih.gov/transcriptome/Anopheles_sialome/links/cluster-b/anopheline-sialome-cds-pep-larger-orf70-50SimCLU33.txt", 33)</f>
        <v>33</v>
      </c>
      <c r="CE550">
        <f>HYPERLINK("http://exon.niaid.nih.gov/transcriptome/Anopheles_sialome/links/cluster-b/anopheline-sialome-cds-pep-larger-orf70-50SimCLTL33.txt", 14)</f>
        <v>14</v>
      </c>
      <c r="CF550">
        <f>HYPERLINK("http://exon.niaid.nih.gov/transcriptome/Anopheles_sialome/links/cluster-b/anopheline-sialome-cds-pep-larger-orf75-50SimCLU31.txt", 31)</f>
        <v>31</v>
      </c>
      <c r="CG550">
        <f>HYPERLINK("http://exon.niaid.nih.gov/transcriptome/Anopheles_sialome/links/cluster-b/anopheline-sialome-cds-pep-larger-orf75-50SimCLTL31.txt", 12)</f>
        <v>12</v>
      </c>
      <c r="CH550">
        <f>HYPERLINK("http://exon.niaid.nih.gov/transcriptome/Anopheles_sialome/links/cluster-b/anopheline-sialome-cds-pep-larger-orf80-50SimCLU22.txt", 22)</f>
        <v>22</v>
      </c>
      <c r="CI550">
        <f>HYPERLINK("http://exon.niaid.nih.gov/transcriptome/Anopheles_sialome/links/cluster-b/anopheline-sialome-cds-pep-larger-orf80-50SimCLTL22.txt", 12)</f>
        <v>12</v>
      </c>
      <c r="CJ550">
        <f>HYPERLINK("http://exon.niaid.nih.gov/transcriptome/Anopheles_sialome/links/cluster-b/anopheline-sialome-cds-pep-larger-orf85-50SimCLU48.txt", 48)</f>
        <v>48</v>
      </c>
      <c r="CK550">
        <f>HYPERLINK("http://exon.niaid.nih.gov/transcriptome/Anopheles_sialome/links/cluster-b/anopheline-sialome-cds-pep-larger-orf85-50SimCLTL48.txt", 5)</f>
        <v>5</v>
      </c>
      <c r="CL550">
        <v>362</v>
      </c>
      <c r="CM550">
        <v>1</v>
      </c>
      <c r="CN550">
        <v>433</v>
      </c>
      <c r="CO550">
        <v>1</v>
      </c>
    </row>
    <row r="551" spans="1:93">
      <c r="A551" s="2" t="str">
        <f>HYPERLINK("http://exon.niaid.nih.gov/transcriptome/Anopheles_sialome/links/cds/anomin_SG1-like3-cds.txt","anomin_SG1-like3")</f>
        <v>anomin_SG1-like3</v>
      </c>
      <c r="B551">
        <v>1191</v>
      </c>
      <c r="C551" t="s">
        <v>469</v>
      </c>
      <c r="D551" t="s">
        <v>4</v>
      </c>
      <c r="E551" t="s">
        <v>5</v>
      </c>
      <c r="F551" t="s">
        <v>1</v>
      </c>
      <c r="G551" t="str">
        <f>HYPERLINK("http://exon.niaid.nih.gov/transcriptome/Anopheles_sialome/links/pep/anomin_SG1-like3-pep.txt","anomin_SG1-like3")</f>
        <v>anomin_SG1-like3</v>
      </c>
      <c r="H551">
        <v>396</v>
      </c>
      <c r="I551">
        <v>0</v>
      </c>
      <c r="J551" s="3" t="str">
        <f>HYPERLINK("http://exon.niaid.nih.gov/transcriptome/Anopheles_sialome/links/Sigp/anomin_SG1-like3-SigP.txt","SIG")</f>
        <v>SIG</v>
      </c>
      <c r="K551" t="s">
        <v>692</v>
      </c>
      <c r="L551">
        <v>45.613999999999997</v>
      </c>
      <c r="M551">
        <v>6.11</v>
      </c>
      <c r="N551">
        <v>43.570999999999998</v>
      </c>
      <c r="O551">
        <v>6.12</v>
      </c>
      <c r="P551" t="s">
        <v>955</v>
      </c>
      <c r="Q551" s="3">
        <v>0</v>
      </c>
      <c r="R551" t="s">
        <v>128</v>
      </c>
      <c r="S551" t="s">
        <v>128</v>
      </c>
      <c r="T551" t="s">
        <v>128</v>
      </c>
      <c r="U551" t="s">
        <v>128</v>
      </c>
      <c r="V551" t="s">
        <v>128</v>
      </c>
      <c r="W551" s="3" t="str">
        <f>HYPERLINK("http://exon.niaid.nih.gov/transcriptome/Anopheles_sialome/links/netoglyc/anomin_SG1-like3-netoglyc.txt","0")</f>
        <v>0</v>
      </c>
      <c r="X551">
        <v>9.8000000000000007</v>
      </c>
      <c r="Y551">
        <v>2.8</v>
      </c>
      <c r="Z551">
        <v>3.5</v>
      </c>
      <c r="AA551" t="s">
        <v>654</v>
      </c>
      <c r="AB551" t="s">
        <v>128</v>
      </c>
      <c r="AC551" s="2" t="str">
        <f>HYPERLINK("http://exon.niaid.nih.gov/transcriptome/Anopheles_sialome/links/DIPTERA/anomin_SG1-like3-DIPTERA.txt","AGAP000607-PA")</f>
        <v>AGAP000607-PA</v>
      </c>
      <c r="AD551" t="str">
        <f>HYPERLINK("http://www.ncbi.nlm.nih.gov/sutils/blink.cgi?pid=333466868","1E-139")</f>
        <v>1E-139</v>
      </c>
      <c r="AE551" t="str">
        <f t="shared" ref="AE551" si="183">HYPERLINK("http://www.ncbi.nlm.nih.gov/protein/333466868","gi|333466868")</f>
        <v>gi|333466868</v>
      </c>
      <c r="AF551">
        <v>62</v>
      </c>
      <c r="AG551">
        <v>77</v>
      </c>
      <c r="AH551">
        <v>100</v>
      </c>
      <c r="AI551" t="s">
        <v>2285</v>
      </c>
      <c r="AJ551" s="2" t="str">
        <f>HYPERLINK("http://exon.niaid.nih.gov/transcriptome/Anopheles_sialome/links/CULICOMORPHA/anomin_SG1-like3-CULICOMORPHA.txt","AGAP000607-PA")</f>
        <v>AGAP000607-PA</v>
      </c>
      <c r="AK551" t="str">
        <f>HYPERLINK("http://www.ncbi.nlm.nih.gov/sutils/blink.cgi?pid=333466868","1E-140")</f>
        <v>1E-140</v>
      </c>
      <c r="AL551" t="str">
        <f t="shared" ref="AL551" si="184">HYPERLINK("http://www.ncbi.nlm.nih.gov/protein/333466868","gi|333466868")</f>
        <v>gi|333466868</v>
      </c>
      <c r="AM551">
        <v>62</v>
      </c>
      <c r="AN551">
        <v>77</v>
      </c>
      <c r="AO551">
        <v>100</v>
      </c>
      <c r="AP551" t="s">
        <v>2285</v>
      </c>
      <c r="AQ551" s="2" t="str">
        <f>HYPERLINK("http://exon.niaid.nih.gov/transcriptome/Anopheles_sialome/links/NR-LIGHT/anomin_SG1-like3-NR-LIGHT.txt","AGAP000607-PA")</f>
        <v>AGAP000607-PA</v>
      </c>
      <c r="AR551" t="str">
        <f>HYPERLINK("http://www.ncbi.nlm.nih.gov/sutils/blink.cgi?pid=347964146","1E-138")</f>
        <v>1E-138</v>
      </c>
      <c r="AS551" t="str">
        <f t="shared" ref="AS551" si="185">HYPERLINK("http://www.ncbi.nlm.nih.gov/protein/347964146","gi|347964146")</f>
        <v>gi|347964146</v>
      </c>
      <c r="AT551">
        <v>62</v>
      </c>
      <c r="AU551">
        <v>77</v>
      </c>
      <c r="AV551">
        <v>100</v>
      </c>
      <c r="AW551" t="s">
        <v>2285</v>
      </c>
      <c r="AX551" s="2" t="str">
        <f>HYPERLINK("http://exon.niaid.nih.gov/transcriptome/Anopheles_sialome/links/CDD/anomin_SG1-like3-CDD.txt","PutA")</f>
        <v>PutA</v>
      </c>
      <c r="AY551" t="str">
        <f>HYPERLINK("http://www.ncbi.nlm.nih.gov/Structure/cdd/cddsrv.cgi?uid=COG1012&amp;version=v4.0","0.25")</f>
        <v>0.25</v>
      </c>
      <c r="AZ551" t="s">
        <v>2938</v>
      </c>
      <c r="BA551" s="2" t="str">
        <f>HYPERLINK("http://exon.niaid.nih.gov/transcriptome/Anopheles_sialome/links/KOG/anomin_SG1-like3-KOG.txt","Histone deacetylase complex, catalytic component HDA1")</f>
        <v>Histone deacetylase complex, catalytic component HDA1</v>
      </c>
      <c r="BB551" t="str">
        <f>HYPERLINK("http://www.ncbi.nlm.nih.gov/Structure/cdd/cddsrv.cgi?uid=KOG1343","0.024")</f>
        <v>0.024</v>
      </c>
      <c r="BC551" t="s">
        <v>2444</v>
      </c>
      <c r="BD551" t="str">
        <f>HYPERLINK("http://exon.niaid.nih.gov/transcriptome/Anopheles_sialome/links/KOG/anomin_SG1-like3-KOG.txt","KOG1343")</f>
        <v>KOG1343</v>
      </c>
      <c r="BE551" t="str">
        <f>HYPERLINK("http://exon.niaid.nih.gov/transcriptome/Anopheles_sialome/links/PFAM/anomin_SG1-like3-PFAM.txt","Bac_DnaA")</f>
        <v>Bac_DnaA</v>
      </c>
      <c r="BF551" t="str">
        <f>HYPERLINK("http://pfam.sanger.ac.uk/family?acc=PF00308","0.19")</f>
        <v>0.19</v>
      </c>
      <c r="BG551" s="2" t="str">
        <f>HYPERLINK("http://exon.niaid.nih.gov/transcriptome/Anopheles_sialome/links/SMART/anomin_SG1-like3-SMART.txt","HOLI")</f>
        <v>HOLI</v>
      </c>
      <c r="BH551" t="str">
        <f>HYPERLINK("http://smart.embl-heidelberg.de/smart/do_annotation.pl?DOMAIN=HOLI&amp;BLAST=DUMMY","3.5")</f>
        <v>3.5</v>
      </c>
      <c r="BI551" t="str">
        <f>HYPERLINK("http://exon.niaid.nih.gov/transcriptome/Anopheles_sialome/links/TICK-BLOCKS/anomin_SG1-like3-TICK-BLOCKS.txt","SG1_full |SG1_stringent_pattern |")</f>
        <v>SG1_full |SG1_stringent_pattern |</v>
      </c>
      <c r="BJ551" s="2" t="s">
        <v>2423</v>
      </c>
      <c r="BK551" t="s">
        <v>1863</v>
      </c>
      <c r="BL551">
        <f>HYPERLINK("http://exon.niaid.nih.gov/transcriptome/Anopheles_sialome/links/cluster-b/anopheline-sialome-cds-pep-larger-orf25-50SimCLU3.txt", 3)</f>
        <v>3</v>
      </c>
      <c r="BM551">
        <f>HYPERLINK("http://exon.niaid.nih.gov/transcriptome/Anopheles_sialome/links/cluster-b/anopheline-sialome-cds-pep-larger-orf25-50SimCLTL3.txt", 119)</f>
        <v>119</v>
      </c>
      <c r="BN551">
        <f>HYPERLINK("http://exon.niaid.nih.gov/transcriptome/Anopheles_sialome/links/cluster-b/anopheline-sialome-cds-pep-larger-orf30-50SimCLU3.txt", 3)</f>
        <v>3</v>
      </c>
      <c r="BO551">
        <f>HYPERLINK("http://exon.niaid.nih.gov/transcriptome/Anopheles_sialome/links/cluster-b/anopheline-sialome-cds-pep-larger-orf30-50SimCLTL3.txt", 119)</f>
        <v>119</v>
      </c>
      <c r="BP551">
        <f>HYPERLINK("http://exon.niaid.nih.gov/transcriptome/Anopheles_sialome/links/cluster-b/anopheline-sialome-cds-pep-larger-orf35-50SimCLU2.txt", 2)</f>
        <v>2</v>
      </c>
      <c r="BQ551">
        <f>HYPERLINK("http://exon.niaid.nih.gov/transcriptome/Anopheles_sialome/links/cluster-b/anopheline-sialome-cds-pep-larger-orf35-50SimCLTL2.txt", 119)</f>
        <v>119</v>
      </c>
      <c r="BR551">
        <f>HYPERLINK("http://exon.niaid.nih.gov/transcriptome/Anopheles_sialome/links/cluster-b/anopheline-sialome-cds-pep-larger-orf40-50SimCLU1.txt", 1)</f>
        <v>1</v>
      </c>
      <c r="BS551">
        <f>HYPERLINK("http://exon.niaid.nih.gov/transcriptome/Anopheles_sialome/links/cluster-b/anopheline-sialome-cds-pep-larger-orf40-50SimCLTL1.txt", 119)</f>
        <v>119</v>
      </c>
      <c r="BT551">
        <f>HYPERLINK("http://exon.niaid.nih.gov/transcriptome/Anopheles_sialome/links/cluster-b/anopheline-sialome-cds-pep-larger-orf45-50SimCLU3.txt", 3)</f>
        <v>3</v>
      </c>
      <c r="BU551">
        <f>HYPERLINK("http://exon.niaid.nih.gov/transcriptome/Anopheles_sialome/links/cluster-b/anopheline-sialome-cds-pep-larger-orf45-50SimCLTL3.txt", 65)</f>
        <v>65</v>
      </c>
      <c r="BV551">
        <f>HYPERLINK("http://exon.niaid.nih.gov/transcriptome/Anopheles_sialome/links/cluster-b/anopheline-sialome-cds-pep-larger-orf50-50SimCLU27.txt", 27)</f>
        <v>27</v>
      </c>
      <c r="BW551">
        <f>HYPERLINK("http://exon.niaid.nih.gov/transcriptome/Anopheles_sialome/links/cluster-b/anopheline-sialome-cds-pep-larger-orf50-50SimCLTL27.txt", 17)</f>
        <v>17</v>
      </c>
      <c r="BX551">
        <f>HYPERLINK("http://exon.niaid.nih.gov/transcriptome/Anopheles_sialome/links/cluster-b/anopheline-sialome-cds-pep-larger-orf55-50SimCLU26.txt", 26)</f>
        <v>26</v>
      </c>
      <c r="BY551">
        <f>HYPERLINK("http://exon.niaid.nih.gov/transcriptome/Anopheles_sialome/links/cluster-b/anopheline-sialome-cds-pep-larger-orf55-50SimCLTL26.txt", 17)</f>
        <v>17</v>
      </c>
      <c r="BZ551">
        <f>HYPERLINK("http://exon.niaid.nih.gov/transcriptome/Anopheles_sialome/links/cluster-b/anopheline-sialome-cds-pep-larger-orf60-50SimCLU28.txt", 28)</f>
        <v>28</v>
      </c>
      <c r="CA551">
        <f>HYPERLINK("http://exon.niaid.nih.gov/transcriptome/Anopheles_sialome/links/cluster-b/anopheline-sialome-cds-pep-larger-orf60-50SimCLTL28.txt", 16)</f>
        <v>16</v>
      </c>
      <c r="CB551">
        <f>HYPERLINK("http://exon.niaid.nih.gov/transcriptome/Anopheles_sialome/links/cluster-b/anopheline-sialome-cds-pep-larger-orf65-50SimCLU25.txt", 25)</f>
        <v>25</v>
      </c>
      <c r="CC551">
        <f>HYPERLINK("http://exon.niaid.nih.gov/transcriptome/Anopheles_sialome/links/cluster-b/anopheline-sialome-cds-pep-larger-orf65-50SimCLTL25.txt", 16)</f>
        <v>16</v>
      </c>
      <c r="CD551">
        <f>HYPERLINK("http://exon.niaid.nih.gov/transcriptome/Anopheles_sialome/links/cluster-b/anopheline-sialome-cds-pep-larger-orf70-50SimCLU33.txt", 33)</f>
        <v>33</v>
      </c>
      <c r="CE551">
        <f>HYPERLINK("http://exon.niaid.nih.gov/transcriptome/Anopheles_sialome/links/cluster-b/anopheline-sialome-cds-pep-larger-orf70-50SimCLTL33.txt", 14)</f>
        <v>14</v>
      </c>
      <c r="CF551">
        <f>HYPERLINK("http://exon.niaid.nih.gov/transcriptome/Anopheles_sialome/links/cluster-b/anopheline-sialome-cds-pep-larger-orf75-50SimCLU31.txt", 31)</f>
        <v>31</v>
      </c>
      <c r="CG551">
        <f>HYPERLINK("http://exon.niaid.nih.gov/transcriptome/Anopheles_sialome/links/cluster-b/anopheline-sialome-cds-pep-larger-orf75-50SimCLTL31.txt", 12)</f>
        <v>12</v>
      </c>
      <c r="CH551">
        <f>HYPERLINK("http://exon.niaid.nih.gov/transcriptome/Anopheles_sialome/links/cluster-b/anopheline-sialome-cds-pep-larger-orf80-50SimCLU22.txt", 22)</f>
        <v>22</v>
      </c>
      <c r="CI551">
        <f>HYPERLINK("http://exon.niaid.nih.gov/transcriptome/Anopheles_sialome/links/cluster-b/anopheline-sialome-cds-pep-larger-orf80-50SimCLTL22.txt", 12)</f>
        <v>12</v>
      </c>
      <c r="CJ551">
        <f>HYPERLINK("http://exon.niaid.nih.gov/transcriptome/Anopheles_sialome/links/cluster-b/anopheline-sialome-cds-pep-larger-orf85-50SimCLU48.txt", 48)</f>
        <v>48</v>
      </c>
      <c r="CK551">
        <f>HYPERLINK("http://exon.niaid.nih.gov/transcriptome/Anopheles_sialome/links/cluster-b/anopheline-sialome-cds-pep-larger-orf85-50SimCLTL48.txt", 5)</f>
        <v>5</v>
      </c>
      <c r="CL551">
        <f>HYPERLINK("http://exon.niaid.nih.gov/transcriptome/Anopheles_sialome/links/cluster-b/anopheline-sialome-cds-pep-larger-orf90-50SimCLU82.txt", 82)</f>
        <v>82</v>
      </c>
      <c r="CM551">
        <f>HYPERLINK("http://exon.niaid.nih.gov/transcriptome/Anopheles_sialome/links/cluster-b/anopheline-sialome-cds-pep-larger-orf90-50SimCLTL82.txt", 2)</f>
        <v>2</v>
      </c>
      <c r="CN551">
        <v>434</v>
      </c>
      <c r="CO551">
        <v>1</v>
      </c>
    </row>
    <row r="552" spans="1:93">
      <c r="A552" s="2" t="str">
        <f>HYPERLINK("http://exon.niaid.nih.gov/transcriptome/Anopheles_sialome/links/cds/anocul_SG1-like3-cds.txt","anocul_SG1-like3")</f>
        <v>anocul_SG1-like3</v>
      </c>
      <c r="B552">
        <v>1188</v>
      </c>
      <c r="C552" t="s">
        <v>470</v>
      </c>
      <c r="D552" t="s">
        <v>7</v>
      </c>
      <c r="E552" t="s">
        <v>5</v>
      </c>
      <c r="F552" t="s">
        <v>1</v>
      </c>
      <c r="G552" t="str">
        <f>HYPERLINK("http://exon.niaid.nih.gov/transcriptome/Anopheles_sialome/links/pep/anocul_SG1-like3-pep.txt","anocul_SG1-like3")</f>
        <v>anocul_SG1-like3</v>
      </c>
      <c r="H552">
        <v>395</v>
      </c>
      <c r="I552">
        <v>0</v>
      </c>
      <c r="J552" s="3" t="str">
        <f>HYPERLINK("http://exon.niaid.nih.gov/transcriptome/Anopheles_sialome/links/Sigp/anocul_SG1-like3-SigP.txt","SIG")</f>
        <v>SIG</v>
      </c>
      <c r="K552" t="s">
        <v>692</v>
      </c>
      <c r="L552">
        <v>45.383000000000003</v>
      </c>
      <c r="M552">
        <v>6.81</v>
      </c>
      <c r="N552">
        <v>43.302</v>
      </c>
      <c r="O552">
        <v>6.88</v>
      </c>
      <c r="P552" t="s">
        <v>1394</v>
      </c>
      <c r="Q552" s="3">
        <v>0</v>
      </c>
      <c r="R552" t="s">
        <v>128</v>
      </c>
      <c r="S552" t="s">
        <v>128</v>
      </c>
      <c r="T552" t="s">
        <v>128</v>
      </c>
      <c r="U552" t="s">
        <v>128</v>
      </c>
      <c r="V552" t="s">
        <v>128</v>
      </c>
      <c r="W552" s="3" t="str">
        <f>HYPERLINK("http://exon.niaid.nih.gov/transcriptome/Anopheles_sialome/links/netoglyc/anocul_SG1-like3-netoglyc.txt","0")</f>
        <v>0</v>
      </c>
      <c r="X552">
        <v>9.1</v>
      </c>
      <c r="Y552">
        <v>2.8</v>
      </c>
      <c r="Z552">
        <v>3</v>
      </c>
      <c r="AA552" t="s">
        <v>654</v>
      </c>
      <c r="AB552" t="s">
        <v>128</v>
      </c>
      <c r="AC552" s="2" t="str">
        <f>HYPERLINK("http://exon.niaid.nih.gov/transcriptome/Anopheles_sialome/links/DIPTERA/anocul_SG1-like3-DIPTERA.txt","AGAP000607-PA")</f>
        <v>AGAP000607-PA</v>
      </c>
      <c r="AD552" t="str">
        <f>HYPERLINK("http://www.ncbi.nlm.nih.gov/sutils/blink.cgi?pid=333466868","1E-140")</f>
        <v>1E-140</v>
      </c>
      <c r="AE552" t="str">
        <f>HYPERLINK("http://www.ncbi.nlm.nih.gov/protein/333466868","gi|333466868")</f>
        <v>gi|333466868</v>
      </c>
      <c r="AF552">
        <v>62</v>
      </c>
      <c r="AG552">
        <v>78</v>
      </c>
      <c r="AH552">
        <v>100</v>
      </c>
      <c r="AI552" t="s">
        <v>2285</v>
      </c>
      <c r="AJ552" s="2" t="str">
        <f>HYPERLINK("http://exon.niaid.nih.gov/transcriptome/Anopheles_sialome/links/CULICOMORPHA/anocul_SG1-like3-CULICOMORPHA.txt","AGAP000607-PA")</f>
        <v>AGAP000607-PA</v>
      </c>
      <c r="AK552" t="str">
        <f>HYPERLINK("http://www.ncbi.nlm.nih.gov/sutils/blink.cgi?pid=333466868","1E-140")</f>
        <v>1E-140</v>
      </c>
      <c r="AL552" t="str">
        <f>HYPERLINK("http://www.ncbi.nlm.nih.gov/protein/333466868","gi|333466868")</f>
        <v>gi|333466868</v>
      </c>
      <c r="AM552">
        <v>62</v>
      </c>
      <c r="AN552">
        <v>78</v>
      </c>
      <c r="AO552">
        <v>100</v>
      </c>
      <c r="AP552" t="s">
        <v>2285</v>
      </c>
      <c r="AQ552" s="2" t="str">
        <f>HYPERLINK("http://exon.niaid.nih.gov/transcriptome/Anopheles_sialome/links/NR-LIGHT/anocul_SG1-like3-NR-LIGHT.txt","AGAP000607-PA")</f>
        <v>AGAP000607-PA</v>
      </c>
      <c r="AR552" t="str">
        <f>HYPERLINK("http://www.ncbi.nlm.nih.gov/sutils/blink.cgi?pid=347964146","1E-139")</f>
        <v>1E-139</v>
      </c>
      <c r="AS552" t="str">
        <f>HYPERLINK("http://www.ncbi.nlm.nih.gov/protein/347964146","gi|347964146")</f>
        <v>gi|347964146</v>
      </c>
      <c r="AT552">
        <v>62</v>
      </c>
      <c r="AU552">
        <v>78</v>
      </c>
      <c r="AV552">
        <v>100</v>
      </c>
      <c r="AW552" t="s">
        <v>2285</v>
      </c>
      <c r="AX552" s="2" t="str">
        <f>HYPERLINK("http://exon.niaid.nih.gov/transcriptome/Anopheles_sialome/links/CDD/anocul_SG1-like3-CDD.txt","KR_2_SDR_x")</f>
        <v>KR_2_SDR_x</v>
      </c>
      <c r="AY552" t="str">
        <f>HYPERLINK("http://www.ncbi.nlm.nih.gov/Structure/cdd/cddsrv.cgi?uid=cd08953&amp;version=v4.0","0.77")</f>
        <v>0.77</v>
      </c>
      <c r="AZ552" t="s">
        <v>2939</v>
      </c>
      <c r="BA552" s="2" t="str">
        <f>HYPERLINK("http://exon.niaid.nih.gov/transcriptome/Anopheles_sialome/links/KOG/anocul_SG1-like3-KOG.txt","L-fucose kinase")</f>
        <v>L-fucose kinase</v>
      </c>
      <c r="BB552" t="str">
        <f>HYPERLINK("http://www.ncbi.nlm.nih.gov/Structure/cdd/cddsrv.cgi?uid=KOG4644","1.1")</f>
        <v>1.1</v>
      </c>
      <c r="BC552" t="s">
        <v>2308</v>
      </c>
      <c r="BD552" t="str">
        <f>HYPERLINK("http://exon.niaid.nih.gov/transcriptome/Anopheles_sialome/links/KOG/anocul_SG1-like3-KOG.txt","KOG4644")</f>
        <v>KOG4644</v>
      </c>
      <c r="BE552" t="str">
        <f>HYPERLINK("http://exon.niaid.nih.gov/transcriptome/Anopheles_sialome/links/PFAM/anocul_SG1-like3-PFAM.txt","Glyco_hydro_38")</f>
        <v>Glyco_hydro_38</v>
      </c>
      <c r="BF552" t="str">
        <f>HYPERLINK("http://pfam.sanger.ac.uk/family?acc=PF01074","0.29")</f>
        <v>0.29</v>
      </c>
      <c r="BG552" s="2" t="str">
        <f>HYPERLINK("http://exon.niaid.nih.gov/transcriptome/Anopheles_sialome/links/SMART/anocul_SG1-like3-SMART.txt","TRCF")</f>
        <v>TRCF</v>
      </c>
      <c r="BH552" t="str">
        <f>HYPERLINK("http://smart.embl-heidelberg.de/smart/do_annotation.pl?DOMAIN=TRCF&amp;BLAST=DUMMY","1.6")</f>
        <v>1.6</v>
      </c>
      <c r="BI552" t="str">
        <f>HYPERLINK("http://exon.niaid.nih.gov/transcriptome/Anopheles_sialome/links/TICK-BLOCKS/anocul_SG1-like3-TICK-BLOCKS.txt","SG1_full |SG1_stringent_pattern |")</f>
        <v>SG1_full |SG1_stringent_pattern |</v>
      </c>
      <c r="BJ552" s="2" t="s">
        <v>2423</v>
      </c>
      <c r="BK552" t="s">
        <v>1864</v>
      </c>
      <c r="BL552">
        <f>HYPERLINK("http://exon.niaid.nih.gov/transcriptome/Anopheles_sialome/links/cluster-b/anopheline-sialome-cds-pep-larger-orf25-50SimCLU3.txt", 3)</f>
        <v>3</v>
      </c>
      <c r="BM552">
        <f>HYPERLINK("http://exon.niaid.nih.gov/transcriptome/Anopheles_sialome/links/cluster-b/anopheline-sialome-cds-pep-larger-orf25-50SimCLTL3.txt", 119)</f>
        <v>119</v>
      </c>
      <c r="BN552">
        <f>HYPERLINK("http://exon.niaid.nih.gov/transcriptome/Anopheles_sialome/links/cluster-b/anopheline-sialome-cds-pep-larger-orf30-50SimCLU3.txt", 3)</f>
        <v>3</v>
      </c>
      <c r="BO552">
        <f>HYPERLINK("http://exon.niaid.nih.gov/transcriptome/Anopheles_sialome/links/cluster-b/anopheline-sialome-cds-pep-larger-orf30-50SimCLTL3.txt", 119)</f>
        <v>119</v>
      </c>
      <c r="BP552">
        <f>HYPERLINK("http://exon.niaid.nih.gov/transcriptome/Anopheles_sialome/links/cluster-b/anopheline-sialome-cds-pep-larger-orf35-50SimCLU2.txt", 2)</f>
        <v>2</v>
      </c>
      <c r="BQ552">
        <f>HYPERLINK("http://exon.niaid.nih.gov/transcriptome/Anopheles_sialome/links/cluster-b/anopheline-sialome-cds-pep-larger-orf35-50SimCLTL2.txt", 119)</f>
        <v>119</v>
      </c>
      <c r="BR552">
        <f>HYPERLINK("http://exon.niaid.nih.gov/transcriptome/Anopheles_sialome/links/cluster-b/anopheline-sialome-cds-pep-larger-orf40-50SimCLU1.txt", 1)</f>
        <v>1</v>
      </c>
      <c r="BS552">
        <f>HYPERLINK("http://exon.niaid.nih.gov/transcriptome/Anopheles_sialome/links/cluster-b/anopheline-sialome-cds-pep-larger-orf40-50SimCLTL1.txt", 119)</f>
        <v>119</v>
      </c>
      <c r="BT552">
        <f>HYPERLINK("http://exon.niaid.nih.gov/transcriptome/Anopheles_sialome/links/cluster-b/anopheline-sialome-cds-pep-larger-orf45-50SimCLU3.txt", 3)</f>
        <v>3</v>
      </c>
      <c r="BU552">
        <f>HYPERLINK("http://exon.niaid.nih.gov/transcriptome/Anopheles_sialome/links/cluster-b/anopheline-sialome-cds-pep-larger-orf45-50SimCLTL3.txt", 65)</f>
        <v>65</v>
      </c>
      <c r="BV552">
        <f>HYPERLINK("http://exon.niaid.nih.gov/transcriptome/Anopheles_sialome/links/cluster-b/anopheline-sialome-cds-pep-larger-orf50-50SimCLU27.txt", 27)</f>
        <v>27</v>
      </c>
      <c r="BW552">
        <f>HYPERLINK("http://exon.niaid.nih.gov/transcriptome/Anopheles_sialome/links/cluster-b/anopheline-sialome-cds-pep-larger-orf50-50SimCLTL27.txt", 17)</f>
        <v>17</v>
      </c>
      <c r="BX552">
        <f>HYPERLINK("http://exon.niaid.nih.gov/transcriptome/Anopheles_sialome/links/cluster-b/anopheline-sialome-cds-pep-larger-orf55-50SimCLU26.txt", 26)</f>
        <v>26</v>
      </c>
      <c r="BY552">
        <f>HYPERLINK("http://exon.niaid.nih.gov/transcriptome/Anopheles_sialome/links/cluster-b/anopheline-sialome-cds-pep-larger-orf55-50SimCLTL26.txt", 17)</f>
        <v>17</v>
      </c>
      <c r="BZ552">
        <f>HYPERLINK("http://exon.niaid.nih.gov/transcriptome/Anopheles_sialome/links/cluster-b/anopheline-sialome-cds-pep-larger-orf60-50SimCLU28.txt", 28)</f>
        <v>28</v>
      </c>
      <c r="CA552">
        <f>HYPERLINK("http://exon.niaid.nih.gov/transcriptome/Anopheles_sialome/links/cluster-b/anopheline-sialome-cds-pep-larger-orf60-50SimCLTL28.txt", 16)</f>
        <v>16</v>
      </c>
      <c r="CB552">
        <f>HYPERLINK("http://exon.niaid.nih.gov/transcriptome/Anopheles_sialome/links/cluster-b/anopheline-sialome-cds-pep-larger-orf65-50SimCLU25.txt", 25)</f>
        <v>25</v>
      </c>
      <c r="CC552">
        <f>HYPERLINK("http://exon.niaid.nih.gov/transcriptome/Anopheles_sialome/links/cluster-b/anopheline-sialome-cds-pep-larger-orf65-50SimCLTL25.txt", 16)</f>
        <v>16</v>
      </c>
      <c r="CD552">
        <f>HYPERLINK("http://exon.niaid.nih.gov/transcriptome/Anopheles_sialome/links/cluster-b/anopheline-sialome-cds-pep-larger-orf70-50SimCLU33.txt", 33)</f>
        <v>33</v>
      </c>
      <c r="CE552">
        <f>HYPERLINK("http://exon.niaid.nih.gov/transcriptome/Anopheles_sialome/links/cluster-b/anopheline-sialome-cds-pep-larger-orf70-50SimCLTL33.txt", 14)</f>
        <v>14</v>
      </c>
      <c r="CF552">
        <f>HYPERLINK("http://exon.niaid.nih.gov/transcriptome/Anopheles_sialome/links/cluster-b/anopheline-sialome-cds-pep-larger-orf75-50SimCLU31.txt", 31)</f>
        <v>31</v>
      </c>
      <c r="CG552">
        <f>HYPERLINK("http://exon.niaid.nih.gov/transcriptome/Anopheles_sialome/links/cluster-b/anopheline-sialome-cds-pep-larger-orf75-50SimCLTL31.txt", 12)</f>
        <v>12</v>
      </c>
      <c r="CH552">
        <f>HYPERLINK("http://exon.niaid.nih.gov/transcriptome/Anopheles_sialome/links/cluster-b/anopheline-sialome-cds-pep-larger-orf80-50SimCLU22.txt", 22)</f>
        <v>22</v>
      </c>
      <c r="CI552">
        <f>HYPERLINK("http://exon.niaid.nih.gov/transcriptome/Anopheles_sialome/links/cluster-b/anopheline-sialome-cds-pep-larger-orf80-50SimCLTL22.txt", 12)</f>
        <v>12</v>
      </c>
      <c r="CJ552">
        <f>HYPERLINK("http://exon.niaid.nih.gov/transcriptome/Anopheles_sialome/links/cluster-b/anopheline-sialome-cds-pep-larger-orf85-50SimCLU48.txt", 48)</f>
        <v>48</v>
      </c>
      <c r="CK552">
        <f>HYPERLINK("http://exon.niaid.nih.gov/transcriptome/Anopheles_sialome/links/cluster-b/anopheline-sialome-cds-pep-larger-orf85-50SimCLTL48.txt", 5)</f>
        <v>5</v>
      </c>
      <c r="CL552">
        <f>HYPERLINK("http://exon.niaid.nih.gov/transcriptome/Anopheles_sialome/links/cluster-b/anopheline-sialome-cds-pep-larger-orf90-50SimCLU82.txt", 82)</f>
        <v>82</v>
      </c>
      <c r="CM552">
        <f>HYPERLINK("http://exon.niaid.nih.gov/transcriptome/Anopheles_sialome/links/cluster-b/anopheline-sialome-cds-pep-larger-orf90-50SimCLTL82.txt", 2)</f>
        <v>2</v>
      </c>
      <c r="CN552">
        <v>435</v>
      </c>
      <c r="CO552">
        <v>1</v>
      </c>
    </row>
    <row r="553" spans="1:93">
      <c r="A553" s="2" t="str">
        <f>HYPERLINK("http://exon.niaid.nih.gov/transcriptome/Anopheles_sialome/links/cds/anoste_SG1-like3-cds.txt","anoste_SG1-like3")</f>
        <v>anoste_SG1-like3</v>
      </c>
      <c r="B553">
        <v>1188</v>
      </c>
      <c r="C553" t="s">
        <v>471</v>
      </c>
      <c r="D553" t="s">
        <v>4</v>
      </c>
      <c r="E553" t="s">
        <v>5</v>
      </c>
      <c r="F553" t="s">
        <v>1</v>
      </c>
      <c r="G553" t="str">
        <f>HYPERLINK("http://exon.niaid.nih.gov/transcriptome/Anopheles_sialome/links/pep/anoste_SG1-like3-pep.txt","anoste_SG1-like3")</f>
        <v>anoste_SG1-like3</v>
      </c>
      <c r="H553">
        <v>395</v>
      </c>
      <c r="I553">
        <v>0</v>
      </c>
      <c r="J553" s="3" t="str">
        <f>HYPERLINK("http://exon.niaid.nih.gov/transcriptome/Anopheles_sialome/links/Sigp/anoste_SG1-like3-SigP.txt","SIG")</f>
        <v>SIG</v>
      </c>
      <c r="K553" t="s">
        <v>692</v>
      </c>
      <c r="L553">
        <v>45.642000000000003</v>
      </c>
      <c r="M553">
        <v>6.85</v>
      </c>
      <c r="N553">
        <v>43.591999999999999</v>
      </c>
      <c r="O553">
        <v>6.92</v>
      </c>
      <c r="P553" t="s">
        <v>674</v>
      </c>
      <c r="Q553" s="3">
        <v>0</v>
      </c>
      <c r="R553" t="s">
        <v>128</v>
      </c>
      <c r="S553" t="s">
        <v>128</v>
      </c>
      <c r="T553" t="s">
        <v>128</v>
      </c>
      <c r="U553" t="s">
        <v>128</v>
      </c>
      <c r="V553" t="s">
        <v>128</v>
      </c>
      <c r="W553" s="3" t="str">
        <f>HYPERLINK("http://exon.niaid.nih.gov/transcriptome/Anopheles_sialome/links/netoglyc/anoste_SG1-like3-netoglyc.txt","0")</f>
        <v>0</v>
      </c>
      <c r="X553">
        <v>10.9</v>
      </c>
      <c r="Y553">
        <v>2.8</v>
      </c>
      <c r="Z553">
        <v>3</v>
      </c>
      <c r="AA553" t="s">
        <v>654</v>
      </c>
      <c r="AB553" t="s">
        <v>128</v>
      </c>
      <c r="AC553" s="2" t="str">
        <f>HYPERLINK("http://exon.niaid.nih.gov/transcriptome/Anopheles_sialome/links/DIPTERA/anoste_SG1-like3-DIPTERA.txt","AGAP000607-PA")</f>
        <v>AGAP000607-PA</v>
      </c>
      <c r="AD553" t="str">
        <f>HYPERLINK("http://www.ncbi.nlm.nih.gov/sutils/blink.cgi?pid=333466868","1E-141")</f>
        <v>1E-141</v>
      </c>
      <c r="AE553" t="str">
        <f>HYPERLINK("http://www.ncbi.nlm.nih.gov/protein/333466868","gi|333466868")</f>
        <v>gi|333466868</v>
      </c>
      <c r="AF553">
        <v>62</v>
      </c>
      <c r="AG553">
        <v>78</v>
      </c>
      <c r="AH553">
        <v>100</v>
      </c>
      <c r="AI553" t="s">
        <v>2285</v>
      </c>
      <c r="AJ553" s="2" t="str">
        <f>HYPERLINK("http://exon.niaid.nih.gov/transcriptome/Anopheles_sialome/links/CULICOMORPHA/anoste_SG1-like3-CULICOMORPHA.txt","AGAP000607-PA")</f>
        <v>AGAP000607-PA</v>
      </c>
      <c r="AK553" t="str">
        <f>HYPERLINK("http://www.ncbi.nlm.nih.gov/sutils/blink.cgi?pid=333466868","1E-142")</f>
        <v>1E-142</v>
      </c>
      <c r="AL553" t="str">
        <f>HYPERLINK("http://www.ncbi.nlm.nih.gov/protein/333466868","gi|333466868")</f>
        <v>gi|333466868</v>
      </c>
      <c r="AM553">
        <v>62</v>
      </c>
      <c r="AN553">
        <v>78</v>
      </c>
      <c r="AO553">
        <v>100</v>
      </c>
      <c r="AP553" t="s">
        <v>2285</v>
      </c>
      <c r="AQ553" s="2" t="str">
        <f>HYPERLINK("http://exon.niaid.nih.gov/transcriptome/Anopheles_sialome/links/NR-LIGHT/anoste_SG1-like3-NR-LIGHT.txt","AGAP000607-PA")</f>
        <v>AGAP000607-PA</v>
      </c>
      <c r="AR553" t="str">
        <f>HYPERLINK("http://www.ncbi.nlm.nih.gov/sutils/blink.cgi?pid=347964146","1E-140")</f>
        <v>1E-140</v>
      </c>
      <c r="AS553" t="str">
        <f>HYPERLINK("http://www.ncbi.nlm.nih.gov/protein/347964146","gi|347964146")</f>
        <v>gi|347964146</v>
      </c>
      <c r="AT553">
        <v>62</v>
      </c>
      <c r="AU553">
        <v>78</v>
      </c>
      <c r="AV553">
        <v>100</v>
      </c>
      <c r="AW553" t="s">
        <v>2285</v>
      </c>
      <c r="AX553" s="2" t="str">
        <f>HYPERLINK("http://exon.niaid.nih.gov/transcriptome/Anopheles_sialome/links/CDD/anoste_SG1-like3-CDD.txt","KptA")</f>
        <v>KptA</v>
      </c>
      <c r="AY553" t="str">
        <f>HYPERLINK("http://www.ncbi.nlm.nih.gov/Structure/cdd/cddsrv.cgi?uid=COG1859&amp;version=v4.0","0.38")</f>
        <v>0.38</v>
      </c>
      <c r="AZ553" t="s">
        <v>2940</v>
      </c>
      <c r="BA553" s="2" t="str">
        <f>HYPERLINK("http://exon.niaid.nih.gov/transcriptome/Anopheles_sialome/links/KOG/anoste_SG1-like3-KOG.txt","Rho-associated, coiled-coil containing protein kinase")</f>
        <v>Rho-associated, coiled-coil containing protein kinase</v>
      </c>
      <c r="BB553" t="str">
        <f>HYPERLINK("http://www.ncbi.nlm.nih.gov/Structure/cdd/cddsrv.cgi?uid=KOG0612","0.027")</f>
        <v>0.027</v>
      </c>
      <c r="BC553" t="s">
        <v>2292</v>
      </c>
      <c r="BD553" t="str">
        <f>HYPERLINK("http://exon.niaid.nih.gov/transcriptome/Anopheles_sialome/links/KOG/anoste_SG1-like3-KOG.txt","KOG0612")</f>
        <v>KOG0612</v>
      </c>
      <c r="BE553" t="str">
        <f>HYPERLINK("http://exon.niaid.nih.gov/transcriptome/Anopheles_sialome/links/PFAM/anoste_SG1-like3-PFAM.txt","Myosin_tail_1")</f>
        <v>Myosin_tail_1</v>
      </c>
      <c r="BF553" t="str">
        <f>HYPERLINK("http://pfam.sanger.ac.uk/family?acc=PF01576","0.49")</f>
        <v>0.49</v>
      </c>
      <c r="BG553" s="2" t="str">
        <f>HYPERLINK("http://exon.niaid.nih.gov/transcriptome/Anopheles_sialome/links/SMART/anoste_SG1-like3-SMART.txt","MYSc")</f>
        <v>MYSc</v>
      </c>
      <c r="BH553" t="str">
        <f>HYPERLINK("http://smart.embl-heidelberg.de/smart/do_annotation.pl?DOMAIN=MYSc&amp;BLAST=DUMMY","0.059")</f>
        <v>0.059</v>
      </c>
      <c r="BI553" t="str">
        <f>HYPERLINK("http://exon.niaid.nih.gov/transcriptome/Anopheles_sialome/links/TICK-BLOCKS/anoste_SG1-like3-TICK-BLOCKS.txt","SG1_full |SG1_stringent_pattern |")</f>
        <v>SG1_full |SG1_stringent_pattern |</v>
      </c>
      <c r="BJ553" s="2" t="s">
        <v>2423</v>
      </c>
      <c r="BK553" t="s">
        <v>1865</v>
      </c>
      <c r="BL553">
        <f>HYPERLINK("http://exon.niaid.nih.gov/transcriptome/Anopheles_sialome/links/cluster-b/anopheline-sialome-cds-pep-larger-orf25-50SimCLU3.txt", 3)</f>
        <v>3</v>
      </c>
      <c r="BM553">
        <f>HYPERLINK("http://exon.niaid.nih.gov/transcriptome/Anopheles_sialome/links/cluster-b/anopheline-sialome-cds-pep-larger-orf25-50SimCLTL3.txt", 119)</f>
        <v>119</v>
      </c>
      <c r="BN553">
        <f>HYPERLINK("http://exon.niaid.nih.gov/transcriptome/Anopheles_sialome/links/cluster-b/anopheline-sialome-cds-pep-larger-orf30-50SimCLU3.txt", 3)</f>
        <v>3</v>
      </c>
      <c r="BO553">
        <f>HYPERLINK("http://exon.niaid.nih.gov/transcriptome/Anopheles_sialome/links/cluster-b/anopheline-sialome-cds-pep-larger-orf30-50SimCLTL3.txt", 119)</f>
        <v>119</v>
      </c>
      <c r="BP553">
        <f>HYPERLINK("http://exon.niaid.nih.gov/transcriptome/Anopheles_sialome/links/cluster-b/anopheline-sialome-cds-pep-larger-orf35-50SimCLU2.txt", 2)</f>
        <v>2</v>
      </c>
      <c r="BQ553">
        <f>HYPERLINK("http://exon.niaid.nih.gov/transcriptome/Anopheles_sialome/links/cluster-b/anopheline-sialome-cds-pep-larger-orf35-50SimCLTL2.txt", 119)</f>
        <v>119</v>
      </c>
      <c r="BR553">
        <f>HYPERLINK("http://exon.niaid.nih.gov/transcriptome/Anopheles_sialome/links/cluster-b/anopheline-sialome-cds-pep-larger-orf40-50SimCLU1.txt", 1)</f>
        <v>1</v>
      </c>
      <c r="BS553">
        <f>HYPERLINK("http://exon.niaid.nih.gov/transcriptome/Anopheles_sialome/links/cluster-b/anopheline-sialome-cds-pep-larger-orf40-50SimCLTL1.txt", 119)</f>
        <v>119</v>
      </c>
      <c r="BT553">
        <f>HYPERLINK("http://exon.niaid.nih.gov/transcriptome/Anopheles_sialome/links/cluster-b/anopheline-sialome-cds-pep-larger-orf45-50SimCLU3.txt", 3)</f>
        <v>3</v>
      </c>
      <c r="BU553">
        <f>HYPERLINK("http://exon.niaid.nih.gov/transcriptome/Anopheles_sialome/links/cluster-b/anopheline-sialome-cds-pep-larger-orf45-50SimCLTL3.txt", 65)</f>
        <v>65</v>
      </c>
      <c r="BV553">
        <f>HYPERLINK("http://exon.niaid.nih.gov/transcriptome/Anopheles_sialome/links/cluster-b/anopheline-sialome-cds-pep-larger-orf50-50SimCLU27.txt", 27)</f>
        <v>27</v>
      </c>
      <c r="BW553">
        <f>HYPERLINK("http://exon.niaid.nih.gov/transcriptome/Anopheles_sialome/links/cluster-b/anopheline-sialome-cds-pep-larger-orf50-50SimCLTL27.txt", 17)</f>
        <v>17</v>
      </c>
      <c r="BX553">
        <f>HYPERLINK("http://exon.niaid.nih.gov/transcriptome/Anopheles_sialome/links/cluster-b/anopheline-sialome-cds-pep-larger-orf55-50SimCLU26.txt", 26)</f>
        <v>26</v>
      </c>
      <c r="BY553">
        <f>HYPERLINK("http://exon.niaid.nih.gov/transcriptome/Anopheles_sialome/links/cluster-b/anopheline-sialome-cds-pep-larger-orf55-50SimCLTL26.txt", 17)</f>
        <v>17</v>
      </c>
      <c r="BZ553">
        <f>HYPERLINK("http://exon.niaid.nih.gov/transcriptome/Anopheles_sialome/links/cluster-b/anopheline-sialome-cds-pep-larger-orf60-50SimCLU28.txt", 28)</f>
        <v>28</v>
      </c>
      <c r="CA553">
        <f>HYPERLINK("http://exon.niaid.nih.gov/transcriptome/Anopheles_sialome/links/cluster-b/anopheline-sialome-cds-pep-larger-orf60-50SimCLTL28.txt", 16)</f>
        <v>16</v>
      </c>
      <c r="CB553">
        <f>HYPERLINK("http://exon.niaid.nih.gov/transcriptome/Anopheles_sialome/links/cluster-b/anopheline-sialome-cds-pep-larger-orf65-50SimCLU25.txt", 25)</f>
        <v>25</v>
      </c>
      <c r="CC553">
        <f>HYPERLINK("http://exon.niaid.nih.gov/transcriptome/Anopheles_sialome/links/cluster-b/anopheline-sialome-cds-pep-larger-orf65-50SimCLTL25.txt", 16)</f>
        <v>16</v>
      </c>
      <c r="CD553">
        <f>HYPERLINK("http://exon.niaid.nih.gov/transcriptome/Anopheles_sialome/links/cluster-b/anopheline-sialome-cds-pep-larger-orf70-50SimCLU33.txt", 33)</f>
        <v>33</v>
      </c>
      <c r="CE553">
        <f>HYPERLINK("http://exon.niaid.nih.gov/transcriptome/Anopheles_sialome/links/cluster-b/anopheline-sialome-cds-pep-larger-orf70-50SimCLTL33.txt", 14)</f>
        <v>14</v>
      </c>
      <c r="CF553">
        <f>HYPERLINK("http://exon.niaid.nih.gov/transcriptome/Anopheles_sialome/links/cluster-b/anopheline-sialome-cds-pep-larger-orf75-50SimCLU31.txt", 31)</f>
        <v>31</v>
      </c>
      <c r="CG553">
        <f>HYPERLINK("http://exon.niaid.nih.gov/transcriptome/Anopheles_sialome/links/cluster-b/anopheline-sialome-cds-pep-larger-orf75-50SimCLTL31.txt", 12)</f>
        <v>12</v>
      </c>
      <c r="CH553">
        <f>HYPERLINK("http://exon.niaid.nih.gov/transcriptome/Anopheles_sialome/links/cluster-b/anopheline-sialome-cds-pep-larger-orf80-50SimCLU22.txt", 22)</f>
        <v>22</v>
      </c>
      <c r="CI553">
        <f>HYPERLINK("http://exon.niaid.nih.gov/transcriptome/Anopheles_sialome/links/cluster-b/anopheline-sialome-cds-pep-larger-orf80-50SimCLTL22.txt", 12)</f>
        <v>12</v>
      </c>
      <c r="CJ553">
        <f>HYPERLINK("http://exon.niaid.nih.gov/transcriptome/Anopheles_sialome/links/cluster-b/anopheline-sialome-cds-pep-larger-orf85-50SimCLU48.txt", 48)</f>
        <v>48</v>
      </c>
      <c r="CK553">
        <f>HYPERLINK("http://exon.niaid.nih.gov/transcriptome/Anopheles_sialome/links/cluster-b/anopheline-sialome-cds-pep-larger-orf85-50SimCLTL48.txt", 5)</f>
        <v>5</v>
      </c>
      <c r="CL553">
        <f>HYPERLINK("http://exon.niaid.nih.gov/transcriptome/Anopheles_sialome/links/cluster-b/anopheline-sialome-cds-pep-larger-orf90-50SimCLU83.txt", 83)</f>
        <v>83</v>
      </c>
      <c r="CM553">
        <f>HYPERLINK("http://exon.niaid.nih.gov/transcriptome/Anopheles_sialome/links/cluster-b/anopheline-sialome-cds-pep-larger-orf90-50SimCLTL83.txt", 2)</f>
        <v>2</v>
      </c>
      <c r="CN553">
        <v>436</v>
      </c>
      <c r="CO553">
        <v>1</v>
      </c>
    </row>
    <row r="554" spans="1:93">
      <c r="A554" s="2" t="str">
        <f>HYPERLINK("http://exon.niaid.nih.gov/transcriptome/Anopheles_sialome/links/cds/anomac_SG1-like3-cds.txt","anomac_SG1-like3")</f>
        <v>anomac_SG1-like3</v>
      </c>
      <c r="B554">
        <v>1188</v>
      </c>
      <c r="C554" t="s">
        <v>472</v>
      </c>
      <c r="D554" t="s">
        <v>4</v>
      </c>
      <c r="E554" t="s">
        <v>5</v>
      </c>
      <c r="F554" t="s">
        <v>1</v>
      </c>
      <c r="G554" t="str">
        <f>HYPERLINK("http://exon.niaid.nih.gov/transcriptome/Anopheles_sialome/links/pep/anomac_SG1-like3-pep.txt","anomac_SG1-like3")</f>
        <v>anomac_SG1-like3</v>
      </c>
      <c r="H554">
        <v>395</v>
      </c>
      <c r="I554">
        <v>0</v>
      </c>
      <c r="J554" s="3" t="str">
        <f>HYPERLINK("http://exon.niaid.nih.gov/transcriptome/Anopheles_sialome/links/Sigp/anomac_SG1-like3-SigP.txt","SIG")</f>
        <v>SIG</v>
      </c>
      <c r="K554" t="s">
        <v>695</v>
      </c>
      <c r="L554">
        <v>45.430999999999997</v>
      </c>
      <c r="M554">
        <v>6.69</v>
      </c>
      <c r="N554">
        <v>43.195</v>
      </c>
      <c r="O554">
        <v>6.43</v>
      </c>
      <c r="P554" t="s">
        <v>668</v>
      </c>
      <c r="Q554" s="3">
        <v>0</v>
      </c>
      <c r="R554" t="s">
        <v>128</v>
      </c>
      <c r="S554" t="s">
        <v>128</v>
      </c>
      <c r="T554" t="s">
        <v>128</v>
      </c>
      <c r="U554" t="s">
        <v>128</v>
      </c>
      <c r="V554" t="s">
        <v>128</v>
      </c>
      <c r="W554" s="3" t="str">
        <f>HYPERLINK("http://exon.niaid.nih.gov/transcriptome/Anopheles_sialome/links/netoglyc/anomac_SG1-like3-netoglyc.txt","0")</f>
        <v>0</v>
      </c>
      <c r="X554">
        <v>10.6</v>
      </c>
      <c r="Y554">
        <v>2.8</v>
      </c>
      <c r="Z554">
        <v>2.8</v>
      </c>
      <c r="AA554" t="s">
        <v>654</v>
      </c>
      <c r="AB554" t="s">
        <v>128</v>
      </c>
      <c r="AC554" s="2" t="str">
        <f>HYPERLINK("http://exon.niaid.nih.gov/transcriptome/Anopheles_sialome/links/DIPTERA/anomac_SG1-like3-DIPTERA.txt","AGAP000607-PA")</f>
        <v>AGAP000607-PA</v>
      </c>
      <c r="AD554" t="str">
        <f>HYPERLINK("http://www.ncbi.nlm.nih.gov/sutils/blink.cgi?pid=333466868","1E-136")</f>
        <v>1E-136</v>
      </c>
      <c r="AE554" t="str">
        <f t="shared" ref="AE554" si="186">HYPERLINK("http://www.ncbi.nlm.nih.gov/protein/333466868","gi|333466868")</f>
        <v>gi|333466868</v>
      </c>
      <c r="AF554">
        <v>59</v>
      </c>
      <c r="AG554">
        <v>78</v>
      </c>
      <c r="AH554">
        <v>100</v>
      </c>
      <c r="AI554" t="s">
        <v>2285</v>
      </c>
      <c r="AJ554" s="2" t="str">
        <f>HYPERLINK("http://exon.niaid.nih.gov/transcriptome/Anopheles_sialome/links/CULICOMORPHA/anomac_SG1-like3-CULICOMORPHA.txt","AGAP000607-PA")</f>
        <v>AGAP000607-PA</v>
      </c>
      <c r="AK554" t="str">
        <f>HYPERLINK("http://www.ncbi.nlm.nih.gov/sutils/blink.cgi?pid=333466868","1E-136")</f>
        <v>1E-136</v>
      </c>
      <c r="AL554" t="str">
        <f t="shared" ref="AL554" si="187">HYPERLINK("http://www.ncbi.nlm.nih.gov/protein/333466868","gi|333466868")</f>
        <v>gi|333466868</v>
      </c>
      <c r="AM554">
        <v>59</v>
      </c>
      <c r="AN554">
        <v>78</v>
      </c>
      <c r="AO554">
        <v>100</v>
      </c>
      <c r="AP554" t="s">
        <v>2285</v>
      </c>
      <c r="AQ554" s="2" t="str">
        <f>HYPERLINK("http://exon.niaid.nih.gov/transcriptome/Anopheles_sialome/links/NR-LIGHT/anomac_SG1-like3-NR-LIGHT.txt","AGAP000607-PA")</f>
        <v>AGAP000607-PA</v>
      </c>
      <c r="AR554" t="str">
        <f>HYPERLINK("http://www.ncbi.nlm.nih.gov/sutils/blink.cgi?pid=347964146","1E-135")</f>
        <v>1E-135</v>
      </c>
      <c r="AS554" t="str">
        <f t="shared" ref="AS554" si="188">HYPERLINK("http://www.ncbi.nlm.nih.gov/protein/347964146","gi|347964146")</f>
        <v>gi|347964146</v>
      </c>
      <c r="AT554">
        <v>59</v>
      </c>
      <c r="AU554">
        <v>78</v>
      </c>
      <c r="AV554">
        <v>100</v>
      </c>
      <c r="AW554" t="s">
        <v>2285</v>
      </c>
      <c r="AX554" s="2" t="str">
        <f>HYPERLINK("http://exon.niaid.nih.gov/transcriptome/Anopheles_sialome/links/CDD/anomac_SG1-like3-CDD.txt","Peptidase_S46")</f>
        <v>Peptidase_S46</v>
      </c>
      <c r="AY554" t="str">
        <f>HYPERLINK("http://www.ncbi.nlm.nih.gov/Structure/cdd/cddsrv.cgi?uid=pfam10459&amp;version=v4.0","0.26")</f>
        <v>0.26</v>
      </c>
      <c r="AZ554" t="s">
        <v>2941</v>
      </c>
      <c r="BA554" s="2" t="str">
        <f>HYPERLINK("http://exon.niaid.nih.gov/transcriptome/Anopheles_sialome/links/KOG/anomac_SG1-like3-KOG.txt","Rho-associated, coiled-coil containing protein kinase")</f>
        <v>Rho-associated, coiled-coil containing protein kinase</v>
      </c>
      <c r="BB554" t="str">
        <f>HYPERLINK("http://www.ncbi.nlm.nih.gov/Structure/cdd/cddsrv.cgi?uid=KOG0612","0.044")</f>
        <v>0.044</v>
      </c>
      <c r="BC554" t="s">
        <v>2292</v>
      </c>
      <c r="BD554" t="str">
        <f>HYPERLINK("http://exon.niaid.nih.gov/transcriptome/Anopheles_sialome/links/KOG/anomac_SG1-like3-KOG.txt","KOG0612")</f>
        <v>KOG0612</v>
      </c>
      <c r="BE554" t="str">
        <f>HYPERLINK("http://exon.niaid.nih.gov/transcriptome/Anopheles_sialome/links/PFAM/anomac_SG1-like3-PFAM.txt","Peptidase_S46")</f>
        <v>Peptidase_S46</v>
      </c>
      <c r="BF554" t="str">
        <f>HYPERLINK("http://pfam.sanger.ac.uk/family?acc=PF10459","0.051")</f>
        <v>0.051</v>
      </c>
      <c r="BG554" s="2" t="str">
        <f>HYPERLINK("http://exon.niaid.nih.gov/transcriptome/Anopheles_sialome/links/SMART/anomac_SG1-like3-SMART.txt","TRCF")</f>
        <v>TRCF</v>
      </c>
      <c r="BH554" t="str">
        <f>HYPERLINK("http://smart.embl-heidelberg.de/smart/do_annotation.pl?DOMAIN=TRCF&amp;BLAST=DUMMY","1.3")</f>
        <v>1.3</v>
      </c>
      <c r="BI554" t="str">
        <f>HYPERLINK("http://exon.niaid.nih.gov/transcriptome/Anopheles_sialome/links/TICK-BLOCKS/anomac_SG1-like3-TICK-BLOCKS.txt","SG1_full |SG1_stringent_pattern |")</f>
        <v>SG1_full |SG1_stringent_pattern |</v>
      </c>
      <c r="BJ554" s="2" t="s">
        <v>2423</v>
      </c>
      <c r="BK554" t="s">
        <v>1866</v>
      </c>
      <c r="BL554">
        <f>HYPERLINK("http://exon.niaid.nih.gov/transcriptome/Anopheles_sialome/links/cluster-b/anopheline-sialome-cds-pep-larger-orf25-50SimCLU3.txt", 3)</f>
        <v>3</v>
      </c>
      <c r="BM554">
        <f>HYPERLINK("http://exon.niaid.nih.gov/transcriptome/Anopheles_sialome/links/cluster-b/anopheline-sialome-cds-pep-larger-orf25-50SimCLTL3.txt", 119)</f>
        <v>119</v>
      </c>
      <c r="BN554">
        <f>HYPERLINK("http://exon.niaid.nih.gov/transcriptome/Anopheles_sialome/links/cluster-b/anopheline-sialome-cds-pep-larger-orf30-50SimCLU3.txt", 3)</f>
        <v>3</v>
      </c>
      <c r="BO554">
        <f>HYPERLINK("http://exon.niaid.nih.gov/transcriptome/Anopheles_sialome/links/cluster-b/anopheline-sialome-cds-pep-larger-orf30-50SimCLTL3.txt", 119)</f>
        <v>119</v>
      </c>
      <c r="BP554">
        <f>HYPERLINK("http://exon.niaid.nih.gov/transcriptome/Anopheles_sialome/links/cluster-b/anopheline-sialome-cds-pep-larger-orf35-50SimCLU2.txt", 2)</f>
        <v>2</v>
      </c>
      <c r="BQ554">
        <f>HYPERLINK("http://exon.niaid.nih.gov/transcriptome/Anopheles_sialome/links/cluster-b/anopheline-sialome-cds-pep-larger-orf35-50SimCLTL2.txt", 119)</f>
        <v>119</v>
      </c>
      <c r="BR554">
        <f>HYPERLINK("http://exon.niaid.nih.gov/transcriptome/Anopheles_sialome/links/cluster-b/anopheline-sialome-cds-pep-larger-orf40-50SimCLU1.txt", 1)</f>
        <v>1</v>
      </c>
      <c r="BS554">
        <f>HYPERLINK("http://exon.niaid.nih.gov/transcriptome/Anopheles_sialome/links/cluster-b/anopheline-sialome-cds-pep-larger-orf40-50SimCLTL1.txt", 119)</f>
        <v>119</v>
      </c>
      <c r="BT554">
        <f>HYPERLINK("http://exon.niaid.nih.gov/transcriptome/Anopheles_sialome/links/cluster-b/anopheline-sialome-cds-pep-larger-orf45-50SimCLU3.txt", 3)</f>
        <v>3</v>
      </c>
      <c r="BU554">
        <f>HYPERLINK("http://exon.niaid.nih.gov/transcriptome/Anopheles_sialome/links/cluster-b/anopheline-sialome-cds-pep-larger-orf45-50SimCLTL3.txt", 65)</f>
        <v>65</v>
      </c>
      <c r="BV554">
        <f>HYPERLINK("http://exon.niaid.nih.gov/transcriptome/Anopheles_sialome/links/cluster-b/anopheline-sialome-cds-pep-larger-orf50-50SimCLU27.txt", 27)</f>
        <v>27</v>
      </c>
      <c r="BW554">
        <f>HYPERLINK("http://exon.niaid.nih.gov/transcriptome/Anopheles_sialome/links/cluster-b/anopheline-sialome-cds-pep-larger-orf50-50SimCLTL27.txt", 17)</f>
        <v>17</v>
      </c>
      <c r="BX554">
        <f>HYPERLINK("http://exon.niaid.nih.gov/transcriptome/Anopheles_sialome/links/cluster-b/anopheline-sialome-cds-pep-larger-orf55-50SimCLU26.txt", 26)</f>
        <v>26</v>
      </c>
      <c r="BY554">
        <f>HYPERLINK("http://exon.niaid.nih.gov/transcriptome/Anopheles_sialome/links/cluster-b/anopheline-sialome-cds-pep-larger-orf55-50SimCLTL26.txt", 17)</f>
        <v>17</v>
      </c>
      <c r="BZ554">
        <f>HYPERLINK("http://exon.niaid.nih.gov/transcriptome/Anopheles_sialome/links/cluster-b/anopheline-sialome-cds-pep-larger-orf60-50SimCLU28.txt", 28)</f>
        <v>28</v>
      </c>
      <c r="CA554">
        <f>HYPERLINK("http://exon.niaid.nih.gov/transcriptome/Anopheles_sialome/links/cluster-b/anopheline-sialome-cds-pep-larger-orf60-50SimCLTL28.txt", 16)</f>
        <v>16</v>
      </c>
      <c r="CB554">
        <f>HYPERLINK("http://exon.niaid.nih.gov/transcriptome/Anopheles_sialome/links/cluster-b/anopheline-sialome-cds-pep-larger-orf65-50SimCLU25.txt", 25)</f>
        <v>25</v>
      </c>
      <c r="CC554">
        <f>HYPERLINK("http://exon.niaid.nih.gov/transcriptome/Anopheles_sialome/links/cluster-b/anopheline-sialome-cds-pep-larger-orf65-50SimCLTL25.txt", 16)</f>
        <v>16</v>
      </c>
      <c r="CD554">
        <f>HYPERLINK("http://exon.niaid.nih.gov/transcriptome/Anopheles_sialome/links/cluster-b/anopheline-sialome-cds-pep-larger-orf70-50SimCLU33.txt", 33)</f>
        <v>33</v>
      </c>
      <c r="CE554">
        <f>HYPERLINK("http://exon.niaid.nih.gov/transcriptome/Anopheles_sialome/links/cluster-b/anopheline-sialome-cds-pep-larger-orf70-50SimCLTL33.txt", 14)</f>
        <v>14</v>
      </c>
      <c r="CF554">
        <f>HYPERLINK("http://exon.niaid.nih.gov/transcriptome/Anopheles_sialome/links/cluster-b/anopheline-sialome-cds-pep-larger-orf75-50SimCLU31.txt", 31)</f>
        <v>31</v>
      </c>
      <c r="CG554">
        <f>HYPERLINK("http://exon.niaid.nih.gov/transcriptome/Anopheles_sialome/links/cluster-b/anopheline-sialome-cds-pep-larger-orf75-50SimCLTL31.txt", 12)</f>
        <v>12</v>
      </c>
      <c r="CH554">
        <f>HYPERLINK("http://exon.niaid.nih.gov/transcriptome/Anopheles_sialome/links/cluster-b/anopheline-sialome-cds-pep-larger-orf80-50SimCLU22.txt", 22)</f>
        <v>22</v>
      </c>
      <c r="CI554">
        <f>HYPERLINK("http://exon.niaid.nih.gov/transcriptome/Anopheles_sialome/links/cluster-b/anopheline-sialome-cds-pep-larger-orf80-50SimCLTL22.txt", 12)</f>
        <v>12</v>
      </c>
      <c r="CJ554">
        <f>HYPERLINK("http://exon.niaid.nih.gov/transcriptome/Anopheles_sialome/links/cluster-b/anopheline-sialome-cds-pep-larger-orf85-50SimCLU48.txt", 48)</f>
        <v>48</v>
      </c>
      <c r="CK554">
        <f>HYPERLINK("http://exon.niaid.nih.gov/transcriptome/Anopheles_sialome/links/cluster-b/anopheline-sialome-cds-pep-larger-orf85-50SimCLTL48.txt", 5)</f>
        <v>5</v>
      </c>
      <c r="CL554">
        <f>HYPERLINK("http://exon.niaid.nih.gov/transcriptome/Anopheles_sialome/links/cluster-b/anopheline-sialome-cds-pep-larger-orf90-50SimCLU83.txt", 83)</f>
        <v>83</v>
      </c>
      <c r="CM554">
        <f>HYPERLINK("http://exon.niaid.nih.gov/transcriptome/Anopheles_sialome/links/cluster-b/anopheline-sialome-cds-pep-larger-orf90-50SimCLTL83.txt", 2)</f>
        <v>2</v>
      </c>
      <c r="CN554">
        <v>437</v>
      </c>
      <c r="CO554">
        <v>1</v>
      </c>
    </row>
    <row r="555" spans="1:93">
      <c r="A555" s="2" t="str">
        <f>HYPERLINK("http://exon.niaid.nih.gov/transcriptome/Anopheles_sialome/links/cds/anofar_SG1-like3-cds.txt","anofar_SG1-like3")</f>
        <v>anofar_SG1-like3</v>
      </c>
      <c r="B555">
        <v>1188</v>
      </c>
      <c r="C555" t="s">
        <v>473</v>
      </c>
      <c r="D555" t="s">
        <v>4</v>
      </c>
      <c r="E555" t="s">
        <v>5</v>
      </c>
      <c r="F555" t="s">
        <v>1</v>
      </c>
      <c r="G555" t="str">
        <f>HYPERLINK("http://exon.niaid.nih.gov/transcriptome/Anopheles_sialome/links/pep/anofar_SG1-like3-pep.txt","anofar_SG1-like3")</f>
        <v>anofar_SG1-like3</v>
      </c>
      <c r="H555">
        <v>395</v>
      </c>
      <c r="I555">
        <v>0</v>
      </c>
      <c r="J555" s="3" t="str">
        <f>HYPERLINK("http://exon.niaid.nih.gov/transcriptome/Anopheles_sialome/links/Sigp/anofar_SG1-like3-SigP.txt","SIG")</f>
        <v>SIG</v>
      </c>
      <c r="K555" t="s">
        <v>689</v>
      </c>
      <c r="L555">
        <v>44.652999999999999</v>
      </c>
      <c r="M555">
        <v>5.93</v>
      </c>
      <c r="N555">
        <v>42.332000000000001</v>
      </c>
      <c r="O555">
        <v>5.84</v>
      </c>
      <c r="P555" t="s">
        <v>1868</v>
      </c>
      <c r="Q555" s="3">
        <v>0</v>
      </c>
      <c r="R555" t="s">
        <v>128</v>
      </c>
      <c r="S555" t="s">
        <v>128</v>
      </c>
      <c r="T555" t="s">
        <v>128</v>
      </c>
      <c r="U555" t="s">
        <v>128</v>
      </c>
      <c r="V555" t="s">
        <v>128</v>
      </c>
      <c r="W555" s="3" t="str">
        <f>HYPERLINK("http://exon.niaid.nih.gov/transcriptome/Anopheles_sialome/links/netoglyc/anofar_SG1-like3-netoglyc.txt","0")</f>
        <v>0</v>
      </c>
      <c r="X555">
        <v>10.1</v>
      </c>
      <c r="Y555">
        <v>5.3</v>
      </c>
      <c r="Z555">
        <v>3.3</v>
      </c>
      <c r="AA555" t="s">
        <v>654</v>
      </c>
      <c r="AB555" t="s">
        <v>1869</v>
      </c>
      <c r="AC555" s="2" t="str">
        <f>HYPERLINK("http://exon.niaid.nih.gov/transcriptome/Anopheles_sialome/links/DIPTERA/anofar_SG1-like3-DIPTERA.txt","SG1-like 3 salivary protein, partial")</f>
        <v>SG1-like 3 salivary protein, partial</v>
      </c>
      <c r="AD555" t="str">
        <f>HYPERLINK("http://www.ncbi.nlm.nih.gov/sutils/blink.cgi?pid=31979112","1E-140")</f>
        <v>1E-140</v>
      </c>
      <c r="AE555" t="str">
        <f>HYPERLINK("http://www.ncbi.nlm.nih.gov/protein/31979112","gi|31979112")</f>
        <v>gi|31979112</v>
      </c>
      <c r="AF555">
        <v>65</v>
      </c>
      <c r="AG555">
        <v>79</v>
      </c>
      <c r="AH555">
        <v>97</v>
      </c>
      <c r="AI555" t="s">
        <v>2274</v>
      </c>
      <c r="AJ555" s="2" t="str">
        <f>HYPERLINK("http://exon.niaid.nih.gov/transcriptome/Anopheles_sialome/links/CULICOMORPHA/anofar_SG1-like3-CULICOMORPHA.txt","SG1-like 3 salivary protein, partial")</f>
        <v>SG1-like 3 salivary protein, partial</v>
      </c>
      <c r="AK555" t="str">
        <f>HYPERLINK("http://www.ncbi.nlm.nih.gov/sutils/blink.cgi?pid=31979112","1E-141")</f>
        <v>1E-141</v>
      </c>
      <c r="AL555" t="str">
        <f>HYPERLINK("http://www.ncbi.nlm.nih.gov/protein/31979112","gi|31979112")</f>
        <v>gi|31979112</v>
      </c>
      <c r="AM555">
        <v>65</v>
      </c>
      <c r="AN555">
        <v>79</v>
      </c>
      <c r="AO555">
        <v>97</v>
      </c>
      <c r="AP555" t="s">
        <v>2274</v>
      </c>
      <c r="AQ555" s="2" t="str">
        <f>HYPERLINK("http://exon.niaid.nih.gov/transcriptome/Anopheles_sialome/links/NR-LIGHT/anofar_SG1-like3-NR-LIGHT.txt","SG1-like 3 salivary protein, partial")</f>
        <v>SG1-like 3 salivary protein, partial</v>
      </c>
      <c r="AR555" t="str">
        <f>HYPERLINK("http://www.ncbi.nlm.nih.gov/sutils/blink.cgi?pid=31979112","1E-140")</f>
        <v>1E-140</v>
      </c>
      <c r="AS555" t="str">
        <f>HYPERLINK("http://www.ncbi.nlm.nih.gov/protein/31979112","gi|31979112")</f>
        <v>gi|31979112</v>
      </c>
      <c r="AT555">
        <v>65</v>
      </c>
      <c r="AU555">
        <v>79</v>
      </c>
      <c r="AV555">
        <v>97</v>
      </c>
      <c r="AW555" t="s">
        <v>2274</v>
      </c>
      <c r="AX555" s="2" t="str">
        <f>HYPERLINK("http://exon.niaid.nih.gov/transcriptome/Anopheles_sialome/links/CDD/anofar_SG1-like3-CDD.txt","PARP_regulatory")</f>
        <v>PARP_regulatory</v>
      </c>
      <c r="AY555" t="str">
        <f>HYPERLINK("http://www.ncbi.nlm.nih.gov/Structure/cdd/cddsrv.cgi?uid=pfam01358&amp;version=v4.0","0.43")</f>
        <v>0.43</v>
      </c>
      <c r="AZ555" t="s">
        <v>2942</v>
      </c>
      <c r="BA555" s="2" t="str">
        <f>HYPERLINK("http://exon.niaid.nih.gov/transcriptome/Anopheles_sialome/links/KOG/anofar_SG1-like3-KOG.txt","Vacuolar sorting protein/ubiquitin receptor VPS23")</f>
        <v>Vacuolar sorting protein/ubiquitin receptor VPS23</v>
      </c>
      <c r="BB555" t="str">
        <f>HYPERLINK("http://www.ncbi.nlm.nih.gov/Structure/cdd/cddsrv.cgi?uid=KOG2391","0.13")</f>
        <v>0.13</v>
      </c>
      <c r="BC555" t="s">
        <v>2943</v>
      </c>
      <c r="BD555" t="str">
        <f>HYPERLINK("http://exon.niaid.nih.gov/transcriptome/Anopheles_sialome/links/KOG/anofar_SG1-like3-KOG.txt","KOG2391")</f>
        <v>KOG2391</v>
      </c>
      <c r="BE555" t="str">
        <f>HYPERLINK("http://exon.niaid.nih.gov/transcriptome/Anopheles_sialome/links/PFAM/anofar_SG1-like3-PFAM.txt","PARP_regulatory")</f>
        <v>PARP_regulatory</v>
      </c>
      <c r="BF555" t="str">
        <f>HYPERLINK("http://pfam.sanger.ac.uk/family?acc=PF01358","0.083")</f>
        <v>0.083</v>
      </c>
      <c r="BG555" s="2" t="str">
        <f>HYPERLINK("http://exon.niaid.nih.gov/transcriptome/Anopheles_sialome/links/SMART/anofar_SG1-like3-SMART.txt","RhoGEF")</f>
        <v>RhoGEF</v>
      </c>
      <c r="BH555" t="str">
        <f>HYPERLINK("http://smart.embl-heidelberg.de/smart/do_annotation.pl?DOMAIN=RhoGEF&amp;BLAST=DUMMY","0.42")</f>
        <v>0.42</v>
      </c>
      <c r="BI555" t="str">
        <f>HYPERLINK("http://exon.niaid.nih.gov/transcriptome/Anopheles_sialome/links/TICK-BLOCKS/anofar_SG1-like3-TICK-BLOCKS.txt","SG1_full |SG1_stringent_pattern |")</f>
        <v>SG1_full |SG1_stringent_pattern |</v>
      </c>
      <c r="BJ555" s="2" t="s">
        <v>2423</v>
      </c>
      <c r="BK555" t="s">
        <v>1867</v>
      </c>
      <c r="BL555">
        <f>HYPERLINK("http://exon.niaid.nih.gov/transcriptome/Anopheles_sialome/links/cluster-b/anopheline-sialome-cds-pep-larger-orf25-50SimCLU3.txt", 3)</f>
        <v>3</v>
      </c>
      <c r="BM555">
        <f>HYPERLINK("http://exon.niaid.nih.gov/transcriptome/Anopheles_sialome/links/cluster-b/anopheline-sialome-cds-pep-larger-orf25-50SimCLTL3.txt", 119)</f>
        <v>119</v>
      </c>
      <c r="BN555">
        <f>HYPERLINK("http://exon.niaid.nih.gov/transcriptome/Anopheles_sialome/links/cluster-b/anopheline-sialome-cds-pep-larger-orf30-50SimCLU3.txt", 3)</f>
        <v>3</v>
      </c>
      <c r="BO555">
        <f>HYPERLINK("http://exon.niaid.nih.gov/transcriptome/Anopheles_sialome/links/cluster-b/anopheline-sialome-cds-pep-larger-orf30-50SimCLTL3.txt", 119)</f>
        <v>119</v>
      </c>
      <c r="BP555">
        <f>HYPERLINK("http://exon.niaid.nih.gov/transcriptome/Anopheles_sialome/links/cluster-b/anopheline-sialome-cds-pep-larger-orf35-50SimCLU2.txt", 2)</f>
        <v>2</v>
      </c>
      <c r="BQ555">
        <f>HYPERLINK("http://exon.niaid.nih.gov/transcriptome/Anopheles_sialome/links/cluster-b/anopheline-sialome-cds-pep-larger-orf35-50SimCLTL2.txt", 119)</f>
        <v>119</v>
      </c>
      <c r="BR555">
        <f>HYPERLINK("http://exon.niaid.nih.gov/transcriptome/Anopheles_sialome/links/cluster-b/anopheline-sialome-cds-pep-larger-orf40-50SimCLU1.txt", 1)</f>
        <v>1</v>
      </c>
      <c r="BS555">
        <f>HYPERLINK("http://exon.niaid.nih.gov/transcriptome/Anopheles_sialome/links/cluster-b/anopheline-sialome-cds-pep-larger-orf40-50SimCLTL1.txt", 119)</f>
        <v>119</v>
      </c>
      <c r="BT555">
        <f>HYPERLINK("http://exon.niaid.nih.gov/transcriptome/Anopheles_sialome/links/cluster-b/anopheline-sialome-cds-pep-larger-orf45-50SimCLU3.txt", 3)</f>
        <v>3</v>
      </c>
      <c r="BU555">
        <f>HYPERLINK("http://exon.niaid.nih.gov/transcriptome/Anopheles_sialome/links/cluster-b/anopheline-sialome-cds-pep-larger-orf45-50SimCLTL3.txt", 65)</f>
        <v>65</v>
      </c>
      <c r="BV555">
        <f>HYPERLINK("http://exon.niaid.nih.gov/transcriptome/Anopheles_sialome/links/cluster-b/anopheline-sialome-cds-pep-larger-orf50-50SimCLU27.txt", 27)</f>
        <v>27</v>
      </c>
      <c r="BW555">
        <f>HYPERLINK("http://exon.niaid.nih.gov/transcriptome/Anopheles_sialome/links/cluster-b/anopheline-sialome-cds-pep-larger-orf50-50SimCLTL27.txt", 17)</f>
        <v>17</v>
      </c>
      <c r="BX555">
        <f>HYPERLINK("http://exon.niaid.nih.gov/transcriptome/Anopheles_sialome/links/cluster-b/anopheline-sialome-cds-pep-larger-orf55-50SimCLU26.txt", 26)</f>
        <v>26</v>
      </c>
      <c r="BY555">
        <f>HYPERLINK("http://exon.niaid.nih.gov/transcriptome/Anopheles_sialome/links/cluster-b/anopheline-sialome-cds-pep-larger-orf55-50SimCLTL26.txt", 17)</f>
        <v>17</v>
      </c>
      <c r="BZ555">
        <f>HYPERLINK("http://exon.niaid.nih.gov/transcriptome/Anopheles_sialome/links/cluster-b/anopheline-sialome-cds-pep-larger-orf60-50SimCLU28.txt", 28)</f>
        <v>28</v>
      </c>
      <c r="CA555">
        <f>HYPERLINK("http://exon.niaid.nih.gov/transcriptome/Anopheles_sialome/links/cluster-b/anopheline-sialome-cds-pep-larger-orf60-50SimCLTL28.txt", 16)</f>
        <v>16</v>
      </c>
      <c r="CB555">
        <f>HYPERLINK("http://exon.niaid.nih.gov/transcriptome/Anopheles_sialome/links/cluster-b/anopheline-sialome-cds-pep-larger-orf65-50SimCLU25.txt", 25)</f>
        <v>25</v>
      </c>
      <c r="CC555">
        <f>HYPERLINK("http://exon.niaid.nih.gov/transcriptome/Anopheles_sialome/links/cluster-b/anopheline-sialome-cds-pep-larger-orf65-50SimCLTL25.txt", 16)</f>
        <v>16</v>
      </c>
      <c r="CD555">
        <f>HYPERLINK("http://exon.niaid.nih.gov/transcriptome/Anopheles_sialome/links/cluster-b/anopheline-sialome-cds-pep-larger-orf70-50SimCLU33.txt", 33)</f>
        <v>33</v>
      </c>
      <c r="CE555">
        <f>HYPERLINK("http://exon.niaid.nih.gov/transcriptome/Anopheles_sialome/links/cluster-b/anopheline-sialome-cds-pep-larger-orf70-50SimCLTL33.txt", 14)</f>
        <v>14</v>
      </c>
      <c r="CF555">
        <f>HYPERLINK("http://exon.niaid.nih.gov/transcriptome/Anopheles_sialome/links/cluster-b/anopheline-sialome-cds-pep-larger-orf75-50SimCLU80.txt", 80)</f>
        <v>80</v>
      </c>
      <c r="CG555">
        <f>HYPERLINK("http://exon.niaid.nih.gov/transcriptome/Anopheles_sialome/links/cluster-b/anopheline-sialome-cds-pep-larger-orf75-50SimCLTL80.txt", 2)</f>
        <v>2</v>
      </c>
      <c r="CH555">
        <v>211</v>
      </c>
      <c r="CI555">
        <v>1</v>
      </c>
      <c r="CJ555">
        <v>284</v>
      </c>
      <c r="CK555">
        <v>1</v>
      </c>
      <c r="CL555">
        <v>363</v>
      </c>
      <c r="CM555">
        <v>1</v>
      </c>
      <c r="CN555">
        <v>438</v>
      </c>
      <c r="CO555">
        <v>1</v>
      </c>
    </row>
    <row r="556" spans="1:93">
      <c r="A556" s="2" t="str">
        <f>HYPERLINK("http://exon.niaid.nih.gov/transcriptome/Anopheles_sialome/links/cds/anodir_SG1-like3-cds.txt","anodir_SG1-like3")</f>
        <v>anodir_SG1-like3</v>
      </c>
      <c r="B556">
        <v>1185</v>
      </c>
      <c r="C556" t="s">
        <v>474</v>
      </c>
      <c r="D556" t="s">
        <v>4</v>
      </c>
      <c r="E556" t="s">
        <v>5</v>
      </c>
      <c r="F556" t="s">
        <v>1</v>
      </c>
      <c r="G556" t="str">
        <f>HYPERLINK("http://exon.niaid.nih.gov/transcriptome/Anopheles_sialome/links/pep/anodir_SG1-like3-pep.txt","anodir_SG1-like3")</f>
        <v>anodir_SG1-like3</v>
      </c>
      <c r="H556">
        <v>394</v>
      </c>
      <c r="I556">
        <v>1</v>
      </c>
      <c r="J556" s="3" t="str">
        <f>HYPERLINK("http://exon.niaid.nih.gov/transcriptome/Anopheles_sialome/links/Sigp/anodir_SG1-like3-SigP.txt","SIG")</f>
        <v>SIG</v>
      </c>
      <c r="K556" t="s">
        <v>708</v>
      </c>
      <c r="L556">
        <v>44.302999999999997</v>
      </c>
      <c r="M556">
        <v>6.61</v>
      </c>
      <c r="N556">
        <v>42.039000000000001</v>
      </c>
      <c r="O556">
        <v>6.65</v>
      </c>
      <c r="P556" t="s">
        <v>1189</v>
      </c>
      <c r="Q556" s="3">
        <v>0</v>
      </c>
      <c r="R556" t="s">
        <v>128</v>
      </c>
      <c r="S556" t="s">
        <v>128</v>
      </c>
      <c r="T556" t="s">
        <v>128</v>
      </c>
      <c r="U556" t="s">
        <v>128</v>
      </c>
      <c r="V556" t="s">
        <v>128</v>
      </c>
      <c r="W556" s="3" t="str">
        <f>HYPERLINK("http://exon.niaid.nih.gov/transcriptome/Anopheles_sialome/links/netoglyc/anodir_SG1-like3-netoglyc.txt","0")</f>
        <v>0</v>
      </c>
      <c r="X556">
        <v>7.1</v>
      </c>
      <c r="Y556">
        <v>5.0999999999999996</v>
      </c>
      <c r="Z556">
        <v>3.3</v>
      </c>
      <c r="AA556" t="s">
        <v>654</v>
      </c>
      <c r="AB556" t="s">
        <v>128</v>
      </c>
      <c r="AC556" s="2" t="str">
        <f>HYPERLINK("http://exon.niaid.nih.gov/transcriptome/Anopheles_sialome/links/DIPTERA/anodir_SG1-like3-DIPTERA.txt","SG1-like 3 salivary protein, partial")</f>
        <v>SG1-like 3 salivary protein, partial</v>
      </c>
      <c r="AD556" t="str">
        <f>HYPERLINK("http://www.ncbi.nlm.nih.gov/sutils/blink.cgi?pid=31979112","0.0")</f>
        <v>0.0</v>
      </c>
      <c r="AE556" t="str">
        <f>HYPERLINK("http://www.ncbi.nlm.nih.gov/protein/31979112","gi|31979112")</f>
        <v>gi|31979112</v>
      </c>
      <c r="AF556">
        <v>92</v>
      </c>
      <c r="AG556">
        <v>97</v>
      </c>
      <c r="AH556">
        <v>101</v>
      </c>
      <c r="AI556" t="s">
        <v>2274</v>
      </c>
      <c r="AJ556" s="2" t="str">
        <f>HYPERLINK("http://exon.niaid.nih.gov/transcriptome/Anopheles_sialome/links/CULICOMORPHA/anodir_SG1-like3-CULICOMORPHA.txt","SG1-like 3 salivary protein, partial")</f>
        <v>SG1-like 3 salivary protein, partial</v>
      </c>
      <c r="AK556" t="str">
        <f>HYPERLINK("http://www.ncbi.nlm.nih.gov/sutils/blink.cgi?pid=31979112","0.0")</f>
        <v>0.0</v>
      </c>
      <c r="AL556" t="str">
        <f>HYPERLINK("http://www.ncbi.nlm.nih.gov/protein/31979112","gi|31979112")</f>
        <v>gi|31979112</v>
      </c>
      <c r="AM556">
        <v>92</v>
      </c>
      <c r="AN556">
        <v>97</v>
      </c>
      <c r="AO556">
        <v>101</v>
      </c>
      <c r="AP556" t="s">
        <v>2274</v>
      </c>
      <c r="AQ556" s="2" t="str">
        <f>HYPERLINK("http://exon.niaid.nih.gov/transcriptome/Anopheles_sialome/links/NR-LIGHT/anodir_SG1-like3-NR-LIGHT.txt","SG1-like 3 salivary protein, partial")</f>
        <v>SG1-like 3 salivary protein, partial</v>
      </c>
      <c r="AR556" t="str">
        <f>HYPERLINK("http://www.ncbi.nlm.nih.gov/sutils/blink.cgi?pid=31979112","0.0")</f>
        <v>0.0</v>
      </c>
      <c r="AS556" t="str">
        <f>HYPERLINK("http://www.ncbi.nlm.nih.gov/protein/31979112","gi|31979112")</f>
        <v>gi|31979112</v>
      </c>
      <c r="AT556">
        <v>92</v>
      </c>
      <c r="AU556">
        <v>97</v>
      </c>
      <c r="AV556">
        <v>101</v>
      </c>
      <c r="AW556" t="s">
        <v>2274</v>
      </c>
      <c r="AX556" s="2" t="str">
        <f>HYPERLINK("http://exon.niaid.nih.gov/transcriptome/Anopheles_sialome/links/CDD/anodir_SG1-like3-CDD.txt","dnaG")</f>
        <v>dnaG</v>
      </c>
      <c r="AY556" t="str">
        <f>HYPERLINK("http://www.ncbi.nlm.nih.gov/Structure/cdd/cddsrv.cgi?uid=PRK05667&amp;version=v4.0","0.27")</f>
        <v>0.27</v>
      </c>
      <c r="AZ556" t="s">
        <v>2944</v>
      </c>
      <c r="BA556" s="2" t="str">
        <f>HYPERLINK("http://exon.niaid.nih.gov/transcriptome/Anopheles_sialome/links/KOG/anodir_SG1-like3-KOG.txt","SPRY domain-containing proteins")</f>
        <v>SPRY domain-containing proteins</v>
      </c>
      <c r="BB556" t="str">
        <f>HYPERLINK("http://www.ncbi.nlm.nih.gov/Structure/cdd/cddsrv.cgi?uid=KOG1477","0.74")</f>
        <v>0.74</v>
      </c>
      <c r="BC556" t="s">
        <v>2310</v>
      </c>
      <c r="BD556" t="str">
        <f>HYPERLINK("http://exon.niaid.nih.gov/transcriptome/Anopheles_sialome/links/KOG/anodir_SG1-like3-KOG.txt","KOG1477")</f>
        <v>KOG1477</v>
      </c>
      <c r="BE556" t="str">
        <f>HYPERLINK("http://exon.niaid.nih.gov/transcriptome/Anopheles_sialome/links/PFAM/anodir_SG1-like3-PFAM.txt","IncFII_repA")</f>
        <v>IncFII_repA</v>
      </c>
      <c r="BF556" t="str">
        <f>HYPERLINK("http://pfam.sanger.ac.uk/family?acc=PF02387","0.51")</f>
        <v>0.51</v>
      </c>
      <c r="BG556" s="2" t="str">
        <f>HYPERLINK("http://exon.niaid.nih.gov/transcriptome/Anopheles_sialome/links/SMART/anodir_SG1-like3-SMART.txt","GDNF")</f>
        <v>GDNF</v>
      </c>
      <c r="BH556" t="str">
        <f>HYPERLINK("http://smart.embl-heidelberg.de/smart/do_annotation.pl?DOMAIN=GDNF&amp;BLAST=DUMMY","0.61")</f>
        <v>0.61</v>
      </c>
      <c r="BI556" t="str">
        <f>HYPERLINK("http://exon.niaid.nih.gov/transcriptome/Anopheles_sialome/links/TICK-BLOCKS/anodir_SG1-like3-TICK-BLOCKS.txt","SG1_full |SG1_stringent_pattern |")</f>
        <v>SG1_full |SG1_stringent_pattern |</v>
      </c>
      <c r="BJ556" s="2" t="s">
        <v>2423</v>
      </c>
      <c r="BK556" t="s">
        <v>1870</v>
      </c>
      <c r="BL556">
        <f>HYPERLINK("http://exon.niaid.nih.gov/transcriptome/Anopheles_sialome/links/cluster-b/anopheline-sialome-cds-pep-larger-orf25-50SimCLU3.txt", 3)</f>
        <v>3</v>
      </c>
      <c r="BM556">
        <f>HYPERLINK("http://exon.niaid.nih.gov/transcriptome/Anopheles_sialome/links/cluster-b/anopheline-sialome-cds-pep-larger-orf25-50SimCLTL3.txt", 119)</f>
        <v>119</v>
      </c>
      <c r="BN556">
        <f>HYPERLINK("http://exon.niaid.nih.gov/transcriptome/Anopheles_sialome/links/cluster-b/anopheline-sialome-cds-pep-larger-orf30-50SimCLU3.txt", 3)</f>
        <v>3</v>
      </c>
      <c r="BO556">
        <f>HYPERLINK("http://exon.niaid.nih.gov/transcriptome/Anopheles_sialome/links/cluster-b/anopheline-sialome-cds-pep-larger-orf30-50SimCLTL3.txt", 119)</f>
        <v>119</v>
      </c>
      <c r="BP556">
        <f>HYPERLINK("http://exon.niaid.nih.gov/transcriptome/Anopheles_sialome/links/cluster-b/anopheline-sialome-cds-pep-larger-orf35-50SimCLU2.txt", 2)</f>
        <v>2</v>
      </c>
      <c r="BQ556">
        <f>HYPERLINK("http://exon.niaid.nih.gov/transcriptome/Anopheles_sialome/links/cluster-b/anopheline-sialome-cds-pep-larger-orf35-50SimCLTL2.txt", 119)</f>
        <v>119</v>
      </c>
      <c r="BR556">
        <f>HYPERLINK("http://exon.niaid.nih.gov/transcriptome/Anopheles_sialome/links/cluster-b/anopheline-sialome-cds-pep-larger-orf40-50SimCLU1.txt", 1)</f>
        <v>1</v>
      </c>
      <c r="BS556">
        <f>HYPERLINK("http://exon.niaid.nih.gov/transcriptome/Anopheles_sialome/links/cluster-b/anopheline-sialome-cds-pep-larger-orf40-50SimCLTL1.txt", 119)</f>
        <v>119</v>
      </c>
      <c r="BT556">
        <f>HYPERLINK("http://exon.niaid.nih.gov/transcriptome/Anopheles_sialome/links/cluster-b/anopheline-sialome-cds-pep-larger-orf45-50SimCLU3.txt", 3)</f>
        <v>3</v>
      </c>
      <c r="BU556">
        <f>HYPERLINK("http://exon.niaid.nih.gov/transcriptome/Anopheles_sialome/links/cluster-b/anopheline-sialome-cds-pep-larger-orf45-50SimCLTL3.txt", 65)</f>
        <v>65</v>
      </c>
      <c r="BV556">
        <f>HYPERLINK("http://exon.niaid.nih.gov/transcriptome/Anopheles_sialome/links/cluster-b/anopheline-sialome-cds-pep-larger-orf50-50SimCLU27.txt", 27)</f>
        <v>27</v>
      </c>
      <c r="BW556">
        <f>HYPERLINK("http://exon.niaid.nih.gov/transcriptome/Anopheles_sialome/links/cluster-b/anopheline-sialome-cds-pep-larger-orf50-50SimCLTL27.txt", 17)</f>
        <v>17</v>
      </c>
      <c r="BX556">
        <f>HYPERLINK("http://exon.niaid.nih.gov/transcriptome/Anopheles_sialome/links/cluster-b/anopheline-sialome-cds-pep-larger-orf55-50SimCLU26.txt", 26)</f>
        <v>26</v>
      </c>
      <c r="BY556">
        <f>HYPERLINK("http://exon.niaid.nih.gov/transcriptome/Anopheles_sialome/links/cluster-b/anopheline-sialome-cds-pep-larger-orf55-50SimCLTL26.txt", 17)</f>
        <v>17</v>
      </c>
      <c r="BZ556">
        <f>HYPERLINK("http://exon.niaid.nih.gov/transcriptome/Anopheles_sialome/links/cluster-b/anopheline-sialome-cds-pep-larger-orf60-50SimCLU28.txt", 28)</f>
        <v>28</v>
      </c>
      <c r="CA556">
        <f>HYPERLINK("http://exon.niaid.nih.gov/transcriptome/Anopheles_sialome/links/cluster-b/anopheline-sialome-cds-pep-larger-orf60-50SimCLTL28.txt", 16)</f>
        <v>16</v>
      </c>
      <c r="CB556">
        <f>HYPERLINK("http://exon.niaid.nih.gov/transcriptome/Anopheles_sialome/links/cluster-b/anopheline-sialome-cds-pep-larger-orf65-50SimCLU25.txt", 25)</f>
        <v>25</v>
      </c>
      <c r="CC556">
        <f>HYPERLINK("http://exon.niaid.nih.gov/transcriptome/Anopheles_sialome/links/cluster-b/anopheline-sialome-cds-pep-larger-orf65-50SimCLTL25.txt", 16)</f>
        <v>16</v>
      </c>
      <c r="CD556">
        <f>HYPERLINK("http://exon.niaid.nih.gov/transcriptome/Anopheles_sialome/links/cluster-b/anopheline-sialome-cds-pep-larger-orf70-50SimCLU33.txt", 33)</f>
        <v>33</v>
      </c>
      <c r="CE556">
        <f>HYPERLINK("http://exon.niaid.nih.gov/transcriptome/Anopheles_sialome/links/cluster-b/anopheline-sialome-cds-pep-larger-orf70-50SimCLTL33.txt", 14)</f>
        <v>14</v>
      </c>
      <c r="CF556">
        <f>HYPERLINK("http://exon.niaid.nih.gov/transcriptome/Anopheles_sialome/links/cluster-b/anopheline-sialome-cds-pep-larger-orf75-50SimCLU80.txt", 80)</f>
        <v>80</v>
      </c>
      <c r="CG556">
        <f>HYPERLINK("http://exon.niaid.nih.gov/transcriptome/Anopheles_sialome/links/cluster-b/anopheline-sialome-cds-pep-larger-orf75-50SimCLTL80.txt", 2)</f>
        <v>2</v>
      </c>
      <c r="CH556">
        <v>212</v>
      </c>
      <c r="CI556">
        <v>1</v>
      </c>
      <c r="CJ556">
        <v>285</v>
      </c>
      <c r="CK556">
        <v>1</v>
      </c>
      <c r="CL556">
        <v>364</v>
      </c>
      <c r="CM556">
        <v>1</v>
      </c>
      <c r="CN556">
        <v>439</v>
      </c>
      <c r="CO556">
        <v>1</v>
      </c>
    </row>
    <row r="557" spans="1:93">
      <c r="A557" s="2" t="str">
        <f>HYPERLINK("http://exon.niaid.nih.gov/transcriptome/Anopheles_sialome/links/cds/anoatro_SG1-like3-cds.txt","anoatro_SG1-like3")</f>
        <v>anoatro_SG1-like3</v>
      </c>
      <c r="B557">
        <v>1173</v>
      </c>
      <c r="C557" t="s">
        <v>475</v>
      </c>
      <c r="D557" t="s">
        <v>7</v>
      </c>
      <c r="E557" t="s">
        <v>5</v>
      </c>
      <c r="F557" t="s">
        <v>1</v>
      </c>
      <c r="G557" t="str">
        <f>HYPERLINK("http://exon.niaid.nih.gov/transcriptome/Anopheles_sialome/links/pep/anoatro_SG1-like3-pep.txt","anoatro_SG1-like3")</f>
        <v>anoatro_SG1-like3</v>
      </c>
      <c r="H557">
        <v>390</v>
      </c>
      <c r="I557">
        <v>0</v>
      </c>
      <c r="J557" s="3" t="str">
        <f>HYPERLINK("http://exon.niaid.nih.gov/transcriptome/Anopheles_sialome/links/Sigp/anoatro_SG1-like3-SigP.txt","SIG")</f>
        <v>SIG</v>
      </c>
      <c r="K557" t="s">
        <v>925</v>
      </c>
      <c r="L557">
        <v>43.712000000000003</v>
      </c>
      <c r="M557">
        <v>6.08</v>
      </c>
      <c r="N557">
        <v>41.731000000000002</v>
      </c>
      <c r="O557">
        <v>5.91</v>
      </c>
      <c r="P557" t="s">
        <v>1041</v>
      </c>
      <c r="Q557" s="3">
        <v>0</v>
      </c>
      <c r="R557" t="s">
        <v>128</v>
      </c>
      <c r="S557" t="s">
        <v>128</v>
      </c>
      <c r="T557" t="s">
        <v>128</v>
      </c>
      <c r="U557" t="s">
        <v>128</v>
      </c>
      <c r="V557" t="s">
        <v>128</v>
      </c>
      <c r="W557" s="3" t="str">
        <f>HYPERLINK("http://exon.niaid.nih.gov/transcriptome/Anopheles_sialome/links/netoglyc/anoatro_SG1-like3-netoglyc.txt","1")</f>
        <v>1</v>
      </c>
      <c r="X557">
        <v>10.8</v>
      </c>
      <c r="Y557">
        <v>5.4</v>
      </c>
      <c r="Z557">
        <v>3.6</v>
      </c>
      <c r="AA557" t="s">
        <v>654</v>
      </c>
      <c r="AB557" t="s">
        <v>128</v>
      </c>
      <c r="AC557" s="2" t="str">
        <f>HYPERLINK("http://exon.niaid.nih.gov/transcriptome/Anopheles_sialome/links/DIPTERA/anoatro_SG1-like3-DIPTERA.txt","AGAP000607-PA-like protein")</f>
        <v>AGAP000607-PA-like protein</v>
      </c>
      <c r="AD557" t="str">
        <f>HYPERLINK("http://www.ncbi.nlm.nih.gov/sutils/blink.cgi?pid=668449457","1E-125")</f>
        <v>1E-125</v>
      </c>
      <c r="AE557" t="str">
        <f>HYPERLINK("http://www.ncbi.nlm.nih.gov/protein/668449457","gi|668449457")</f>
        <v>gi|668449457</v>
      </c>
      <c r="AF557">
        <v>58</v>
      </c>
      <c r="AG557">
        <v>74</v>
      </c>
      <c r="AH557">
        <v>99</v>
      </c>
      <c r="AI557" t="s">
        <v>2277</v>
      </c>
      <c r="AJ557" s="2" t="str">
        <f>HYPERLINK("http://exon.niaid.nih.gov/transcriptome/Anopheles_sialome/links/CULICOMORPHA/anoatro_SG1-like3-CULICOMORPHA.txt","AGAP000607-PA-like protein")</f>
        <v>AGAP000607-PA-like protein</v>
      </c>
      <c r="AK557" t="str">
        <f>HYPERLINK("http://www.ncbi.nlm.nih.gov/sutils/blink.cgi?pid=668449457","1E-126")</f>
        <v>1E-126</v>
      </c>
      <c r="AL557" t="str">
        <f>HYPERLINK("http://www.ncbi.nlm.nih.gov/protein/668449457","gi|668449457")</f>
        <v>gi|668449457</v>
      </c>
      <c r="AM557">
        <v>58</v>
      </c>
      <c r="AN557">
        <v>74</v>
      </c>
      <c r="AO557">
        <v>99</v>
      </c>
      <c r="AP557" t="s">
        <v>2277</v>
      </c>
      <c r="AQ557" s="2" t="str">
        <f>HYPERLINK("http://exon.niaid.nih.gov/transcriptome/Anopheles_sialome/links/NR-LIGHT/anoatro_SG1-like3-NR-LIGHT.txt","AGAP000607-PA-like protein")</f>
        <v>AGAP000607-PA-like protein</v>
      </c>
      <c r="AR557" t="str">
        <f>HYPERLINK("http://www.ncbi.nlm.nih.gov/sutils/blink.cgi?pid=668449457","1E-125")</f>
        <v>1E-125</v>
      </c>
      <c r="AS557" t="str">
        <f>HYPERLINK("http://www.ncbi.nlm.nih.gov/protein/668449457","gi|668449457")</f>
        <v>gi|668449457</v>
      </c>
      <c r="AT557">
        <v>58</v>
      </c>
      <c r="AU557">
        <v>74</v>
      </c>
      <c r="AV557">
        <v>99</v>
      </c>
      <c r="AW557" t="s">
        <v>2277</v>
      </c>
      <c r="AX557" s="2" t="str">
        <f>HYPERLINK("http://exon.niaid.nih.gov/transcriptome/Anopheles_sialome/links/CDD/anoatro_SG1-like3-CDD.txt","DUF4239")</f>
        <v>DUF4239</v>
      </c>
      <c r="AY557" t="str">
        <f>HYPERLINK("http://www.ncbi.nlm.nih.gov/Structure/cdd/cddsrv.cgi?uid=pfam14023&amp;version=v4.0","0.82")</f>
        <v>0.82</v>
      </c>
      <c r="AZ557" t="s">
        <v>2945</v>
      </c>
      <c r="BA557" s="2" t="str">
        <f>HYPERLINK("http://exon.niaid.nih.gov/transcriptome/Anopheles_sialome/links/KOG/anoatro_SG1-like3-KOG.txt","Molybdopterin synthase sulfurylase")</f>
        <v>Molybdopterin synthase sulfurylase</v>
      </c>
      <c r="BB557" t="str">
        <f>HYPERLINK("http://www.ncbi.nlm.nih.gov/Structure/cdd/cddsrv.cgi?uid=KOG2017","1.0")</f>
        <v>1.0</v>
      </c>
      <c r="BC557" t="s">
        <v>2491</v>
      </c>
      <c r="BD557" t="str">
        <f>HYPERLINK("http://exon.niaid.nih.gov/transcriptome/Anopheles_sialome/links/KOG/anoatro_SG1-like3-KOG.txt","KOG2017")</f>
        <v>KOG2017</v>
      </c>
      <c r="BE557" t="str">
        <f>HYPERLINK("http://exon.niaid.nih.gov/transcriptome/Anopheles_sialome/links/PFAM/anoatro_SG1-like3-PFAM.txt","DUF4239")</f>
        <v>DUF4239</v>
      </c>
      <c r="BF557" t="str">
        <f>HYPERLINK("http://pfam.sanger.ac.uk/family?acc=PF14023","0.16")</f>
        <v>0.16</v>
      </c>
      <c r="BG557" s="2" t="str">
        <f>HYPERLINK("http://exon.niaid.nih.gov/transcriptome/Anopheles_sialome/links/SMART/anoatro_SG1-like3-SMART.txt","DM4_12")</f>
        <v>DM4_12</v>
      </c>
      <c r="BH557" t="str">
        <f>HYPERLINK("http://smart.embl-heidelberg.de/smart/do_annotation.pl?DOMAIN=DM4_12&amp;BLAST=DUMMY","1.5")</f>
        <v>1.5</v>
      </c>
      <c r="BI557" t="str">
        <f>HYPERLINK("http://exon.niaid.nih.gov/transcriptome/Anopheles_sialome/links/TICK-BLOCKS/anoatro_SG1-like3-TICK-BLOCKS.txt","SG1_full |SG1_stringent_pattern |")</f>
        <v>SG1_full |SG1_stringent_pattern |</v>
      </c>
      <c r="BJ557" s="2" t="s">
        <v>2423</v>
      </c>
      <c r="BK557" t="s">
        <v>1871</v>
      </c>
      <c r="BL557">
        <f>HYPERLINK("http://exon.niaid.nih.gov/transcriptome/Anopheles_sialome/links/cluster-b/anopheline-sialome-cds-pep-larger-orf25-50SimCLU3.txt", 3)</f>
        <v>3</v>
      </c>
      <c r="BM557">
        <f>HYPERLINK("http://exon.niaid.nih.gov/transcriptome/Anopheles_sialome/links/cluster-b/anopheline-sialome-cds-pep-larger-orf25-50SimCLTL3.txt", 119)</f>
        <v>119</v>
      </c>
      <c r="BN557">
        <f>HYPERLINK("http://exon.niaid.nih.gov/transcriptome/Anopheles_sialome/links/cluster-b/anopheline-sialome-cds-pep-larger-orf30-50SimCLU3.txt", 3)</f>
        <v>3</v>
      </c>
      <c r="BO557">
        <f>HYPERLINK("http://exon.niaid.nih.gov/transcriptome/Anopheles_sialome/links/cluster-b/anopheline-sialome-cds-pep-larger-orf30-50SimCLTL3.txt", 119)</f>
        <v>119</v>
      </c>
      <c r="BP557">
        <f>HYPERLINK("http://exon.niaid.nih.gov/transcriptome/Anopheles_sialome/links/cluster-b/anopheline-sialome-cds-pep-larger-orf35-50SimCLU2.txt", 2)</f>
        <v>2</v>
      </c>
      <c r="BQ557">
        <f>HYPERLINK("http://exon.niaid.nih.gov/transcriptome/Anopheles_sialome/links/cluster-b/anopheline-sialome-cds-pep-larger-orf35-50SimCLTL2.txt", 119)</f>
        <v>119</v>
      </c>
      <c r="BR557">
        <f>HYPERLINK("http://exon.niaid.nih.gov/transcriptome/Anopheles_sialome/links/cluster-b/anopheline-sialome-cds-pep-larger-orf40-50SimCLU1.txt", 1)</f>
        <v>1</v>
      </c>
      <c r="BS557">
        <f>HYPERLINK("http://exon.niaid.nih.gov/transcriptome/Anopheles_sialome/links/cluster-b/anopheline-sialome-cds-pep-larger-orf40-50SimCLTL1.txt", 119)</f>
        <v>119</v>
      </c>
      <c r="BT557">
        <f>HYPERLINK("http://exon.niaid.nih.gov/transcriptome/Anopheles_sialome/links/cluster-b/anopheline-sialome-cds-pep-larger-orf45-50SimCLU3.txt", 3)</f>
        <v>3</v>
      </c>
      <c r="BU557">
        <f>HYPERLINK("http://exon.niaid.nih.gov/transcriptome/Anopheles_sialome/links/cluster-b/anopheline-sialome-cds-pep-larger-orf45-50SimCLTL3.txt", 65)</f>
        <v>65</v>
      </c>
      <c r="BV557">
        <f>HYPERLINK("http://exon.niaid.nih.gov/transcriptome/Anopheles_sialome/links/cluster-b/anopheline-sialome-cds-pep-larger-orf50-50SimCLU27.txt", 27)</f>
        <v>27</v>
      </c>
      <c r="BW557">
        <f>HYPERLINK("http://exon.niaid.nih.gov/transcriptome/Anopheles_sialome/links/cluster-b/anopheline-sialome-cds-pep-larger-orf50-50SimCLTL27.txt", 17)</f>
        <v>17</v>
      </c>
      <c r="BX557">
        <f>HYPERLINK("http://exon.niaid.nih.gov/transcriptome/Anopheles_sialome/links/cluster-b/anopheline-sialome-cds-pep-larger-orf55-50SimCLU26.txt", 26)</f>
        <v>26</v>
      </c>
      <c r="BY557">
        <f>HYPERLINK("http://exon.niaid.nih.gov/transcriptome/Anopheles_sialome/links/cluster-b/anopheline-sialome-cds-pep-larger-orf55-50SimCLTL26.txt", 17)</f>
        <v>17</v>
      </c>
      <c r="BZ557">
        <f>HYPERLINK("http://exon.niaid.nih.gov/transcriptome/Anopheles_sialome/links/cluster-b/anopheline-sialome-cds-pep-larger-orf60-50SimCLU28.txt", 28)</f>
        <v>28</v>
      </c>
      <c r="CA557">
        <f>HYPERLINK("http://exon.niaid.nih.gov/transcriptome/Anopheles_sialome/links/cluster-b/anopheline-sialome-cds-pep-larger-orf60-50SimCLTL28.txt", 16)</f>
        <v>16</v>
      </c>
      <c r="CB557">
        <f>HYPERLINK("http://exon.niaid.nih.gov/transcriptome/Anopheles_sialome/links/cluster-b/anopheline-sialome-cds-pep-larger-orf65-50SimCLU25.txt", 25)</f>
        <v>25</v>
      </c>
      <c r="CC557">
        <f>HYPERLINK("http://exon.niaid.nih.gov/transcriptome/Anopheles_sialome/links/cluster-b/anopheline-sialome-cds-pep-larger-orf65-50SimCLTL25.txt", 16)</f>
        <v>16</v>
      </c>
      <c r="CD557">
        <f>HYPERLINK("http://exon.niaid.nih.gov/transcriptome/Anopheles_sialome/links/cluster-b/anopheline-sialome-cds-pep-larger-orf70-50SimCLU62.txt", 62)</f>
        <v>62</v>
      </c>
      <c r="CE557">
        <f>HYPERLINK("http://exon.niaid.nih.gov/transcriptome/Anopheles_sialome/links/cluster-b/anopheline-sialome-cds-pep-larger-orf70-50SimCLTL62.txt", 2)</f>
        <v>2</v>
      </c>
      <c r="CF557">
        <v>151</v>
      </c>
      <c r="CG557">
        <v>1</v>
      </c>
      <c r="CH557">
        <v>213</v>
      </c>
      <c r="CI557">
        <v>1</v>
      </c>
      <c r="CJ557">
        <v>286</v>
      </c>
      <c r="CK557">
        <v>1</v>
      </c>
      <c r="CL557">
        <v>365</v>
      </c>
      <c r="CM557">
        <v>1</v>
      </c>
      <c r="CN557">
        <v>440</v>
      </c>
      <c r="CO557">
        <v>1</v>
      </c>
    </row>
    <row r="558" spans="1:93">
      <c r="A558" s="2" t="str">
        <f>HYPERLINK("http://exon.niaid.nih.gov/transcriptome/Anopheles_sialome/links/cds/anosin_SG1-like3-cds.txt","anosin_SG1-like3")</f>
        <v>anosin_SG1-like3</v>
      </c>
      <c r="B558">
        <v>1170</v>
      </c>
      <c r="C558" t="s">
        <v>476</v>
      </c>
      <c r="D558" t="s">
        <v>4</v>
      </c>
      <c r="E558" t="s">
        <v>5</v>
      </c>
      <c r="F558" t="s">
        <v>1</v>
      </c>
      <c r="G558" t="str">
        <f>HYPERLINK("http://exon.niaid.nih.gov/transcriptome/Anopheles_sialome/links/pep/anosin_SG1-like3-pep.txt","anosin_SG1-like3")</f>
        <v>anosin_SG1-like3</v>
      </c>
      <c r="H558">
        <v>389</v>
      </c>
      <c r="I558">
        <v>0</v>
      </c>
      <c r="J558" s="3" t="str">
        <f>HYPERLINK("http://exon.niaid.nih.gov/transcriptome/Anopheles_sialome/links/Sigp/anosin_SG1-like3-SigP.txt","SIG")</f>
        <v>SIG</v>
      </c>
      <c r="K558" t="s">
        <v>689</v>
      </c>
      <c r="L558">
        <v>44.103000000000002</v>
      </c>
      <c r="M558">
        <v>7.26</v>
      </c>
      <c r="N558">
        <v>41.61</v>
      </c>
      <c r="O558">
        <v>7.01</v>
      </c>
      <c r="P558" t="s">
        <v>1873</v>
      </c>
      <c r="Q558" s="3">
        <v>0</v>
      </c>
      <c r="R558" t="s">
        <v>128</v>
      </c>
      <c r="S558" t="s">
        <v>128</v>
      </c>
      <c r="T558" t="s">
        <v>128</v>
      </c>
      <c r="U558" t="s">
        <v>128</v>
      </c>
      <c r="V558" t="s">
        <v>128</v>
      </c>
      <c r="W558" s="3" t="str">
        <f>HYPERLINK("http://exon.niaid.nih.gov/transcriptome/Anopheles_sialome/links/netoglyc/anosin_SG1-like3-netoglyc.txt","0")</f>
        <v>0</v>
      </c>
      <c r="X558">
        <v>12.9</v>
      </c>
      <c r="Y558">
        <v>4.0999999999999996</v>
      </c>
      <c r="Z558">
        <v>2.8</v>
      </c>
      <c r="AA558" t="s">
        <v>654</v>
      </c>
      <c r="AB558" t="s">
        <v>128</v>
      </c>
      <c r="AC558" s="2" t="str">
        <f>HYPERLINK("http://exon.niaid.nih.gov/transcriptome/Anopheles_sialome/links/DIPTERA/anosin_SG1-like3-DIPTERA.txt","AGAP000607-PA-like protein")</f>
        <v>AGAP000607-PA-like protein</v>
      </c>
      <c r="AD558" t="str">
        <f>HYPERLINK("http://www.ncbi.nlm.nih.gov/sutils/blink.cgi?pid=668449457","0.0")</f>
        <v>0.0</v>
      </c>
      <c r="AE558" t="str">
        <f>HYPERLINK("http://www.ncbi.nlm.nih.gov/protein/668449457","gi|668449457")</f>
        <v>gi|668449457</v>
      </c>
      <c r="AF558">
        <v>98</v>
      </c>
      <c r="AG558">
        <v>98</v>
      </c>
      <c r="AH558">
        <v>100</v>
      </c>
      <c r="AI558" t="s">
        <v>2277</v>
      </c>
      <c r="AJ558" s="2" t="str">
        <f>HYPERLINK("http://exon.niaid.nih.gov/transcriptome/Anopheles_sialome/links/CULICOMORPHA/anosin_SG1-like3-CULICOMORPHA.txt","AGAP000607-PA-like protein")</f>
        <v>AGAP000607-PA-like protein</v>
      </c>
      <c r="AK558" t="str">
        <f>HYPERLINK("http://www.ncbi.nlm.nih.gov/sutils/blink.cgi?pid=668449457","0.0")</f>
        <v>0.0</v>
      </c>
      <c r="AL558" t="str">
        <f>HYPERLINK("http://www.ncbi.nlm.nih.gov/protein/668449457","gi|668449457")</f>
        <v>gi|668449457</v>
      </c>
      <c r="AM558">
        <v>98</v>
      </c>
      <c r="AN558">
        <v>98</v>
      </c>
      <c r="AO558">
        <v>100</v>
      </c>
      <c r="AP558" t="s">
        <v>2277</v>
      </c>
      <c r="AQ558" s="2" t="str">
        <f>HYPERLINK("http://exon.niaid.nih.gov/transcriptome/Anopheles_sialome/links/NR-LIGHT/anosin_SG1-like3-NR-LIGHT.txt","AGAP000607-PA-like protein")</f>
        <v>AGAP000607-PA-like protein</v>
      </c>
      <c r="AR558" t="str">
        <f>HYPERLINK("http://www.ncbi.nlm.nih.gov/sutils/blink.cgi?pid=668449457","0.0")</f>
        <v>0.0</v>
      </c>
      <c r="AS558" t="str">
        <f>HYPERLINK("http://www.ncbi.nlm.nih.gov/protein/668449457","gi|668449457")</f>
        <v>gi|668449457</v>
      </c>
      <c r="AT558">
        <v>98</v>
      </c>
      <c r="AU558">
        <v>98</v>
      </c>
      <c r="AV558">
        <v>100</v>
      </c>
      <c r="AW558" t="s">
        <v>2277</v>
      </c>
      <c r="AX558" s="2" t="str">
        <f>HYPERLINK("http://exon.niaid.nih.gov/transcriptome/Anopheles_sialome/links/CDD/anosin_SG1-like3-CDD.txt","Baculo_PEP_C")</f>
        <v>Baculo_PEP_C</v>
      </c>
      <c r="AY558" t="str">
        <f>HYPERLINK("http://www.ncbi.nlm.nih.gov/Structure/cdd/cddsrv.cgi?uid=pfam04513&amp;version=v4.0","0.28")</f>
        <v>0.28</v>
      </c>
      <c r="AZ558" t="s">
        <v>2946</v>
      </c>
      <c r="BA558" s="2" t="str">
        <f>HYPERLINK("http://exon.niaid.nih.gov/transcriptome/Anopheles_sialome/links/KOG/anosin_SG1-like3-KOG.txt","Phosphoinositide 3-kinase")</f>
        <v>Phosphoinositide 3-kinase</v>
      </c>
      <c r="BB558" t="str">
        <f>HYPERLINK("http://www.ncbi.nlm.nih.gov/Structure/cdd/cddsrv.cgi?uid=KOG0905","0.51")</f>
        <v>0.51</v>
      </c>
      <c r="BC558" t="s">
        <v>2292</v>
      </c>
      <c r="BD558" t="str">
        <f>HYPERLINK("http://exon.niaid.nih.gov/transcriptome/Anopheles_sialome/links/KOG/anosin_SG1-like3-KOG.txt","KOG0905")</f>
        <v>KOG0905</v>
      </c>
      <c r="BE558" t="str">
        <f>HYPERLINK("http://exon.niaid.nih.gov/transcriptome/Anopheles_sialome/links/PFAM/anosin_SG1-like3-PFAM.txt","Baculo_PEP_C")</f>
        <v>Baculo_PEP_C</v>
      </c>
      <c r="BF558" t="str">
        <f>HYPERLINK("http://pfam.sanger.ac.uk/family?acc=PF04513","0.055")</f>
        <v>0.055</v>
      </c>
      <c r="BG558" s="2" t="str">
        <f>HYPERLINK("http://exon.niaid.nih.gov/transcriptome/Anopheles_sialome/links/SMART/anosin_SG1-like3-SMART.txt","BRLZ")</f>
        <v>BRLZ</v>
      </c>
      <c r="BH558" t="str">
        <f>HYPERLINK("http://smart.embl-heidelberg.de/smart/do_annotation.pl?DOMAIN=BRLZ&amp;BLAST=DUMMY","2.4")</f>
        <v>2.4</v>
      </c>
      <c r="BI558" t="str">
        <f>HYPERLINK("http://exon.niaid.nih.gov/transcriptome/Anopheles_sialome/links/TICK-BLOCKS/anosin_SG1-like3-TICK-BLOCKS.txt","SG1_full |SG1_stringent_pattern |")</f>
        <v>SG1_full |SG1_stringent_pattern |</v>
      </c>
      <c r="BJ558" s="2" t="s">
        <v>2423</v>
      </c>
      <c r="BK558" t="s">
        <v>1872</v>
      </c>
      <c r="BL558">
        <f>HYPERLINK("http://exon.niaid.nih.gov/transcriptome/Anopheles_sialome/links/cluster-b/anopheline-sialome-cds-pep-larger-orf25-50SimCLU3.txt", 3)</f>
        <v>3</v>
      </c>
      <c r="BM558">
        <f>HYPERLINK("http://exon.niaid.nih.gov/transcriptome/Anopheles_sialome/links/cluster-b/anopheline-sialome-cds-pep-larger-orf25-50SimCLTL3.txt", 119)</f>
        <v>119</v>
      </c>
      <c r="BN558">
        <f>HYPERLINK("http://exon.niaid.nih.gov/transcriptome/Anopheles_sialome/links/cluster-b/anopheline-sialome-cds-pep-larger-orf30-50SimCLU3.txt", 3)</f>
        <v>3</v>
      </c>
      <c r="BO558">
        <f>HYPERLINK("http://exon.niaid.nih.gov/transcriptome/Anopheles_sialome/links/cluster-b/anopheline-sialome-cds-pep-larger-orf30-50SimCLTL3.txt", 119)</f>
        <v>119</v>
      </c>
      <c r="BP558">
        <f>HYPERLINK("http://exon.niaid.nih.gov/transcriptome/Anopheles_sialome/links/cluster-b/anopheline-sialome-cds-pep-larger-orf35-50SimCLU2.txt", 2)</f>
        <v>2</v>
      </c>
      <c r="BQ558">
        <f>HYPERLINK("http://exon.niaid.nih.gov/transcriptome/Anopheles_sialome/links/cluster-b/anopheline-sialome-cds-pep-larger-orf35-50SimCLTL2.txt", 119)</f>
        <v>119</v>
      </c>
      <c r="BR558">
        <f>HYPERLINK("http://exon.niaid.nih.gov/transcriptome/Anopheles_sialome/links/cluster-b/anopheline-sialome-cds-pep-larger-orf40-50SimCLU1.txt", 1)</f>
        <v>1</v>
      </c>
      <c r="BS558">
        <f>HYPERLINK("http://exon.niaid.nih.gov/transcriptome/Anopheles_sialome/links/cluster-b/anopheline-sialome-cds-pep-larger-orf40-50SimCLTL1.txt", 119)</f>
        <v>119</v>
      </c>
      <c r="BT558">
        <f>HYPERLINK("http://exon.niaid.nih.gov/transcriptome/Anopheles_sialome/links/cluster-b/anopheline-sialome-cds-pep-larger-orf45-50SimCLU3.txt", 3)</f>
        <v>3</v>
      </c>
      <c r="BU558">
        <f>HYPERLINK("http://exon.niaid.nih.gov/transcriptome/Anopheles_sialome/links/cluster-b/anopheline-sialome-cds-pep-larger-orf45-50SimCLTL3.txt", 65)</f>
        <v>65</v>
      </c>
      <c r="BV558">
        <f>HYPERLINK("http://exon.niaid.nih.gov/transcriptome/Anopheles_sialome/links/cluster-b/anopheline-sialome-cds-pep-larger-orf50-50SimCLU27.txt", 27)</f>
        <v>27</v>
      </c>
      <c r="BW558">
        <f>HYPERLINK("http://exon.niaid.nih.gov/transcriptome/Anopheles_sialome/links/cluster-b/anopheline-sialome-cds-pep-larger-orf50-50SimCLTL27.txt", 17)</f>
        <v>17</v>
      </c>
      <c r="BX558">
        <f>HYPERLINK("http://exon.niaid.nih.gov/transcriptome/Anopheles_sialome/links/cluster-b/anopheline-sialome-cds-pep-larger-orf55-50SimCLU26.txt", 26)</f>
        <v>26</v>
      </c>
      <c r="BY558">
        <f>HYPERLINK("http://exon.niaid.nih.gov/transcriptome/Anopheles_sialome/links/cluster-b/anopheline-sialome-cds-pep-larger-orf55-50SimCLTL26.txt", 17)</f>
        <v>17</v>
      </c>
      <c r="BZ558">
        <f>HYPERLINK("http://exon.niaid.nih.gov/transcriptome/Anopheles_sialome/links/cluster-b/anopheline-sialome-cds-pep-larger-orf60-50SimCLU28.txt", 28)</f>
        <v>28</v>
      </c>
      <c r="CA558">
        <f>HYPERLINK("http://exon.niaid.nih.gov/transcriptome/Anopheles_sialome/links/cluster-b/anopheline-sialome-cds-pep-larger-orf60-50SimCLTL28.txt", 16)</f>
        <v>16</v>
      </c>
      <c r="CB558">
        <f>HYPERLINK("http://exon.niaid.nih.gov/transcriptome/Anopheles_sialome/links/cluster-b/anopheline-sialome-cds-pep-larger-orf65-50SimCLU25.txt", 25)</f>
        <v>25</v>
      </c>
      <c r="CC558">
        <f>HYPERLINK("http://exon.niaid.nih.gov/transcriptome/Anopheles_sialome/links/cluster-b/anopheline-sialome-cds-pep-larger-orf65-50SimCLTL25.txt", 16)</f>
        <v>16</v>
      </c>
      <c r="CD558">
        <f>HYPERLINK("http://exon.niaid.nih.gov/transcriptome/Anopheles_sialome/links/cluster-b/anopheline-sialome-cds-pep-larger-orf70-50SimCLU62.txt", 62)</f>
        <v>62</v>
      </c>
      <c r="CE558">
        <f>HYPERLINK("http://exon.niaid.nih.gov/transcriptome/Anopheles_sialome/links/cluster-b/anopheline-sialome-cds-pep-larger-orf70-50SimCLTL62.txt", 2)</f>
        <v>2</v>
      </c>
      <c r="CF558">
        <v>152</v>
      </c>
      <c r="CG558">
        <v>1</v>
      </c>
      <c r="CH558">
        <v>214</v>
      </c>
      <c r="CI558">
        <v>1</v>
      </c>
      <c r="CJ558">
        <v>287</v>
      </c>
      <c r="CK558">
        <v>1</v>
      </c>
      <c r="CL558">
        <v>366</v>
      </c>
      <c r="CM558">
        <v>1</v>
      </c>
      <c r="CN558">
        <v>441</v>
      </c>
      <c r="CO558">
        <v>1</v>
      </c>
    </row>
    <row r="559" spans="1:93">
      <c r="A559" s="2" t="str">
        <f>HYPERLINK("http://exon.niaid.nih.gov/transcriptome/Anopheles_sialome/links/cds/anoalb_SG1-like3-cds.txt","anoalb_SG1-like3")</f>
        <v>anoalb_SG1-like3</v>
      </c>
      <c r="B559">
        <v>1164</v>
      </c>
      <c r="C559" t="s">
        <v>477</v>
      </c>
      <c r="D559" t="s">
        <v>4</v>
      </c>
      <c r="E559" t="s">
        <v>5</v>
      </c>
      <c r="F559" t="s">
        <v>1</v>
      </c>
      <c r="G559" t="str">
        <f>HYPERLINK("http://exon.niaid.nih.gov/transcriptome/Anopheles_sialome/links/pep/anoalb_SG1-like3-pep.txt","anoalb_SG1-like3")</f>
        <v>anoalb_SG1-like3</v>
      </c>
      <c r="H559">
        <v>387</v>
      </c>
      <c r="I559">
        <v>0</v>
      </c>
      <c r="J559" s="3" t="str">
        <f>HYPERLINK("http://exon.niaid.nih.gov/transcriptome/Anopheles_sialome/links/Sigp/anoalb_SG1-like3-SigP.txt","SIG")</f>
        <v>SIG</v>
      </c>
      <c r="K559" t="s">
        <v>692</v>
      </c>
      <c r="L559">
        <v>44.39</v>
      </c>
      <c r="M559">
        <v>5.55</v>
      </c>
      <c r="N559">
        <v>42.476999999999997</v>
      </c>
      <c r="O559">
        <v>5.56</v>
      </c>
      <c r="P559" t="s">
        <v>1396</v>
      </c>
      <c r="Q559" s="3">
        <v>0</v>
      </c>
      <c r="R559" t="s">
        <v>128</v>
      </c>
      <c r="S559" t="s">
        <v>128</v>
      </c>
      <c r="T559" t="s">
        <v>128</v>
      </c>
      <c r="U559" t="s">
        <v>128</v>
      </c>
      <c r="V559" t="s">
        <v>128</v>
      </c>
      <c r="W559" s="3" t="str">
        <f>HYPERLINK("http://exon.niaid.nih.gov/transcriptome/Anopheles_sialome/links/netoglyc/anoalb_SG1-like3-netoglyc.txt","0")</f>
        <v>0</v>
      </c>
      <c r="X559">
        <v>10.6</v>
      </c>
      <c r="Y559">
        <v>4.0999999999999996</v>
      </c>
      <c r="Z559">
        <v>4.7</v>
      </c>
      <c r="AA559" t="s">
        <v>654</v>
      </c>
      <c r="AB559" t="s">
        <v>128</v>
      </c>
      <c r="AC559" s="2" t="str">
        <f>HYPERLINK("http://exon.niaid.nih.gov/transcriptome/Anopheles_sialome/links/DIPTERA/anoalb_SG1-like3-DIPTERA.txt","secretion protein gp65")</f>
        <v>secretion protein gp65</v>
      </c>
      <c r="AD559" t="str">
        <f>HYPERLINK("http://www.ncbi.nlm.nih.gov/sutils/blink.cgi?pid=30267888","0.0")</f>
        <v>0.0</v>
      </c>
      <c r="AE559" t="str">
        <f>HYPERLINK("http://www.ncbi.nlm.nih.gov/protein/30267888","gi|30267888")</f>
        <v>gi|30267888</v>
      </c>
      <c r="AF559">
        <v>86</v>
      </c>
      <c r="AG559">
        <v>87</v>
      </c>
      <c r="AH559">
        <v>102</v>
      </c>
      <c r="AI559" t="s">
        <v>2281</v>
      </c>
      <c r="AJ559" s="2" t="s">
        <v>128</v>
      </c>
      <c r="AK559" t="s">
        <v>128</v>
      </c>
      <c r="AL559" t="s">
        <v>128</v>
      </c>
      <c r="AM559" t="s">
        <v>128</v>
      </c>
      <c r="AN559" t="s">
        <v>128</v>
      </c>
      <c r="AO559" t="s">
        <v>128</v>
      </c>
      <c r="AP559" t="s">
        <v>128</v>
      </c>
      <c r="AQ559" s="2" t="str">
        <f>HYPERLINK("http://exon.niaid.nih.gov/transcriptome/Anopheles_sialome/links/NR-LIGHT/anoalb_SG1-like3-NR-LIGHT.txt","secretion protein gp65")</f>
        <v>secretion protein gp65</v>
      </c>
      <c r="AR559" t="str">
        <f>HYPERLINK("http://www.ncbi.nlm.nih.gov/sutils/blink.cgi?pid=30267888","0.0")</f>
        <v>0.0</v>
      </c>
      <c r="AS559" t="str">
        <f>HYPERLINK("http://www.ncbi.nlm.nih.gov/protein/30267888","gi|30267888")</f>
        <v>gi|30267888</v>
      </c>
      <c r="AT559">
        <v>86</v>
      </c>
      <c r="AU559">
        <v>87</v>
      </c>
      <c r="AV559">
        <v>102</v>
      </c>
      <c r="AW559" t="s">
        <v>2281</v>
      </c>
      <c r="AX559" s="2" t="str">
        <f>HYPERLINK("http://exon.niaid.nih.gov/transcriptome/Anopheles_sialome/links/CDD/anoalb_SG1-like3-CDD.txt","MACS_like_2")</f>
        <v>MACS_like_2</v>
      </c>
      <c r="AY559" t="str">
        <f>HYPERLINK("http://www.ncbi.nlm.nih.gov/Structure/cdd/cddsrv.cgi?uid=cd05973&amp;version=v4.0","0.051")</f>
        <v>0.051</v>
      </c>
      <c r="AZ559" t="s">
        <v>2947</v>
      </c>
      <c r="BA559" s="2" t="str">
        <f>HYPERLINK("http://exon.niaid.nih.gov/transcriptome/Anopheles_sialome/links/KOG/anoalb_SG1-like3-KOG.txt","Poly(A) ribonuclease subunit")</f>
        <v>Poly(A) ribonuclease subunit</v>
      </c>
      <c r="BB559" t="str">
        <f>HYPERLINK("http://www.ncbi.nlm.nih.gov/Structure/cdd/cddsrv.cgi?uid=KOG3741","1.3")</f>
        <v>1.3</v>
      </c>
      <c r="BC559" t="s">
        <v>2464</v>
      </c>
      <c r="BD559" t="str">
        <f>HYPERLINK("http://exon.niaid.nih.gov/transcriptome/Anopheles_sialome/links/KOG/anoalb_SG1-like3-KOG.txt","KOG3741")</f>
        <v>KOG3741</v>
      </c>
      <c r="BE559" t="str">
        <f>HYPERLINK("http://exon.niaid.nih.gov/transcriptome/Anopheles_sialome/links/PFAM/anoalb_SG1-like3-PFAM.txt","DUF3584")</f>
        <v>DUF3584</v>
      </c>
      <c r="BF559" t="str">
        <f>HYPERLINK("http://pfam.sanger.ac.uk/family?acc=PF12128","0.014")</f>
        <v>0.014</v>
      </c>
      <c r="BG559" s="2" t="str">
        <f>HYPERLINK("http://exon.niaid.nih.gov/transcriptome/Anopheles_sialome/links/SMART/anoalb_SG1-like3-SMART.txt","Spc7")</f>
        <v>Spc7</v>
      </c>
      <c r="BH559" t="str">
        <f>HYPERLINK("http://smart.embl-heidelberg.de/smart/do_annotation.pl?DOMAIN=Spc7&amp;BLAST=DUMMY","0.87")</f>
        <v>0.87</v>
      </c>
      <c r="BI559" t="str">
        <f>HYPERLINK("http://exon.niaid.nih.gov/transcriptome/Anopheles_sialome/links/TICK-BLOCKS/anoalb_SG1-like3-TICK-BLOCKS.txt","SG1_full |SG1_stringent_pattern |")</f>
        <v>SG1_full |SG1_stringent_pattern |</v>
      </c>
      <c r="BJ559" s="2" t="s">
        <v>2423</v>
      </c>
      <c r="BK559" t="s">
        <v>1874</v>
      </c>
      <c r="BL559">
        <f>HYPERLINK("http://exon.niaid.nih.gov/transcriptome/Anopheles_sialome/links/cluster-b/anopheline-sialome-cds-pep-larger-orf25-50SimCLU3.txt", 3)</f>
        <v>3</v>
      </c>
      <c r="BM559">
        <f>HYPERLINK("http://exon.niaid.nih.gov/transcriptome/Anopheles_sialome/links/cluster-b/anopheline-sialome-cds-pep-larger-orf25-50SimCLTL3.txt", 119)</f>
        <v>119</v>
      </c>
      <c r="BN559">
        <f>HYPERLINK("http://exon.niaid.nih.gov/transcriptome/Anopheles_sialome/links/cluster-b/anopheline-sialome-cds-pep-larger-orf30-50SimCLU3.txt", 3)</f>
        <v>3</v>
      </c>
      <c r="BO559">
        <f>HYPERLINK("http://exon.niaid.nih.gov/transcriptome/Anopheles_sialome/links/cluster-b/anopheline-sialome-cds-pep-larger-orf30-50SimCLTL3.txt", 119)</f>
        <v>119</v>
      </c>
      <c r="BP559">
        <f>HYPERLINK("http://exon.niaid.nih.gov/transcriptome/Anopheles_sialome/links/cluster-b/anopheline-sialome-cds-pep-larger-orf35-50SimCLU2.txt", 2)</f>
        <v>2</v>
      </c>
      <c r="BQ559">
        <f>HYPERLINK("http://exon.niaid.nih.gov/transcriptome/Anopheles_sialome/links/cluster-b/anopheline-sialome-cds-pep-larger-orf35-50SimCLTL2.txt", 119)</f>
        <v>119</v>
      </c>
      <c r="BR559">
        <f>HYPERLINK("http://exon.niaid.nih.gov/transcriptome/Anopheles_sialome/links/cluster-b/anopheline-sialome-cds-pep-larger-orf40-50SimCLU1.txt", 1)</f>
        <v>1</v>
      </c>
      <c r="BS559">
        <f>HYPERLINK("http://exon.niaid.nih.gov/transcriptome/Anopheles_sialome/links/cluster-b/anopheline-sialome-cds-pep-larger-orf40-50SimCLTL1.txt", 119)</f>
        <v>119</v>
      </c>
      <c r="BT559">
        <f>HYPERLINK("http://exon.niaid.nih.gov/transcriptome/Anopheles_sialome/links/cluster-b/anopheline-sialome-cds-pep-larger-orf45-50SimCLU3.txt", 3)</f>
        <v>3</v>
      </c>
      <c r="BU559">
        <f>HYPERLINK("http://exon.niaid.nih.gov/transcriptome/Anopheles_sialome/links/cluster-b/anopheline-sialome-cds-pep-larger-orf45-50SimCLTL3.txt", 65)</f>
        <v>65</v>
      </c>
      <c r="BV559">
        <f>HYPERLINK("http://exon.niaid.nih.gov/transcriptome/Anopheles_sialome/links/cluster-b/anopheline-sialome-cds-pep-larger-orf50-50SimCLU27.txt", 27)</f>
        <v>27</v>
      </c>
      <c r="BW559">
        <f>HYPERLINK("http://exon.niaid.nih.gov/transcriptome/Anopheles_sialome/links/cluster-b/anopheline-sialome-cds-pep-larger-orf50-50SimCLTL27.txt", 17)</f>
        <v>17</v>
      </c>
      <c r="BX559">
        <f>HYPERLINK("http://exon.niaid.nih.gov/transcriptome/Anopheles_sialome/links/cluster-b/anopheline-sialome-cds-pep-larger-orf55-50SimCLU26.txt", 26)</f>
        <v>26</v>
      </c>
      <c r="BY559">
        <f>HYPERLINK("http://exon.niaid.nih.gov/transcriptome/Anopheles_sialome/links/cluster-b/anopheline-sialome-cds-pep-larger-orf55-50SimCLTL26.txt", 17)</f>
        <v>17</v>
      </c>
      <c r="BZ559">
        <v>63</v>
      </c>
      <c r="CA559">
        <v>1</v>
      </c>
      <c r="CB559">
        <v>83</v>
      </c>
      <c r="CC559">
        <v>1</v>
      </c>
      <c r="CD559">
        <v>107</v>
      </c>
      <c r="CE559">
        <v>1</v>
      </c>
      <c r="CF559">
        <v>153</v>
      </c>
      <c r="CG559">
        <v>1</v>
      </c>
      <c r="CH559">
        <v>215</v>
      </c>
      <c r="CI559">
        <v>1</v>
      </c>
      <c r="CJ559">
        <v>288</v>
      </c>
      <c r="CK559">
        <v>1</v>
      </c>
      <c r="CL559">
        <v>367</v>
      </c>
      <c r="CM559">
        <v>1</v>
      </c>
      <c r="CN559">
        <v>442</v>
      </c>
      <c r="CO559">
        <v>1</v>
      </c>
    </row>
    <row r="560" spans="1:93">
      <c r="A560" s="6" t="s">
        <v>3208</v>
      </c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</row>
    <row r="561" spans="1:93">
      <c r="A561" s="2" t="str">
        <f>HYPERLINK("http://exon.niaid.nih.gov/transcriptome/Anopheles_sialome/links/cds/anoga_SG1b-cds.txt","anoga_SG1b")</f>
        <v>anoga_SG1b</v>
      </c>
      <c r="B561">
        <v>1158</v>
      </c>
      <c r="C561" t="s">
        <v>478</v>
      </c>
      <c r="D561" t="s">
        <v>4</v>
      </c>
      <c r="E561" t="s">
        <v>5</v>
      </c>
      <c r="F561" t="s">
        <v>1</v>
      </c>
      <c r="G561" t="str">
        <f>HYPERLINK("http://exon.niaid.nih.gov/transcriptome/Anopheles_sialome/links/pep/anoga_SG1b-pep.txt","anoga_SG1b")</f>
        <v>anoga_SG1b</v>
      </c>
      <c r="H561">
        <v>385</v>
      </c>
      <c r="I561">
        <v>1</v>
      </c>
      <c r="J561" s="3" t="str">
        <f>HYPERLINK("http://exon.niaid.nih.gov/transcriptome/Anopheles_sialome/links/Sigp/anoga_SG1b-SigP.txt","SIG")</f>
        <v>SIG</v>
      </c>
      <c r="K561" t="s">
        <v>692</v>
      </c>
      <c r="L561">
        <v>43.643000000000001</v>
      </c>
      <c r="M561">
        <v>6.87</v>
      </c>
      <c r="N561">
        <v>41.401000000000003</v>
      </c>
      <c r="O561">
        <v>6.68</v>
      </c>
      <c r="P561" t="s">
        <v>1876</v>
      </c>
      <c r="Q561" s="3">
        <v>0</v>
      </c>
      <c r="R561" t="s">
        <v>128</v>
      </c>
      <c r="S561" t="s">
        <v>128</v>
      </c>
      <c r="T561" t="s">
        <v>128</v>
      </c>
      <c r="U561" t="s">
        <v>128</v>
      </c>
      <c r="V561" t="s">
        <v>128</v>
      </c>
      <c r="W561" s="3" t="str">
        <f>HYPERLINK("http://exon.niaid.nih.gov/transcriptome/Anopheles_sialome/links/netoglyc/anoga_SG1b-netoglyc.txt","0")</f>
        <v>0</v>
      </c>
      <c r="X561">
        <v>8.3000000000000007</v>
      </c>
      <c r="Y561">
        <v>5.2</v>
      </c>
      <c r="Z561">
        <v>3.9</v>
      </c>
      <c r="AA561" t="s">
        <v>654</v>
      </c>
      <c r="AB561" t="s">
        <v>128</v>
      </c>
      <c r="AC561" s="2" t="str">
        <f>HYPERLINK("http://exon.niaid.nih.gov/transcriptome/Anopheles_sialome/links/DIPTERA/anoga_SG1b-DIPTERA.txt","AGAP000548-PA")</f>
        <v>AGAP000548-PA</v>
      </c>
      <c r="AD561" t="str">
        <f>HYPERLINK("http://www.ncbi.nlm.nih.gov/sutils/blink.cgi?pid=55243236","0.0")</f>
        <v>0.0</v>
      </c>
      <c r="AE561" t="str">
        <f>HYPERLINK("http://www.ncbi.nlm.nih.gov/protein/55243236","gi|55243236")</f>
        <v>gi|55243236</v>
      </c>
      <c r="AF561">
        <v>100</v>
      </c>
      <c r="AG561">
        <v>100</v>
      </c>
      <c r="AH561">
        <v>100</v>
      </c>
      <c r="AI561" t="s">
        <v>2285</v>
      </c>
      <c r="AJ561" s="2" t="s">
        <v>128</v>
      </c>
      <c r="AK561" t="s">
        <v>128</v>
      </c>
      <c r="AL561" t="s">
        <v>128</v>
      </c>
      <c r="AM561" t="s">
        <v>128</v>
      </c>
      <c r="AN561" t="s">
        <v>128</v>
      </c>
      <c r="AO561" t="s">
        <v>128</v>
      </c>
      <c r="AP561" t="s">
        <v>128</v>
      </c>
      <c r="AQ561" s="2" t="str">
        <f>HYPERLINK("http://exon.niaid.nih.gov/transcriptome/Anopheles_sialome/links/NR-LIGHT/anoga_SG1b-NR-LIGHT.txt","AGAP000548-PA")</f>
        <v>AGAP000548-PA</v>
      </c>
      <c r="AR561" t="str">
        <f>HYPERLINK("http://www.ncbi.nlm.nih.gov/sutils/blink.cgi?pid=58380426","0.0")</f>
        <v>0.0</v>
      </c>
      <c r="AS561" t="str">
        <f>HYPERLINK("http://www.ncbi.nlm.nih.gov/protein/58380426","gi|58380426")</f>
        <v>gi|58380426</v>
      </c>
      <c r="AT561">
        <v>100</v>
      </c>
      <c r="AU561">
        <v>100</v>
      </c>
      <c r="AV561">
        <v>100</v>
      </c>
      <c r="AW561" t="s">
        <v>2285</v>
      </c>
      <c r="AX561" s="2" t="str">
        <f>HYPERLINK("http://exon.niaid.nih.gov/transcriptome/Anopheles_sialome/links/CDD/anoga_SG1b-CDD.txt","Apc4")</f>
        <v>Apc4</v>
      </c>
      <c r="AY561" t="str">
        <f>HYPERLINK("http://www.ncbi.nlm.nih.gov/Structure/cdd/cddsrv.cgi?uid=pfam12896&amp;version=v4.0","2.8")</f>
        <v>2.8</v>
      </c>
      <c r="AZ561" t="s">
        <v>2948</v>
      </c>
      <c r="BA561" s="2" t="str">
        <f>HYPERLINK("http://exon.niaid.nih.gov/transcriptome/Anopheles_sialome/links/KOG/anoga_SG1b-KOG.txt","RNA polymerase II transcription termination factor TTF2/lodestar, DEAD-box superfamily")</f>
        <v>RNA polymerase II transcription termination factor TTF2/lodestar, DEAD-box superfamily</v>
      </c>
      <c r="BB561" t="str">
        <f>HYPERLINK("http://www.ncbi.nlm.nih.gov/Structure/cdd/cddsrv.cgi?uid=KOG4439","0.41")</f>
        <v>0.41</v>
      </c>
      <c r="BC561" t="s">
        <v>2533</v>
      </c>
      <c r="BD561" t="str">
        <f>HYPERLINK("http://exon.niaid.nih.gov/transcriptome/Anopheles_sialome/links/KOG/anoga_SG1b-KOG.txt","KOG4439")</f>
        <v>KOG4439</v>
      </c>
      <c r="BE561" t="str">
        <f>HYPERLINK("http://exon.niaid.nih.gov/transcriptome/Anopheles_sialome/links/PFAM/anoga_SG1b-PFAM.txt","Apc4")</f>
        <v>Apc4</v>
      </c>
      <c r="BF561" t="str">
        <f>HYPERLINK("http://pfam.sanger.ac.uk/family?acc=PF12896","0.55")</f>
        <v>0.55</v>
      </c>
      <c r="BG561" s="2" t="str">
        <f>HYPERLINK("http://exon.niaid.nih.gov/transcriptome/Anopheles_sialome/links/SMART/anoga_SG1b-SMART.txt","AKAP_110")</f>
        <v>AKAP_110</v>
      </c>
      <c r="BH561" t="str">
        <f>HYPERLINK("http://smart.embl-heidelberg.de/smart/do_annotation.pl?DOMAIN=AKAP_110&amp;BLAST=DUMMY","0.19")</f>
        <v>0.19</v>
      </c>
      <c r="BI561" t="str">
        <f>HYPERLINK("http://exon.niaid.nih.gov/transcriptome/Anopheles_sialome/links/TICK-BLOCKS/anoga_SG1b-TICK-BLOCKS.txt","SG1_full |SG1_stringent_pattern |")</f>
        <v>SG1_full |SG1_stringent_pattern |</v>
      </c>
      <c r="BJ561" s="2" t="s">
        <v>2423</v>
      </c>
      <c r="BK561" t="s">
        <v>1875</v>
      </c>
      <c r="BL561">
        <f>HYPERLINK("http://exon.niaid.nih.gov/transcriptome/Anopheles_sialome/links/cluster-b/anopheline-sialome-cds-pep-larger-orf25-50SimCLU3.txt", 3)</f>
        <v>3</v>
      </c>
      <c r="BM561">
        <f>HYPERLINK("http://exon.niaid.nih.gov/transcriptome/Anopheles_sialome/links/cluster-b/anopheline-sialome-cds-pep-larger-orf25-50SimCLTL3.txt", 119)</f>
        <v>119</v>
      </c>
      <c r="BN561">
        <f>HYPERLINK("http://exon.niaid.nih.gov/transcriptome/Anopheles_sialome/links/cluster-b/anopheline-sialome-cds-pep-larger-orf30-50SimCLU3.txt", 3)</f>
        <v>3</v>
      </c>
      <c r="BO561">
        <f>HYPERLINK("http://exon.niaid.nih.gov/transcriptome/Anopheles_sialome/links/cluster-b/anopheline-sialome-cds-pep-larger-orf30-50SimCLTL3.txt", 119)</f>
        <v>119</v>
      </c>
      <c r="BP561">
        <f>HYPERLINK("http://exon.niaid.nih.gov/transcriptome/Anopheles_sialome/links/cluster-b/anopheline-sialome-cds-pep-larger-orf35-50SimCLU2.txt", 2)</f>
        <v>2</v>
      </c>
      <c r="BQ561">
        <f>HYPERLINK("http://exon.niaid.nih.gov/transcriptome/Anopheles_sialome/links/cluster-b/anopheline-sialome-cds-pep-larger-orf35-50SimCLTL2.txt", 119)</f>
        <v>119</v>
      </c>
      <c r="BR561">
        <f>HYPERLINK("http://exon.niaid.nih.gov/transcriptome/Anopheles_sialome/links/cluster-b/anopheline-sialome-cds-pep-larger-orf40-50SimCLU1.txt", 1)</f>
        <v>1</v>
      </c>
      <c r="BS561">
        <f>HYPERLINK("http://exon.niaid.nih.gov/transcriptome/Anopheles_sialome/links/cluster-b/anopheline-sialome-cds-pep-larger-orf40-50SimCLTL1.txt", 119)</f>
        <v>119</v>
      </c>
      <c r="BT561">
        <f>HYPERLINK("http://exon.niaid.nih.gov/transcriptome/Anopheles_sialome/links/cluster-b/anopheline-sialome-cds-pep-larger-orf45-50SimCLU23.txt", 23)</f>
        <v>23</v>
      </c>
      <c r="BU561">
        <f>HYPERLINK("http://exon.niaid.nih.gov/transcriptome/Anopheles_sialome/links/cluster-b/anopheline-sialome-cds-pep-larger-orf45-50SimCLTL23.txt", 18)</f>
        <v>18</v>
      </c>
      <c r="BV561">
        <f>HYPERLINK("http://exon.niaid.nih.gov/transcriptome/Anopheles_sialome/links/cluster-b/anopheline-sialome-cds-pep-larger-orf50-50SimCLU22.txt", 22)</f>
        <v>22</v>
      </c>
      <c r="BW561">
        <f>HYPERLINK("http://exon.niaid.nih.gov/transcriptome/Anopheles_sialome/links/cluster-b/anopheline-sialome-cds-pep-larger-orf50-50SimCLTL22.txt", 18)</f>
        <v>18</v>
      </c>
      <c r="BX561">
        <f>HYPERLINK("http://exon.niaid.nih.gov/transcriptome/Anopheles_sialome/links/cluster-b/anopheline-sialome-cds-pep-larger-orf55-50SimCLU22.txt", 22)</f>
        <v>22</v>
      </c>
      <c r="BY561">
        <f>HYPERLINK("http://exon.niaid.nih.gov/transcriptome/Anopheles_sialome/links/cluster-b/anopheline-sialome-cds-pep-larger-orf55-50SimCLTL22.txt", 18)</f>
        <v>18</v>
      </c>
      <c r="BZ561">
        <f>HYPERLINK("http://exon.niaid.nih.gov/transcriptome/Anopheles_sialome/links/cluster-b/anopheline-sialome-cds-pep-larger-orf60-50SimCLU32.txt", 32)</f>
        <v>32</v>
      </c>
      <c r="CA561">
        <f>HYPERLINK("http://exon.niaid.nih.gov/transcriptome/Anopheles_sialome/links/cluster-b/anopheline-sialome-cds-pep-larger-orf60-50SimCLTL32.txt", 14)</f>
        <v>14</v>
      </c>
      <c r="CB561">
        <f>HYPERLINK("http://exon.niaid.nih.gov/transcriptome/Anopheles_sialome/links/cluster-b/anopheline-sialome-cds-pep-larger-orf65-50SimCLU37.txt", 37)</f>
        <v>37</v>
      </c>
      <c r="CC561">
        <f>HYPERLINK("http://exon.niaid.nih.gov/transcriptome/Anopheles_sialome/links/cluster-b/anopheline-sialome-cds-pep-larger-orf65-50SimCLTL37.txt", 12)</f>
        <v>12</v>
      </c>
      <c r="CD561">
        <f>HYPERLINK("http://exon.niaid.nih.gov/transcriptome/Anopheles_sialome/links/cluster-b/anopheline-sialome-cds-pep-larger-orf70-50SimCLU39.txt", 39)</f>
        <v>39</v>
      </c>
      <c r="CE561">
        <f>HYPERLINK("http://exon.niaid.nih.gov/transcriptome/Anopheles_sialome/links/cluster-b/anopheline-sialome-cds-pep-larger-orf70-50SimCLTL39.txt", 12)</f>
        <v>12</v>
      </c>
      <c r="CF561">
        <f>HYPERLINK("http://exon.niaid.nih.gov/transcriptome/Anopheles_sialome/links/cluster-b/anopheline-sialome-cds-pep-larger-orf75-50SimCLU32.txt", 32)</f>
        <v>32</v>
      </c>
      <c r="CG561">
        <f>HYPERLINK("http://exon.niaid.nih.gov/transcriptome/Anopheles_sialome/links/cluster-b/anopheline-sialome-cds-pep-larger-orf75-50SimCLTL32.txt", 12)</f>
        <v>12</v>
      </c>
      <c r="CH561">
        <f>HYPERLINK("http://exon.niaid.nih.gov/transcriptome/Anopheles_sialome/links/cluster-b/anopheline-sialome-cds-pep-larger-orf80-50SimCLU27.txt", 27)</f>
        <v>27</v>
      </c>
      <c r="CI561">
        <f>HYPERLINK("http://exon.niaid.nih.gov/transcriptome/Anopheles_sialome/links/cluster-b/anopheline-sialome-cds-pep-larger-orf80-50SimCLTL27.txt", 8)</f>
        <v>8</v>
      </c>
      <c r="CJ561">
        <f>HYPERLINK("http://exon.niaid.nih.gov/transcriptome/Anopheles_sialome/links/cluster-b/anopheline-sialome-cds-pep-larger-orf85-50SimCLU44.txt", 44)</f>
        <v>44</v>
      </c>
      <c r="CK561">
        <f>HYPERLINK("http://exon.niaid.nih.gov/transcriptome/Anopheles_sialome/links/cluster-b/anopheline-sialome-cds-pep-larger-orf85-50SimCLTL44.txt", 6)</f>
        <v>6</v>
      </c>
      <c r="CL561">
        <f>HYPERLINK("http://exon.niaid.nih.gov/transcriptome/Anopheles_sialome/links/cluster-b/anopheline-sialome-cds-pep-larger-orf90-50SimCLU34.txt", 34)</f>
        <v>34</v>
      </c>
      <c r="CM561">
        <f>HYPERLINK("http://exon.niaid.nih.gov/transcriptome/Anopheles_sialome/links/cluster-b/anopheline-sialome-cds-pep-larger-orf90-50SimCLTL34.txt", 6)</f>
        <v>6</v>
      </c>
      <c r="CN561">
        <f>HYPERLINK("http://exon.niaid.nih.gov/transcriptome/Anopheles_sialome/links/cluster-b/anopheline-sialome-cds-pep-larger-orf95-50SimCLU25.txt", 25)</f>
        <v>25</v>
      </c>
      <c r="CO561">
        <f>HYPERLINK("http://exon.niaid.nih.gov/transcriptome/Anopheles_sialome/links/cluster-b/anopheline-sialome-cds-pep-larger-orf95-50SimCLTL25.txt", 6)</f>
        <v>6</v>
      </c>
    </row>
    <row r="562" spans="1:93">
      <c r="A562" s="2" t="str">
        <f>HYPERLINK("http://exon.niaid.nih.gov/transcriptome/Anopheles_sialome/links/cds/anocol_SG1b-cds.txt","anocol_SG1b")</f>
        <v>anocol_SG1b</v>
      </c>
      <c r="B562">
        <v>1158</v>
      </c>
      <c r="C562" t="s">
        <v>479</v>
      </c>
      <c r="D562" t="s">
        <v>7</v>
      </c>
      <c r="E562" t="s">
        <v>5</v>
      </c>
      <c r="F562" t="s">
        <v>1</v>
      </c>
      <c r="G562" t="str">
        <f>HYPERLINK("http://exon.niaid.nih.gov/transcriptome/Anopheles_sialome/links/pep/anocol_SG1b-pep.txt","anocol_SG1b")</f>
        <v>anocol_SG1b</v>
      </c>
      <c r="H562">
        <v>385</v>
      </c>
      <c r="I562">
        <v>1</v>
      </c>
      <c r="J562" s="3" t="str">
        <f>HYPERLINK("http://exon.niaid.nih.gov/transcriptome/Anopheles_sialome/links/Sigp/anocol_SG1b-SigP.txt","SIG")</f>
        <v>SIG</v>
      </c>
      <c r="K562" t="s">
        <v>692</v>
      </c>
      <c r="L562">
        <v>43.622999999999998</v>
      </c>
      <c r="M562">
        <v>6.87</v>
      </c>
      <c r="N562">
        <v>41.381999999999998</v>
      </c>
      <c r="O562">
        <v>6.68</v>
      </c>
      <c r="P562" t="s">
        <v>1878</v>
      </c>
      <c r="Q562" s="3">
        <v>0</v>
      </c>
      <c r="R562" t="s">
        <v>128</v>
      </c>
      <c r="S562" t="s">
        <v>128</v>
      </c>
      <c r="T562" t="s">
        <v>128</v>
      </c>
      <c r="U562" t="s">
        <v>128</v>
      </c>
      <c r="V562" t="s">
        <v>128</v>
      </c>
      <c r="W562" s="3" t="str">
        <f>HYPERLINK("http://exon.niaid.nih.gov/transcriptome/Anopheles_sialome/links/netoglyc/anocol_SG1b-netoglyc.txt","0")</f>
        <v>0</v>
      </c>
      <c r="X562">
        <v>8.3000000000000007</v>
      </c>
      <c r="Y562">
        <v>5.2</v>
      </c>
      <c r="Z562">
        <v>3.9</v>
      </c>
      <c r="AA562" t="s">
        <v>654</v>
      </c>
      <c r="AB562" t="s">
        <v>128</v>
      </c>
      <c r="AC562" s="2" t="str">
        <f>HYPERLINK("http://exon.niaid.nih.gov/transcriptome/Anopheles_sialome/links/DIPTERA/anocol_SG1b-DIPTERA.txt","gSG1b protein")</f>
        <v>gSG1b protein</v>
      </c>
      <c r="AD562" t="str">
        <f>HYPERLINK("http://www.ncbi.nlm.nih.gov/sutils/blink.cgi?pid=13537664","0.0")</f>
        <v>0.0</v>
      </c>
      <c r="AE562" t="str">
        <f t="shared" ref="AE562:AE568" si="189">HYPERLINK("http://www.ncbi.nlm.nih.gov/protein/13537664","gi|13537664")</f>
        <v>gi|13537664</v>
      </c>
      <c r="AF562">
        <v>99</v>
      </c>
      <c r="AG562">
        <v>99</v>
      </c>
      <c r="AH562">
        <v>100</v>
      </c>
      <c r="AI562" t="s">
        <v>2254</v>
      </c>
      <c r="AJ562" s="2" t="s">
        <v>128</v>
      </c>
      <c r="AK562" t="s">
        <v>128</v>
      </c>
      <c r="AL562" t="s">
        <v>128</v>
      </c>
      <c r="AM562" t="s">
        <v>128</v>
      </c>
      <c r="AN562" t="s">
        <v>128</v>
      </c>
      <c r="AO562" t="s">
        <v>128</v>
      </c>
      <c r="AP562" t="s">
        <v>128</v>
      </c>
      <c r="AQ562" s="2" t="str">
        <f>HYPERLINK("http://exon.niaid.nih.gov/transcriptome/Anopheles_sialome/links/NR-LIGHT/anocol_SG1b-NR-LIGHT.txt","gSG1b protein")</f>
        <v>gSG1b protein</v>
      </c>
      <c r="AR562" t="str">
        <f>HYPERLINK("http://www.ncbi.nlm.nih.gov/sutils/blink.cgi?pid=13537664","0.0")</f>
        <v>0.0</v>
      </c>
      <c r="AS562" t="str">
        <f t="shared" ref="AS562:AS568" si="190">HYPERLINK("http://www.ncbi.nlm.nih.gov/protein/13537664","gi|13537664")</f>
        <v>gi|13537664</v>
      </c>
      <c r="AT562">
        <v>99</v>
      </c>
      <c r="AU562">
        <v>99</v>
      </c>
      <c r="AV562">
        <v>100</v>
      </c>
      <c r="AW562" t="s">
        <v>2254</v>
      </c>
      <c r="AX562" s="2" t="str">
        <f>HYPERLINK("http://exon.niaid.nih.gov/transcriptome/Anopheles_sialome/links/CDD/anocol_SG1b-CDD.txt","PRK14017")</f>
        <v>PRK14017</v>
      </c>
      <c r="AY562" t="str">
        <f>HYPERLINK("http://www.ncbi.nlm.nih.gov/Structure/cdd/cddsrv.cgi?uid=PRK14017&amp;version=v4.0","0.46")</f>
        <v>0.46</v>
      </c>
      <c r="AZ562" t="s">
        <v>2949</v>
      </c>
      <c r="BA562" s="2" t="str">
        <f>HYPERLINK("http://exon.niaid.nih.gov/transcriptome/Anopheles_sialome/links/KOG/anocol_SG1b-KOG.txt","RNA polymerase II transcription termination factor TTF2/lodestar, DEAD-box superfamily")</f>
        <v>RNA polymerase II transcription termination factor TTF2/lodestar, DEAD-box superfamily</v>
      </c>
      <c r="BB562" t="str">
        <f>HYPERLINK("http://www.ncbi.nlm.nih.gov/Structure/cdd/cddsrv.cgi?uid=KOG4439","0.40")</f>
        <v>0.40</v>
      </c>
      <c r="BC562" t="s">
        <v>2533</v>
      </c>
      <c r="BD562" t="str">
        <f>HYPERLINK("http://exon.niaid.nih.gov/transcriptome/Anopheles_sialome/links/KOG/anocol_SG1b-KOG.txt","KOG4439")</f>
        <v>KOG4439</v>
      </c>
      <c r="BE562" t="str">
        <f>HYPERLINK("http://exon.niaid.nih.gov/transcriptome/Anopheles_sialome/links/PFAM/anocol_SG1b-PFAM.txt","DUF2317")</f>
        <v>DUF2317</v>
      </c>
      <c r="BF562" t="str">
        <f>HYPERLINK("http://pfam.sanger.ac.uk/family?acc=PF10079","0.76")</f>
        <v>0.76</v>
      </c>
      <c r="BG562" s="2" t="str">
        <f>HYPERLINK("http://exon.niaid.nih.gov/transcriptome/Anopheles_sialome/links/SMART/anocol_SG1b-SMART.txt","AKAP_110")</f>
        <v>AKAP_110</v>
      </c>
      <c r="BH562" t="str">
        <f>HYPERLINK("http://smart.embl-heidelberg.de/smart/do_annotation.pl?DOMAIN=AKAP_110&amp;BLAST=DUMMY","0.19")</f>
        <v>0.19</v>
      </c>
      <c r="BI562" t="str">
        <f>HYPERLINK("http://exon.niaid.nih.gov/transcriptome/Anopheles_sialome/links/TICK-BLOCKS/anocol_SG1b-TICK-BLOCKS.txt","SG1_full |SG1_stringent_pattern |")</f>
        <v>SG1_full |SG1_stringent_pattern |</v>
      </c>
      <c r="BJ562" s="2" t="s">
        <v>2423</v>
      </c>
      <c r="BK562" t="s">
        <v>1877</v>
      </c>
      <c r="BL562">
        <f>HYPERLINK("http://exon.niaid.nih.gov/transcriptome/Anopheles_sialome/links/cluster-b/anopheline-sialome-cds-pep-larger-orf25-50SimCLU3.txt", 3)</f>
        <v>3</v>
      </c>
      <c r="BM562">
        <f>HYPERLINK("http://exon.niaid.nih.gov/transcriptome/Anopheles_sialome/links/cluster-b/anopheline-sialome-cds-pep-larger-orf25-50SimCLTL3.txt", 119)</f>
        <v>119</v>
      </c>
      <c r="BN562">
        <f>HYPERLINK("http://exon.niaid.nih.gov/transcriptome/Anopheles_sialome/links/cluster-b/anopheline-sialome-cds-pep-larger-orf30-50SimCLU3.txt", 3)</f>
        <v>3</v>
      </c>
      <c r="BO562">
        <f>HYPERLINK("http://exon.niaid.nih.gov/transcriptome/Anopheles_sialome/links/cluster-b/anopheline-sialome-cds-pep-larger-orf30-50SimCLTL3.txt", 119)</f>
        <v>119</v>
      </c>
      <c r="BP562">
        <f>HYPERLINK("http://exon.niaid.nih.gov/transcriptome/Anopheles_sialome/links/cluster-b/anopheline-sialome-cds-pep-larger-orf35-50SimCLU2.txt", 2)</f>
        <v>2</v>
      </c>
      <c r="BQ562">
        <f>HYPERLINK("http://exon.niaid.nih.gov/transcriptome/Anopheles_sialome/links/cluster-b/anopheline-sialome-cds-pep-larger-orf35-50SimCLTL2.txt", 119)</f>
        <v>119</v>
      </c>
      <c r="BR562">
        <f>HYPERLINK("http://exon.niaid.nih.gov/transcriptome/Anopheles_sialome/links/cluster-b/anopheline-sialome-cds-pep-larger-orf40-50SimCLU1.txt", 1)</f>
        <v>1</v>
      </c>
      <c r="BS562">
        <f>HYPERLINK("http://exon.niaid.nih.gov/transcriptome/Anopheles_sialome/links/cluster-b/anopheline-sialome-cds-pep-larger-orf40-50SimCLTL1.txt", 119)</f>
        <v>119</v>
      </c>
      <c r="BT562">
        <f>HYPERLINK("http://exon.niaid.nih.gov/transcriptome/Anopheles_sialome/links/cluster-b/anopheline-sialome-cds-pep-larger-orf45-50SimCLU23.txt", 23)</f>
        <v>23</v>
      </c>
      <c r="BU562">
        <f>HYPERLINK("http://exon.niaid.nih.gov/transcriptome/Anopheles_sialome/links/cluster-b/anopheline-sialome-cds-pep-larger-orf45-50SimCLTL23.txt", 18)</f>
        <v>18</v>
      </c>
      <c r="BV562">
        <f>HYPERLINK("http://exon.niaid.nih.gov/transcriptome/Anopheles_sialome/links/cluster-b/anopheline-sialome-cds-pep-larger-orf50-50SimCLU22.txt", 22)</f>
        <v>22</v>
      </c>
      <c r="BW562">
        <f>HYPERLINK("http://exon.niaid.nih.gov/transcriptome/Anopheles_sialome/links/cluster-b/anopheline-sialome-cds-pep-larger-orf50-50SimCLTL22.txt", 18)</f>
        <v>18</v>
      </c>
      <c r="BX562">
        <f>HYPERLINK("http://exon.niaid.nih.gov/transcriptome/Anopheles_sialome/links/cluster-b/anopheline-sialome-cds-pep-larger-orf55-50SimCLU22.txt", 22)</f>
        <v>22</v>
      </c>
      <c r="BY562">
        <f>HYPERLINK("http://exon.niaid.nih.gov/transcriptome/Anopheles_sialome/links/cluster-b/anopheline-sialome-cds-pep-larger-orf55-50SimCLTL22.txt", 18)</f>
        <v>18</v>
      </c>
      <c r="BZ562">
        <f>HYPERLINK("http://exon.niaid.nih.gov/transcriptome/Anopheles_sialome/links/cluster-b/anopheline-sialome-cds-pep-larger-orf60-50SimCLU32.txt", 32)</f>
        <v>32</v>
      </c>
      <c r="CA562">
        <f>HYPERLINK("http://exon.niaid.nih.gov/transcriptome/Anopheles_sialome/links/cluster-b/anopheline-sialome-cds-pep-larger-orf60-50SimCLTL32.txt", 14)</f>
        <v>14</v>
      </c>
      <c r="CB562">
        <f>HYPERLINK("http://exon.niaid.nih.gov/transcriptome/Anopheles_sialome/links/cluster-b/anopheline-sialome-cds-pep-larger-orf65-50SimCLU37.txt", 37)</f>
        <v>37</v>
      </c>
      <c r="CC562">
        <f>HYPERLINK("http://exon.niaid.nih.gov/transcriptome/Anopheles_sialome/links/cluster-b/anopheline-sialome-cds-pep-larger-orf65-50SimCLTL37.txt", 12)</f>
        <v>12</v>
      </c>
      <c r="CD562">
        <f>HYPERLINK("http://exon.niaid.nih.gov/transcriptome/Anopheles_sialome/links/cluster-b/anopheline-sialome-cds-pep-larger-orf70-50SimCLU39.txt", 39)</f>
        <v>39</v>
      </c>
      <c r="CE562">
        <f>HYPERLINK("http://exon.niaid.nih.gov/transcriptome/Anopheles_sialome/links/cluster-b/anopheline-sialome-cds-pep-larger-orf70-50SimCLTL39.txt", 12)</f>
        <v>12</v>
      </c>
      <c r="CF562">
        <f>HYPERLINK("http://exon.niaid.nih.gov/transcriptome/Anopheles_sialome/links/cluster-b/anopheline-sialome-cds-pep-larger-orf75-50SimCLU32.txt", 32)</f>
        <v>32</v>
      </c>
      <c r="CG562">
        <f>HYPERLINK("http://exon.niaid.nih.gov/transcriptome/Anopheles_sialome/links/cluster-b/anopheline-sialome-cds-pep-larger-orf75-50SimCLTL32.txt", 12)</f>
        <v>12</v>
      </c>
      <c r="CH562">
        <f>HYPERLINK("http://exon.niaid.nih.gov/transcriptome/Anopheles_sialome/links/cluster-b/anopheline-sialome-cds-pep-larger-orf80-50SimCLU27.txt", 27)</f>
        <v>27</v>
      </c>
      <c r="CI562">
        <f>HYPERLINK("http://exon.niaid.nih.gov/transcriptome/Anopheles_sialome/links/cluster-b/anopheline-sialome-cds-pep-larger-orf80-50SimCLTL27.txt", 8)</f>
        <v>8</v>
      </c>
      <c r="CJ562">
        <f>HYPERLINK("http://exon.niaid.nih.gov/transcriptome/Anopheles_sialome/links/cluster-b/anopheline-sialome-cds-pep-larger-orf85-50SimCLU44.txt", 44)</f>
        <v>44</v>
      </c>
      <c r="CK562">
        <f>HYPERLINK("http://exon.niaid.nih.gov/transcriptome/Anopheles_sialome/links/cluster-b/anopheline-sialome-cds-pep-larger-orf85-50SimCLTL44.txt", 6)</f>
        <v>6</v>
      </c>
      <c r="CL562">
        <f>HYPERLINK("http://exon.niaid.nih.gov/transcriptome/Anopheles_sialome/links/cluster-b/anopheline-sialome-cds-pep-larger-orf90-50SimCLU34.txt", 34)</f>
        <v>34</v>
      </c>
      <c r="CM562">
        <f>HYPERLINK("http://exon.niaid.nih.gov/transcriptome/Anopheles_sialome/links/cluster-b/anopheline-sialome-cds-pep-larger-orf90-50SimCLTL34.txt", 6)</f>
        <v>6</v>
      </c>
      <c r="CN562">
        <f>HYPERLINK("http://exon.niaid.nih.gov/transcriptome/Anopheles_sialome/links/cluster-b/anopheline-sialome-cds-pep-larger-orf95-50SimCLU25.txt", 25)</f>
        <v>25</v>
      </c>
      <c r="CO562">
        <f>HYPERLINK("http://exon.niaid.nih.gov/transcriptome/Anopheles_sialome/links/cluster-b/anopheline-sialome-cds-pep-larger-orf95-50SimCLTL25.txt", 6)</f>
        <v>6</v>
      </c>
    </row>
    <row r="563" spans="1:93">
      <c r="A563" s="2" t="str">
        <f>HYPERLINK("http://exon.niaid.nih.gov/transcriptome/Anopheles_sialome/links/cds/anoara_SG1b-cds.txt","anoara_SG1b")</f>
        <v>anoara_SG1b</v>
      </c>
      <c r="B563">
        <v>1158</v>
      </c>
      <c r="C563" t="s">
        <v>480</v>
      </c>
      <c r="D563" t="s">
        <v>4</v>
      </c>
      <c r="E563" t="s">
        <v>5</v>
      </c>
      <c r="F563" t="s">
        <v>1</v>
      </c>
      <c r="G563" t="str">
        <f>HYPERLINK("http://exon.niaid.nih.gov/transcriptome/Anopheles_sialome/links/pep/anoara_SG1b-pep.txt","anoara_SG1b")</f>
        <v>anoara_SG1b</v>
      </c>
      <c r="H563">
        <v>385</v>
      </c>
      <c r="I563">
        <v>1</v>
      </c>
      <c r="J563" s="3" t="str">
        <f>HYPERLINK("http://exon.niaid.nih.gov/transcriptome/Anopheles_sialome/links/Sigp/anoara_SG1b-SigP.txt","SIG")</f>
        <v>SIG</v>
      </c>
      <c r="K563" t="s">
        <v>692</v>
      </c>
      <c r="L563">
        <v>43.76</v>
      </c>
      <c r="M563">
        <v>6.47</v>
      </c>
      <c r="N563">
        <v>41.518999999999998</v>
      </c>
      <c r="O563">
        <v>6.34</v>
      </c>
      <c r="P563" t="s">
        <v>1878</v>
      </c>
      <c r="Q563" s="3">
        <v>0</v>
      </c>
      <c r="R563" t="s">
        <v>128</v>
      </c>
      <c r="S563" t="s">
        <v>128</v>
      </c>
      <c r="T563" t="s">
        <v>128</v>
      </c>
      <c r="U563" t="s">
        <v>128</v>
      </c>
      <c r="V563" t="s">
        <v>128</v>
      </c>
      <c r="W563" s="3" t="str">
        <f>HYPERLINK("http://exon.niaid.nih.gov/transcriptome/Anopheles_sialome/links/netoglyc/anoara_SG1b-netoglyc.txt","0")</f>
        <v>0</v>
      </c>
      <c r="X563">
        <v>8.3000000000000007</v>
      </c>
      <c r="Y563">
        <v>4.9000000000000004</v>
      </c>
      <c r="Z563">
        <v>3.9</v>
      </c>
      <c r="AA563" t="s">
        <v>654</v>
      </c>
      <c r="AB563" t="s">
        <v>128</v>
      </c>
      <c r="AC563" s="2" t="str">
        <f>HYPERLINK("http://exon.niaid.nih.gov/transcriptome/Anopheles_sialome/links/DIPTERA/anoara_SG1b-DIPTERA.txt","gSG1b protein")</f>
        <v>gSG1b protein</v>
      </c>
      <c r="AD563" t="str">
        <f>HYPERLINK("http://www.ncbi.nlm.nih.gov/sutils/blink.cgi?pid=13537664","0.0")</f>
        <v>0.0</v>
      </c>
      <c r="AE563" t="str">
        <f t="shared" si="189"/>
        <v>gi|13537664</v>
      </c>
      <c r="AF563">
        <v>97</v>
      </c>
      <c r="AG563">
        <v>98</v>
      </c>
      <c r="AH563">
        <v>100</v>
      </c>
      <c r="AI563" t="s">
        <v>2254</v>
      </c>
      <c r="AJ563" s="2" t="s">
        <v>128</v>
      </c>
      <c r="AK563" t="s">
        <v>128</v>
      </c>
      <c r="AL563" t="s">
        <v>128</v>
      </c>
      <c r="AM563" t="s">
        <v>128</v>
      </c>
      <c r="AN563" t="s">
        <v>128</v>
      </c>
      <c r="AO563" t="s">
        <v>128</v>
      </c>
      <c r="AP563" t="s">
        <v>128</v>
      </c>
      <c r="AQ563" s="2" t="str">
        <f>HYPERLINK("http://exon.niaid.nih.gov/transcriptome/Anopheles_sialome/links/NR-LIGHT/anoara_SG1b-NR-LIGHT.txt","gSG1b protein")</f>
        <v>gSG1b protein</v>
      </c>
      <c r="AR563" t="str">
        <f>HYPERLINK("http://www.ncbi.nlm.nih.gov/sutils/blink.cgi?pid=13537664","0.0")</f>
        <v>0.0</v>
      </c>
      <c r="AS563" t="str">
        <f t="shared" si="190"/>
        <v>gi|13537664</v>
      </c>
      <c r="AT563">
        <v>97</v>
      </c>
      <c r="AU563">
        <v>98</v>
      </c>
      <c r="AV563">
        <v>100</v>
      </c>
      <c r="AW563" t="s">
        <v>2254</v>
      </c>
      <c r="AX563" s="2" t="str">
        <f>HYPERLINK("http://exon.niaid.nih.gov/transcriptome/Anopheles_sialome/links/CDD/anoara_SG1b-CDD.txt","Aspartate--tRNA")</f>
        <v>Aspartate--tRNA</v>
      </c>
      <c r="AY563" t="str">
        <f>HYPERLINK("http://www.ncbi.nlm.nih.gov/Structure/cdd/cddsrv.cgi?uid=TIGR00459&amp;version=v4.0","0.86")</f>
        <v>0.86</v>
      </c>
      <c r="AZ563" t="s">
        <v>2950</v>
      </c>
      <c r="BA563" s="2" t="str">
        <f>HYPERLINK("http://exon.niaid.nih.gov/transcriptome/Anopheles_sialome/links/KOG/anoara_SG1b-KOG.txt","Aspartyl-tRNA synthetase, mitochondrial")</f>
        <v>Aspartyl-tRNA synthetase, mitochondrial</v>
      </c>
      <c r="BB563" t="str">
        <f>HYPERLINK("http://www.ncbi.nlm.nih.gov/Structure/cdd/cddsrv.cgi?uid=KOG2411","0.92")</f>
        <v>0.92</v>
      </c>
      <c r="BC563" t="s">
        <v>2260</v>
      </c>
      <c r="BD563" t="str">
        <f>HYPERLINK("http://exon.niaid.nih.gov/transcriptome/Anopheles_sialome/links/KOG/anoara_SG1b-KOG.txt","KOG2411")</f>
        <v>KOG2411</v>
      </c>
      <c r="BE563" t="str">
        <f>HYPERLINK("http://exon.niaid.nih.gov/transcriptome/Anopheles_sialome/links/PFAM/anoara_SG1b-PFAM.txt","LYTB")</f>
        <v>LYTB</v>
      </c>
      <c r="BF563" t="str">
        <f>HYPERLINK("http://pfam.sanger.ac.uk/family?acc=PF02401","0.78")</f>
        <v>0.78</v>
      </c>
      <c r="BG563" s="2" t="str">
        <f>HYPERLINK("http://exon.niaid.nih.gov/transcriptome/Anopheles_sialome/links/SMART/anoara_SG1b-SMART.txt","BTAD")</f>
        <v>BTAD</v>
      </c>
      <c r="BH563" t="str">
        <f>HYPERLINK("http://smart.embl-heidelberg.de/smart/do_annotation.pl?DOMAIN=BTAD&amp;BLAST=DUMMY","0.094")</f>
        <v>0.094</v>
      </c>
      <c r="BI563" t="str">
        <f>HYPERLINK("http://exon.niaid.nih.gov/transcriptome/Anopheles_sialome/links/TICK-BLOCKS/anoara_SG1b-TICK-BLOCKS.txt","SG1_full |SG1_stringent_pattern |")</f>
        <v>SG1_full |SG1_stringent_pattern |</v>
      </c>
      <c r="BJ563" s="2" t="s">
        <v>2423</v>
      </c>
      <c r="BK563" t="s">
        <v>1879</v>
      </c>
      <c r="BL563">
        <f>HYPERLINK("http://exon.niaid.nih.gov/transcriptome/Anopheles_sialome/links/cluster-b/anopheline-sialome-cds-pep-larger-orf25-50SimCLU3.txt", 3)</f>
        <v>3</v>
      </c>
      <c r="BM563">
        <f>HYPERLINK("http://exon.niaid.nih.gov/transcriptome/Anopheles_sialome/links/cluster-b/anopheline-sialome-cds-pep-larger-orf25-50SimCLTL3.txt", 119)</f>
        <v>119</v>
      </c>
      <c r="BN563">
        <f>HYPERLINK("http://exon.niaid.nih.gov/transcriptome/Anopheles_sialome/links/cluster-b/anopheline-sialome-cds-pep-larger-orf30-50SimCLU3.txt", 3)</f>
        <v>3</v>
      </c>
      <c r="BO563">
        <f>HYPERLINK("http://exon.niaid.nih.gov/transcriptome/Anopheles_sialome/links/cluster-b/anopheline-sialome-cds-pep-larger-orf30-50SimCLTL3.txt", 119)</f>
        <v>119</v>
      </c>
      <c r="BP563">
        <f>HYPERLINK("http://exon.niaid.nih.gov/transcriptome/Anopheles_sialome/links/cluster-b/anopheline-sialome-cds-pep-larger-orf35-50SimCLU2.txt", 2)</f>
        <v>2</v>
      </c>
      <c r="BQ563">
        <f>HYPERLINK("http://exon.niaid.nih.gov/transcriptome/Anopheles_sialome/links/cluster-b/anopheline-sialome-cds-pep-larger-orf35-50SimCLTL2.txt", 119)</f>
        <v>119</v>
      </c>
      <c r="BR563">
        <f>HYPERLINK("http://exon.niaid.nih.gov/transcriptome/Anopheles_sialome/links/cluster-b/anopheline-sialome-cds-pep-larger-orf40-50SimCLU1.txt", 1)</f>
        <v>1</v>
      </c>
      <c r="BS563">
        <f>HYPERLINK("http://exon.niaid.nih.gov/transcriptome/Anopheles_sialome/links/cluster-b/anopheline-sialome-cds-pep-larger-orf40-50SimCLTL1.txt", 119)</f>
        <v>119</v>
      </c>
      <c r="BT563">
        <f>HYPERLINK("http://exon.niaid.nih.gov/transcriptome/Anopheles_sialome/links/cluster-b/anopheline-sialome-cds-pep-larger-orf45-50SimCLU23.txt", 23)</f>
        <v>23</v>
      </c>
      <c r="BU563">
        <f>HYPERLINK("http://exon.niaid.nih.gov/transcriptome/Anopheles_sialome/links/cluster-b/anopheline-sialome-cds-pep-larger-orf45-50SimCLTL23.txt", 18)</f>
        <v>18</v>
      </c>
      <c r="BV563">
        <f>HYPERLINK("http://exon.niaid.nih.gov/transcriptome/Anopheles_sialome/links/cluster-b/anopheline-sialome-cds-pep-larger-orf50-50SimCLU22.txt", 22)</f>
        <v>22</v>
      </c>
      <c r="BW563">
        <f>HYPERLINK("http://exon.niaid.nih.gov/transcriptome/Anopheles_sialome/links/cluster-b/anopheline-sialome-cds-pep-larger-orf50-50SimCLTL22.txt", 18)</f>
        <v>18</v>
      </c>
      <c r="BX563">
        <f>HYPERLINK("http://exon.niaid.nih.gov/transcriptome/Anopheles_sialome/links/cluster-b/anopheline-sialome-cds-pep-larger-orf55-50SimCLU22.txt", 22)</f>
        <v>22</v>
      </c>
      <c r="BY563">
        <f>HYPERLINK("http://exon.niaid.nih.gov/transcriptome/Anopheles_sialome/links/cluster-b/anopheline-sialome-cds-pep-larger-orf55-50SimCLTL22.txt", 18)</f>
        <v>18</v>
      </c>
      <c r="BZ563">
        <f>HYPERLINK("http://exon.niaid.nih.gov/transcriptome/Anopheles_sialome/links/cluster-b/anopheline-sialome-cds-pep-larger-orf60-50SimCLU32.txt", 32)</f>
        <v>32</v>
      </c>
      <c r="CA563">
        <f>HYPERLINK("http://exon.niaid.nih.gov/transcriptome/Anopheles_sialome/links/cluster-b/anopheline-sialome-cds-pep-larger-orf60-50SimCLTL32.txt", 14)</f>
        <v>14</v>
      </c>
      <c r="CB563">
        <f>HYPERLINK("http://exon.niaid.nih.gov/transcriptome/Anopheles_sialome/links/cluster-b/anopheline-sialome-cds-pep-larger-orf65-50SimCLU37.txt", 37)</f>
        <v>37</v>
      </c>
      <c r="CC563">
        <f>HYPERLINK("http://exon.niaid.nih.gov/transcriptome/Anopheles_sialome/links/cluster-b/anopheline-sialome-cds-pep-larger-orf65-50SimCLTL37.txt", 12)</f>
        <v>12</v>
      </c>
      <c r="CD563">
        <f>HYPERLINK("http://exon.niaid.nih.gov/transcriptome/Anopheles_sialome/links/cluster-b/anopheline-sialome-cds-pep-larger-orf70-50SimCLU39.txt", 39)</f>
        <v>39</v>
      </c>
      <c r="CE563">
        <f>HYPERLINK("http://exon.niaid.nih.gov/transcriptome/Anopheles_sialome/links/cluster-b/anopheline-sialome-cds-pep-larger-orf70-50SimCLTL39.txt", 12)</f>
        <v>12</v>
      </c>
      <c r="CF563">
        <f>HYPERLINK("http://exon.niaid.nih.gov/transcriptome/Anopheles_sialome/links/cluster-b/anopheline-sialome-cds-pep-larger-orf75-50SimCLU32.txt", 32)</f>
        <v>32</v>
      </c>
      <c r="CG563">
        <f>HYPERLINK("http://exon.niaid.nih.gov/transcriptome/Anopheles_sialome/links/cluster-b/anopheline-sialome-cds-pep-larger-orf75-50SimCLTL32.txt", 12)</f>
        <v>12</v>
      </c>
      <c r="CH563">
        <f>HYPERLINK("http://exon.niaid.nih.gov/transcriptome/Anopheles_sialome/links/cluster-b/anopheline-sialome-cds-pep-larger-orf80-50SimCLU27.txt", 27)</f>
        <v>27</v>
      </c>
      <c r="CI563">
        <f>HYPERLINK("http://exon.niaid.nih.gov/transcriptome/Anopheles_sialome/links/cluster-b/anopheline-sialome-cds-pep-larger-orf80-50SimCLTL27.txt", 8)</f>
        <v>8</v>
      </c>
      <c r="CJ563">
        <f>HYPERLINK("http://exon.niaid.nih.gov/transcriptome/Anopheles_sialome/links/cluster-b/anopheline-sialome-cds-pep-larger-orf85-50SimCLU44.txt", 44)</f>
        <v>44</v>
      </c>
      <c r="CK563">
        <f>HYPERLINK("http://exon.niaid.nih.gov/transcriptome/Anopheles_sialome/links/cluster-b/anopheline-sialome-cds-pep-larger-orf85-50SimCLTL44.txt", 6)</f>
        <v>6</v>
      </c>
      <c r="CL563">
        <f>HYPERLINK("http://exon.niaid.nih.gov/transcriptome/Anopheles_sialome/links/cluster-b/anopheline-sialome-cds-pep-larger-orf90-50SimCLU34.txt", 34)</f>
        <v>34</v>
      </c>
      <c r="CM563">
        <f>HYPERLINK("http://exon.niaid.nih.gov/transcriptome/Anopheles_sialome/links/cluster-b/anopheline-sialome-cds-pep-larger-orf90-50SimCLTL34.txt", 6)</f>
        <v>6</v>
      </c>
      <c r="CN563">
        <f>HYPERLINK("http://exon.niaid.nih.gov/transcriptome/Anopheles_sialome/links/cluster-b/anopheline-sialome-cds-pep-larger-orf95-50SimCLU25.txt", 25)</f>
        <v>25</v>
      </c>
      <c r="CO563">
        <f>HYPERLINK("http://exon.niaid.nih.gov/transcriptome/Anopheles_sialome/links/cluster-b/anopheline-sialome-cds-pep-larger-orf95-50SimCLTL25.txt", 6)</f>
        <v>6</v>
      </c>
    </row>
    <row r="564" spans="1:93">
      <c r="A564" s="2" t="str">
        <f>HYPERLINK("http://exon.niaid.nih.gov/transcriptome/Anopheles_sialome/links/cds/anoqua_SG1b-cds.txt","anoqua_SG1b")</f>
        <v>anoqua_SG1b</v>
      </c>
      <c r="B564">
        <v>1158</v>
      </c>
      <c r="C564" t="s">
        <v>481</v>
      </c>
      <c r="D564" t="s">
        <v>4</v>
      </c>
      <c r="E564" t="s">
        <v>5</v>
      </c>
      <c r="F564" t="s">
        <v>1</v>
      </c>
      <c r="G564" t="str">
        <f>HYPERLINK("http://exon.niaid.nih.gov/transcriptome/Anopheles_sialome/links/pep/anoqua_SG1b-pep.txt","anoqua_SG1b")</f>
        <v>anoqua_SG1b</v>
      </c>
      <c r="H564">
        <v>385</v>
      </c>
      <c r="I564">
        <v>1</v>
      </c>
      <c r="J564" s="3" t="str">
        <f>HYPERLINK("http://exon.niaid.nih.gov/transcriptome/Anopheles_sialome/links/Sigp/anoqua_SG1b-SigP.txt","SIG")</f>
        <v>SIG</v>
      </c>
      <c r="K564" t="s">
        <v>692</v>
      </c>
      <c r="L564">
        <v>43.652999999999999</v>
      </c>
      <c r="M564">
        <v>6.64</v>
      </c>
      <c r="N564">
        <v>41.426000000000002</v>
      </c>
      <c r="O564">
        <v>6.49</v>
      </c>
      <c r="P564" t="s">
        <v>1881</v>
      </c>
      <c r="Q564" s="3">
        <v>0</v>
      </c>
      <c r="R564" t="s">
        <v>128</v>
      </c>
      <c r="S564" t="s">
        <v>128</v>
      </c>
      <c r="T564" t="s">
        <v>128</v>
      </c>
      <c r="U564" t="s">
        <v>128</v>
      </c>
      <c r="V564" t="s">
        <v>128</v>
      </c>
      <c r="W564" s="3" t="str">
        <f>HYPERLINK("http://exon.niaid.nih.gov/transcriptome/Anopheles_sialome/links/netoglyc/anoqua_SG1b-netoglyc.txt","0")</f>
        <v>0</v>
      </c>
      <c r="X564">
        <v>8.3000000000000007</v>
      </c>
      <c r="Y564">
        <v>5.2</v>
      </c>
      <c r="Z564">
        <v>3.9</v>
      </c>
      <c r="AA564" t="s">
        <v>654</v>
      </c>
      <c r="AB564" t="s">
        <v>128</v>
      </c>
      <c r="AC564" s="2" t="str">
        <f>HYPERLINK("http://exon.niaid.nih.gov/transcriptome/Anopheles_sialome/links/DIPTERA/anoqua_SG1b-DIPTERA.txt","gSG1b protein")</f>
        <v>gSG1b protein</v>
      </c>
      <c r="AD564" t="str">
        <f>HYPERLINK("http://www.ncbi.nlm.nih.gov/sutils/blink.cgi?pid=13537664","0.0")</f>
        <v>0.0</v>
      </c>
      <c r="AE564" t="str">
        <f t="shared" si="189"/>
        <v>gi|13537664</v>
      </c>
      <c r="AF564">
        <v>96</v>
      </c>
      <c r="AG564">
        <v>98</v>
      </c>
      <c r="AH564">
        <v>100</v>
      </c>
      <c r="AI564" t="s">
        <v>2254</v>
      </c>
      <c r="AJ564" s="2" t="s">
        <v>128</v>
      </c>
      <c r="AK564" t="s">
        <v>128</v>
      </c>
      <c r="AL564" t="s">
        <v>128</v>
      </c>
      <c r="AM564" t="s">
        <v>128</v>
      </c>
      <c r="AN564" t="s">
        <v>128</v>
      </c>
      <c r="AO564" t="s">
        <v>128</v>
      </c>
      <c r="AP564" t="s">
        <v>128</v>
      </c>
      <c r="AQ564" s="2" t="str">
        <f>HYPERLINK("http://exon.niaid.nih.gov/transcriptome/Anopheles_sialome/links/NR-LIGHT/anoqua_SG1b-NR-LIGHT.txt","gSG1b protein")</f>
        <v>gSG1b protein</v>
      </c>
      <c r="AR564" t="str">
        <f>HYPERLINK("http://www.ncbi.nlm.nih.gov/sutils/blink.cgi?pid=13537664","0.0")</f>
        <v>0.0</v>
      </c>
      <c r="AS564" t="str">
        <f t="shared" si="190"/>
        <v>gi|13537664</v>
      </c>
      <c r="AT564">
        <v>96</v>
      </c>
      <c r="AU564">
        <v>98</v>
      </c>
      <c r="AV564">
        <v>100</v>
      </c>
      <c r="AW564" t="s">
        <v>2254</v>
      </c>
      <c r="AX564" s="2" t="str">
        <f>HYPERLINK("http://exon.niaid.nih.gov/transcriptome/Anopheles_sialome/links/CDD/anoqua_SG1b-CDD.txt","Aspartate--tRNA")</f>
        <v>Aspartate--tRNA</v>
      </c>
      <c r="AY564" t="str">
        <f>HYPERLINK("http://www.ncbi.nlm.nih.gov/Structure/cdd/cddsrv.cgi?uid=TIGR00459&amp;version=v4.0","0.83")</f>
        <v>0.83</v>
      </c>
      <c r="AZ564" t="s">
        <v>2951</v>
      </c>
      <c r="BA564" s="2" t="str">
        <f>HYPERLINK("http://exon.niaid.nih.gov/transcriptome/Anopheles_sialome/links/KOG/anoqua_SG1b-KOG.txt","Aspartyl-tRNA synthetase, mitochondrial")</f>
        <v>Aspartyl-tRNA synthetase, mitochondrial</v>
      </c>
      <c r="BB564" t="str">
        <f>HYPERLINK("http://www.ncbi.nlm.nih.gov/Structure/cdd/cddsrv.cgi?uid=KOG2411","0.87")</f>
        <v>0.87</v>
      </c>
      <c r="BC564" t="s">
        <v>2260</v>
      </c>
      <c r="BD564" t="str">
        <f>HYPERLINK("http://exon.niaid.nih.gov/transcriptome/Anopheles_sialome/links/KOG/anoqua_SG1b-KOG.txt","KOG2411")</f>
        <v>KOG2411</v>
      </c>
      <c r="BE564" t="str">
        <f>HYPERLINK("http://exon.niaid.nih.gov/transcriptome/Anopheles_sialome/links/PFAM/anoqua_SG1b-PFAM.txt","Topoisom_I")</f>
        <v>Topoisom_I</v>
      </c>
      <c r="BF564" t="str">
        <f>HYPERLINK("http://pfam.sanger.ac.uk/family?acc=PF01028","0.89")</f>
        <v>0.89</v>
      </c>
      <c r="BG564" s="2" t="str">
        <f>HYPERLINK("http://exon.niaid.nih.gov/transcriptome/Anopheles_sialome/links/SMART/anoqua_SG1b-SMART.txt","FBG")</f>
        <v>FBG</v>
      </c>
      <c r="BH564" t="str">
        <f>HYPERLINK("http://smart.embl-heidelberg.de/smart/do_annotation.pl?DOMAIN=FBG&amp;BLAST=DUMMY","0.12")</f>
        <v>0.12</v>
      </c>
      <c r="BI564" t="str">
        <f>HYPERLINK("http://exon.niaid.nih.gov/transcriptome/Anopheles_sialome/links/TICK-BLOCKS/anoqua_SG1b-TICK-BLOCKS.txt","SG1_full |SG1_stringent_pattern |")</f>
        <v>SG1_full |SG1_stringent_pattern |</v>
      </c>
      <c r="BJ564" s="2" t="s">
        <v>2423</v>
      </c>
      <c r="BK564" t="s">
        <v>1880</v>
      </c>
      <c r="BL564">
        <f>HYPERLINK("http://exon.niaid.nih.gov/transcriptome/Anopheles_sialome/links/cluster-b/anopheline-sialome-cds-pep-larger-orf25-50SimCLU3.txt", 3)</f>
        <v>3</v>
      </c>
      <c r="BM564">
        <f>HYPERLINK("http://exon.niaid.nih.gov/transcriptome/Anopheles_sialome/links/cluster-b/anopheline-sialome-cds-pep-larger-orf25-50SimCLTL3.txt", 119)</f>
        <v>119</v>
      </c>
      <c r="BN564">
        <f>HYPERLINK("http://exon.niaid.nih.gov/transcriptome/Anopheles_sialome/links/cluster-b/anopheline-sialome-cds-pep-larger-orf30-50SimCLU3.txt", 3)</f>
        <v>3</v>
      </c>
      <c r="BO564">
        <f>HYPERLINK("http://exon.niaid.nih.gov/transcriptome/Anopheles_sialome/links/cluster-b/anopheline-sialome-cds-pep-larger-orf30-50SimCLTL3.txt", 119)</f>
        <v>119</v>
      </c>
      <c r="BP564">
        <f>HYPERLINK("http://exon.niaid.nih.gov/transcriptome/Anopheles_sialome/links/cluster-b/anopheline-sialome-cds-pep-larger-orf35-50SimCLU2.txt", 2)</f>
        <v>2</v>
      </c>
      <c r="BQ564">
        <f>HYPERLINK("http://exon.niaid.nih.gov/transcriptome/Anopheles_sialome/links/cluster-b/anopheline-sialome-cds-pep-larger-orf35-50SimCLTL2.txt", 119)</f>
        <v>119</v>
      </c>
      <c r="BR564">
        <f>HYPERLINK("http://exon.niaid.nih.gov/transcriptome/Anopheles_sialome/links/cluster-b/anopheline-sialome-cds-pep-larger-orf40-50SimCLU1.txt", 1)</f>
        <v>1</v>
      </c>
      <c r="BS564">
        <f>HYPERLINK("http://exon.niaid.nih.gov/transcriptome/Anopheles_sialome/links/cluster-b/anopheline-sialome-cds-pep-larger-orf40-50SimCLTL1.txt", 119)</f>
        <v>119</v>
      </c>
      <c r="BT564">
        <f>HYPERLINK("http://exon.niaid.nih.gov/transcriptome/Anopheles_sialome/links/cluster-b/anopheline-sialome-cds-pep-larger-orf45-50SimCLU23.txt", 23)</f>
        <v>23</v>
      </c>
      <c r="BU564">
        <f>HYPERLINK("http://exon.niaid.nih.gov/transcriptome/Anopheles_sialome/links/cluster-b/anopheline-sialome-cds-pep-larger-orf45-50SimCLTL23.txt", 18)</f>
        <v>18</v>
      </c>
      <c r="BV564">
        <f>HYPERLINK("http://exon.niaid.nih.gov/transcriptome/Anopheles_sialome/links/cluster-b/anopheline-sialome-cds-pep-larger-orf50-50SimCLU22.txt", 22)</f>
        <v>22</v>
      </c>
      <c r="BW564">
        <f>HYPERLINK("http://exon.niaid.nih.gov/transcriptome/Anopheles_sialome/links/cluster-b/anopheline-sialome-cds-pep-larger-orf50-50SimCLTL22.txt", 18)</f>
        <v>18</v>
      </c>
      <c r="BX564">
        <f>HYPERLINK("http://exon.niaid.nih.gov/transcriptome/Anopheles_sialome/links/cluster-b/anopheline-sialome-cds-pep-larger-orf55-50SimCLU22.txt", 22)</f>
        <v>22</v>
      </c>
      <c r="BY564">
        <f>HYPERLINK("http://exon.niaid.nih.gov/transcriptome/Anopheles_sialome/links/cluster-b/anopheline-sialome-cds-pep-larger-orf55-50SimCLTL22.txt", 18)</f>
        <v>18</v>
      </c>
      <c r="BZ564">
        <f>HYPERLINK("http://exon.niaid.nih.gov/transcriptome/Anopheles_sialome/links/cluster-b/anopheline-sialome-cds-pep-larger-orf60-50SimCLU32.txt", 32)</f>
        <v>32</v>
      </c>
      <c r="CA564">
        <f>HYPERLINK("http://exon.niaid.nih.gov/transcriptome/Anopheles_sialome/links/cluster-b/anopheline-sialome-cds-pep-larger-orf60-50SimCLTL32.txt", 14)</f>
        <v>14</v>
      </c>
      <c r="CB564">
        <f>HYPERLINK("http://exon.niaid.nih.gov/transcriptome/Anopheles_sialome/links/cluster-b/anopheline-sialome-cds-pep-larger-orf65-50SimCLU37.txt", 37)</f>
        <v>37</v>
      </c>
      <c r="CC564">
        <f>HYPERLINK("http://exon.niaid.nih.gov/transcriptome/Anopheles_sialome/links/cluster-b/anopheline-sialome-cds-pep-larger-orf65-50SimCLTL37.txt", 12)</f>
        <v>12</v>
      </c>
      <c r="CD564">
        <f>HYPERLINK("http://exon.niaid.nih.gov/transcriptome/Anopheles_sialome/links/cluster-b/anopheline-sialome-cds-pep-larger-orf70-50SimCLU39.txt", 39)</f>
        <v>39</v>
      </c>
      <c r="CE564">
        <f>HYPERLINK("http://exon.niaid.nih.gov/transcriptome/Anopheles_sialome/links/cluster-b/anopheline-sialome-cds-pep-larger-orf70-50SimCLTL39.txt", 12)</f>
        <v>12</v>
      </c>
      <c r="CF564">
        <f>HYPERLINK("http://exon.niaid.nih.gov/transcriptome/Anopheles_sialome/links/cluster-b/anopheline-sialome-cds-pep-larger-orf75-50SimCLU32.txt", 32)</f>
        <v>32</v>
      </c>
      <c r="CG564">
        <f>HYPERLINK("http://exon.niaid.nih.gov/transcriptome/Anopheles_sialome/links/cluster-b/anopheline-sialome-cds-pep-larger-orf75-50SimCLTL32.txt", 12)</f>
        <v>12</v>
      </c>
      <c r="CH564">
        <f>HYPERLINK("http://exon.niaid.nih.gov/transcriptome/Anopheles_sialome/links/cluster-b/anopheline-sialome-cds-pep-larger-orf80-50SimCLU27.txt", 27)</f>
        <v>27</v>
      </c>
      <c r="CI564">
        <f>HYPERLINK("http://exon.niaid.nih.gov/transcriptome/Anopheles_sialome/links/cluster-b/anopheline-sialome-cds-pep-larger-orf80-50SimCLTL27.txt", 8)</f>
        <v>8</v>
      </c>
      <c r="CJ564">
        <f>HYPERLINK("http://exon.niaid.nih.gov/transcriptome/Anopheles_sialome/links/cluster-b/anopheline-sialome-cds-pep-larger-orf85-50SimCLU44.txt", 44)</f>
        <v>44</v>
      </c>
      <c r="CK564">
        <f>HYPERLINK("http://exon.niaid.nih.gov/transcriptome/Anopheles_sialome/links/cluster-b/anopheline-sialome-cds-pep-larger-orf85-50SimCLTL44.txt", 6)</f>
        <v>6</v>
      </c>
      <c r="CL564">
        <f>HYPERLINK("http://exon.niaid.nih.gov/transcriptome/Anopheles_sialome/links/cluster-b/anopheline-sialome-cds-pep-larger-orf90-50SimCLU34.txt", 34)</f>
        <v>34</v>
      </c>
      <c r="CM564">
        <f>HYPERLINK("http://exon.niaid.nih.gov/transcriptome/Anopheles_sialome/links/cluster-b/anopheline-sialome-cds-pep-larger-orf90-50SimCLTL34.txt", 6)</f>
        <v>6</v>
      </c>
      <c r="CN564">
        <f>HYPERLINK("http://exon.niaid.nih.gov/transcriptome/Anopheles_sialome/links/cluster-b/anopheline-sialome-cds-pep-larger-orf95-50SimCLU25.txt", 25)</f>
        <v>25</v>
      </c>
      <c r="CO564">
        <f>HYPERLINK("http://exon.niaid.nih.gov/transcriptome/Anopheles_sialome/links/cluster-b/anopheline-sialome-cds-pep-larger-orf95-50SimCLTL25.txt", 6)</f>
        <v>6</v>
      </c>
    </row>
    <row r="565" spans="1:93">
      <c r="A565" s="2" t="str">
        <f>HYPERLINK("http://exon.niaid.nih.gov/transcriptome/Anopheles_sialome/links/cds/anomer_SG1b-cds.txt","anomer_SG1b")</f>
        <v>anomer_SG1b</v>
      </c>
      <c r="B565">
        <v>1158</v>
      </c>
      <c r="C565" t="s">
        <v>482</v>
      </c>
      <c r="D565" t="s">
        <v>7</v>
      </c>
      <c r="E565" t="s">
        <v>5</v>
      </c>
      <c r="F565" t="s">
        <v>1</v>
      </c>
      <c r="G565" t="str">
        <f>HYPERLINK("http://exon.niaid.nih.gov/transcriptome/Anopheles_sialome/links/pep/anomer_SG1b-pep.txt","anomer_SG1b")</f>
        <v>anomer_SG1b</v>
      </c>
      <c r="H565">
        <v>385</v>
      </c>
      <c r="I565">
        <v>1</v>
      </c>
      <c r="J565" s="3" t="str">
        <f>HYPERLINK("http://exon.niaid.nih.gov/transcriptome/Anopheles_sialome/links/Sigp/anomer_SG1b-SigP.txt","SIG")</f>
        <v>SIG</v>
      </c>
      <c r="K565" t="s">
        <v>692</v>
      </c>
      <c r="L565">
        <v>43.622999999999998</v>
      </c>
      <c r="M565">
        <v>7.12</v>
      </c>
      <c r="N565">
        <v>41.381999999999998</v>
      </c>
      <c r="O565">
        <v>6.84</v>
      </c>
      <c r="P565" t="s">
        <v>1883</v>
      </c>
      <c r="Q565" s="3">
        <v>0</v>
      </c>
      <c r="R565" t="s">
        <v>128</v>
      </c>
      <c r="S565" t="s">
        <v>128</v>
      </c>
      <c r="T565" t="s">
        <v>128</v>
      </c>
      <c r="U565" t="s">
        <v>128</v>
      </c>
      <c r="V565" t="s">
        <v>128</v>
      </c>
      <c r="W565" s="3" t="str">
        <f>HYPERLINK("http://exon.niaid.nih.gov/transcriptome/Anopheles_sialome/links/netoglyc/anomer_SG1b-netoglyc.txt","0")</f>
        <v>0</v>
      </c>
      <c r="X565">
        <v>8.8000000000000007</v>
      </c>
      <c r="Y565">
        <v>5.5</v>
      </c>
      <c r="Z565">
        <v>3.9</v>
      </c>
      <c r="AA565" t="s">
        <v>654</v>
      </c>
      <c r="AB565" t="s">
        <v>128</v>
      </c>
      <c r="AC565" s="2" t="str">
        <f>HYPERLINK("http://exon.niaid.nih.gov/transcriptome/Anopheles_sialome/links/DIPTERA/anomer_SG1b-DIPTERA.txt","gSG1b protein")</f>
        <v>gSG1b protein</v>
      </c>
      <c r="AD565" t="str">
        <f>HYPERLINK("http://www.ncbi.nlm.nih.gov/sutils/blink.cgi?pid=13537664","0.0")</f>
        <v>0.0</v>
      </c>
      <c r="AE565" t="str">
        <f t="shared" si="189"/>
        <v>gi|13537664</v>
      </c>
      <c r="AF565">
        <v>93</v>
      </c>
      <c r="AG565">
        <v>97</v>
      </c>
      <c r="AH565">
        <v>100</v>
      </c>
      <c r="AI565" t="s">
        <v>2254</v>
      </c>
      <c r="AJ565" s="2" t="s">
        <v>128</v>
      </c>
      <c r="AK565" t="s">
        <v>128</v>
      </c>
      <c r="AL565" t="s">
        <v>128</v>
      </c>
      <c r="AM565" t="s">
        <v>128</v>
      </c>
      <c r="AN565" t="s">
        <v>128</v>
      </c>
      <c r="AO565" t="s">
        <v>128</v>
      </c>
      <c r="AP565" t="s">
        <v>128</v>
      </c>
      <c r="AQ565" s="2" t="str">
        <f>HYPERLINK("http://exon.niaid.nih.gov/transcriptome/Anopheles_sialome/links/NR-LIGHT/anomer_SG1b-NR-LIGHT.txt","gSG1b protein")</f>
        <v>gSG1b protein</v>
      </c>
      <c r="AR565" t="str">
        <f>HYPERLINK("http://www.ncbi.nlm.nih.gov/sutils/blink.cgi?pid=13537664","0.0")</f>
        <v>0.0</v>
      </c>
      <c r="AS565" t="str">
        <f t="shared" si="190"/>
        <v>gi|13537664</v>
      </c>
      <c r="AT565">
        <v>93</v>
      </c>
      <c r="AU565">
        <v>97</v>
      </c>
      <c r="AV565">
        <v>100</v>
      </c>
      <c r="AW565" t="s">
        <v>2254</v>
      </c>
      <c r="AX565" s="2" t="str">
        <f>HYPERLINK("http://exon.niaid.nih.gov/transcriptome/Anopheles_sialome/links/CDD/anomer_SG1b-CDD.txt","I-BAR_IMD_MIM")</f>
        <v>I-BAR_IMD_MIM</v>
      </c>
      <c r="AY565" t="str">
        <f>HYPERLINK("http://www.ncbi.nlm.nih.gov/Structure/cdd/cddsrv.cgi?uid=cd07643&amp;version=v4.0","1.7")</f>
        <v>1.7</v>
      </c>
      <c r="AZ565" t="s">
        <v>2952</v>
      </c>
      <c r="BA565" s="2" t="str">
        <f>HYPERLINK("http://exon.niaid.nih.gov/transcriptome/Anopheles_sialome/links/KOG/anomer_SG1b-KOG.txt","Damage-specific DNA binding complex, subunit DDB1")</f>
        <v>Damage-specific DNA binding complex, subunit DDB1</v>
      </c>
      <c r="BB565" t="str">
        <f>HYPERLINK("http://www.ncbi.nlm.nih.gov/Structure/cdd/cddsrv.cgi?uid=KOG1897","3.1")</f>
        <v>3.1</v>
      </c>
      <c r="BC565" t="s">
        <v>2290</v>
      </c>
      <c r="BD565" t="str">
        <f>HYPERLINK("http://exon.niaid.nih.gov/transcriptome/Anopheles_sialome/links/KOG/anomer_SG1b-KOG.txt","KOG1897")</f>
        <v>KOG1897</v>
      </c>
      <c r="BE565" t="str">
        <f>HYPERLINK("http://exon.niaid.nih.gov/transcriptome/Anopheles_sialome/links/PFAM/anomer_SG1b-PFAM.txt","Asp-B-Hydro_N")</f>
        <v>Asp-B-Hydro_N</v>
      </c>
      <c r="BF565" t="str">
        <f>HYPERLINK("http://pfam.sanger.ac.uk/family?acc=PF05279","0.89")</f>
        <v>0.89</v>
      </c>
      <c r="BG565" s="2" t="str">
        <f>HYPERLINK("http://exon.niaid.nih.gov/transcriptome/Anopheles_sialome/links/SMART/anomer_SG1b-SMART.txt","BTAD")</f>
        <v>BTAD</v>
      </c>
      <c r="BH565" t="str">
        <f>HYPERLINK("http://smart.embl-heidelberg.de/smart/do_annotation.pl?DOMAIN=BTAD&amp;BLAST=DUMMY","0.023")</f>
        <v>0.023</v>
      </c>
      <c r="BI565" t="str">
        <f>HYPERLINK("http://exon.niaid.nih.gov/transcriptome/Anopheles_sialome/links/TICK-BLOCKS/anomer_SG1b-TICK-BLOCKS.txt","SG1_full |SG1_stringent_pattern |")</f>
        <v>SG1_full |SG1_stringent_pattern |</v>
      </c>
      <c r="BJ565" s="2" t="s">
        <v>2423</v>
      </c>
      <c r="BK565" t="s">
        <v>1882</v>
      </c>
      <c r="BL565">
        <f>HYPERLINK("http://exon.niaid.nih.gov/transcriptome/Anopheles_sialome/links/cluster-b/anopheline-sialome-cds-pep-larger-orf25-50SimCLU3.txt", 3)</f>
        <v>3</v>
      </c>
      <c r="BM565">
        <f>HYPERLINK("http://exon.niaid.nih.gov/transcriptome/Anopheles_sialome/links/cluster-b/anopheline-sialome-cds-pep-larger-orf25-50SimCLTL3.txt", 119)</f>
        <v>119</v>
      </c>
      <c r="BN565">
        <f>HYPERLINK("http://exon.niaid.nih.gov/transcriptome/Anopheles_sialome/links/cluster-b/anopheline-sialome-cds-pep-larger-orf30-50SimCLU3.txt", 3)</f>
        <v>3</v>
      </c>
      <c r="BO565">
        <f>HYPERLINK("http://exon.niaid.nih.gov/transcriptome/Anopheles_sialome/links/cluster-b/anopheline-sialome-cds-pep-larger-orf30-50SimCLTL3.txt", 119)</f>
        <v>119</v>
      </c>
      <c r="BP565">
        <f>HYPERLINK("http://exon.niaid.nih.gov/transcriptome/Anopheles_sialome/links/cluster-b/anopheline-sialome-cds-pep-larger-orf35-50SimCLU2.txt", 2)</f>
        <v>2</v>
      </c>
      <c r="BQ565">
        <f>HYPERLINK("http://exon.niaid.nih.gov/transcriptome/Anopheles_sialome/links/cluster-b/anopheline-sialome-cds-pep-larger-orf35-50SimCLTL2.txt", 119)</f>
        <v>119</v>
      </c>
      <c r="BR565">
        <f>HYPERLINK("http://exon.niaid.nih.gov/transcriptome/Anopheles_sialome/links/cluster-b/anopheline-sialome-cds-pep-larger-orf40-50SimCLU1.txt", 1)</f>
        <v>1</v>
      </c>
      <c r="BS565">
        <f>HYPERLINK("http://exon.niaid.nih.gov/transcriptome/Anopheles_sialome/links/cluster-b/anopheline-sialome-cds-pep-larger-orf40-50SimCLTL1.txt", 119)</f>
        <v>119</v>
      </c>
      <c r="BT565">
        <f>HYPERLINK("http://exon.niaid.nih.gov/transcriptome/Anopheles_sialome/links/cluster-b/anopheline-sialome-cds-pep-larger-orf45-50SimCLU23.txt", 23)</f>
        <v>23</v>
      </c>
      <c r="BU565">
        <f>HYPERLINK("http://exon.niaid.nih.gov/transcriptome/Anopheles_sialome/links/cluster-b/anopheline-sialome-cds-pep-larger-orf45-50SimCLTL23.txt", 18)</f>
        <v>18</v>
      </c>
      <c r="BV565">
        <f>HYPERLINK("http://exon.niaid.nih.gov/transcriptome/Anopheles_sialome/links/cluster-b/anopheline-sialome-cds-pep-larger-orf50-50SimCLU22.txt", 22)</f>
        <v>22</v>
      </c>
      <c r="BW565">
        <f>HYPERLINK("http://exon.niaid.nih.gov/transcriptome/Anopheles_sialome/links/cluster-b/anopheline-sialome-cds-pep-larger-orf50-50SimCLTL22.txt", 18)</f>
        <v>18</v>
      </c>
      <c r="BX565">
        <f>HYPERLINK("http://exon.niaid.nih.gov/transcriptome/Anopheles_sialome/links/cluster-b/anopheline-sialome-cds-pep-larger-orf55-50SimCLU22.txt", 22)</f>
        <v>22</v>
      </c>
      <c r="BY565">
        <f>HYPERLINK("http://exon.niaid.nih.gov/transcriptome/Anopheles_sialome/links/cluster-b/anopheline-sialome-cds-pep-larger-orf55-50SimCLTL22.txt", 18)</f>
        <v>18</v>
      </c>
      <c r="BZ565">
        <f>HYPERLINK("http://exon.niaid.nih.gov/transcriptome/Anopheles_sialome/links/cluster-b/anopheline-sialome-cds-pep-larger-orf60-50SimCLU32.txt", 32)</f>
        <v>32</v>
      </c>
      <c r="CA565">
        <f>HYPERLINK("http://exon.niaid.nih.gov/transcriptome/Anopheles_sialome/links/cluster-b/anopheline-sialome-cds-pep-larger-orf60-50SimCLTL32.txt", 14)</f>
        <v>14</v>
      </c>
      <c r="CB565">
        <f>HYPERLINK("http://exon.niaid.nih.gov/transcriptome/Anopheles_sialome/links/cluster-b/anopheline-sialome-cds-pep-larger-orf65-50SimCLU37.txt", 37)</f>
        <v>37</v>
      </c>
      <c r="CC565">
        <f>HYPERLINK("http://exon.niaid.nih.gov/transcriptome/Anopheles_sialome/links/cluster-b/anopheline-sialome-cds-pep-larger-orf65-50SimCLTL37.txt", 12)</f>
        <v>12</v>
      </c>
      <c r="CD565">
        <f>HYPERLINK("http://exon.niaid.nih.gov/transcriptome/Anopheles_sialome/links/cluster-b/anopheline-sialome-cds-pep-larger-orf70-50SimCLU39.txt", 39)</f>
        <v>39</v>
      </c>
      <c r="CE565">
        <f>HYPERLINK("http://exon.niaid.nih.gov/transcriptome/Anopheles_sialome/links/cluster-b/anopheline-sialome-cds-pep-larger-orf70-50SimCLTL39.txt", 12)</f>
        <v>12</v>
      </c>
      <c r="CF565">
        <f>HYPERLINK("http://exon.niaid.nih.gov/transcriptome/Anopheles_sialome/links/cluster-b/anopheline-sialome-cds-pep-larger-orf75-50SimCLU32.txt", 32)</f>
        <v>32</v>
      </c>
      <c r="CG565">
        <f>HYPERLINK("http://exon.niaid.nih.gov/transcriptome/Anopheles_sialome/links/cluster-b/anopheline-sialome-cds-pep-larger-orf75-50SimCLTL32.txt", 12)</f>
        <v>12</v>
      </c>
      <c r="CH565">
        <f>HYPERLINK("http://exon.niaid.nih.gov/transcriptome/Anopheles_sialome/links/cluster-b/anopheline-sialome-cds-pep-larger-orf80-50SimCLU27.txt", 27)</f>
        <v>27</v>
      </c>
      <c r="CI565">
        <f>HYPERLINK("http://exon.niaid.nih.gov/transcriptome/Anopheles_sialome/links/cluster-b/anopheline-sialome-cds-pep-larger-orf80-50SimCLTL27.txt", 8)</f>
        <v>8</v>
      </c>
      <c r="CJ565">
        <f>HYPERLINK("http://exon.niaid.nih.gov/transcriptome/Anopheles_sialome/links/cluster-b/anopheline-sialome-cds-pep-larger-orf85-50SimCLU44.txt", 44)</f>
        <v>44</v>
      </c>
      <c r="CK565">
        <f>HYPERLINK("http://exon.niaid.nih.gov/transcriptome/Anopheles_sialome/links/cluster-b/anopheline-sialome-cds-pep-larger-orf85-50SimCLTL44.txt", 6)</f>
        <v>6</v>
      </c>
      <c r="CL565">
        <f>HYPERLINK("http://exon.niaid.nih.gov/transcriptome/Anopheles_sialome/links/cluster-b/anopheline-sialome-cds-pep-larger-orf90-50SimCLU34.txt", 34)</f>
        <v>34</v>
      </c>
      <c r="CM565">
        <f>HYPERLINK("http://exon.niaid.nih.gov/transcriptome/Anopheles_sialome/links/cluster-b/anopheline-sialome-cds-pep-larger-orf90-50SimCLTL34.txt", 6)</f>
        <v>6</v>
      </c>
      <c r="CN565">
        <f>HYPERLINK("http://exon.niaid.nih.gov/transcriptome/Anopheles_sialome/links/cluster-b/anopheline-sialome-cds-pep-larger-orf95-50SimCLU25.txt", 25)</f>
        <v>25</v>
      </c>
      <c r="CO565">
        <f>HYPERLINK("http://exon.niaid.nih.gov/transcriptome/Anopheles_sialome/links/cluster-b/anopheline-sialome-cds-pep-larger-orf95-50SimCLTL25.txt", 6)</f>
        <v>6</v>
      </c>
    </row>
    <row r="566" spans="1:93">
      <c r="A566" s="2" t="str">
        <f>HYPERLINK("http://exon.niaid.nih.gov/transcriptome/Anopheles_sialome/links/cds/anomel_SG1b-cds.txt","anomel_SG1b")</f>
        <v>anomel_SG1b</v>
      </c>
      <c r="B566">
        <v>1158</v>
      </c>
      <c r="C566" t="s">
        <v>483</v>
      </c>
      <c r="D566" t="s">
        <v>4</v>
      </c>
      <c r="E566" t="s">
        <v>5</v>
      </c>
      <c r="F566" t="s">
        <v>1</v>
      </c>
      <c r="G566" t="str">
        <f>HYPERLINK("http://exon.niaid.nih.gov/transcriptome/Anopheles_sialome/links/pep/anomel_SG1b-pep.txt","anomel_SG1b")</f>
        <v>anomel_SG1b</v>
      </c>
      <c r="H566">
        <v>385</v>
      </c>
      <c r="I566">
        <v>1</v>
      </c>
      <c r="J566" s="3" t="str">
        <f>HYPERLINK("http://exon.niaid.nih.gov/transcriptome/Anopheles_sialome/links/Sigp/anomel_SG1b-SigP.txt","SIG")</f>
        <v>SIG</v>
      </c>
      <c r="K566" t="s">
        <v>692</v>
      </c>
      <c r="L566">
        <v>43.829000000000001</v>
      </c>
      <c r="M566">
        <v>6.87</v>
      </c>
      <c r="N566">
        <v>41.588000000000001</v>
      </c>
      <c r="O566">
        <v>6.68</v>
      </c>
      <c r="P566" t="s">
        <v>1878</v>
      </c>
      <c r="Q566" s="3">
        <v>0</v>
      </c>
      <c r="R566" t="s">
        <v>128</v>
      </c>
      <c r="S566" t="s">
        <v>128</v>
      </c>
      <c r="T566" t="s">
        <v>128</v>
      </c>
      <c r="U566" t="s">
        <v>128</v>
      </c>
      <c r="V566" t="s">
        <v>128</v>
      </c>
      <c r="W566" s="3" t="str">
        <f>HYPERLINK("http://exon.niaid.nih.gov/transcriptome/Anopheles_sialome/links/netoglyc/anomel_SG1b-netoglyc.txt","0")</f>
        <v>0</v>
      </c>
      <c r="X566">
        <v>9.1</v>
      </c>
      <c r="Y566">
        <v>4.7</v>
      </c>
      <c r="Z566">
        <v>4.2</v>
      </c>
      <c r="AA566" t="s">
        <v>654</v>
      </c>
      <c r="AB566" t="s">
        <v>128</v>
      </c>
      <c r="AC566" s="2" t="str">
        <f>HYPERLINK("http://exon.niaid.nih.gov/transcriptome/Anopheles_sialome/links/DIPTERA/anomel_SG1b-DIPTERA.txt","gSG1b protein")</f>
        <v>gSG1b protein</v>
      </c>
      <c r="AD566" t="str">
        <f>HYPERLINK("http://www.ncbi.nlm.nih.gov/sutils/blink.cgi?pid=13537664","0.0")</f>
        <v>0.0</v>
      </c>
      <c r="AE566" t="str">
        <f t="shared" si="189"/>
        <v>gi|13537664</v>
      </c>
      <c r="AF566">
        <v>96</v>
      </c>
      <c r="AG566">
        <v>98</v>
      </c>
      <c r="AH566">
        <v>100</v>
      </c>
      <c r="AI566" t="s">
        <v>2254</v>
      </c>
      <c r="AJ566" s="2" t="s">
        <v>128</v>
      </c>
      <c r="AK566" t="s">
        <v>128</v>
      </c>
      <c r="AL566" t="s">
        <v>128</v>
      </c>
      <c r="AM566" t="s">
        <v>128</v>
      </c>
      <c r="AN566" t="s">
        <v>128</v>
      </c>
      <c r="AO566" t="s">
        <v>128</v>
      </c>
      <c r="AP566" t="s">
        <v>128</v>
      </c>
      <c r="AQ566" s="2" t="str">
        <f>HYPERLINK("http://exon.niaid.nih.gov/transcriptome/Anopheles_sialome/links/NR-LIGHT/anomel_SG1b-NR-LIGHT.txt","gSG1b protein")</f>
        <v>gSG1b protein</v>
      </c>
      <c r="AR566" t="str">
        <f>HYPERLINK("http://www.ncbi.nlm.nih.gov/sutils/blink.cgi?pid=13537664","0.0")</f>
        <v>0.0</v>
      </c>
      <c r="AS566" t="str">
        <f t="shared" si="190"/>
        <v>gi|13537664</v>
      </c>
      <c r="AT566">
        <v>96</v>
      </c>
      <c r="AU566">
        <v>98</v>
      </c>
      <c r="AV566">
        <v>100</v>
      </c>
      <c r="AW566" t="s">
        <v>2254</v>
      </c>
      <c r="AX566" s="2" t="str">
        <f>HYPERLINK("http://exon.niaid.nih.gov/transcriptome/Anopheles_sialome/links/CDD/anomel_SG1b-CDD.txt","Aspartate--tRNA")</f>
        <v>Aspartate--tRNA</v>
      </c>
      <c r="AY566" t="str">
        <f>HYPERLINK("http://www.ncbi.nlm.nih.gov/Structure/cdd/cddsrv.cgi?uid=TIGR00459&amp;version=v4.0","0.84")</f>
        <v>0.84</v>
      </c>
      <c r="AZ566" t="s">
        <v>2953</v>
      </c>
      <c r="BA566" s="2" t="str">
        <f>HYPERLINK("http://exon.niaid.nih.gov/transcriptome/Anopheles_sialome/links/KOG/anomel_SG1b-KOG.txt","Transaldolase")</f>
        <v>Transaldolase</v>
      </c>
      <c r="BB566" t="str">
        <f>HYPERLINK("http://www.ncbi.nlm.nih.gov/Structure/cdd/cddsrv.cgi?uid=KOG2772","0.52")</f>
        <v>0.52</v>
      </c>
      <c r="BC566" t="s">
        <v>2308</v>
      </c>
      <c r="BD566" t="str">
        <f>HYPERLINK("http://exon.niaid.nih.gov/transcriptome/Anopheles_sialome/links/KOG/anomel_SG1b-KOG.txt","KOG2772")</f>
        <v>KOG2772</v>
      </c>
      <c r="BE566" t="str">
        <f>HYPERLINK("http://exon.niaid.nih.gov/transcriptome/Anopheles_sialome/links/PFAM/anomel_SG1b-PFAM.txt","Topoisom_I")</f>
        <v>Topoisom_I</v>
      </c>
      <c r="BF566" t="str">
        <f>HYPERLINK("http://pfam.sanger.ac.uk/family?acc=PF01028","0.86")</f>
        <v>0.86</v>
      </c>
      <c r="BG566" s="2" t="str">
        <f>HYPERLINK("http://exon.niaid.nih.gov/transcriptome/Anopheles_sialome/links/SMART/anomel_SG1b-SMART.txt","AKAP_110")</f>
        <v>AKAP_110</v>
      </c>
      <c r="BH566" t="str">
        <f>HYPERLINK("http://smart.embl-heidelberg.de/smart/do_annotation.pl?DOMAIN=AKAP_110&amp;BLAST=DUMMY","0.016")</f>
        <v>0.016</v>
      </c>
      <c r="BI566" t="str">
        <f>HYPERLINK("http://exon.niaid.nih.gov/transcriptome/Anopheles_sialome/links/TICK-BLOCKS/anomel_SG1b-TICK-BLOCKS.txt","SG1_full |SG1_stringent_pattern |")</f>
        <v>SG1_full |SG1_stringent_pattern |</v>
      </c>
      <c r="BJ566" s="2" t="s">
        <v>2423</v>
      </c>
      <c r="BK566" t="s">
        <v>1884</v>
      </c>
      <c r="BL566">
        <f>HYPERLINK("http://exon.niaid.nih.gov/transcriptome/Anopheles_sialome/links/cluster-b/anopheline-sialome-cds-pep-larger-orf25-50SimCLU3.txt", 3)</f>
        <v>3</v>
      </c>
      <c r="BM566">
        <f>HYPERLINK("http://exon.niaid.nih.gov/transcriptome/Anopheles_sialome/links/cluster-b/anopheline-sialome-cds-pep-larger-orf25-50SimCLTL3.txt", 119)</f>
        <v>119</v>
      </c>
      <c r="BN566">
        <f>HYPERLINK("http://exon.niaid.nih.gov/transcriptome/Anopheles_sialome/links/cluster-b/anopheline-sialome-cds-pep-larger-orf30-50SimCLU3.txt", 3)</f>
        <v>3</v>
      </c>
      <c r="BO566">
        <f>HYPERLINK("http://exon.niaid.nih.gov/transcriptome/Anopheles_sialome/links/cluster-b/anopheline-sialome-cds-pep-larger-orf30-50SimCLTL3.txt", 119)</f>
        <v>119</v>
      </c>
      <c r="BP566">
        <f>HYPERLINK("http://exon.niaid.nih.gov/transcriptome/Anopheles_sialome/links/cluster-b/anopheline-sialome-cds-pep-larger-orf35-50SimCLU2.txt", 2)</f>
        <v>2</v>
      </c>
      <c r="BQ566">
        <f>HYPERLINK("http://exon.niaid.nih.gov/transcriptome/Anopheles_sialome/links/cluster-b/anopheline-sialome-cds-pep-larger-orf35-50SimCLTL2.txt", 119)</f>
        <v>119</v>
      </c>
      <c r="BR566">
        <f>HYPERLINK("http://exon.niaid.nih.gov/transcriptome/Anopheles_sialome/links/cluster-b/anopheline-sialome-cds-pep-larger-orf40-50SimCLU1.txt", 1)</f>
        <v>1</v>
      </c>
      <c r="BS566">
        <f>HYPERLINK("http://exon.niaid.nih.gov/transcriptome/Anopheles_sialome/links/cluster-b/anopheline-sialome-cds-pep-larger-orf40-50SimCLTL1.txt", 119)</f>
        <v>119</v>
      </c>
      <c r="BT566">
        <f>HYPERLINK("http://exon.niaid.nih.gov/transcriptome/Anopheles_sialome/links/cluster-b/anopheline-sialome-cds-pep-larger-orf45-50SimCLU23.txt", 23)</f>
        <v>23</v>
      </c>
      <c r="BU566">
        <f>HYPERLINK("http://exon.niaid.nih.gov/transcriptome/Anopheles_sialome/links/cluster-b/anopheline-sialome-cds-pep-larger-orf45-50SimCLTL23.txt", 18)</f>
        <v>18</v>
      </c>
      <c r="BV566">
        <f>HYPERLINK("http://exon.niaid.nih.gov/transcriptome/Anopheles_sialome/links/cluster-b/anopheline-sialome-cds-pep-larger-orf50-50SimCLU22.txt", 22)</f>
        <v>22</v>
      </c>
      <c r="BW566">
        <f>HYPERLINK("http://exon.niaid.nih.gov/transcriptome/Anopheles_sialome/links/cluster-b/anopheline-sialome-cds-pep-larger-orf50-50SimCLTL22.txt", 18)</f>
        <v>18</v>
      </c>
      <c r="BX566">
        <f>HYPERLINK("http://exon.niaid.nih.gov/transcriptome/Anopheles_sialome/links/cluster-b/anopheline-sialome-cds-pep-larger-orf55-50SimCLU22.txt", 22)</f>
        <v>22</v>
      </c>
      <c r="BY566">
        <f>HYPERLINK("http://exon.niaid.nih.gov/transcriptome/Anopheles_sialome/links/cluster-b/anopheline-sialome-cds-pep-larger-orf55-50SimCLTL22.txt", 18)</f>
        <v>18</v>
      </c>
      <c r="BZ566">
        <f>HYPERLINK("http://exon.niaid.nih.gov/transcriptome/Anopheles_sialome/links/cluster-b/anopheline-sialome-cds-pep-larger-orf60-50SimCLU32.txt", 32)</f>
        <v>32</v>
      </c>
      <c r="CA566">
        <f>HYPERLINK("http://exon.niaid.nih.gov/transcriptome/Anopheles_sialome/links/cluster-b/anopheline-sialome-cds-pep-larger-orf60-50SimCLTL32.txt", 14)</f>
        <v>14</v>
      </c>
      <c r="CB566">
        <f>HYPERLINK("http://exon.niaid.nih.gov/transcriptome/Anopheles_sialome/links/cluster-b/anopheline-sialome-cds-pep-larger-orf65-50SimCLU37.txt", 37)</f>
        <v>37</v>
      </c>
      <c r="CC566">
        <f>HYPERLINK("http://exon.niaid.nih.gov/transcriptome/Anopheles_sialome/links/cluster-b/anopheline-sialome-cds-pep-larger-orf65-50SimCLTL37.txt", 12)</f>
        <v>12</v>
      </c>
      <c r="CD566">
        <f>HYPERLINK("http://exon.niaid.nih.gov/transcriptome/Anopheles_sialome/links/cluster-b/anopheline-sialome-cds-pep-larger-orf70-50SimCLU39.txt", 39)</f>
        <v>39</v>
      </c>
      <c r="CE566">
        <f>HYPERLINK("http://exon.niaid.nih.gov/transcriptome/Anopheles_sialome/links/cluster-b/anopheline-sialome-cds-pep-larger-orf70-50SimCLTL39.txt", 12)</f>
        <v>12</v>
      </c>
      <c r="CF566">
        <f>HYPERLINK("http://exon.niaid.nih.gov/transcriptome/Anopheles_sialome/links/cluster-b/anopheline-sialome-cds-pep-larger-orf75-50SimCLU32.txt", 32)</f>
        <v>32</v>
      </c>
      <c r="CG566">
        <f>HYPERLINK("http://exon.niaid.nih.gov/transcriptome/Anopheles_sialome/links/cluster-b/anopheline-sialome-cds-pep-larger-orf75-50SimCLTL32.txt", 12)</f>
        <v>12</v>
      </c>
      <c r="CH566">
        <f>HYPERLINK("http://exon.niaid.nih.gov/transcriptome/Anopheles_sialome/links/cluster-b/anopheline-sialome-cds-pep-larger-orf80-50SimCLU27.txt", 27)</f>
        <v>27</v>
      </c>
      <c r="CI566">
        <f>HYPERLINK("http://exon.niaid.nih.gov/transcriptome/Anopheles_sialome/links/cluster-b/anopheline-sialome-cds-pep-larger-orf80-50SimCLTL27.txt", 8)</f>
        <v>8</v>
      </c>
      <c r="CJ566">
        <f>HYPERLINK("http://exon.niaid.nih.gov/transcriptome/Anopheles_sialome/links/cluster-b/anopheline-sialome-cds-pep-larger-orf85-50SimCLU44.txt", 44)</f>
        <v>44</v>
      </c>
      <c r="CK566">
        <f>HYPERLINK("http://exon.niaid.nih.gov/transcriptome/Anopheles_sialome/links/cluster-b/anopheline-sialome-cds-pep-larger-orf85-50SimCLTL44.txt", 6)</f>
        <v>6</v>
      </c>
      <c r="CL566">
        <f>HYPERLINK("http://exon.niaid.nih.gov/transcriptome/Anopheles_sialome/links/cluster-b/anopheline-sialome-cds-pep-larger-orf90-50SimCLU34.txt", 34)</f>
        <v>34</v>
      </c>
      <c r="CM566">
        <f>HYPERLINK("http://exon.niaid.nih.gov/transcriptome/Anopheles_sialome/links/cluster-b/anopheline-sialome-cds-pep-larger-orf90-50SimCLTL34.txt", 6)</f>
        <v>6</v>
      </c>
      <c r="CN566">
        <f>HYPERLINK("http://exon.niaid.nih.gov/transcriptome/Anopheles_sialome/links/cluster-b/anopheline-sialome-cds-pep-larger-orf95-50SimCLU25.txt", 25)</f>
        <v>25</v>
      </c>
      <c r="CO566">
        <f>HYPERLINK("http://exon.niaid.nih.gov/transcriptome/Anopheles_sialome/links/cluster-b/anopheline-sialome-cds-pep-larger-orf95-50SimCLTL25.txt", 6)</f>
        <v>6</v>
      </c>
    </row>
    <row r="567" spans="1:93">
      <c r="A567" s="2" t="str">
        <f>HYPERLINK("http://exon.niaid.nih.gov/transcriptome/Anopheles_sialome/links/cds/anochris_SG1b-cds.txt","anochris_SG1b")</f>
        <v>anochris_SG1b</v>
      </c>
      <c r="B567">
        <v>1170</v>
      </c>
      <c r="C567" t="s">
        <v>484</v>
      </c>
      <c r="D567" t="s">
        <v>4</v>
      </c>
      <c r="E567" t="s">
        <v>5</v>
      </c>
      <c r="F567" t="s">
        <v>1</v>
      </c>
      <c r="G567" t="str">
        <f>HYPERLINK("http://exon.niaid.nih.gov/transcriptome/Anopheles_sialome/links/pep/anochris_SG1b-pep.txt","anochris_SG1b")</f>
        <v>anochris_SG1b</v>
      </c>
      <c r="H567">
        <v>389</v>
      </c>
      <c r="I567">
        <v>2</v>
      </c>
      <c r="J567" s="3" t="str">
        <f>HYPERLINK("http://exon.niaid.nih.gov/transcriptome/Anopheles_sialome/links/Sigp/anochris_SG1b-SigP.txt","SIG")</f>
        <v>SIG</v>
      </c>
      <c r="K567" t="s">
        <v>708</v>
      </c>
      <c r="L567">
        <v>44.89</v>
      </c>
      <c r="M567">
        <v>6.58</v>
      </c>
      <c r="N567">
        <v>42.298000000000002</v>
      </c>
      <c r="O567">
        <v>6.84</v>
      </c>
      <c r="P567" t="s">
        <v>1350</v>
      </c>
      <c r="Q567" s="3">
        <v>0</v>
      </c>
      <c r="R567" t="s">
        <v>128</v>
      </c>
      <c r="S567" t="s">
        <v>128</v>
      </c>
      <c r="T567" t="s">
        <v>128</v>
      </c>
      <c r="U567" t="s">
        <v>128</v>
      </c>
      <c r="V567" t="s">
        <v>128</v>
      </c>
      <c r="W567" s="3" t="str">
        <f>HYPERLINK("http://exon.niaid.nih.gov/transcriptome/Anopheles_sialome/links/netoglyc/anochris_SG1b-netoglyc.txt","0")</f>
        <v>0</v>
      </c>
      <c r="X567">
        <v>9.8000000000000007</v>
      </c>
      <c r="Y567">
        <v>4.0999999999999996</v>
      </c>
      <c r="Z567">
        <v>4.0999999999999996</v>
      </c>
      <c r="AA567" t="s">
        <v>654</v>
      </c>
      <c r="AB567" t="s">
        <v>1886</v>
      </c>
      <c r="AC567" s="2" t="str">
        <f>HYPERLINK("http://exon.niaid.nih.gov/transcriptome/Anopheles_sialome/links/DIPTERA/anochris_SG1b-DIPTERA.txt","gSG1b protein")</f>
        <v>gSG1b protein</v>
      </c>
      <c r="AD567" t="str">
        <f>HYPERLINK("http://www.ncbi.nlm.nih.gov/sutils/blink.cgi?pid=13537664","1E-155")</f>
        <v>1E-155</v>
      </c>
      <c r="AE567" t="str">
        <f t="shared" si="189"/>
        <v>gi|13537664</v>
      </c>
      <c r="AF567">
        <v>72</v>
      </c>
      <c r="AG567">
        <v>82</v>
      </c>
      <c r="AH567">
        <v>101</v>
      </c>
      <c r="AI567" t="s">
        <v>2254</v>
      </c>
      <c r="AJ567" s="2" t="s">
        <v>128</v>
      </c>
      <c r="AK567" t="s">
        <v>128</v>
      </c>
      <c r="AL567" t="s">
        <v>128</v>
      </c>
      <c r="AM567" t="s">
        <v>128</v>
      </c>
      <c r="AN567" t="s">
        <v>128</v>
      </c>
      <c r="AO567" t="s">
        <v>128</v>
      </c>
      <c r="AP567" t="s">
        <v>128</v>
      </c>
      <c r="AQ567" s="2" t="str">
        <f>HYPERLINK("http://exon.niaid.nih.gov/transcriptome/Anopheles_sialome/links/NR-LIGHT/anochris_SG1b-NR-LIGHT.txt","gSG1b protein")</f>
        <v>gSG1b protein</v>
      </c>
      <c r="AR567" t="str">
        <f>HYPERLINK("http://www.ncbi.nlm.nih.gov/sutils/blink.cgi?pid=13537664","1E-155")</f>
        <v>1E-155</v>
      </c>
      <c r="AS567" t="str">
        <f t="shared" si="190"/>
        <v>gi|13537664</v>
      </c>
      <c r="AT567">
        <v>72</v>
      </c>
      <c r="AU567">
        <v>82</v>
      </c>
      <c r="AV567">
        <v>101</v>
      </c>
      <c r="AW567" t="s">
        <v>2254</v>
      </c>
      <c r="AX567" s="2" t="str">
        <f>HYPERLINK("http://exon.niaid.nih.gov/transcriptome/Anopheles_sialome/links/CDD/anochris_SG1b-CDD.txt","PBP2_NikA_DppA_")</f>
        <v>PBP2_NikA_DppA_</v>
      </c>
      <c r="AY567" t="str">
        <f>HYPERLINK("http://www.ncbi.nlm.nih.gov/Structure/cdd/cddsrv.cgi?uid=cd08492&amp;version=v4.0","0.27")</f>
        <v>0.27</v>
      </c>
      <c r="AZ567" t="s">
        <v>2954</v>
      </c>
      <c r="BA567" s="2" t="str">
        <f>HYPERLINK("http://exon.niaid.nih.gov/transcriptome/Anopheles_sialome/links/KOG/anochris_SG1b-KOG.txt","Similar to bacterial dephospho-CoA kinase")</f>
        <v>Similar to bacterial dephospho-CoA kinase</v>
      </c>
      <c r="BB567" t="str">
        <f>HYPERLINK("http://www.ncbi.nlm.nih.gov/Structure/cdd/cddsrv.cgi?uid=KOG3220","0.97")</f>
        <v>0.97</v>
      </c>
      <c r="BC567" t="s">
        <v>2491</v>
      </c>
      <c r="BD567" t="str">
        <f>HYPERLINK("http://exon.niaid.nih.gov/transcriptome/Anopheles_sialome/links/KOG/anochris_SG1b-KOG.txt","KOG3220")</f>
        <v>KOG3220</v>
      </c>
      <c r="BE567" t="str">
        <f>HYPERLINK("http://exon.niaid.nih.gov/transcriptome/Anopheles_sialome/links/PFAM/anochris_SG1b-PFAM.txt","DUF1870")</f>
        <v>DUF1870</v>
      </c>
      <c r="BF567" t="str">
        <f>HYPERLINK("http://pfam.sanger.ac.uk/family?acc=PF08965","0.15")</f>
        <v>0.15</v>
      </c>
      <c r="BG567" s="2" t="str">
        <f>HYPERLINK("http://exon.niaid.nih.gov/transcriptome/Anopheles_sialome/links/SMART/anochris_SG1b-SMART.txt","CAP10")</f>
        <v>CAP10</v>
      </c>
      <c r="BH567" t="str">
        <f>HYPERLINK("http://smart.embl-heidelberg.de/smart/do_annotation.pl?DOMAIN=CAP10&amp;BLAST=DUMMY","0.080")</f>
        <v>0.080</v>
      </c>
      <c r="BI567" t="str">
        <f>HYPERLINK("http://exon.niaid.nih.gov/transcriptome/Anopheles_sialome/links/TICK-BLOCKS/anochris_SG1b-TICK-BLOCKS.txt","SG1_full |SG1_stringent_pattern |")</f>
        <v>SG1_full |SG1_stringent_pattern |</v>
      </c>
      <c r="BJ567" s="2" t="s">
        <v>2423</v>
      </c>
      <c r="BK567" t="s">
        <v>1885</v>
      </c>
      <c r="BL567">
        <f>HYPERLINK("http://exon.niaid.nih.gov/transcriptome/Anopheles_sialome/links/cluster-b/anopheline-sialome-cds-pep-larger-orf25-50SimCLU3.txt", 3)</f>
        <v>3</v>
      </c>
      <c r="BM567">
        <f>HYPERLINK("http://exon.niaid.nih.gov/transcriptome/Anopheles_sialome/links/cluster-b/anopheline-sialome-cds-pep-larger-orf25-50SimCLTL3.txt", 119)</f>
        <v>119</v>
      </c>
      <c r="BN567">
        <f>HYPERLINK("http://exon.niaid.nih.gov/transcriptome/Anopheles_sialome/links/cluster-b/anopheline-sialome-cds-pep-larger-orf30-50SimCLU3.txt", 3)</f>
        <v>3</v>
      </c>
      <c r="BO567">
        <f>HYPERLINK("http://exon.niaid.nih.gov/transcriptome/Anopheles_sialome/links/cluster-b/anopheline-sialome-cds-pep-larger-orf30-50SimCLTL3.txt", 119)</f>
        <v>119</v>
      </c>
      <c r="BP567">
        <f>HYPERLINK("http://exon.niaid.nih.gov/transcriptome/Anopheles_sialome/links/cluster-b/anopheline-sialome-cds-pep-larger-orf35-50SimCLU2.txt", 2)</f>
        <v>2</v>
      </c>
      <c r="BQ567">
        <f>HYPERLINK("http://exon.niaid.nih.gov/transcriptome/Anopheles_sialome/links/cluster-b/anopheline-sialome-cds-pep-larger-orf35-50SimCLTL2.txt", 119)</f>
        <v>119</v>
      </c>
      <c r="BR567">
        <f>HYPERLINK("http://exon.niaid.nih.gov/transcriptome/Anopheles_sialome/links/cluster-b/anopheline-sialome-cds-pep-larger-orf40-50SimCLU1.txt", 1)</f>
        <v>1</v>
      </c>
      <c r="BS567">
        <f>HYPERLINK("http://exon.niaid.nih.gov/transcriptome/Anopheles_sialome/links/cluster-b/anopheline-sialome-cds-pep-larger-orf40-50SimCLTL1.txt", 119)</f>
        <v>119</v>
      </c>
      <c r="BT567">
        <f>HYPERLINK("http://exon.niaid.nih.gov/transcriptome/Anopheles_sialome/links/cluster-b/anopheline-sialome-cds-pep-larger-orf45-50SimCLU23.txt", 23)</f>
        <v>23</v>
      </c>
      <c r="BU567">
        <f>HYPERLINK("http://exon.niaid.nih.gov/transcriptome/Anopheles_sialome/links/cluster-b/anopheline-sialome-cds-pep-larger-orf45-50SimCLTL23.txt", 18)</f>
        <v>18</v>
      </c>
      <c r="BV567">
        <f>HYPERLINK("http://exon.niaid.nih.gov/transcriptome/Anopheles_sialome/links/cluster-b/anopheline-sialome-cds-pep-larger-orf50-50SimCLU22.txt", 22)</f>
        <v>22</v>
      </c>
      <c r="BW567">
        <f>HYPERLINK("http://exon.niaid.nih.gov/transcriptome/Anopheles_sialome/links/cluster-b/anopheline-sialome-cds-pep-larger-orf50-50SimCLTL22.txt", 18)</f>
        <v>18</v>
      </c>
      <c r="BX567">
        <f>HYPERLINK("http://exon.niaid.nih.gov/transcriptome/Anopheles_sialome/links/cluster-b/anopheline-sialome-cds-pep-larger-orf55-50SimCLU22.txt", 22)</f>
        <v>22</v>
      </c>
      <c r="BY567">
        <f>HYPERLINK("http://exon.niaid.nih.gov/transcriptome/Anopheles_sialome/links/cluster-b/anopheline-sialome-cds-pep-larger-orf55-50SimCLTL22.txt", 18)</f>
        <v>18</v>
      </c>
      <c r="BZ567">
        <f>HYPERLINK("http://exon.niaid.nih.gov/transcriptome/Anopheles_sialome/links/cluster-b/anopheline-sialome-cds-pep-larger-orf60-50SimCLU32.txt", 32)</f>
        <v>32</v>
      </c>
      <c r="CA567">
        <f>HYPERLINK("http://exon.niaid.nih.gov/transcriptome/Anopheles_sialome/links/cluster-b/anopheline-sialome-cds-pep-larger-orf60-50SimCLTL32.txt", 14)</f>
        <v>14</v>
      </c>
      <c r="CB567">
        <f>HYPERLINK("http://exon.niaid.nih.gov/transcriptome/Anopheles_sialome/links/cluster-b/anopheline-sialome-cds-pep-larger-orf65-50SimCLU37.txt", 37)</f>
        <v>37</v>
      </c>
      <c r="CC567">
        <f>HYPERLINK("http://exon.niaid.nih.gov/transcriptome/Anopheles_sialome/links/cluster-b/anopheline-sialome-cds-pep-larger-orf65-50SimCLTL37.txt", 12)</f>
        <v>12</v>
      </c>
      <c r="CD567">
        <f>HYPERLINK("http://exon.niaid.nih.gov/transcriptome/Anopheles_sialome/links/cluster-b/anopheline-sialome-cds-pep-larger-orf70-50SimCLU39.txt", 39)</f>
        <v>39</v>
      </c>
      <c r="CE567">
        <f>HYPERLINK("http://exon.niaid.nih.gov/transcriptome/Anopheles_sialome/links/cluster-b/anopheline-sialome-cds-pep-larger-orf70-50SimCLTL39.txt", 12)</f>
        <v>12</v>
      </c>
      <c r="CF567">
        <f>HYPERLINK("http://exon.niaid.nih.gov/transcriptome/Anopheles_sialome/links/cluster-b/anopheline-sialome-cds-pep-larger-orf75-50SimCLU32.txt", 32)</f>
        <v>32</v>
      </c>
      <c r="CG567">
        <f>HYPERLINK("http://exon.niaid.nih.gov/transcriptome/Anopheles_sialome/links/cluster-b/anopheline-sialome-cds-pep-larger-orf75-50SimCLTL32.txt", 12)</f>
        <v>12</v>
      </c>
      <c r="CH567">
        <f>HYPERLINK("http://exon.niaid.nih.gov/transcriptome/Anopheles_sialome/links/cluster-b/anopheline-sialome-cds-pep-larger-orf80-50SimCLU27.txt", 27)</f>
        <v>27</v>
      </c>
      <c r="CI567">
        <f>HYPERLINK("http://exon.niaid.nih.gov/transcriptome/Anopheles_sialome/links/cluster-b/anopheline-sialome-cds-pep-larger-orf80-50SimCLTL27.txt", 8)</f>
        <v>8</v>
      </c>
      <c r="CJ567">
        <v>289</v>
      </c>
      <c r="CK567">
        <v>1</v>
      </c>
      <c r="CL567">
        <v>368</v>
      </c>
      <c r="CM567">
        <v>1</v>
      </c>
      <c r="CN567">
        <v>443</v>
      </c>
      <c r="CO567">
        <v>1</v>
      </c>
    </row>
    <row r="568" spans="1:93">
      <c r="A568" s="2" t="str">
        <f>HYPERLINK("http://exon.niaid.nih.gov/transcriptome/Anopheles_sialome/links/cds/anoepi_SG1b-cds.txt","anoepi_SG1b")</f>
        <v>anoepi_SG1b</v>
      </c>
      <c r="B568">
        <v>1158</v>
      </c>
      <c r="C568" t="s">
        <v>485</v>
      </c>
      <c r="D568" t="s">
        <v>4</v>
      </c>
      <c r="E568" t="s">
        <v>5</v>
      </c>
      <c r="F568" t="s">
        <v>1</v>
      </c>
      <c r="G568" t="str">
        <f>HYPERLINK("http://exon.niaid.nih.gov/transcriptome/Anopheles_sialome/links/pep/anoepi_SG1b-pep.txt","anoepi_SG1b")</f>
        <v>anoepi_SG1b</v>
      </c>
      <c r="H568">
        <v>385</v>
      </c>
      <c r="I568">
        <v>2</v>
      </c>
      <c r="J568" s="3" t="str">
        <f>HYPERLINK("http://exon.niaid.nih.gov/transcriptome/Anopheles_sialome/links/Sigp/anoepi_SG1b-SigP.txt","SIG")</f>
        <v>SIG</v>
      </c>
      <c r="K568" t="s">
        <v>692</v>
      </c>
      <c r="L568">
        <v>44.201999999999998</v>
      </c>
      <c r="M568">
        <v>8.1300000000000008</v>
      </c>
      <c r="N568">
        <v>42.026000000000003</v>
      </c>
      <c r="O568">
        <v>8.23</v>
      </c>
      <c r="P568" t="s">
        <v>1888</v>
      </c>
      <c r="Q568" s="3" t="str">
        <f>HYPERLINK("http://exon.niaid.nih.gov/transcriptome/Anopheles_sialome/links/tmhmm/anoepi_SG1b-tmhmm.txt","1")</f>
        <v>1</v>
      </c>
      <c r="R568">
        <v>5.7</v>
      </c>
      <c r="S568">
        <v>93</v>
      </c>
      <c r="T568">
        <v>1.3</v>
      </c>
      <c r="U568" t="s">
        <v>128</v>
      </c>
      <c r="V568">
        <v>358</v>
      </c>
      <c r="W568" s="3" t="str">
        <f>HYPERLINK("http://exon.niaid.nih.gov/transcriptome/Anopheles_sialome/links/netoglyc/anoepi_SG1b-netoglyc.txt","0")</f>
        <v>0</v>
      </c>
      <c r="X568">
        <v>8.6</v>
      </c>
      <c r="Y568">
        <v>3.9</v>
      </c>
      <c r="Z568">
        <v>3.9</v>
      </c>
      <c r="AA568" t="s">
        <v>654</v>
      </c>
      <c r="AB568" t="s">
        <v>128</v>
      </c>
      <c r="AC568" s="2" t="str">
        <f>HYPERLINK("http://exon.niaid.nih.gov/transcriptome/Anopheles_sialome/links/DIPTERA/anoepi_SG1b-DIPTERA.txt","gSG1b protein")</f>
        <v>gSG1b protein</v>
      </c>
      <c r="AD568" t="str">
        <f>HYPERLINK("http://www.ncbi.nlm.nih.gov/sutils/blink.cgi?pid=13537664","1E-146")</f>
        <v>1E-146</v>
      </c>
      <c r="AE568" t="str">
        <f t="shared" si="189"/>
        <v>gi|13537664</v>
      </c>
      <c r="AF568">
        <v>66</v>
      </c>
      <c r="AG568">
        <v>78</v>
      </c>
      <c r="AH568">
        <v>100</v>
      </c>
      <c r="AI568" t="s">
        <v>2254</v>
      </c>
      <c r="AJ568" s="2" t="s">
        <v>128</v>
      </c>
      <c r="AK568" t="s">
        <v>128</v>
      </c>
      <c r="AL568" t="s">
        <v>128</v>
      </c>
      <c r="AM568" t="s">
        <v>128</v>
      </c>
      <c r="AN568" t="s">
        <v>128</v>
      </c>
      <c r="AO568" t="s">
        <v>128</v>
      </c>
      <c r="AP568" t="s">
        <v>128</v>
      </c>
      <c r="AQ568" s="2" t="str">
        <f>HYPERLINK("http://exon.niaid.nih.gov/transcriptome/Anopheles_sialome/links/NR-LIGHT/anoepi_SG1b-NR-LIGHT.txt","gSG1b protein")</f>
        <v>gSG1b protein</v>
      </c>
      <c r="AR568" t="str">
        <f>HYPERLINK("http://www.ncbi.nlm.nih.gov/sutils/blink.cgi?pid=13537664","1E-145")</f>
        <v>1E-145</v>
      </c>
      <c r="AS568" t="str">
        <f t="shared" si="190"/>
        <v>gi|13537664</v>
      </c>
      <c r="AT568">
        <v>66</v>
      </c>
      <c r="AU568">
        <v>78</v>
      </c>
      <c r="AV568">
        <v>100</v>
      </c>
      <c r="AW568" t="s">
        <v>2254</v>
      </c>
      <c r="AX568" s="2" t="str">
        <f>HYPERLINK("http://exon.niaid.nih.gov/transcriptome/Anopheles_sialome/links/CDD/anoepi_SG1b-CDD.txt","PRK14139")</f>
        <v>PRK14139</v>
      </c>
      <c r="AY568" t="str">
        <f>HYPERLINK("http://www.ncbi.nlm.nih.gov/Structure/cdd/cddsrv.cgi?uid=PRK14139&amp;version=v4.0","1.6")</f>
        <v>1.6</v>
      </c>
      <c r="AZ568" t="s">
        <v>2955</v>
      </c>
      <c r="BA568" s="2" t="str">
        <f>HYPERLINK("http://exon.niaid.nih.gov/transcriptome/Anopheles_sialome/links/KOG/anoepi_SG1b-KOG.txt","Acid trehalase")</f>
        <v>Acid trehalase</v>
      </c>
      <c r="BB568" t="str">
        <f>HYPERLINK("http://www.ncbi.nlm.nih.gov/Structure/cdd/cddsrv.cgi?uid=KOG4125","0.96")</f>
        <v>0.96</v>
      </c>
      <c r="BC568" t="s">
        <v>2308</v>
      </c>
      <c r="BD568" t="str">
        <f>HYPERLINK("http://exon.niaid.nih.gov/transcriptome/Anopheles_sialome/links/KOG/anoepi_SG1b-KOG.txt","KOG4125")</f>
        <v>KOG4125</v>
      </c>
      <c r="BE568" t="str">
        <f>HYPERLINK("http://exon.niaid.nih.gov/transcriptome/Anopheles_sialome/links/PFAM/anoepi_SG1b-PFAM.txt","DUF4487")</f>
        <v>DUF4487</v>
      </c>
      <c r="BF568" t="str">
        <f>HYPERLINK("http://pfam.sanger.ac.uk/family?acc=PF14868","0.41")</f>
        <v>0.41</v>
      </c>
      <c r="BG568" s="2" t="str">
        <f>HYPERLINK("http://exon.niaid.nih.gov/transcriptome/Anopheles_sialome/links/SMART/anoepi_SG1b-SMART.txt","CAP10")</f>
        <v>CAP10</v>
      </c>
      <c r="BH568" t="str">
        <f>HYPERLINK("http://smart.embl-heidelberg.de/smart/do_annotation.pl?DOMAIN=CAP10&amp;BLAST=DUMMY","0.74")</f>
        <v>0.74</v>
      </c>
      <c r="BI568" t="str">
        <f>HYPERLINK("http://exon.niaid.nih.gov/transcriptome/Anopheles_sialome/links/TICK-BLOCKS/anoepi_SG1b-TICK-BLOCKS.txt","SG1_full |SG1_stringent_pattern |")</f>
        <v>SG1_full |SG1_stringent_pattern |</v>
      </c>
      <c r="BJ568" s="2" t="s">
        <v>2423</v>
      </c>
      <c r="BK568" t="s">
        <v>1887</v>
      </c>
      <c r="BL568">
        <f>HYPERLINK("http://exon.niaid.nih.gov/transcriptome/Anopheles_sialome/links/cluster-b/anopheline-sialome-cds-pep-larger-orf25-50SimCLU3.txt", 3)</f>
        <v>3</v>
      </c>
      <c r="BM568">
        <f>HYPERLINK("http://exon.niaid.nih.gov/transcriptome/Anopheles_sialome/links/cluster-b/anopheline-sialome-cds-pep-larger-orf25-50SimCLTL3.txt", 119)</f>
        <v>119</v>
      </c>
      <c r="BN568">
        <f>HYPERLINK("http://exon.niaid.nih.gov/transcriptome/Anopheles_sialome/links/cluster-b/anopheline-sialome-cds-pep-larger-orf30-50SimCLU3.txt", 3)</f>
        <v>3</v>
      </c>
      <c r="BO568">
        <f>HYPERLINK("http://exon.niaid.nih.gov/transcriptome/Anopheles_sialome/links/cluster-b/anopheline-sialome-cds-pep-larger-orf30-50SimCLTL3.txt", 119)</f>
        <v>119</v>
      </c>
      <c r="BP568">
        <f>HYPERLINK("http://exon.niaid.nih.gov/transcriptome/Anopheles_sialome/links/cluster-b/anopheline-sialome-cds-pep-larger-orf35-50SimCLU2.txt", 2)</f>
        <v>2</v>
      </c>
      <c r="BQ568">
        <f>HYPERLINK("http://exon.niaid.nih.gov/transcriptome/Anopheles_sialome/links/cluster-b/anopheline-sialome-cds-pep-larger-orf35-50SimCLTL2.txt", 119)</f>
        <v>119</v>
      </c>
      <c r="BR568">
        <f>HYPERLINK("http://exon.niaid.nih.gov/transcriptome/Anopheles_sialome/links/cluster-b/anopheline-sialome-cds-pep-larger-orf40-50SimCLU1.txt", 1)</f>
        <v>1</v>
      </c>
      <c r="BS568">
        <f>HYPERLINK("http://exon.niaid.nih.gov/transcriptome/Anopheles_sialome/links/cluster-b/anopheline-sialome-cds-pep-larger-orf40-50SimCLTL1.txt", 119)</f>
        <v>119</v>
      </c>
      <c r="BT568">
        <f>HYPERLINK("http://exon.niaid.nih.gov/transcriptome/Anopheles_sialome/links/cluster-b/anopheline-sialome-cds-pep-larger-orf45-50SimCLU23.txt", 23)</f>
        <v>23</v>
      </c>
      <c r="BU568">
        <f>HYPERLINK("http://exon.niaid.nih.gov/transcriptome/Anopheles_sialome/links/cluster-b/anopheline-sialome-cds-pep-larger-orf45-50SimCLTL23.txt", 18)</f>
        <v>18</v>
      </c>
      <c r="BV568">
        <f>HYPERLINK("http://exon.niaid.nih.gov/transcriptome/Anopheles_sialome/links/cluster-b/anopheline-sialome-cds-pep-larger-orf50-50SimCLU22.txt", 22)</f>
        <v>22</v>
      </c>
      <c r="BW568">
        <f>HYPERLINK("http://exon.niaid.nih.gov/transcriptome/Anopheles_sialome/links/cluster-b/anopheline-sialome-cds-pep-larger-orf50-50SimCLTL22.txt", 18)</f>
        <v>18</v>
      </c>
      <c r="BX568">
        <f>HYPERLINK("http://exon.niaid.nih.gov/transcriptome/Anopheles_sialome/links/cluster-b/anopheline-sialome-cds-pep-larger-orf55-50SimCLU22.txt", 22)</f>
        <v>22</v>
      </c>
      <c r="BY568">
        <f>HYPERLINK("http://exon.niaid.nih.gov/transcriptome/Anopheles_sialome/links/cluster-b/anopheline-sialome-cds-pep-larger-orf55-50SimCLTL22.txt", 18)</f>
        <v>18</v>
      </c>
      <c r="BZ568">
        <f>HYPERLINK("http://exon.niaid.nih.gov/transcriptome/Anopheles_sialome/links/cluster-b/anopheline-sialome-cds-pep-larger-orf60-50SimCLU32.txt", 32)</f>
        <v>32</v>
      </c>
      <c r="CA568">
        <f>HYPERLINK("http://exon.niaid.nih.gov/transcriptome/Anopheles_sialome/links/cluster-b/anopheline-sialome-cds-pep-larger-orf60-50SimCLTL32.txt", 14)</f>
        <v>14</v>
      </c>
      <c r="CB568">
        <f>HYPERLINK("http://exon.niaid.nih.gov/transcriptome/Anopheles_sialome/links/cluster-b/anopheline-sialome-cds-pep-larger-orf65-50SimCLU37.txt", 37)</f>
        <v>37</v>
      </c>
      <c r="CC568">
        <f>HYPERLINK("http://exon.niaid.nih.gov/transcriptome/Anopheles_sialome/links/cluster-b/anopheline-sialome-cds-pep-larger-orf65-50SimCLTL37.txt", 12)</f>
        <v>12</v>
      </c>
      <c r="CD568">
        <f>HYPERLINK("http://exon.niaid.nih.gov/transcriptome/Anopheles_sialome/links/cluster-b/anopheline-sialome-cds-pep-larger-orf70-50SimCLU39.txt", 39)</f>
        <v>39</v>
      </c>
      <c r="CE568">
        <f>HYPERLINK("http://exon.niaid.nih.gov/transcriptome/Anopheles_sialome/links/cluster-b/anopheline-sialome-cds-pep-larger-orf70-50SimCLTL39.txt", 12)</f>
        <v>12</v>
      </c>
      <c r="CF568">
        <f>HYPERLINK("http://exon.niaid.nih.gov/transcriptome/Anopheles_sialome/links/cluster-b/anopheline-sialome-cds-pep-larger-orf75-50SimCLU32.txt", 32)</f>
        <v>32</v>
      </c>
      <c r="CG568">
        <f>HYPERLINK("http://exon.niaid.nih.gov/transcriptome/Anopheles_sialome/links/cluster-b/anopheline-sialome-cds-pep-larger-orf75-50SimCLTL32.txt", 12)</f>
        <v>12</v>
      </c>
      <c r="CH568">
        <f>HYPERLINK("http://exon.niaid.nih.gov/transcriptome/Anopheles_sialome/links/cluster-b/anopheline-sialome-cds-pep-larger-orf80-50SimCLU27.txt", 27)</f>
        <v>27</v>
      </c>
      <c r="CI568">
        <f>HYPERLINK("http://exon.niaid.nih.gov/transcriptome/Anopheles_sialome/links/cluster-b/anopheline-sialome-cds-pep-larger-orf80-50SimCLTL27.txt", 8)</f>
        <v>8</v>
      </c>
      <c r="CJ568">
        <v>290</v>
      </c>
      <c r="CK568">
        <v>1</v>
      </c>
      <c r="CL568">
        <v>369</v>
      </c>
      <c r="CM568">
        <v>1</v>
      </c>
      <c r="CN568">
        <v>444</v>
      </c>
      <c r="CO568">
        <v>1</v>
      </c>
    </row>
    <row r="569" spans="1:93">
      <c r="A569" s="2" t="str">
        <f>HYPERLINK("http://exon.niaid.nih.gov/transcriptome/Anopheles_sialome/links/cds/anofun_SG1b-cds.txt","anofun_SG1b")</f>
        <v>anofun_SG1b</v>
      </c>
      <c r="B569">
        <v>1155</v>
      </c>
      <c r="C569" t="s">
        <v>486</v>
      </c>
      <c r="D569" t="s">
        <v>4</v>
      </c>
      <c r="E569" t="s">
        <v>5</v>
      </c>
      <c r="F569" t="s">
        <v>1</v>
      </c>
      <c r="G569" t="str">
        <f>HYPERLINK("http://exon.niaid.nih.gov/transcriptome/Anopheles_sialome/links/pep/anofun_SG1b-pep.txt","anofun_SG1b")</f>
        <v>anofun_SG1b</v>
      </c>
      <c r="H569">
        <v>384</v>
      </c>
      <c r="I569">
        <v>1</v>
      </c>
      <c r="J569" s="3" t="str">
        <f>HYPERLINK("http://exon.niaid.nih.gov/transcriptome/Anopheles_sialome/links/Sigp/anofun_SG1b-SigP.txt","SIG")</f>
        <v>SIG</v>
      </c>
      <c r="K569" t="s">
        <v>652</v>
      </c>
      <c r="L569">
        <v>44.295000000000002</v>
      </c>
      <c r="M569">
        <v>7.05</v>
      </c>
      <c r="N569">
        <v>42.174999999999997</v>
      </c>
      <c r="O569">
        <v>7.2</v>
      </c>
      <c r="P569" t="s">
        <v>1890</v>
      </c>
      <c r="Q569" s="3">
        <v>0</v>
      </c>
      <c r="R569" t="s">
        <v>128</v>
      </c>
      <c r="S569" t="s">
        <v>128</v>
      </c>
      <c r="T569" t="s">
        <v>128</v>
      </c>
      <c r="U569" t="s">
        <v>128</v>
      </c>
      <c r="V569" t="s">
        <v>128</v>
      </c>
      <c r="W569" s="3" t="str">
        <f>HYPERLINK("http://exon.niaid.nih.gov/transcriptome/Anopheles_sialome/links/netoglyc/anofun_SG1b-netoglyc.txt","0")</f>
        <v>0</v>
      </c>
      <c r="X569">
        <v>9.1</v>
      </c>
      <c r="Y569">
        <v>4.2</v>
      </c>
      <c r="Z569">
        <v>3.9</v>
      </c>
      <c r="AA569" t="s">
        <v>654</v>
      </c>
      <c r="AB569" t="s">
        <v>1891</v>
      </c>
      <c r="AC569" s="2" t="str">
        <f>HYPERLINK("http://exon.niaid.nih.gov/transcriptome/Anopheles_sialome/links/DIPTERA/anofun_SG1b-DIPTERA.txt","gSG1b salivary proteins")</f>
        <v>gSG1b salivary proteins</v>
      </c>
      <c r="AD569" t="str">
        <f>HYPERLINK("http://www.ncbi.nlm.nih.gov/sutils/blink.cgi?pid=114865052","0.0")</f>
        <v>0.0</v>
      </c>
      <c r="AE569" t="str">
        <f>HYPERLINK("http://www.ncbi.nlm.nih.gov/protein/114865052","gi|114865052")</f>
        <v>gi|114865052</v>
      </c>
      <c r="AF569">
        <v>97</v>
      </c>
      <c r="AG569">
        <v>98</v>
      </c>
      <c r="AH569">
        <v>100</v>
      </c>
      <c r="AI569" t="s">
        <v>2266</v>
      </c>
      <c r="AJ569" s="2" t="s">
        <v>128</v>
      </c>
      <c r="AK569" t="s">
        <v>128</v>
      </c>
      <c r="AL569" t="s">
        <v>128</v>
      </c>
      <c r="AM569" t="s">
        <v>128</v>
      </c>
      <c r="AN569" t="s">
        <v>128</v>
      </c>
      <c r="AO569" t="s">
        <v>128</v>
      </c>
      <c r="AP569" t="s">
        <v>128</v>
      </c>
      <c r="AQ569" s="2" t="str">
        <f>HYPERLINK("http://exon.niaid.nih.gov/transcriptome/Anopheles_sialome/links/NR-LIGHT/anofun_SG1b-NR-LIGHT.txt","gSG1b salivary proteins")</f>
        <v>gSG1b salivary proteins</v>
      </c>
      <c r="AR569" t="str">
        <f>HYPERLINK("http://www.ncbi.nlm.nih.gov/sutils/blink.cgi?pid=114865052","0.0")</f>
        <v>0.0</v>
      </c>
      <c r="AS569" t="str">
        <f>HYPERLINK("http://www.ncbi.nlm.nih.gov/protein/114865052","gi|114865052")</f>
        <v>gi|114865052</v>
      </c>
      <c r="AT569">
        <v>97</v>
      </c>
      <c r="AU569">
        <v>98</v>
      </c>
      <c r="AV569">
        <v>100</v>
      </c>
      <c r="AW569" t="s">
        <v>2266</v>
      </c>
      <c r="AX569" s="2" t="str">
        <f>HYPERLINK("http://exon.niaid.nih.gov/transcriptome/Anopheles_sialome/links/CDD/anofun_SG1b-CDD.txt","DUF3491")</f>
        <v>DUF3491</v>
      </c>
      <c r="AY569" t="str">
        <f>HYPERLINK("http://www.ncbi.nlm.nih.gov/Structure/cdd/cddsrv.cgi?uid=pfam11996&amp;version=v4.0","0.027")</f>
        <v>0.027</v>
      </c>
      <c r="AZ569" t="s">
        <v>2956</v>
      </c>
      <c r="BA569" s="2" t="str">
        <f>HYPERLINK("http://exon.niaid.nih.gov/transcriptome/Anopheles_sialome/links/KOG/anofun_SG1b-KOG.txt","Uncharacterized conserved protein")</f>
        <v>Uncharacterized conserved protein</v>
      </c>
      <c r="BB569" t="str">
        <f>HYPERLINK("http://www.ncbi.nlm.nih.gov/Structure/cdd/cddsrv.cgi?uid=KOG3870","0.53")</f>
        <v>0.53</v>
      </c>
      <c r="BC569" t="s">
        <v>2304</v>
      </c>
      <c r="BD569" t="str">
        <f>HYPERLINK("http://exon.niaid.nih.gov/transcriptome/Anopheles_sialome/links/KOG/anofun_SG1b-KOG.txt","KOG3870")</f>
        <v>KOG3870</v>
      </c>
      <c r="BE569" t="str">
        <f>HYPERLINK("http://exon.niaid.nih.gov/transcriptome/Anopheles_sialome/links/PFAM/anofun_SG1b-PFAM.txt","DUF3491")</f>
        <v>DUF3491</v>
      </c>
      <c r="BF569" t="str">
        <f>HYPERLINK("http://pfam.sanger.ac.uk/family?acc=PF11996","0.005")</f>
        <v>0.005</v>
      </c>
      <c r="BG569" s="2" t="str">
        <f>HYPERLINK("http://exon.niaid.nih.gov/transcriptome/Anopheles_sialome/links/SMART/anofun_SG1b-SMART.txt","Agouti")</f>
        <v>Agouti</v>
      </c>
      <c r="BH569" t="str">
        <f>HYPERLINK("http://smart.embl-heidelberg.de/smart/do_annotation.pl?DOMAIN=Agouti&amp;BLAST=DUMMY","0.34")</f>
        <v>0.34</v>
      </c>
      <c r="BI569" t="str">
        <f>HYPERLINK("http://exon.niaid.nih.gov/transcriptome/Anopheles_sialome/links/TICK-BLOCKS/anofun_SG1b-TICK-BLOCKS.txt","SG1_full |SG1_stringent_pattern |")</f>
        <v>SG1_full |SG1_stringent_pattern |</v>
      </c>
      <c r="BJ569" s="2" t="s">
        <v>2423</v>
      </c>
      <c r="BK569" t="s">
        <v>1889</v>
      </c>
      <c r="BL569">
        <f>HYPERLINK("http://exon.niaid.nih.gov/transcriptome/Anopheles_sialome/links/cluster-b/anopheline-sialome-cds-pep-larger-orf25-50SimCLU3.txt", 3)</f>
        <v>3</v>
      </c>
      <c r="BM569">
        <f>HYPERLINK("http://exon.niaid.nih.gov/transcriptome/Anopheles_sialome/links/cluster-b/anopheline-sialome-cds-pep-larger-orf25-50SimCLTL3.txt", 119)</f>
        <v>119</v>
      </c>
      <c r="BN569">
        <f>HYPERLINK("http://exon.niaid.nih.gov/transcriptome/Anopheles_sialome/links/cluster-b/anopheline-sialome-cds-pep-larger-orf30-50SimCLU3.txt", 3)</f>
        <v>3</v>
      </c>
      <c r="BO569">
        <f>HYPERLINK("http://exon.niaid.nih.gov/transcriptome/Anopheles_sialome/links/cluster-b/anopheline-sialome-cds-pep-larger-orf30-50SimCLTL3.txt", 119)</f>
        <v>119</v>
      </c>
      <c r="BP569">
        <f>HYPERLINK("http://exon.niaid.nih.gov/transcriptome/Anopheles_sialome/links/cluster-b/anopheline-sialome-cds-pep-larger-orf35-50SimCLU2.txt", 2)</f>
        <v>2</v>
      </c>
      <c r="BQ569">
        <f>HYPERLINK("http://exon.niaid.nih.gov/transcriptome/Anopheles_sialome/links/cluster-b/anopheline-sialome-cds-pep-larger-orf35-50SimCLTL2.txt", 119)</f>
        <v>119</v>
      </c>
      <c r="BR569">
        <f>HYPERLINK("http://exon.niaid.nih.gov/transcriptome/Anopheles_sialome/links/cluster-b/anopheline-sialome-cds-pep-larger-orf40-50SimCLU1.txt", 1)</f>
        <v>1</v>
      </c>
      <c r="BS569">
        <f>HYPERLINK("http://exon.niaid.nih.gov/transcriptome/Anopheles_sialome/links/cluster-b/anopheline-sialome-cds-pep-larger-orf40-50SimCLTL1.txt", 119)</f>
        <v>119</v>
      </c>
      <c r="BT569">
        <f>HYPERLINK("http://exon.niaid.nih.gov/transcriptome/Anopheles_sialome/links/cluster-b/anopheline-sialome-cds-pep-larger-orf45-50SimCLU23.txt", 23)</f>
        <v>23</v>
      </c>
      <c r="BU569">
        <f>HYPERLINK("http://exon.niaid.nih.gov/transcriptome/Anopheles_sialome/links/cluster-b/anopheline-sialome-cds-pep-larger-orf45-50SimCLTL23.txt", 18)</f>
        <v>18</v>
      </c>
      <c r="BV569">
        <f>HYPERLINK("http://exon.niaid.nih.gov/transcriptome/Anopheles_sialome/links/cluster-b/anopheline-sialome-cds-pep-larger-orf50-50SimCLU22.txt", 22)</f>
        <v>22</v>
      </c>
      <c r="BW569">
        <f>HYPERLINK("http://exon.niaid.nih.gov/transcriptome/Anopheles_sialome/links/cluster-b/anopheline-sialome-cds-pep-larger-orf50-50SimCLTL22.txt", 18)</f>
        <v>18</v>
      </c>
      <c r="BX569">
        <f>HYPERLINK("http://exon.niaid.nih.gov/transcriptome/Anopheles_sialome/links/cluster-b/anopheline-sialome-cds-pep-larger-orf55-50SimCLU22.txt", 22)</f>
        <v>22</v>
      </c>
      <c r="BY569">
        <f>HYPERLINK("http://exon.niaid.nih.gov/transcriptome/Anopheles_sialome/links/cluster-b/anopheline-sialome-cds-pep-larger-orf55-50SimCLTL22.txt", 18)</f>
        <v>18</v>
      </c>
      <c r="BZ569">
        <f>HYPERLINK("http://exon.niaid.nih.gov/transcriptome/Anopheles_sialome/links/cluster-b/anopheline-sialome-cds-pep-larger-orf60-50SimCLU32.txt", 32)</f>
        <v>32</v>
      </c>
      <c r="CA569">
        <f>HYPERLINK("http://exon.niaid.nih.gov/transcriptome/Anopheles_sialome/links/cluster-b/anopheline-sialome-cds-pep-larger-orf60-50SimCLTL32.txt", 14)</f>
        <v>14</v>
      </c>
      <c r="CB569">
        <f>HYPERLINK("http://exon.niaid.nih.gov/transcriptome/Anopheles_sialome/links/cluster-b/anopheline-sialome-cds-pep-larger-orf65-50SimCLU37.txt", 37)</f>
        <v>37</v>
      </c>
      <c r="CC569">
        <f>HYPERLINK("http://exon.niaid.nih.gov/transcriptome/Anopheles_sialome/links/cluster-b/anopheline-sialome-cds-pep-larger-orf65-50SimCLTL37.txt", 12)</f>
        <v>12</v>
      </c>
      <c r="CD569">
        <f>HYPERLINK("http://exon.niaid.nih.gov/transcriptome/Anopheles_sialome/links/cluster-b/anopheline-sialome-cds-pep-larger-orf70-50SimCLU39.txt", 39)</f>
        <v>39</v>
      </c>
      <c r="CE569">
        <f>HYPERLINK("http://exon.niaid.nih.gov/transcriptome/Anopheles_sialome/links/cluster-b/anopheline-sialome-cds-pep-larger-orf70-50SimCLTL39.txt", 12)</f>
        <v>12</v>
      </c>
      <c r="CF569">
        <f>HYPERLINK("http://exon.niaid.nih.gov/transcriptome/Anopheles_sialome/links/cluster-b/anopheline-sialome-cds-pep-larger-orf75-50SimCLU32.txt", 32)</f>
        <v>32</v>
      </c>
      <c r="CG569">
        <f>HYPERLINK("http://exon.niaid.nih.gov/transcriptome/Anopheles_sialome/links/cluster-b/anopheline-sialome-cds-pep-larger-orf75-50SimCLTL32.txt", 12)</f>
        <v>12</v>
      </c>
      <c r="CH569">
        <f>HYPERLINK("http://exon.niaid.nih.gov/transcriptome/Anopheles_sialome/links/cluster-b/anopheline-sialome-cds-pep-larger-orf80-50SimCLU53.txt", 53)</f>
        <v>53</v>
      </c>
      <c r="CI569">
        <f>HYPERLINK("http://exon.niaid.nih.gov/transcriptome/Anopheles_sialome/links/cluster-b/anopheline-sialome-cds-pep-larger-orf80-50SimCLTL53.txt", 4)</f>
        <v>4</v>
      </c>
      <c r="CJ569">
        <v>291</v>
      </c>
      <c r="CK569">
        <v>1</v>
      </c>
      <c r="CL569">
        <v>370</v>
      </c>
      <c r="CM569">
        <v>1</v>
      </c>
      <c r="CN569">
        <v>445</v>
      </c>
      <c r="CO569">
        <v>1</v>
      </c>
    </row>
    <row r="570" spans="1:93">
      <c r="A570" s="2" t="str">
        <f>HYPERLINK("http://exon.niaid.nih.gov/transcriptome/Anopheles_sialome/links/cds/anomin_SG1b-cds.txt","anomin_SG1b")</f>
        <v>anomin_SG1b</v>
      </c>
      <c r="B570">
        <v>1155</v>
      </c>
      <c r="C570" t="s">
        <v>487</v>
      </c>
      <c r="D570" t="s">
        <v>4</v>
      </c>
      <c r="E570" t="s">
        <v>5</v>
      </c>
      <c r="F570" t="s">
        <v>1</v>
      </c>
      <c r="G570" t="str">
        <f>HYPERLINK("http://exon.niaid.nih.gov/transcriptome/Anopheles_sialome/links/pep/anomin_SG1b-pep.txt","anomin_SG1b")</f>
        <v>anomin_SG1b</v>
      </c>
      <c r="H570">
        <v>384</v>
      </c>
      <c r="I570">
        <v>1</v>
      </c>
      <c r="J570" s="3" t="str">
        <f>HYPERLINK("http://exon.niaid.nih.gov/transcriptome/Anopheles_sialome/links/Sigp/anomin_SG1b-SigP.txt","SIG")</f>
        <v>SIG</v>
      </c>
      <c r="K570" t="s">
        <v>695</v>
      </c>
      <c r="L570">
        <v>43.883000000000003</v>
      </c>
      <c r="M570">
        <v>8.61</v>
      </c>
      <c r="N570">
        <v>41.466000000000001</v>
      </c>
      <c r="O570">
        <v>8.69</v>
      </c>
      <c r="P570" t="s">
        <v>1893</v>
      </c>
      <c r="Q570" s="3" t="str">
        <f>HYPERLINK("http://exon.niaid.nih.gov/transcriptome/Anopheles_sialome/links/tmhmm/anomin_SG1b-tmhmm.txt","1")</f>
        <v>1</v>
      </c>
      <c r="R570">
        <v>4.9000000000000004</v>
      </c>
      <c r="S570">
        <v>93.2</v>
      </c>
      <c r="T570">
        <v>1.8</v>
      </c>
      <c r="U570" t="s">
        <v>128</v>
      </c>
      <c r="V570">
        <v>358</v>
      </c>
      <c r="W570" s="3" t="str">
        <f>HYPERLINK("http://exon.niaid.nih.gov/transcriptome/Anopheles_sialome/links/netoglyc/anomin_SG1b-netoglyc.txt","0")</f>
        <v>0</v>
      </c>
      <c r="X570">
        <v>7.8</v>
      </c>
      <c r="Y570">
        <v>4.9000000000000004</v>
      </c>
      <c r="Z570">
        <v>4.2</v>
      </c>
      <c r="AA570" t="s">
        <v>654</v>
      </c>
      <c r="AB570" t="s">
        <v>1894</v>
      </c>
      <c r="AC570" s="2" t="str">
        <f>HYPERLINK("http://exon.niaid.nih.gov/transcriptome/Anopheles_sialome/links/DIPTERA/anomin_SG1b-DIPTERA.txt","gSG1b salivary proteins")</f>
        <v>gSG1b salivary proteins</v>
      </c>
      <c r="AD570" t="str">
        <f>HYPERLINK("http://www.ncbi.nlm.nih.gov/sutils/blink.cgi?pid=114865052","1E-159")</f>
        <v>1E-159</v>
      </c>
      <c r="AE570" t="str">
        <f>HYPERLINK("http://www.ncbi.nlm.nih.gov/protein/114865052","gi|114865052")</f>
        <v>gi|114865052</v>
      </c>
      <c r="AF570">
        <v>71</v>
      </c>
      <c r="AG570">
        <v>82</v>
      </c>
      <c r="AH570">
        <v>100</v>
      </c>
      <c r="AI570" t="s">
        <v>2266</v>
      </c>
      <c r="AJ570" s="2" t="s">
        <v>128</v>
      </c>
      <c r="AK570" t="s">
        <v>128</v>
      </c>
      <c r="AL570" t="s">
        <v>128</v>
      </c>
      <c r="AM570" t="s">
        <v>128</v>
      </c>
      <c r="AN570" t="s">
        <v>128</v>
      </c>
      <c r="AO570" t="s">
        <v>128</v>
      </c>
      <c r="AP570" t="s">
        <v>128</v>
      </c>
      <c r="AQ570" s="2" t="str">
        <f>HYPERLINK("http://exon.niaid.nih.gov/transcriptome/Anopheles_sialome/links/NR-LIGHT/anomin_SG1b-NR-LIGHT.txt","gSG1b salivary proteins")</f>
        <v>gSG1b salivary proteins</v>
      </c>
      <c r="AR570" t="str">
        <f>HYPERLINK("http://www.ncbi.nlm.nih.gov/sutils/blink.cgi?pid=114865052","1E-158")</f>
        <v>1E-158</v>
      </c>
      <c r="AS570" t="str">
        <f>HYPERLINK("http://www.ncbi.nlm.nih.gov/protein/114865052","gi|114865052")</f>
        <v>gi|114865052</v>
      </c>
      <c r="AT570">
        <v>71</v>
      </c>
      <c r="AU570">
        <v>82</v>
      </c>
      <c r="AV570">
        <v>100</v>
      </c>
      <c r="AW570" t="s">
        <v>2266</v>
      </c>
      <c r="AX570" s="2" t="str">
        <f>HYPERLINK("http://exon.niaid.nih.gov/transcriptome/Anopheles_sialome/links/CDD/anomin_SG1b-CDD.txt","csdA")</f>
        <v>csdA</v>
      </c>
      <c r="AY570" t="str">
        <f>HYPERLINK("http://www.ncbi.nlm.nih.gov/Structure/cdd/cddsrv.cgi?uid=COG0520&amp;version=v4.0","0.22")</f>
        <v>0.22</v>
      </c>
      <c r="AZ570" t="s">
        <v>2957</v>
      </c>
      <c r="BA570" s="2" t="str">
        <f>HYPERLINK("http://exon.niaid.nih.gov/transcriptome/Anopheles_sialome/links/KOG/anomin_SG1b-KOG.txt","Uncharacterized conserved protein")</f>
        <v>Uncharacterized conserved protein</v>
      </c>
      <c r="BB570" t="str">
        <f>HYPERLINK("http://www.ncbi.nlm.nih.gov/Structure/cdd/cddsrv.cgi?uid=KOG2172","0.014")</f>
        <v>0.014</v>
      </c>
      <c r="BC570" t="s">
        <v>2304</v>
      </c>
      <c r="BD570" t="str">
        <f>HYPERLINK("http://exon.niaid.nih.gov/transcriptome/Anopheles_sialome/links/KOG/anomin_SG1b-KOG.txt","KOG2172")</f>
        <v>KOG2172</v>
      </c>
      <c r="BE570" t="str">
        <f>HYPERLINK("http://exon.niaid.nih.gov/transcriptome/Anopheles_sialome/links/PFAM/anomin_SG1b-PFAM.txt","HHV6-IE")</f>
        <v>HHV6-IE</v>
      </c>
      <c r="BF570" t="str">
        <f>HYPERLINK("http://pfam.sanger.ac.uk/family?acc=PF03753","0.63")</f>
        <v>0.63</v>
      </c>
      <c r="BG570" s="2" t="str">
        <f>HYPERLINK("http://exon.niaid.nih.gov/transcriptome/Anopheles_sialome/links/SMART/anomin_SG1b-SMART.txt","Alpha-L-AF_C")</f>
        <v>Alpha-L-AF_C</v>
      </c>
      <c r="BH570" t="str">
        <f>HYPERLINK("http://smart.embl-heidelberg.de/smart/do_annotation.pl?DOMAIN=Alpha-L-AF_C&amp;BLAST=DUMMY","0.007")</f>
        <v>0.007</v>
      </c>
      <c r="BI570" t="str">
        <f>HYPERLINK("http://exon.niaid.nih.gov/transcriptome/Anopheles_sialome/links/TICK-BLOCKS/anomin_SG1b-TICK-BLOCKS.txt","SG1_full |SG1_stringent_pattern |")</f>
        <v>SG1_full |SG1_stringent_pattern |</v>
      </c>
      <c r="BJ570" s="2" t="s">
        <v>2423</v>
      </c>
      <c r="BK570" t="s">
        <v>1892</v>
      </c>
      <c r="BL570">
        <f>HYPERLINK("http://exon.niaid.nih.gov/transcriptome/Anopheles_sialome/links/cluster-b/anopheline-sialome-cds-pep-larger-orf25-50SimCLU3.txt", 3)</f>
        <v>3</v>
      </c>
      <c r="BM570">
        <f>HYPERLINK("http://exon.niaid.nih.gov/transcriptome/Anopheles_sialome/links/cluster-b/anopheline-sialome-cds-pep-larger-orf25-50SimCLTL3.txt", 119)</f>
        <v>119</v>
      </c>
      <c r="BN570">
        <f>HYPERLINK("http://exon.niaid.nih.gov/transcriptome/Anopheles_sialome/links/cluster-b/anopheline-sialome-cds-pep-larger-orf30-50SimCLU3.txt", 3)</f>
        <v>3</v>
      </c>
      <c r="BO570">
        <f>HYPERLINK("http://exon.niaid.nih.gov/transcriptome/Anopheles_sialome/links/cluster-b/anopheline-sialome-cds-pep-larger-orf30-50SimCLTL3.txt", 119)</f>
        <v>119</v>
      </c>
      <c r="BP570">
        <f>HYPERLINK("http://exon.niaid.nih.gov/transcriptome/Anopheles_sialome/links/cluster-b/anopheline-sialome-cds-pep-larger-orf35-50SimCLU2.txt", 2)</f>
        <v>2</v>
      </c>
      <c r="BQ570">
        <f>HYPERLINK("http://exon.niaid.nih.gov/transcriptome/Anopheles_sialome/links/cluster-b/anopheline-sialome-cds-pep-larger-orf35-50SimCLTL2.txt", 119)</f>
        <v>119</v>
      </c>
      <c r="BR570">
        <f>HYPERLINK("http://exon.niaid.nih.gov/transcriptome/Anopheles_sialome/links/cluster-b/anopheline-sialome-cds-pep-larger-orf40-50SimCLU1.txt", 1)</f>
        <v>1</v>
      </c>
      <c r="BS570">
        <f>HYPERLINK("http://exon.niaid.nih.gov/transcriptome/Anopheles_sialome/links/cluster-b/anopheline-sialome-cds-pep-larger-orf40-50SimCLTL1.txt", 119)</f>
        <v>119</v>
      </c>
      <c r="BT570">
        <f>HYPERLINK("http://exon.niaid.nih.gov/transcriptome/Anopheles_sialome/links/cluster-b/anopheline-sialome-cds-pep-larger-orf45-50SimCLU23.txt", 23)</f>
        <v>23</v>
      </c>
      <c r="BU570">
        <f>HYPERLINK("http://exon.niaid.nih.gov/transcriptome/Anopheles_sialome/links/cluster-b/anopheline-sialome-cds-pep-larger-orf45-50SimCLTL23.txt", 18)</f>
        <v>18</v>
      </c>
      <c r="BV570">
        <f>HYPERLINK("http://exon.niaid.nih.gov/transcriptome/Anopheles_sialome/links/cluster-b/anopheline-sialome-cds-pep-larger-orf50-50SimCLU22.txt", 22)</f>
        <v>22</v>
      </c>
      <c r="BW570">
        <f>HYPERLINK("http://exon.niaid.nih.gov/transcriptome/Anopheles_sialome/links/cluster-b/anopheline-sialome-cds-pep-larger-orf50-50SimCLTL22.txt", 18)</f>
        <v>18</v>
      </c>
      <c r="BX570">
        <f>HYPERLINK("http://exon.niaid.nih.gov/transcriptome/Anopheles_sialome/links/cluster-b/anopheline-sialome-cds-pep-larger-orf55-50SimCLU22.txt", 22)</f>
        <v>22</v>
      </c>
      <c r="BY570">
        <f>HYPERLINK("http://exon.niaid.nih.gov/transcriptome/Anopheles_sialome/links/cluster-b/anopheline-sialome-cds-pep-larger-orf55-50SimCLTL22.txt", 18)</f>
        <v>18</v>
      </c>
      <c r="BZ570">
        <f>HYPERLINK("http://exon.niaid.nih.gov/transcriptome/Anopheles_sialome/links/cluster-b/anopheline-sialome-cds-pep-larger-orf60-50SimCLU32.txt", 32)</f>
        <v>32</v>
      </c>
      <c r="CA570">
        <f>HYPERLINK("http://exon.niaid.nih.gov/transcriptome/Anopheles_sialome/links/cluster-b/anopheline-sialome-cds-pep-larger-orf60-50SimCLTL32.txt", 14)</f>
        <v>14</v>
      </c>
      <c r="CB570">
        <f>HYPERLINK("http://exon.niaid.nih.gov/transcriptome/Anopheles_sialome/links/cluster-b/anopheline-sialome-cds-pep-larger-orf65-50SimCLU37.txt", 37)</f>
        <v>37</v>
      </c>
      <c r="CC570">
        <f>HYPERLINK("http://exon.niaid.nih.gov/transcriptome/Anopheles_sialome/links/cluster-b/anopheline-sialome-cds-pep-larger-orf65-50SimCLTL37.txt", 12)</f>
        <v>12</v>
      </c>
      <c r="CD570">
        <f>HYPERLINK("http://exon.niaid.nih.gov/transcriptome/Anopheles_sialome/links/cluster-b/anopheline-sialome-cds-pep-larger-orf70-50SimCLU39.txt", 39)</f>
        <v>39</v>
      </c>
      <c r="CE570">
        <f>HYPERLINK("http://exon.niaid.nih.gov/transcriptome/Anopheles_sialome/links/cluster-b/anopheline-sialome-cds-pep-larger-orf70-50SimCLTL39.txt", 12)</f>
        <v>12</v>
      </c>
      <c r="CF570">
        <f>HYPERLINK("http://exon.niaid.nih.gov/transcriptome/Anopheles_sialome/links/cluster-b/anopheline-sialome-cds-pep-larger-orf75-50SimCLU32.txt", 32)</f>
        <v>32</v>
      </c>
      <c r="CG570">
        <f>HYPERLINK("http://exon.niaid.nih.gov/transcriptome/Anopheles_sialome/links/cluster-b/anopheline-sialome-cds-pep-larger-orf75-50SimCLTL32.txt", 12)</f>
        <v>12</v>
      </c>
      <c r="CH570">
        <f>HYPERLINK("http://exon.niaid.nih.gov/transcriptome/Anopheles_sialome/links/cluster-b/anopheline-sialome-cds-pep-larger-orf80-50SimCLU53.txt", 53)</f>
        <v>53</v>
      </c>
      <c r="CI570">
        <f>HYPERLINK("http://exon.niaid.nih.gov/transcriptome/Anopheles_sialome/links/cluster-b/anopheline-sialome-cds-pep-larger-orf80-50SimCLTL53.txt", 4)</f>
        <v>4</v>
      </c>
      <c r="CJ570">
        <f>HYPERLINK("http://exon.niaid.nih.gov/transcriptome/Anopheles_sialome/links/cluster-b/anopheline-sialome-cds-pep-larger-orf85-50SimCLU98.txt", 98)</f>
        <v>98</v>
      </c>
      <c r="CK570">
        <f>HYPERLINK("http://exon.niaid.nih.gov/transcriptome/Anopheles_sialome/links/cluster-b/anopheline-sialome-cds-pep-larger-orf85-50SimCLTL98.txt", 2)</f>
        <v>2</v>
      </c>
      <c r="CL570">
        <f>HYPERLINK("http://exon.niaid.nih.gov/transcriptome/Anopheles_sialome/links/cluster-b/anopheline-sialome-cds-pep-larger-orf90-50SimCLU84.txt", 84)</f>
        <v>84</v>
      </c>
      <c r="CM570">
        <f>HYPERLINK("http://exon.niaid.nih.gov/transcriptome/Anopheles_sialome/links/cluster-b/anopheline-sialome-cds-pep-larger-orf90-50SimCLTL84.txt", 2)</f>
        <v>2</v>
      </c>
      <c r="CN570">
        <v>446</v>
      </c>
      <c r="CO570">
        <v>1</v>
      </c>
    </row>
    <row r="571" spans="1:93">
      <c r="A571" s="2" t="str">
        <f>HYPERLINK("http://exon.niaid.nih.gov/transcriptome/Anopheles_sialome/links/cds/anocul_SG1b-cds.txt","anocul_SG1b")</f>
        <v>anocul_SG1b</v>
      </c>
      <c r="B571">
        <v>1155</v>
      </c>
      <c r="C571" t="s">
        <v>488</v>
      </c>
      <c r="D571" t="s">
        <v>4</v>
      </c>
      <c r="E571" t="s">
        <v>5</v>
      </c>
      <c r="F571" t="s">
        <v>1</v>
      </c>
      <c r="G571" t="str">
        <f>HYPERLINK("http://exon.niaid.nih.gov/transcriptome/Anopheles_sialome/links/pep/anocul_SG1b-pep.txt","anocul_SG1b")</f>
        <v>anocul_SG1b</v>
      </c>
      <c r="H571">
        <v>384</v>
      </c>
      <c r="I571">
        <v>1</v>
      </c>
      <c r="J571" s="3" t="str">
        <f>HYPERLINK("http://exon.niaid.nih.gov/transcriptome/Anopheles_sialome/links/Sigp/anocul_SG1b-SigP.txt","SIG")</f>
        <v>SIG</v>
      </c>
      <c r="K571" t="s">
        <v>695</v>
      </c>
      <c r="L571">
        <v>44.02</v>
      </c>
      <c r="M571">
        <v>7.64</v>
      </c>
      <c r="N571">
        <v>41.662999999999997</v>
      </c>
      <c r="O571">
        <v>8.18</v>
      </c>
      <c r="P571" t="s">
        <v>1896</v>
      </c>
      <c r="Q571" s="3" t="str">
        <f>HYPERLINK("http://exon.niaid.nih.gov/transcriptome/Anopheles_sialome/links/tmhmm/anocul_SG1b-tmhmm.txt","1")</f>
        <v>1</v>
      </c>
      <c r="R571">
        <v>4.9000000000000004</v>
      </c>
      <c r="S571">
        <v>93.2</v>
      </c>
      <c r="T571">
        <v>1.8</v>
      </c>
      <c r="U571" t="s">
        <v>128</v>
      </c>
      <c r="V571">
        <v>358</v>
      </c>
      <c r="W571" s="3" t="str">
        <f>HYPERLINK("http://exon.niaid.nih.gov/transcriptome/Anopheles_sialome/links/netoglyc/anocul_SG1b-netoglyc.txt","0")</f>
        <v>0</v>
      </c>
      <c r="X571">
        <v>9.6</v>
      </c>
      <c r="Y571">
        <v>3.6</v>
      </c>
      <c r="Z571">
        <v>3.9</v>
      </c>
      <c r="AA571" t="s">
        <v>654</v>
      </c>
      <c r="AB571" t="s">
        <v>128</v>
      </c>
      <c r="AC571" s="2" t="str">
        <f>HYPERLINK("http://exon.niaid.nih.gov/transcriptome/Anopheles_sialome/links/DIPTERA/anocul_SG1b-DIPTERA.txt","gSG1b salivary protein")</f>
        <v>gSG1b salivary protein</v>
      </c>
      <c r="AD571" t="str">
        <f>HYPERLINK("http://www.ncbi.nlm.nih.gov/sutils/blink.cgi?pid=114865039","1E-160")</f>
        <v>1E-160</v>
      </c>
      <c r="AE571" t="str">
        <f>HYPERLINK("http://www.ncbi.nlm.nih.gov/protein/114865039","gi|114865039")</f>
        <v>gi|114865039</v>
      </c>
      <c r="AF571">
        <v>72</v>
      </c>
      <c r="AG571">
        <v>83</v>
      </c>
      <c r="AH571">
        <v>100</v>
      </c>
      <c r="AI571" t="s">
        <v>2266</v>
      </c>
      <c r="AJ571" s="2" t="s">
        <v>128</v>
      </c>
      <c r="AK571" t="s">
        <v>128</v>
      </c>
      <c r="AL571" t="s">
        <v>128</v>
      </c>
      <c r="AM571" t="s">
        <v>128</v>
      </c>
      <c r="AN571" t="s">
        <v>128</v>
      </c>
      <c r="AO571" t="s">
        <v>128</v>
      </c>
      <c r="AP571" t="s">
        <v>128</v>
      </c>
      <c r="AQ571" s="2" t="str">
        <f>HYPERLINK("http://exon.niaid.nih.gov/transcriptome/Anopheles_sialome/links/NR-LIGHT/anocul_SG1b-NR-LIGHT.txt","gSG1b salivary protein")</f>
        <v>gSG1b salivary protein</v>
      </c>
      <c r="AR571" t="str">
        <f>HYPERLINK("http://www.ncbi.nlm.nih.gov/sutils/blink.cgi?pid=114865039","1E-160")</f>
        <v>1E-160</v>
      </c>
      <c r="AS571" t="str">
        <f>HYPERLINK("http://www.ncbi.nlm.nih.gov/protein/114865039","gi|114865039")</f>
        <v>gi|114865039</v>
      </c>
      <c r="AT571">
        <v>72</v>
      </c>
      <c r="AU571">
        <v>83</v>
      </c>
      <c r="AV571">
        <v>100</v>
      </c>
      <c r="AW571" t="s">
        <v>2266</v>
      </c>
      <c r="AX571" s="2" t="str">
        <f>HYPERLINK("http://exon.niaid.nih.gov/transcriptome/Anopheles_sialome/links/CDD/anocul_SG1b-CDD.txt","Nitrogenase_MoF")</f>
        <v>Nitrogenase_MoF</v>
      </c>
      <c r="AY571" t="str">
        <f>HYPERLINK("http://www.ncbi.nlm.nih.gov/Structure/cdd/cddsrv.cgi?uid=cd01974&amp;version=v4.0","0.58")</f>
        <v>0.58</v>
      </c>
      <c r="AZ571" t="s">
        <v>2958</v>
      </c>
      <c r="BA571" s="2" t="str">
        <f>HYPERLINK("http://exon.niaid.nih.gov/transcriptome/Anopheles_sialome/links/KOG/anocul_SG1b-KOG.txt","SNARE protein Syntaxin 18/UFE1")</f>
        <v>SNARE protein Syntaxin 18/UFE1</v>
      </c>
      <c r="BB571" t="str">
        <f>HYPERLINK("http://www.ncbi.nlm.nih.gov/Structure/cdd/cddsrv.cgi?uid=KOG3894","2.6")</f>
        <v>2.6</v>
      </c>
      <c r="BC571" t="s">
        <v>2487</v>
      </c>
      <c r="BD571" t="str">
        <f>HYPERLINK("http://exon.niaid.nih.gov/transcriptome/Anopheles_sialome/links/KOG/anocul_SG1b-KOG.txt","KOG3894")</f>
        <v>KOG3894</v>
      </c>
      <c r="BE571" t="str">
        <f>HYPERLINK("http://exon.niaid.nih.gov/transcriptome/Anopheles_sialome/links/PFAM/anocul_SG1b-PFAM.txt","Opi1")</f>
        <v>Opi1</v>
      </c>
      <c r="BF571" t="str">
        <f>HYPERLINK("http://pfam.sanger.ac.uk/family?acc=PF08618","0.69")</f>
        <v>0.69</v>
      </c>
      <c r="BG571" s="2" t="str">
        <f>HYPERLINK("http://exon.niaid.nih.gov/transcriptome/Anopheles_sialome/links/SMART/anocul_SG1b-SMART.txt","Alpha-L-AF_C")</f>
        <v>Alpha-L-AF_C</v>
      </c>
      <c r="BH571" t="str">
        <f>HYPERLINK("http://smart.embl-heidelberg.de/smart/do_annotation.pl?DOMAIN=Alpha-L-AF_C&amp;BLAST=DUMMY","0.032")</f>
        <v>0.032</v>
      </c>
      <c r="BI571" t="str">
        <f>HYPERLINK("http://exon.niaid.nih.gov/transcriptome/Anopheles_sialome/links/TICK-BLOCKS/anocul_SG1b-TICK-BLOCKS.txt","SG1_full |SG1_stringent_pattern |")</f>
        <v>SG1_full |SG1_stringent_pattern |</v>
      </c>
      <c r="BJ571" s="2" t="s">
        <v>2423</v>
      </c>
      <c r="BK571" t="s">
        <v>1895</v>
      </c>
      <c r="BL571">
        <f>HYPERLINK("http://exon.niaid.nih.gov/transcriptome/Anopheles_sialome/links/cluster-b/anopheline-sialome-cds-pep-larger-orf25-50SimCLU3.txt", 3)</f>
        <v>3</v>
      </c>
      <c r="BM571">
        <f>HYPERLINK("http://exon.niaid.nih.gov/transcriptome/Anopheles_sialome/links/cluster-b/anopheline-sialome-cds-pep-larger-orf25-50SimCLTL3.txt", 119)</f>
        <v>119</v>
      </c>
      <c r="BN571">
        <f>HYPERLINK("http://exon.niaid.nih.gov/transcriptome/Anopheles_sialome/links/cluster-b/anopheline-sialome-cds-pep-larger-orf30-50SimCLU3.txt", 3)</f>
        <v>3</v>
      </c>
      <c r="BO571">
        <f>HYPERLINK("http://exon.niaid.nih.gov/transcriptome/Anopheles_sialome/links/cluster-b/anopheline-sialome-cds-pep-larger-orf30-50SimCLTL3.txt", 119)</f>
        <v>119</v>
      </c>
      <c r="BP571">
        <f>HYPERLINK("http://exon.niaid.nih.gov/transcriptome/Anopheles_sialome/links/cluster-b/anopheline-sialome-cds-pep-larger-orf35-50SimCLU2.txt", 2)</f>
        <v>2</v>
      </c>
      <c r="BQ571">
        <f>HYPERLINK("http://exon.niaid.nih.gov/transcriptome/Anopheles_sialome/links/cluster-b/anopheline-sialome-cds-pep-larger-orf35-50SimCLTL2.txt", 119)</f>
        <v>119</v>
      </c>
      <c r="BR571">
        <f>HYPERLINK("http://exon.niaid.nih.gov/transcriptome/Anopheles_sialome/links/cluster-b/anopheline-sialome-cds-pep-larger-orf40-50SimCLU1.txt", 1)</f>
        <v>1</v>
      </c>
      <c r="BS571">
        <f>HYPERLINK("http://exon.niaid.nih.gov/transcriptome/Anopheles_sialome/links/cluster-b/anopheline-sialome-cds-pep-larger-orf40-50SimCLTL1.txt", 119)</f>
        <v>119</v>
      </c>
      <c r="BT571">
        <f>HYPERLINK("http://exon.niaid.nih.gov/transcriptome/Anopheles_sialome/links/cluster-b/anopheline-sialome-cds-pep-larger-orf45-50SimCLU23.txt", 23)</f>
        <v>23</v>
      </c>
      <c r="BU571">
        <f>HYPERLINK("http://exon.niaid.nih.gov/transcriptome/Anopheles_sialome/links/cluster-b/anopheline-sialome-cds-pep-larger-orf45-50SimCLTL23.txt", 18)</f>
        <v>18</v>
      </c>
      <c r="BV571">
        <f>HYPERLINK("http://exon.niaid.nih.gov/transcriptome/Anopheles_sialome/links/cluster-b/anopheline-sialome-cds-pep-larger-orf50-50SimCLU22.txt", 22)</f>
        <v>22</v>
      </c>
      <c r="BW571">
        <f>HYPERLINK("http://exon.niaid.nih.gov/transcriptome/Anopheles_sialome/links/cluster-b/anopheline-sialome-cds-pep-larger-orf50-50SimCLTL22.txt", 18)</f>
        <v>18</v>
      </c>
      <c r="BX571">
        <f>HYPERLINK("http://exon.niaid.nih.gov/transcriptome/Anopheles_sialome/links/cluster-b/anopheline-sialome-cds-pep-larger-orf55-50SimCLU22.txt", 22)</f>
        <v>22</v>
      </c>
      <c r="BY571">
        <f>HYPERLINK("http://exon.niaid.nih.gov/transcriptome/Anopheles_sialome/links/cluster-b/anopheline-sialome-cds-pep-larger-orf55-50SimCLTL22.txt", 18)</f>
        <v>18</v>
      </c>
      <c r="BZ571">
        <f>HYPERLINK("http://exon.niaid.nih.gov/transcriptome/Anopheles_sialome/links/cluster-b/anopheline-sialome-cds-pep-larger-orf60-50SimCLU32.txt", 32)</f>
        <v>32</v>
      </c>
      <c r="CA571">
        <f>HYPERLINK("http://exon.niaid.nih.gov/transcriptome/Anopheles_sialome/links/cluster-b/anopheline-sialome-cds-pep-larger-orf60-50SimCLTL32.txt", 14)</f>
        <v>14</v>
      </c>
      <c r="CB571">
        <f>HYPERLINK("http://exon.niaid.nih.gov/transcriptome/Anopheles_sialome/links/cluster-b/anopheline-sialome-cds-pep-larger-orf65-50SimCLU37.txt", 37)</f>
        <v>37</v>
      </c>
      <c r="CC571">
        <f>HYPERLINK("http://exon.niaid.nih.gov/transcriptome/Anopheles_sialome/links/cluster-b/anopheline-sialome-cds-pep-larger-orf65-50SimCLTL37.txt", 12)</f>
        <v>12</v>
      </c>
      <c r="CD571">
        <f>HYPERLINK("http://exon.niaid.nih.gov/transcriptome/Anopheles_sialome/links/cluster-b/anopheline-sialome-cds-pep-larger-orf70-50SimCLU39.txt", 39)</f>
        <v>39</v>
      </c>
      <c r="CE571">
        <f>HYPERLINK("http://exon.niaid.nih.gov/transcriptome/Anopheles_sialome/links/cluster-b/anopheline-sialome-cds-pep-larger-orf70-50SimCLTL39.txt", 12)</f>
        <v>12</v>
      </c>
      <c r="CF571">
        <f>HYPERLINK("http://exon.niaid.nih.gov/transcriptome/Anopheles_sialome/links/cluster-b/anopheline-sialome-cds-pep-larger-orf75-50SimCLU32.txt", 32)</f>
        <v>32</v>
      </c>
      <c r="CG571">
        <f>HYPERLINK("http://exon.niaid.nih.gov/transcriptome/Anopheles_sialome/links/cluster-b/anopheline-sialome-cds-pep-larger-orf75-50SimCLTL32.txt", 12)</f>
        <v>12</v>
      </c>
      <c r="CH571">
        <f>HYPERLINK("http://exon.niaid.nih.gov/transcriptome/Anopheles_sialome/links/cluster-b/anopheline-sialome-cds-pep-larger-orf80-50SimCLU53.txt", 53)</f>
        <v>53</v>
      </c>
      <c r="CI571">
        <f>HYPERLINK("http://exon.niaid.nih.gov/transcriptome/Anopheles_sialome/links/cluster-b/anopheline-sialome-cds-pep-larger-orf80-50SimCLTL53.txt", 4)</f>
        <v>4</v>
      </c>
      <c r="CJ571">
        <f>HYPERLINK("http://exon.niaid.nih.gov/transcriptome/Anopheles_sialome/links/cluster-b/anopheline-sialome-cds-pep-larger-orf85-50SimCLU98.txt", 98)</f>
        <v>98</v>
      </c>
      <c r="CK571">
        <f>HYPERLINK("http://exon.niaid.nih.gov/transcriptome/Anopheles_sialome/links/cluster-b/anopheline-sialome-cds-pep-larger-orf85-50SimCLTL98.txt", 2)</f>
        <v>2</v>
      </c>
      <c r="CL571">
        <f>HYPERLINK("http://exon.niaid.nih.gov/transcriptome/Anopheles_sialome/links/cluster-b/anopheline-sialome-cds-pep-larger-orf90-50SimCLU84.txt", 84)</f>
        <v>84</v>
      </c>
      <c r="CM571">
        <f>HYPERLINK("http://exon.niaid.nih.gov/transcriptome/Anopheles_sialome/links/cluster-b/anopheline-sialome-cds-pep-larger-orf90-50SimCLTL84.txt", 2)</f>
        <v>2</v>
      </c>
      <c r="CN571">
        <v>447</v>
      </c>
      <c r="CO571">
        <v>1</v>
      </c>
    </row>
    <row r="572" spans="1:93">
      <c r="A572" s="2" t="str">
        <f>HYPERLINK("http://exon.niaid.nih.gov/transcriptome/Anopheles_sialome/links/cds/anoste_SG1b-cds.txt","anoste_SG1b")</f>
        <v>anoste_SG1b</v>
      </c>
      <c r="B572">
        <v>1152</v>
      </c>
      <c r="C572" t="s">
        <v>489</v>
      </c>
      <c r="D572" t="s">
        <v>4</v>
      </c>
      <c r="E572" t="s">
        <v>5</v>
      </c>
      <c r="F572" t="s">
        <v>1</v>
      </c>
      <c r="G572" t="str">
        <f>HYPERLINK("http://exon.niaid.nih.gov/transcriptome/Anopheles_sialome/links/pep/anoste_SG1b-pep.txt","anoste_SG1b")</f>
        <v>anoste_SG1b</v>
      </c>
      <c r="H572">
        <v>383</v>
      </c>
      <c r="I572">
        <v>1</v>
      </c>
      <c r="J572" s="3" t="str">
        <f>HYPERLINK("http://exon.niaid.nih.gov/transcriptome/Anopheles_sialome/links/Sigp/anoste_SG1b-SigP.txt","SIG")</f>
        <v>SIG</v>
      </c>
      <c r="K572" t="s">
        <v>925</v>
      </c>
      <c r="L572">
        <v>44.320999999999998</v>
      </c>
      <c r="M572">
        <v>6.73</v>
      </c>
      <c r="N572">
        <v>42.348999999999997</v>
      </c>
      <c r="O572">
        <v>6.82</v>
      </c>
      <c r="P572" t="s">
        <v>1898</v>
      </c>
      <c r="Q572" s="3">
        <v>0</v>
      </c>
      <c r="R572" t="s">
        <v>128</v>
      </c>
      <c r="S572" t="s">
        <v>128</v>
      </c>
      <c r="T572" t="s">
        <v>128</v>
      </c>
      <c r="U572" t="s">
        <v>128</v>
      </c>
      <c r="V572" t="s">
        <v>128</v>
      </c>
      <c r="W572" s="3" t="str">
        <f>HYPERLINK("http://exon.niaid.nih.gov/transcriptome/Anopheles_sialome/links/netoglyc/anoste_SG1b-netoglyc.txt","0")</f>
        <v>0</v>
      </c>
      <c r="X572">
        <v>9.4</v>
      </c>
      <c r="Y572">
        <v>4.2</v>
      </c>
      <c r="Z572">
        <v>3.9</v>
      </c>
      <c r="AA572" t="s">
        <v>654</v>
      </c>
      <c r="AB572" t="s">
        <v>128</v>
      </c>
      <c r="AC572" s="2" t="str">
        <f>HYPERLINK("http://exon.niaid.nih.gov/transcriptome/Anopheles_sialome/links/DIPTERA/anoste_SG1b-DIPTERA.txt","putative salivary protein SG1C")</f>
        <v>putative salivary protein SG1C</v>
      </c>
      <c r="AD572" t="str">
        <f>HYPERLINK("http://www.ncbi.nlm.nih.gov/sutils/blink.cgi?pid=27372941","0.0")</f>
        <v>0.0</v>
      </c>
      <c r="AE572" t="str">
        <f>HYPERLINK("http://www.ncbi.nlm.nih.gov/protein/27372941","gi|27372941")</f>
        <v>gi|27372941</v>
      </c>
      <c r="AF572">
        <v>99</v>
      </c>
      <c r="AG572">
        <v>99</v>
      </c>
      <c r="AH572">
        <v>100</v>
      </c>
      <c r="AI572" t="s">
        <v>2271</v>
      </c>
      <c r="AJ572" s="2" t="s">
        <v>128</v>
      </c>
      <c r="AK572" t="s">
        <v>128</v>
      </c>
      <c r="AL572" t="s">
        <v>128</v>
      </c>
      <c r="AM572" t="s">
        <v>128</v>
      </c>
      <c r="AN572" t="s">
        <v>128</v>
      </c>
      <c r="AO572" t="s">
        <v>128</v>
      </c>
      <c r="AP572" t="s">
        <v>128</v>
      </c>
      <c r="AQ572" s="2" t="str">
        <f>HYPERLINK("http://exon.niaid.nih.gov/transcriptome/Anopheles_sialome/links/NR-LIGHT/anoste_SG1b-NR-LIGHT.txt","putative salivary protein SG1C")</f>
        <v>putative salivary protein SG1C</v>
      </c>
      <c r="AR572" t="str">
        <f>HYPERLINK("http://www.ncbi.nlm.nih.gov/sutils/blink.cgi?pid=27372941","0.0")</f>
        <v>0.0</v>
      </c>
      <c r="AS572" t="str">
        <f>HYPERLINK("http://www.ncbi.nlm.nih.gov/protein/27372941","gi|27372941")</f>
        <v>gi|27372941</v>
      </c>
      <c r="AT572">
        <v>99</v>
      </c>
      <c r="AU572">
        <v>99</v>
      </c>
      <c r="AV572">
        <v>100</v>
      </c>
      <c r="AW572" t="s">
        <v>2271</v>
      </c>
      <c r="AX572" s="2" t="str">
        <f>HYPERLINK("http://exon.niaid.nih.gov/transcriptome/Anopheles_sialome/links/CDD/anoste_SG1b-CDD.txt","DUF677")</f>
        <v>DUF677</v>
      </c>
      <c r="AY572" t="str">
        <f>HYPERLINK("http://www.ncbi.nlm.nih.gov/Structure/cdd/cddsrv.cgi?uid=pfam05055&amp;version=v4.0","0.14")</f>
        <v>0.14</v>
      </c>
      <c r="AZ572" t="s">
        <v>2959</v>
      </c>
      <c r="BA572" s="2" t="str">
        <f>HYPERLINK("http://exon.niaid.nih.gov/transcriptome/Anopheles_sialome/links/KOG/anoste_SG1b-KOG.txt","Uncharacterized conserved protein")</f>
        <v>Uncharacterized conserved protein</v>
      </c>
      <c r="BB572" t="str">
        <f>HYPERLINK("http://www.ncbi.nlm.nih.gov/Structure/cdd/cddsrv.cgi?uid=KOG4819","1.2")</f>
        <v>1.2</v>
      </c>
      <c r="BC572" t="s">
        <v>2304</v>
      </c>
      <c r="BD572" t="str">
        <f>HYPERLINK("http://exon.niaid.nih.gov/transcriptome/Anopheles_sialome/links/KOG/anoste_SG1b-KOG.txt","KOG4819")</f>
        <v>KOG4819</v>
      </c>
      <c r="BE572" t="str">
        <f>HYPERLINK("http://exon.niaid.nih.gov/transcriptome/Anopheles_sialome/links/PFAM/anoste_SG1b-PFAM.txt","DUF677")</f>
        <v>DUF677</v>
      </c>
      <c r="BF572" t="str">
        <f>HYPERLINK("http://pfam.sanger.ac.uk/family?acc=PF05055","0.028")</f>
        <v>0.028</v>
      </c>
      <c r="BG572" s="2" t="str">
        <f>HYPERLINK("http://exon.niaid.nih.gov/transcriptome/Anopheles_sialome/links/SMART/anoste_SG1b-SMART.txt","CAP10")</f>
        <v>CAP10</v>
      </c>
      <c r="BH572" t="str">
        <f>HYPERLINK("http://smart.embl-heidelberg.de/smart/do_annotation.pl?DOMAIN=CAP10&amp;BLAST=DUMMY","3.1")</f>
        <v>3.1</v>
      </c>
      <c r="BI572" t="str">
        <f>HYPERLINK("http://exon.niaid.nih.gov/transcriptome/Anopheles_sialome/links/TICK-BLOCKS/anoste_SG1b-TICK-BLOCKS.txt","SG1_full |SG1_stringent_pattern |")</f>
        <v>SG1_full |SG1_stringent_pattern |</v>
      </c>
      <c r="BJ572" s="2" t="s">
        <v>2423</v>
      </c>
      <c r="BK572" t="s">
        <v>1897</v>
      </c>
      <c r="BL572">
        <f>HYPERLINK("http://exon.niaid.nih.gov/transcriptome/Anopheles_sialome/links/cluster-b/anopheline-sialome-cds-pep-larger-orf25-50SimCLU3.txt", 3)</f>
        <v>3</v>
      </c>
      <c r="BM572">
        <f>HYPERLINK("http://exon.niaid.nih.gov/transcriptome/Anopheles_sialome/links/cluster-b/anopheline-sialome-cds-pep-larger-orf25-50SimCLTL3.txt", 119)</f>
        <v>119</v>
      </c>
      <c r="BN572">
        <f>HYPERLINK("http://exon.niaid.nih.gov/transcriptome/Anopheles_sialome/links/cluster-b/anopheline-sialome-cds-pep-larger-orf30-50SimCLU3.txt", 3)</f>
        <v>3</v>
      </c>
      <c r="BO572">
        <f>HYPERLINK("http://exon.niaid.nih.gov/transcriptome/Anopheles_sialome/links/cluster-b/anopheline-sialome-cds-pep-larger-orf30-50SimCLTL3.txt", 119)</f>
        <v>119</v>
      </c>
      <c r="BP572">
        <f>HYPERLINK("http://exon.niaid.nih.gov/transcriptome/Anopheles_sialome/links/cluster-b/anopheline-sialome-cds-pep-larger-orf35-50SimCLU2.txt", 2)</f>
        <v>2</v>
      </c>
      <c r="BQ572">
        <f>HYPERLINK("http://exon.niaid.nih.gov/transcriptome/Anopheles_sialome/links/cluster-b/anopheline-sialome-cds-pep-larger-orf35-50SimCLTL2.txt", 119)</f>
        <v>119</v>
      </c>
      <c r="BR572">
        <f>HYPERLINK("http://exon.niaid.nih.gov/transcriptome/Anopheles_sialome/links/cluster-b/anopheline-sialome-cds-pep-larger-orf40-50SimCLU1.txt", 1)</f>
        <v>1</v>
      </c>
      <c r="BS572">
        <f>HYPERLINK("http://exon.niaid.nih.gov/transcriptome/Anopheles_sialome/links/cluster-b/anopheline-sialome-cds-pep-larger-orf40-50SimCLTL1.txt", 119)</f>
        <v>119</v>
      </c>
      <c r="BT572">
        <f>HYPERLINK("http://exon.niaid.nih.gov/transcriptome/Anopheles_sialome/links/cluster-b/anopheline-sialome-cds-pep-larger-orf45-50SimCLU23.txt", 23)</f>
        <v>23</v>
      </c>
      <c r="BU572">
        <f>HYPERLINK("http://exon.niaid.nih.gov/transcriptome/Anopheles_sialome/links/cluster-b/anopheline-sialome-cds-pep-larger-orf45-50SimCLTL23.txt", 18)</f>
        <v>18</v>
      </c>
      <c r="BV572">
        <f>HYPERLINK("http://exon.niaid.nih.gov/transcriptome/Anopheles_sialome/links/cluster-b/anopheline-sialome-cds-pep-larger-orf50-50SimCLU22.txt", 22)</f>
        <v>22</v>
      </c>
      <c r="BW572">
        <f>HYPERLINK("http://exon.niaid.nih.gov/transcriptome/Anopheles_sialome/links/cluster-b/anopheline-sialome-cds-pep-larger-orf50-50SimCLTL22.txt", 18)</f>
        <v>18</v>
      </c>
      <c r="BX572">
        <f>HYPERLINK("http://exon.niaid.nih.gov/transcriptome/Anopheles_sialome/links/cluster-b/anopheline-sialome-cds-pep-larger-orf55-50SimCLU22.txt", 22)</f>
        <v>22</v>
      </c>
      <c r="BY572">
        <f>HYPERLINK("http://exon.niaid.nih.gov/transcriptome/Anopheles_sialome/links/cluster-b/anopheline-sialome-cds-pep-larger-orf55-50SimCLTL22.txt", 18)</f>
        <v>18</v>
      </c>
      <c r="BZ572">
        <f>HYPERLINK("http://exon.niaid.nih.gov/transcriptome/Anopheles_sialome/links/cluster-b/anopheline-sialome-cds-pep-larger-orf60-50SimCLU32.txt", 32)</f>
        <v>32</v>
      </c>
      <c r="CA572">
        <f>HYPERLINK("http://exon.niaid.nih.gov/transcriptome/Anopheles_sialome/links/cluster-b/anopheline-sialome-cds-pep-larger-orf60-50SimCLTL32.txt", 14)</f>
        <v>14</v>
      </c>
      <c r="CB572">
        <f>HYPERLINK("http://exon.niaid.nih.gov/transcriptome/Anopheles_sialome/links/cluster-b/anopheline-sialome-cds-pep-larger-orf65-50SimCLU37.txt", 37)</f>
        <v>37</v>
      </c>
      <c r="CC572">
        <f>HYPERLINK("http://exon.niaid.nih.gov/transcriptome/Anopheles_sialome/links/cluster-b/anopheline-sialome-cds-pep-larger-orf65-50SimCLTL37.txt", 12)</f>
        <v>12</v>
      </c>
      <c r="CD572">
        <f>HYPERLINK("http://exon.niaid.nih.gov/transcriptome/Anopheles_sialome/links/cluster-b/anopheline-sialome-cds-pep-larger-orf70-50SimCLU39.txt", 39)</f>
        <v>39</v>
      </c>
      <c r="CE572">
        <f>HYPERLINK("http://exon.niaid.nih.gov/transcriptome/Anopheles_sialome/links/cluster-b/anopheline-sialome-cds-pep-larger-orf70-50SimCLTL39.txt", 12)</f>
        <v>12</v>
      </c>
      <c r="CF572">
        <f>HYPERLINK("http://exon.niaid.nih.gov/transcriptome/Anopheles_sialome/links/cluster-b/anopheline-sialome-cds-pep-larger-orf75-50SimCLU32.txt", 32)</f>
        <v>32</v>
      </c>
      <c r="CG572">
        <f>HYPERLINK("http://exon.niaid.nih.gov/transcriptome/Anopheles_sialome/links/cluster-b/anopheline-sialome-cds-pep-larger-orf75-50SimCLTL32.txt", 12)</f>
        <v>12</v>
      </c>
      <c r="CH572">
        <f>HYPERLINK("http://exon.niaid.nih.gov/transcriptome/Anopheles_sialome/links/cluster-b/anopheline-sialome-cds-pep-larger-orf80-50SimCLU53.txt", 53)</f>
        <v>53</v>
      </c>
      <c r="CI572">
        <f>HYPERLINK("http://exon.niaid.nih.gov/transcriptome/Anopheles_sialome/links/cluster-b/anopheline-sialome-cds-pep-larger-orf80-50SimCLTL53.txt", 4)</f>
        <v>4</v>
      </c>
      <c r="CJ572">
        <v>292</v>
      </c>
      <c r="CK572">
        <v>1</v>
      </c>
      <c r="CL572">
        <v>371</v>
      </c>
      <c r="CM572">
        <v>1</v>
      </c>
      <c r="CN572">
        <v>448</v>
      </c>
      <c r="CO572">
        <v>1</v>
      </c>
    </row>
    <row r="573" spans="1:93">
      <c r="A573" s="2" t="str">
        <f>HYPERLINK("http://exon.niaid.nih.gov/transcriptome/Anopheles_sialome/links/cds/anofar_SG1b-cds.txt","anofar_SG1b")</f>
        <v>anofar_SG1b</v>
      </c>
      <c r="B573">
        <v>1155</v>
      </c>
      <c r="C573" t="s">
        <v>490</v>
      </c>
      <c r="D573" t="s">
        <v>4</v>
      </c>
      <c r="E573" t="s">
        <v>5</v>
      </c>
      <c r="F573" t="s">
        <v>1</v>
      </c>
      <c r="G573" t="str">
        <f>HYPERLINK("http://exon.niaid.nih.gov/transcriptome/Anopheles_sialome/links/pep/anofar_SG1b-pep.txt","anofar_SG1b")</f>
        <v>anofar_SG1b</v>
      </c>
      <c r="H573">
        <v>384</v>
      </c>
      <c r="I573">
        <v>0</v>
      </c>
      <c r="J573" s="3" t="str">
        <f>HYPERLINK("http://exon.niaid.nih.gov/transcriptome/Anopheles_sialome/links/Sigp/anofar_SG1b-SigP.txt","SIG")</f>
        <v>SIG</v>
      </c>
      <c r="K573" t="s">
        <v>692</v>
      </c>
      <c r="L573">
        <v>44.921999999999997</v>
      </c>
      <c r="M573">
        <v>9.3000000000000007</v>
      </c>
      <c r="N573">
        <v>42.71</v>
      </c>
      <c r="O573">
        <v>9.33</v>
      </c>
      <c r="P573" t="s">
        <v>1479</v>
      </c>
      <c r="Q573" s="3">
        <v>0</v>
      </c>
      <c r="R573" t="s">
        <v>128</v>
      </c>
      <c r="S573" t="s">
        <v>128</v>
      </c>
      <c r="T573" t="s">
        <v>128</v>
      </c>
      <c r="U573" t="s">
        <v>128</v>
      </c>
      <c r="V573" t="s">
        <v>128</v>
      </c>
      <c r="W573" s="3" t="str">
        <f>HYPERLINK("http://exon.niaid.nih.gov/transcriptome/Anopheles_sialome/links/netoglyc/anofar_SG1b-netoglyc.txt","1")</f>
        <v>1</v>
      </c>
      <c r="X573">
        <v>8.9</v>
      </c>
      <c r="Y573">
        <v>2.9</v>
      </c>
      <c r="Z573">
        <v>4.7</v>
      </c>
      <c r="AA573" t="s">
        <v>654</v>
      </c>
      <c r="AB573" t="s">
        <v>1900</v>
      </c>
      <c r="AC573" s="2" t="str">
        <f>HYPERLINK("http://exon.niaid.nih.gov/transcriptome/Anopheles_sialome/links/DIPTERA/anofar_SG1b-DIPTERA.txt","gSG1b salivary protein")</f>
        <v>gSG1b salivary protein</v>
      </c>
      <c r="AD573" t="str">
        <f>HYPERLINK("http://www.ncbi.nlm.nih.gov/sutils/blink.cgi?pid=114865039","1E-095")</f>
        <v>1E-095</v>
      </c>
      <c r="AE573" t="str">
        <f>HYPERLINK("http://www.ncbi.nlm.nih.gov/protein/114865039","gi|114865039")</f>
        <v>gi|114865039</v>
      </c>
      <c r="AF573">
        <v>46</v>
      </c>
      <c r="AG573">
        <v>65</v>
      </c>
      <c r="AH573">
        <v>99</v>
      </c>
      <c r="AI573" t="s">
        <v>2266</v>
      </c>
      <c r="AJ573" s="2" t="s">
        <v>128</v>
      </c>
      <c r="AK573" t="s">
        <v>128</v>
      </c>
      <c r="AL573" t="s">
        <v>128</v>
      </c>
      <c r="AM573" t="s">
        <v>128</v>
      </c>
      <c r="AN573" t="s">
        <v>128</v>
      </c>
      <c r="AO573" t="s">
        <v>128</v>
      </c>
      <c r="AP573" t="s">
        <v>128</v>
      </c>
      <c r="AQ573" s="2" t="str">
        <f>HYPERLINK("http://exon.niaid.nih.gov/transcriptome/Anopheles_sialome/links/NR-LIGHT/anofar_SG1b-NR-LIGHT.txt","gSG1b salivary protein")</f>
        <v>gSG1b salivary protein</v>
      </c>
      <c r="AR573" t="str">
        <f>HYPERLINK("http://www.ncbi.nlm.nih.gov/sutils/blink.cgi?pid=114865039","4E-095")</f>
        <v>4E-095</v>
      </c>
      <c r="AS573" t="str">
        <f>HYPERLINK("http://www.ncbi.nlm.nih.gov/protein/114865039","gi|114865039")</f>
        <v>gi|114865039</v>
      </c>
      <c r="AT573">
        <v>46</v>
      </c>
      <c r="AU573">
        <v>65</v>
      </c>
      <c r="AV573">
        <v>99</v>
      </c>
      <c r="AW573" t="s">
        <v>2266</v>
      </c>
      <c r="AX573" s="2" t="str">
        <f>HYPERLINK("http://exon.niaid.nih.gov/transcriptome/Anopheles_sialome/links/CDD/anofar_SG1b-CDD.txt","recF")</f>
        <v>recF</v>
      </c>
      <c r="AY573" t="str">
        <f>HYPERLINK("http://www.ncbi.nlm.nih.gov/Structure/cdd/cddsrv.cgi?uid=PRK00064&amp;version=v4.0","0.10")</f>
        <v>0.10</v>
      </c>
      <c r="AZ573" t="s">
        <v>2960</v>
      </c>
      <c r="BA573" s="2" t="str">
        <f>HYPERLINK("http://exon.niaid.nih.gov/transcriptome/Anopheles_sialome/links/KOG/anofar_SG1b-KOG.txt","WD40 and TPR repeat-containing protein")</f>
        <v>WD40 and TPR repeat-containing protein</v>
      </c>
      <c r="BB573" t="str">
        <f>HYPERLINK("http://www.ncbi.nlm.nih.gov/Structure/cdd/cddsrv.cgi?uid=KOG3617","0.064")</f>
        <v>0.064</v>
      </c>
      <c r="BC573" t="s">
        <v>2310</v>
      </c>
      <c r="BD573" t="str">
        <f>HYPERLINK("http://exon.niaid.nih.gov/transcriptome/Anopheles_sialome/links/KOG/anofar_SG1b-KOG.txt","KOG3617")</f>
        <v>KOG3617</v>
      </c>
      <c r="BE573" t="str">
        <f>HYPERLINK("http://exon.niaid.nih.gov/transcriptome/Anopheles_sialome/links/PFAM/anofar_SG1b-PFAM.txt","DUF745")</f>
        <v>DUF745</v>
      </c>
      <c r="BF573" t="str">
        <f>HYPERLINK("http://pfam.sanger.ac.uk/family?acc=PF05335","0.48")</f>
        <v>0.48</v>
      </c>
      <c r="BG573" s="2" t="str">
        <f>HYPERLINK("http://exon.niaid.nih.gov/transcriptome/Anopheles_sialome/links/SMART/anofar_SG1b-SMART.txt","VPS10")</f>
        <v>VPS10</v>
      </c>
      <c r="BH573" t="str">
        <f>HYPERLINK("http://smart.embl-heidelberg.de/smart/do_annotation.pl?DOMAIN=VPS10&amp;BLAST=DUMMY","0.030")</f>
        <v>0.030</v>
      </c>
      <c r="BI573" t="str">
        <f>HYPERLINK("http://exon.niaid.nih.gov/transcriptome/Anopheles_sialome/links/TICK-BLOCKS/anofar_SG1b-TICK-BLOCKS.txt","SG1_full |SG1_stringent_pattern |")</f>
        <v>SG1_full |SG1_stringent_pattern |</v>
      </c>
      <c r="BJ573" s="2" t="s">
        <v>2423</v>
      </c>
      <c r="BK573" t="s">
        <v>1899</v>
      </c>
      <c r="BL573">
        <f>HYPERLINK("http://exon.niaid.nih.gov/transcriptome/Anopheles_sialome/links/cluster-b/anopheline-sialome-cds-pep-larger-orf25-50SimCLU3.txt", 3)</f>
        <v>3</v>
      </c>
      <c r="BM573">
        <f>HYPERLINK("http://exon.niaid.nih.gov/transcriptome/Anopheles_sialome/links/cluster-b/anopheline-sialome-cds-pep-larger-orf25-50SimCLTL3.txt", 119)</f>
        <v>119</v>
      </c>
      <c r="BN573">
        <f>HYPERLINK("http://exon.niaid.nih.gov/transcriptome/Anopheles_sialome/links/cluster-b/anopheline-sialome-cds-pep-larger-orf30-50SimCLU3.txt", 3)</f>
        <v>3</v>
      </c>
      <c r="BO573">
        <f>HYPERLINK("http://exon.niaid.nih.gov/transcriptome/Anopheles_sialome/links/cluster-b/anopheline-sialome-cds-pep-larger-orf30-50SimCLTL3.txt", 119)</f>
        <v>119</v>
      </c>
      <c r="BP573">
        <f>HYPERLINK("http://exon.niaid.nih.gov/transcriptome/Anopheles_sialome/links/cluster-b/anopheline-sialome-cds-pep-larger-orf35-50SimCLU2.txt", 2)</f>
        <v>2</v>
      </c>
      <c r="BQ573">
        <f>HYPERLINK("http://exon.niaid.nih.gov/transcriptome/Anopheles_sialome/links/cluster-b/anopheline-sialome-cds-pep-larger-orf35-50SimCLTL2.txt", 119)</f>
        <v>119</v>
      </c>
      <c r="BR573">
        <f>HYPERLINK("http://exon.niaid.nih.gov/transcriptome/Anopheles_sialome/links/cluster-b/anopheline-sialome-cds-pep-larger-orf40-50SimCLU1.txt", 1)</f>
        <v>1</v>
      </c>
      <c r="BS573">
        <f>HYPERLINK("http://exon.niaid.nih.gov/transcriptome/Anopheles_sialome/links/cluster-b/anopheline-sialome-cds-pep-larger-orf40-50SimCLTL1.txt", 119)</f>
        <v>119</v>
      </c>
      <c r="BT573">
        <f>HYPERLINK("http://exon.niaid.nih.gov/transcriptome/Anopheles_sialome/links/cluster-b/anopheline-sialome-cds-pep-larger-orf45-50SimCLU23.txt", 23)</f>
        <v>23</v>
      </c>
      <c r="BU573">
        <f>HYPERLINK("http://exon.niaid.nih.gov/transcriptome/Anopheles_sialome/links/cluster-b/anopheline-sialome-cds-pep-larger-orf45-50SimCLTL23.txt", 18)</f>
        <v>18</v>
      </c>
      <c r="BV573">
        <f>HYPERLINK("http://exon.niaid.nih.gov/transcriptome/Anopheles_sialome/links/cluster-b/anopheline-sialome-cds-pep-larger-orf50-50SimCLU22.txt", 22)</f>
        <v>22</v>
      </c>
      <c r="BW573">
        <f>HYPERLINK("http://exon.niaid.nih.gov/transcriptome/Anopheles_sialome/links/cluster-b/anopheline-sialome-cds-pep-larger-orf50-50SimCLTL22.txt", 18)</f>
        <v>18</v>
      </c>
      <c r="BX573">
        <f>HYPERLINK("http://exon.niaid.nih.gov/transcriptome/Anopheles_sialome/links/cluster-b/anopheline-sialome-cds-pep-larger-orf55-50SimCLU22.txt", 22)</f>
        <v>22</v>
      </c>
      <c r="BY573">
        <f>HYPERLINK("http://exon.niaid.nih.gov/transcriptome/Anopheles_sialome/links/cluster-b/anopheline-sialome-cds-pep-larger-orf55-50SimCLTL22.txt", 18)</f>
        <v>18</v>
      </c>
      <c r="BZ573">
        <f>HYPERLINK("http://exon.niaid.nih.gov/transcriptome/Anopheles_sialome/links/cluster-b/anopheline-sialome-cds-pep-larger-orf60-50SimCLU32.txt", 32)</f>
        <v>32</v>
      </c>
      <c r="CA573">
        <f>HYPERLINK("http://exon.niaid.nih.gov/transcriptome/Anopheles_sialome/links/cluster-b/anopheline-sialome-cds-pep-larger-orf60-50SimCLTL32.txt", 14)</f>
        <v>14</v>
      </c>
      <c r="CB573">
        <f>HYPERLINK("http://exon.niaid.nih.gov/transcriptome/Anopheles_sialome/links/cluster-b/anopheline-sialome-cds-pep-larger-orf65-50SimCLU54.txt", 54)</f>
        <v>54</v>
      </c>
      <c r="CC573">
        <f>HYPERLINK("http://exon.niaid.nih.gov/transcriptome/Anopheles_sialome/links/cluster-b/anopheline-sialome-cds-pep-larger-orf65-50SimCLTL54.txt", 2)</f>
        <v>2</v>
      </c>
      <c r="CD573">
        <v>108</v>
      </c>
      <c r="CE573">
        <v>1</v>
      </c>
      <c r="CF573">
        <v>154</v>
      </c>
      <c r="CG573">
        <v>1</v>
      </c>
      <c r="CH573">
        <v>216</v>
      </c>
      <c r="CI573">
        <v>1</v>
      </c>
      <c r="CJ573">
        <v>293</v>
      </c>
      <c r="CK573">
        <v>1</v>
      </c>
      <c r="CL573">
        <v>372</v>
      </c>
      <c r="CM573">
        <v>1</v>
      </c>
      <c r="CN573">
        <v>449</v>
      </c>
      <c r="CO573">
        <v>1</v>
      </c>
    </row>
    <row r="574" spans="1:93">
      <c r="A574" s="2" t="str">
        <f>HYPERLINK("http://exon.niaid.nih.gov/transcriptome/Anopheles_sialome/links/cds/anodir_SG1b-cds.txt","anodir_SG1b")</f>
        <v>anodir_SG1b</v>
      </c>
      <c r="B574">
        <v>1143</v>
      </c>
      <c r="C574" t="s">
        <v>491</v>
      </c>
      <c r="D574" t="s">
        <v>4</v>
      </c>
      <c r="E574" t="s">
        <v>5</v>
      </c>
      <c r="F574" t="s">
        <v>1</v>
      </c>
      <c r="G574" t="str">
        <f>HYPERLINK("http://exon.niaid.nih.gov/transcriptome/Anopheles_sialome/links/pep/anodir_SG1b-pep.txt","anodir_SG1b")</f>
        <v>anodir_SG1b</v>
      </c>
      <c r="H574">
        <v>380</v>
      </c>
      <c r="I574">
        <v>1</v>
      </c>
      <c r="J574" s="3" t="str">
        <f>HYPERLINK("http://exon.niaid.nih.gov/transcriptome/Anopheles_sialome/links/Sigp/anodir_SG1b-SigP.txt","SIG")</f>
        <v>SIG</v>
      </c>
      <c r="K574" t="s">
        <v>692</v>
      </c>
      <c r="L574">
        <v>43.768999999999998</v>
      </c>
      <c r="M574">
        <v>9.36</v>
      </c>
      <c r="N574">
        <v>41.671999999999997</v>
      </c>
      <c r="O574">
        <v>9.4700000000000006</v>
      </c>
      <c r="P574" t="s">
        <v>1902</v>
      </c>
      <c r="Q574" s="3">
        <v>0</v>
      </c>
      <c r="R574" t="s">
        <v>128</v>
      </c>
      <c r="S574" t="s">
        <v>128</v>
      </c>
      <c r="T574" t="s">
        <v>128</v>
      </c>
      <c r="U574" t="s">
        <v>128</v>
      </c>
      <c r="V574" t="s">
        <v>128</v>
      </c>
      <c r="W574" s="3" t="str">
        <f>HYPERLINK("http://exon.niaid.nih.gov/transcriptome/Anopheles_sialome/links/netoglyc/anodir_SG1b-netoglyc.txt","0")</f>
        <v>0</v>
      </c>
      <c r="X574">
        <v>8.1999999999999993</v>
      </c>
      <c r="Y574">
        <v>4.7</v>
      </c>
      <c r="Z574">
        <v>3.7</v>
      </c>
      <c r="AA574" t="s">
        <v>654</v>
      </c>
      <c r="AB574" t="s">
        <v>1903</v>
      </c>
      <c r="AC574" s="2" t="str">
        <f>HYPERLINK("http://exon.niaid.nih.gov/transcriptome/Anopheles_sialome/links/DIPTERA/anodir_SG1b-DIPTERA.txt","putative salivary protein SG1C")</f>
        <v>putative salivary protein SG1C</v>
      </c>
      <c r="AD574" t="str">
        <f>HYPERLINK("http://www.ncbi.nlm.nih.gov/sutils/blink.cgi?pid=27372941","2E-097")</f>
        <v>2E-097</v>
      </c>
      <c r="AE574" t="str">
        <f>HYPERLINK("http://www.ncbi.nlm.nih.gov/protein/27372941","gi|27372941")</f>
        <v>gi|27372941</v>
      </c>
      <c r="AF574">
        <v>47</v>
      </c>
      <c r="AG574">
        <v>63</v>
      </c>
      <c r="AH574">
        <v>100</v>
      </c>
      <c r="AI574" t="s">
        <v>2271</v>
      </c>
      <c r="AJ574" s="2" t="s">
        <v>128</v>
      </c>
      <c r="AK574" t="s">
        <v>128</v>
      </c>
      <c r="AL574" t="s">
        <v>128</v>
      </c>
      <c r="AM574" t="s">
        <v>128</v>
      </c>
      <c r="AN574" t="s">
        <v>128</v>
      </c>
      <c r="AO574" t="s">
        <v>128</v>
      </c>
      <c r="AP574" t="s">
        <v>128</v>
      </c>
      <c r="AQ574" s="2" t="str">
        <f>HYPERLINK("http://exon.niaid.nih.gov/transcriptome/Anopheles_sialome/links/NR-LIGHT/anodir_SG1b-NR-LIGHT.txt","putative salivary protein SG1C")</f>
        <v>putative salivary protein SG1C</v>
      </c>
      <c r="AR574" t="str">
        <f>HYPERLINK("http://www.ncbi.nlm.nih.gov/sutils/blink.cgi?pid=27372941","5E-097")</f>
        <v>5E-097</v>
      </c>
      <c r="AS574" t="str">
        <f>HYPERLINK("http://www.ncbi.nlm.nih.gov/protein/27372941","gi|27372941")</f>
        <v>gi|27372941</v>
      </c>
      <c r="AT574">
        <v>47</v>
      </c>
      <c r="AU574">
        <v>63</v>
      </c>
      <c r="AV574">
        <v>100</v>
      </c>
      <c r="AW574" t="s">
        <v>2271</v>
      </c>
      <c r="AX574" s="2" t="str">
        <f>HYPERLINK("http://exon.niaid.nih.gov/transcriptome/Anopheles_sialome/links/CDD/anodir_SG1b-CDD.txt","DUF3829")</f>
        <v>DUF3829</v>
      </c>
      <c r="AY574" t="str">
        <f>HYPERLINK("http://www.ncbi.nlm.nih.gov/Structure/cdd/cddsrv.cgi?uid=pfam12889&amp;version=v4.0","0.059")</f>
        <v>0.059</v>
      </c>
      <c r="AZ574" t="s">
        <v>2961</v>
      </c>
      <c r="BA574" s="2" t="str">
        <f>HYPERLINK("http://exon.niaid.nih.gov/transcriptome/Anopheles_sialome/links/KOG/anodir_SG1b-KOG.txt","DNA topoisomerase III alpha")</f>
        <v>DNA topoisomerase III alpha</v>
      </c>
      <c r="BB574" t="str">
        <f>HYPERLINK("http://www.ncbi.nlm.nih.gov/Structure/cdd/cddsrv.cgi?uid=KOG1956","0.019")</f>
        <v>0.019</v>
      </c>
      <c r="BC574" t="s">
        <v>2290</v>
      </c>
      <c r="BD574" t="str">
        <f>HYPERLINK("http://exon.niaid.nih.gov/transcriptome/Anopheles_sialome/links/KOG/anodir_SG1b-KOG.txt","KOG1956")</f>
        <v>KOG1956</v>
      </c>
      <c r="BE574" t="str">
        <f>HYPERLINK("http://exon.niaid.nih.gov/transcriptome/Anopheles_sialome/links/PFAM/anodir_SG1b-PFAM.txt","DUF3829")</f>
        <v>DUF3829</v>
      </c>
      <c r="BF574" t="str">
        <f>HYPERLINK("http://pfam.sanger.ac.uk/family?acc=PF12889","0.012")</f>
        <v>0.012</v>
      </c>
      <c r="BG574" s="2" t="str">
        <f>HYPERLINK("http://exon.niaid.nih.gov/transcriptome/Anopheles_sialome/links/SMART/anodir_SG1b-SMART.txt","CAP10")</f>
        <v>CAP10</v>
      </c>
      <c r="BH574" t="str">
        <f>HYPERLINK("http://smart.embl-heidelberg.de/smart/do_annotation.pl?DOMAIN=CAP10&amp;BLAST=DUMMY","0.082")</f>
        <v>0.082</v>
      </c>
      <c r="BI574" t="str">
        <f>HYPERLINK("http://exon.niaid.nih.gov/transcriptome/Anopheles_sialome/links/TICK-BLOCKS/anodir_SG1b-TICK-BLOCKS.txt","SG1_full |SG1_stringent_pattern |")</f>
        <v>SG1_full |SG1_stringent_pattern |</v>
      </c>
      <c r="BJ574" s="2" t="s">
        <v>2423</v>
      </c>
      <c r="BK574" t="s">
        <v>1901</v>
      </c>
      <c r="BL574">
        <f>HYPERLINK("http://exon.niaid.nih.gov/transcriptome/Anopheles_sialome/links/cluster-b/anopheline-sialome-cds-pep-larger-orf25-50SimCLU3.txt", 3)</f>
        <v>3</v>
      </c>
      <c r="BM574">
        <f>HYPERLINK("http://exon.niaid.nih.gov/transcriptome/Anopheles_sialome/links/cluster-b/anopheline-sialome-cds-pep-larger-orf25-50SimCLTL3.txt", 119)</f>
        <v>119</v>
      </c>
      <c r="BN574">
        <f>HYPERLINK("http://exon.niaid.nih.gov/transcriptome/Anopheles_sialome/links/cluster-b/anopheline-sialome-cds-pep-larger-orf30-50SimCLU3.txt", 3)</f>
        <v>3</v>
      </c>
      <c r="BO574">
        <f>HYPERLINK("http://exon.niaid.nih.gov/transcriptome/Anopheles_sialome/links/cluster-b/anopheline-sialome-cds-pep-larger-orf30-50SimCLTL3.txt", 119)</f>
        <v>119</v>
      </c>
      <c r="BP574">
        <f>HYPERLINK("http://exon.niaid.nih.gov/transcriptome/Anopheles_sialome/links/cluster-b/anopheline-sialome-cds-pep-larger-orf35-50SimCLU2.txt", 2)</f>
        <v>2</v>
      </c>
      <c r="BQ574">
        <f>HYPERLINK("http://exon.niaid.nih.gov/transcriptome/Anopheles_sialome/links/cluster-b/anopheline-sialome-cds-pep-larger-orf35-50SimCLTL2.txt", 119)</f>
        <v>119</v>
      </c>
      <c r="BR574">
        <f>HYPERLINK("http://exon.niaid.nih.gov/transcriptome/Anopheles_sialome/links/cluster-b/anopheline-sialome-cds-pep-larger-orf40-50SimCLU1.txt", 1)</f>
        <v>1</v>
      </c>
      <c r="BS574">
        <f>HYPERLINK("http://exon.niaid.nih.gov/transcriptome/Anopheles_sialome/links/cluster-b/anopheline-sialome-cds-pep-larger-orf40-50SimCLTL1.txt", 119)</f>
        <v>119</v>
      </c>
      <c r="BT574">
        <f>HYPERLINK("http://exon.niaid.nih.gov/transcriptome/Anopheles_sialome/links/cluster-b/anopheline-sialome-cds-pep-larger-orf45-50SimCLU23.txt", 23)</f>
        <v>23</v>
      </c>
      <c r="BU574">
        <f>HYPERLINK("http://exon.niaid.nih.gov/transcriptome/Anopheles_sialome/links/cluster-b/anopheline-sialome-cds-pep-larger-orf45-50SimCLTL23.txt", 18)</f>
        <v>18</v>
      </c>
      <c r="BV574">
        <f>HYPERLINK("http://exon.niaid.nih.gov/transcriptome/Anopheles_sialome/links/cluster-b/anopheline-sialome-cds-pep-larger-orf50-50SimCLU22.txt", 22)</f>
        <v>22</v>
      </c>
      <c r="BW574">
        <f>HYPERLINK("http://exon.niaid.nih.gov/transcriptome/Anopheles_sialome/links/cluster-b/anopheline-sialome-cds-pep-larger-orf50-50SimCLTL22.txt", 18)</f>
        <v>18</v>
      </c>
      <c r="BX574">
        <f>HYPERLINK("http://exon.niaid.nih.gov/transcriptome/Anopheles_sialome/links/cluster-b/anopheline-sialome-cds-pep-larger-orf55-50SimCLU22.txt", 22)</f>
        <v>22</v>
      </c>
      <c r="BY574">
        <f>HYPERLINK("http://exon.niaid.nih.gov/transcriptome/Anopheles_sialome/links/cluster-b/anopheline-sialome-cds-pep-larger-orf55-50SimCLTL22.txt", 18)</f>
        <v>18</v>
      </c>
      <c r="BZ574">
        <f>HYPERLINK("http://exon.niaid.nih.gov/transcriptome/Anopheles_sialome/links/cluster-b/anopheline-sialome-cds-pep-larger-orf60-50SimCLU32.txt", 32)</f>
        <v>32</v>
      </c>
      <c r="CA574">
        <f>HYPERLINK("http://exon.niaid.nih.gov/transcriptome/Anopheles_sialome/links/cluster-b/anopheline-sialome-cds-pep-larger-orf60-50SimCLTL32.txt", 14)</f>
        <v>14</v>
      </c>
      <c r="CB574">
        <f>HYPERLINK("http://exon.niaid.nih.gov/transcriptome/Anopheles_sialome/links/cluster-b/anopheline-sialome-cds-pep-larger-orf65-50SimCLU54.txt", 54)</f>
        <v>54</v>
      </c>
      <c r="CC574">
        <f>HYPERLINK("http://exon.niaid.nih.gov/transcriptome/Anopheles_sialome/links/cluster-b/anopheline-sialome-cds-pep-larger-orf65-50SimCLTL54.txt", 2)</f>
        <v>2</v>
      </c>
      <c r="CD574">
        <v>109</v>
      </c>
      <c r="CE574">
        <v>1</v>
      </c>
      <c r="CF574">
        <v>155</v>
      </c>
      <c r="CG574">
        <v>1</v>
      </c>
      <c r="CH574">
        <v>217</v>
      </c>
      <c r="CI574">
        <v>1</v>
      </c>
      <c r="CJ574">
        <v>294</v>
      </c>
      <c r="CK574">
        <v>1</v>
      </c>
      <c r="CL574">
        <v>373</v>
      </c>
      <c r="CM574">
        <v>1</v>
      </c>
      <c r="CN574">
        <v>450</v>
      </c>
      <c r="CO574">
        <v>1</v>
      </c>
    </row>
    <row r="575" spans="1:93">
      <c r="A575" s="2" t="str">
        <f>HYPERLINK("http://exon.niaid.nih.gov/transcriptome/Anopheles_sialome/links/cds/anoatro_SG1b-cds.txt","anoatro_SG1b")</f>
        <v>anoatro_SG1b</v>
      </c>
      <c r="B575">
        <v>1161</v>
      </c>
      <c r="C575" t="s">
        <v>492</v>
      </c>
      <c r="D575" t="s">
        <v>7</v>
      </c>
      <c r="E575" t="s">
        <v>5</v>
      </c>
      <c r="F575" t="s">
        <v>1</v>
      </c>
      <c r="G575" t="str">
        <f>HYPERLINK("http://exon.niaid.nih.gov/transcriptome/Anopheles_sialome/links/pep/anoatro_SG1b-pep.txt","anoatro_SG1b")</f>
        <v>anoatro_SG1b</v>
      </c>
      <c r="H575">
        <v>386</v>
      </c>
      <c r="I575">
        <v>1</v>
      </c>
      <c r="J575" s="3" t="str">
        <f>HYPERLINK("http://exon.niaid.nih.gov/transcriptome/Anopheles_sialome/links/Sigp/anoatro_SG1b-SigP.txt","SIG")</f>
        <v>SIG</v>
      </c>
      <c r="K575" t="s">
        <v>689</v>
      </c>
      <c r="L575">
        <v>44.529000000000003</v>
      </c>
      <c r="M575">
        <v>9.2200000000000006</v>
      </c>
      <c r="N575">
        <v>42.311999999999998</v>
      </c>
      <c r="O575">
        <v>9.39</v>
      </c>
      <c r="P575" t="s">
        <v>1905</v>
      </c>
      <c r="Q575" s="3">
        <v>0</v>
      </c>
      <c r="R575" t="s">
        <v>128</v>
      </c>
      <c r="S575" t="s">
        <v>128</v>
      </c>
      <c r="T575" t="s">
        <v>128</v>
      </c>
      <c r="U575" t="s">
        <v>128</v>
      </c>
      <c r="V575" t="s">
        <v>128</v>
      </c>
      <c r="W575" s="3" t="str">
        <f>HYPERLINK("http://exon.niaid.nih.gov/transcriptome/Anopheles_sialome/links/netoglyc/anoatro_SG1b-netoglyc.txt","0")</f>
        <v>0</v>
      </c>
      <c r="X575">
        <v>10.9</v>
      </c>
      <c r="Y575">
        <v>4.7</v>
      </c>
      <c r="Z575">
        <v>4.4000000000000004</v>
      </c>
      <c r="AA575" t="s">
        <v>654</v>
      </c>
      <c r="AB575" t="s">
        <v>1906</v>
      </c>
      <c r="AC575" s="2" t="str">
        <f>HYPERLINK("http://exon.niaid.nih.gov/transcriptome/Anopheles_sialome/links/DIPTERA/anoatro_SG1b-DIPTERA.txt","gSG1b salivary protein")</f>
        <v>gSG1b salivary protein</v>
      </c>
      <c r="AD575" t="str">
        <f>HYPERLINK("http://www.ncbi.nlm.nih.gov/sutils/blink.cgi?pid=668453919","1E-104")</f>
        <v>1E-104</v>
      </c>
      <c r="AE575" t="str">
        <f>HYPERLINK("http://www.ncbi.nlm.nih.gov/protein/668453919","gi|668453919")</f>
        <v>gi|668453919</v>
      </c>
      <c r="AF575">
        <v>54</v>
      </c>
      <c r="AG575">
        <v>68</v>
      </c>
      <c r="AH575">
        <v>100</v>
      </c>
      <c r="AI575" t="s">
        <v>2277</v>
      </c>
      <c r="AJ575" s="2" t="s">
        <v>128</v>
      </c>
      <c r="AK575" t="s">
        <v>128</v>
      </c>
      <c r="AL575" t="s">
        <v>128</v>
      </c>
      <c r="AM575" t="s">
        <v>128</v>
      </c>
      <c r="AN575" t="s">
        <v>128</v>
      </c>
      <c r="AO575" t="s">
        <v>128</v>
      </c>
      <c r="AP575" t="s">
        <v>128</v>
      </c>
      <c r="AQ575" s="2" t="str">
        <f>HYPERLINK("http://exon.niaid.nih.gov/transcriptome/Anopheles_sialome/links/NR-LIGHT/anoatro_SG1b-NR-LIGHT.txt","gSG1b salivary protein")</f>
        <v>gSG1b salivary protein</v>
      </c>
      <c r="AR575" t="str">
        <f>HYPERLINK("http://www.ncbi.nlm.nih.gov/sutils/blink.cgi?pid=668453919","1E-103")</f>
        <v>1E-103</v>
      </c>
      <c r="AS575" t="str">
        <f>HYPERLINK("http://www.ncbi.nlm.nih.gov/protein/668453919","gi|668453919")</f>
        <v>gi|668453919</v>
      </c>
      <c r="AT575">
        <v>54</v>
      </c>
      <c r="AU575">
        <v>68</v>
      </c>
      <c r="AV575">
        <v>100</v>
      </c>
      <c r="AW575" t="s">
        <v>2277</v>
      </c>
      <c r="AX575" s="2" t="str">
        <f>HYPERLINK("http://exon.niaid.nih.gov/transcriptome/Anopheles_sialome/links/CDD/anoatro_SG1b-CDD.txt","DUF4512")</f>
        <v>DUF4512</v>
      </c>
      <c r="AY575" t="str">
        <f>HYPERLINK("http://www.ncbi.nlm.nih.gov/Structure/cdd/cddsrv.cgi?uid=pfam14975&amp;version=v4.0","0.34")</f>
        <v>0.34</v>
      </c>
      <c r="AZ575" t="s">
        <v>2962</v>
      </c>
      <c r="BA575" s="2" t="str">
        <f>HYPERLINK("http://exon.niaid.nih.gov/transcriptome/Anopheles_sialome/links/KOG/anoatro_SG1b-KOG.txt","SNF2 family DNA-dependent ATPase")</f>
        <v>SNF2 family DNA-dependent ATPase</v>
      </c>
      <c r="BB575" t="str">
        <f>HYPERLINK("http://www.ncbi.nlm.nih.gov/Structure/cdd/cddsrv.cgi?uid=KOG0389","2.3")</f>
        <v>2.3</v>
      </c>
      <c r="BC575" t="s">
        <v>2444</v>
      </c>
      <c r="BD575" t="str">
        <f>HYPERLINK("http://exon.niaid.nih.gov/transcriptome/Anopheles_sialome/links/KOG/anoatro_SG1b-KOG.txt","KOG0389")</f>
        <v>KOG0389</v>
      </c>
      <c r="BE575" t="str">
        <f>HYPERLINK("http://exon.niaid.nih.gov/transcriptome/Anopheles_sialome/links/PFAM/anoatro_SG1b-PFAM.txt","DUF4512")</f>
        <v>DUF4512</v>
      </c>
      <c r="BF575" t="str">
        <f>HYPERLINK("http://pfam.sanger.ac.uk/family?acc=PF14975","0.067")</f>
        <v>0.067</v>
      </c>
      <c r="BG575" s="2" t="str">
        <f>HYPERLINK("http://exon.niaid.nih.gov/transcriptome/Anopheles_sialome/links/SMART/anoatro_SG1b-SMART.txt","NL")</f>
        <v>NL</v>
      </c>
      <c r="BH575" t="str">
        <f>HYPERLINK("http://smart.embl-heidelberg.de/smart/do_annotation.pl?DOMAIN=NL&amp;BLAST=DUMMY","1.4")</f>
        <v>1.4</v>
      </c>
      <c r="BI575" t="s">
        <v>128</v>
      </c>
      <c r="BJ575" s="2" t="s">
        <v>128</v>
      </c>
      <c r="BK575" t="s">
        <v>1904</v>
      </c>
      <c r="BL575">
        <f>HYPERLINK("http://exon.niaid.nih.gov/transcriptome/Anopheles_sialome/links/cluster-b/anopheline-sialome-cds-pep-larger-orf25-50SimCLU3.txt", 3)</f>
        <v>3</v>
      </c>
      <c r="BM575">
        <f>HYPERLINK("http://exon.niaid.nih.gov/transcriptome/Anopheles_sialome/links/cluster-b/anopheline-sialome-cds-pep-larger-orf25-50SimCLTL3.txt", 119)</f>
        <v>119</v>
      </c>
      <c r="BN575">
        <f>HYPERLINK("http://exon.niaid.nih.gov/transcriptome/Anopheles_sialome/links/cluster-b/anopheline-sialome-cds-pep-larger-orf30-50SimCLU3.txt", 3)</f>
        <v>3</v>
      </c>
      <c r="BO575">
        <f>HYPERLINK("http://exon.niaid.nih.gov/transcriptome/Anopheles_sialome/links/cluster-b/anopheline-sialome-cds-pep-larger-orf30-50SimCLTL3.txt", 119)</f>
        <v>119</v>
      </c>
      <c r="BP575">
        <f>HYPERLINK("http://exon.niaid.nih.gov/transcriptome/Anopheles_sialome/links/cluster-b/anopheline-sialome-cds-pep-larger-orf35-50SimCLU2.txt", 2)</f>
        <v>2</v>
      </c>
      <c r="BQ575">
        <f>HYPERLINK("http://exon.niaid.nih.gov/transcriptome/Anopheles_sialome/links/cluster-b/anopheline-sialome-cds-pep-larger-orf35-50SimCLTL2.txt", 119)</f>
        <v>119</v>
      </c>
      <c r="BR575">
        <f>HYPERLINK("http://exon.niaid.nih.gov/transcriptome/Anopheles_sialome/links/cluster-b/anopheline-sialome-cds-pep-larger-orf40-50SimCLU1.txt", 1)</f>
        <v>1</v>
      </c>
      <c r="BS575">
        <f>HYPERLINK("http://exon.niaid.nih.gov/transcriptome/Anopheles_sialome/links/cluster-b/anopheline-sialome-cds-pep-larger-orf40-50SimCLTL1.txt", 119)</f>
        <v>119</v>
      </c>
      <c r="BT575">
        <f>HYPERLINK("http://exon.niaid.nih.gov/transcriptome/Anopheles_sialome/links/cluster-b/anopheline-sialome-cds-pep-larger-orf45-50SimCLU23.txt", 23)</f>
        <v>23</v>
      </c>
      <c r="BU575">
        <f>HYPERLINK("http://exon.niaid.nih.gov/transcriptome/Anopheles_sialome/links/cluster-b/anopheline-sialome-cds-pep-larger-orf45-50SimCLTL23.txt", 18)</f>
        <v>18</v>
      </c>
      <c r="BV575">
        <f>HYPERLINK("http://exon.niaid.nih.gov/transcriptome/Anopheles_sialome/links/cluster-b/anopheline-sialome-cds-pep-larger-orf50-50SimCLU22.txt", 22)</f>
        <v>22</v>
      </c>
      <c r="BW575">
        <f>HYPERLINK("http://exon.niaid.nih.gov/transcriptome/Anopheles_sialome/links/cluster-b/anopheline-sialome-cds-pep-larger-orf50-50SimCLTL22.txt", 18)</f>
        <v>18</v>
      </c>
      <c r="BX575">
        <f>HYPERLINK("http://exon.niaid.nih.gov/transcriptome/Anopheles_sialome/links/cluster-b/anopheline-sialome-cds-pep-larger-orf55-50SimCLU22.txt", 22)</f>
        <v>22</v>
      </c>
      <c r="BY575">
        <f>HYPERLINK("http://exon.niaid.nih.gov/transcriptome/Anopheles_sialome/links/cluster-b/anopheline-sialome-cds-pep-larger-orf55-50SimCLTL22.txt", 18)</f>
        <v>18</v>
      </c>
      <c r="BZ575">
        <f>HYPERLINK("http://exon.niaid.nih.gov/transcriptome/Anopheles_sialome/links/cluster-b/anopheline-sialome-cds-pep-larger-orf60-50SimCLU46.txt", 46)</f>
        <v>46</v>
      </c>
      <c r="CA575">
        <f>HYPERLINK("http://exon.niaid.nih.gov/transcriptome/Anopheles_sialome/links/cluster-b/anopheline-sialome-cds-pep-larger-orf60-50SimCLTL46.txt", 2)</f>
        <v>2</v>
      </c>
      <c r="CB575">
        <f>HYPERLINK("http://exon.niaid.nih.gov/transcriptome/Anopheles_sialome/links/cluster-b/anopheline-sialome-cds-pep-larger-orf65-50SimCLU55.txt", 55)</f>
        <v>55</v>
      </c>
      <c r="CC575">
        <f>HYPERLINK("http://exon.niaid.nih.gov/transcriptome/Anopheles_sialome/links/cluster-b/anopheline-sialome-cds-pep-larger-orf65-50SimCLTL55.txt", 2)</f>
        <v>2</v>
      </c>
      <c r="CD575">
        <v>110</v>
      </c>
      <c r="CE575">
        <v>1</v>
      </c>
      <c r="CF575">
        <v>156</v>
      </c>
      <c r="CG575">
        <v>1</v>
      </c>
      <c r="CH575">
        <v>218</v>
      </c>
      <c r="CI575">
        <v>1</v>
      </c>
      <c r="CJ575">
        <v>295</v>
      </c>
      <c r="CK575">
        <v>1</v>
      </c>
      <c r="CL575">
        <v>374</v>
      </c>
      <c r="CM575">
        <v>1</v>
      </c>
      <c r="CN575">
        <v>451</v>
      </c>
      <c r="CO575">
        <v>1</v>
      </c>
    </row>
    <row r="576" spans="1:93">
      <c r="A576" s="2" t="str">
        <f>HYPERLINK("http://exon.niaid.nih.gov/transcriptome/Anopheles_sialome/links/cds/anosin_SG1b-cds.txt","anosin_SG1b")</f>
        <v>anosin_SG1b</v>
      </c>
      <c r="B576">
        <v>1104</v>
      </c>
      <c r="C576" t="s">
        <v>493</v>
      </c>
      <c r="D576" t="s">
        <v>4</v>
      </c>
      <c r="E576" t="s">
        <v>5</v>
      </c>
      <c r="F576" t="s">
        <v>1</v>
      </c>
      <c r="G576" t="str">
        <f>HYPERLINK("http://exon.niaid.nih.gov/transcriptome/Anopheles_sialome/links/pep/anosin_SG1b-pep.txt","anosin_SG1b")</f>
        <v>anosin_SG1b</v>
      </c>
      <c r="H576">
        <v>367</v>
      </c>
      <c r="I576">
        <v>1</v>
      </c>
      <c r="J576" s="3" t="str">
        <f>HYPERLINK("http://exon.niaid.nih.gov/transcriptome/Anopheles_sialome/links/Sigp/anosin_SG1b-SigP.txt","SIG")</f>
        <v>SIG</v>
      </c>
      <c r="K576" t="s">
        <v>692</v>
      </c>
      <c r="L576">
        <v>41.966999999999999</v>
      </c>
      <c r="M576">
        <v>8.98</v>
      </c>
      <c r="N576">
        <v>39.856000000000002</v>
      </c>
      <c r="O576">
        <v>8.91</v>
      </c>
      <c r="P576" t="s">
        <v>1908</v>
      </c>
      <c r="Q576" s="3">
        <v>0</v>
      </c>
      <c r="R576" t="s">
        <v>128</v>
      </c>
      <c r="S576" t="s">
        <v>128</v>
      </c>
      <c r="T576" t="s">
        <v>128</v>
      </c>
      <c r="U576" t="s">
        <v>128</v>
      </c>
      <c r="V576" t="s">
        <v>128</v>
      </c>
      <c r="W576" s="3" t="str">
        <f>HYPERLINK("http://exon.niaid.nih.gov/transcriptome/Anopheles_sialome/links/netoglyc/anosin_SG1b-netoglyc.txt","0")</f>
        <v>0</v>
      </c>
      <c r="X576">
        <v>11.2</v>
      </c>
      <c r="Y576">
        <v>4.9000000000000004</v>
      </c>
      <c r="Z576">
        <v>3.8</v>
      </c>
      <c r="AA576" t="s">
        <v>654</v>
      </c>
      <c r="AB576" t="s">
        <v>128</v>
      </c>
      <c r="AC576" s="2" t="str">
        <f>HYPERLINK("http://exon.niaid.nih.gov/transcriptome/Anopheles_sialome/links/DIPTERA/anosin_SG1b-DIPTERA.txt","gSG1b salivary protein")</f>
        <v>gSG1b salivary protein</v>
      </c>
      <c r="AD576" t="str">
        <f>HYPERLINK("http://www.ncbi.nlm.nih.gov/sutils/blink.cgi?pid=668453919","0.0")</f>
        <v>0.0</v>
      </c>
      <c r="AE576" t="str">
        <f>HYPERLINK("http://www.ncbi.nlm.nih.gov/protein/668453919","gi|668453919")</f>
        <v>gi|668453919</v>
      </c>
      <c r="AF576">
        <v>99</v>
      </c>
      <c r="AG576">
        <v>99</v>
      </c>
      <c r="AH576">
        <v>100</v>
      </c>
      <c r="AI576" t="s">
        <v>2277</v>
      </c>
      <c r="AJ576" s="2" t="s">
        <v>128</v>
      </c>
      <c r="AK576" t="s">
        <v>128</v>
      </c>
      <c r="AL576" t="s">
        <v>128</v>
      </c>
      <c r="AM576" t="s">
        <v>128</v>
      </c>
      <c r="AN576" t="s">
        <v>128</v>
      </c>
      <c r="AO576" t="s">
        <v>128</v>
      </c>
      <c r="AP576" t="s">
        <v>128</v>
      </c>
      <c r="AQ576" s="2" t="str">
        <f>HYPERLINK("http://exon.niaid.nih.gov/transcriptome/Anopheles_sialome/links/NR-LIGHT/anosin_SG1b-NR-LIGHT.txt","gSG1b salivary protein")</f>
        <v>gSG1b salivary protein</v>
      </c>
      <c r="AR576" t="str">
        <f>HYPERLINK("http://www.ncbi.nlm.nih.gov/sutils/blink.cgi?pid=668453919","0.0")</f>
        <v>0.0</v>
      </c>
      <c r="AS576" t="str">
        <f>HYPERLINK("http://www.ncbi.nlm.nih.gov/protein/668453919","gi|668453919")</f>
        <v>gi|668453919</v>
      </c>
      <c r="AT576">
        <v>99</v>
      </c>
      <c r="AU576">
        <v>99</v>
      </c>
      <c r="AV576">
        <v>100</v>
      </c>
      <c r="AW576" t="s">
        <v>2277</v>
      </c>
      <c r="AX576" s="2" t="str">
        <f>HYPERLINK("http://exon.niaid.nih.gov/transcriptome/Anopheles_sialome/links/CDD/anosin_SG1b-CDD.txt","PRK02858")</f>
        <v>PRK02858</v>
      </c>
      <c r="AY576" t="str">
        <f>HYPERLINK("http://www.ncbi.nlm.nih.gov/Structure/cdd/cddsrv.cgi?uid=PRK02858&amp;version=v4.0","0.73")</f>
        <v>0.73</v>
      </c>
      <c r="AZ576" t="s">
        <v>2963</v>
      </c>
      <c r="BA576" s="2" t="str">
        <f>HYPERLINK("http://exon.niaid.nih.gov/transcriptome/Anopheles_sialome/links/KOG/anosin_SG1b-KOG.txt","Proliferation-associated nucleolar protein (NOL1)")</f>
        <v>Proliferation-associated nucleolar protein (NOL1)</v>
      </c>
      <c r="BB576" t="str">
        <f>HYPERLINK("http://www.ncbi.nlm.nih.gov/Structure/cdd/cddsrv.cgi?uid=KOG2360","2.8")</f>
        <v>2.8</v>
      </c>
      <c r="BC576" t="s">
        <v>2256</v>
      </c>
      <c r="BD576" t="str">
        <f>HYPERLINK("http://exon.niaid.nih.gov/transcriptome/Anopheles_sialome/links/KOG/anosin_SG1b-KOG.txt","KOG2360")</f>
        <v>KOG2360</v>
      </c>
      <c r="BE576" t="str">
        <f>HYPERLINK("http://exon.niaid.nih.gov/transcriptome/Anopheles_sialome/links/PFAM/anosin_SG1b-PFAM.txt","Vitellogenin_N")</f>
        <v>Vitellogenin_N</v>
      </c>
      <c r="BF576" t="str">
        <f>HYPERLINK("http://pfam.sanger.ac.uk/family?acc=PF01347","1.2")</f>
        <v>1.2</v>
      </c>
      <c r="BG576" s="2" t="str">
        <f>HYPERLINK("http://exon.niaid.nih.gov/transcriptome/Anopheles_sialome/links/SMART/anosin_SG1b-SMART.txt","TOPEUc")</f>
        <v>TOPEUc</v>
      </c>
      <c r="BH576" t="str">
        <f>HYPERLINK("http://smart.embl-heidelberg.de/smart/do_annotation.pl?DOMAIN=TOPEUc&amp;BLAST=DUMMY","2.7")</f>
        <v>2.7</v>
      </c>
      <c r="BI576" t="s">
        <v>128</v>
      </c>
      <c r="BJ576" s="2" t="s">
        <v>128</v>
      </c>
      <c r="BK576" t="s">
        <v>1907</v>
      </c>
      <c r="BL576">
        <f>HYPERLINK("http://exon.niaid.nih.gov/transcriptome/Anopheles_sialome/links/cluster-b/anopheline-sialome-cds-pep-larger-orf25-50SimCLU3.txt", 3)</f>
        <v>3</v>
      </c>
      <c r="BM576">
        <f>HYPERLINK("http://exon.niaid.nih.gov/transcriptome/Anopheles_sialome/links/cluster-b/anopheline-sialome-cds-pep-larger-orf25-50SimCLTL3.txt", 119)</f>
        <v>119</v>
      </c>
      <c r="BN576">
        <f>HYPERLINK("http://exon.niaid.nih.gov/transcriptome/Anopheles_sialome/links/cluster-b/anopheline-sialome-cds-pep-larger-orf30-50SimCLU3.txt", 3)</f>
        <v>3</v>
      </c>
      <c r="BO576">
        <f>HYPERLINK("http://exon.niaid.nih.gov/transcriptome/Anopheles_sialome/links/cluster-b/anopheline-sialome-cds-pep-larger-orf30-50SimCLTL3.txt", 119)</f>
        <v>119</v>
      </c>
      <c r="BP576">
        <f>HYPERLINK("http://exon.niaid.nih.gov/transcriptome/Anopheles_sialome/links/cluster-b/anopheline-sialome-cds-pep-larger-orf35-50SimCLU2.txt", 2)</f>
        <v>2</v>
      </c>
      <c r="BQ576">
        <f>HYPERLINK("http://exon.niaid.nih.gov/transcriptome/Anopheles_sialome/links/cluster-b/anopheline-sialome-cds-pep-larger-orf35-50SimCLTL2.txt", 119)</f>
        <v>119</v>
      </c>
      <c r="BR576">
        <f>HYPERLINK("http://exon.niaid.nih.gov/transcriptome/Anopheles_sialome/links/cluster-b/anopheline-sialome-cds-pep-larger-orf40-50SimCLU1.txt", 1)</f>
        <v>1</v>
      </c>
      <c r="BS576">
        <f>HYPERLINK("http://exon.niaid.nih.gov/transcriptome/Anopheles_sialome/links/cluster-b/anopheline-sialome-cds-pep-larger-orf40-50SimCLTL1.txt", 119)</f>
        <v>119</v>
      </c>
      <c r="BT576">
        <f>HYPERLINK("http://exon.niaid.nih.gov/transcriptome/Anopheles_sialome/links/cluster-b/anopheline-sialome-cds-pep-larger-orf45-50SimCLU23.txt", 23)</f>
        <v>23</v>
      </c>
      <c r="BU576">
        <f>HYPERLINK("http://exon.niaid.nih.gov/transcriptome/Anopheles_sialome/links/cluster-b/anopheline-sialome-cds-pep-larger-orf45-50SimCLTL23.txt", 18)</f>
        <v>18</v>
      </c>
      <c r="BV576">
        <f>HYPERLINK("http://exon.niaid.nih.gov/transcriptome/Anopheles_sialome/links/cluster-b/anopheline-sialome-cds-pep-larger-orf50-50SimCLU22.txt", 22)</f>
        <v>22</v>
      </c>
      <c r="BW576">
        <f>HYPERLINK("http://exon.niaid.nih.gov/transcriptome/Anopheles_sialome/links/cluster-b/anopheline-sialome-cds-pep-larger-orf50-50SimCLTL22.txt", 18)</f>
        <v>18</v>
      </c>
      <c r="BX576">
        <f>HYPERLINK("http://exon.niaid.nih.gov/transcriptome/Anopheles_sialome/links/cluster-b/anopheline-sialome-cds-pep-larger-orf55-50SimCLU22.txt", 22)</f>
        <v>22</v>
      </c>
      <c r="BY576">
        <f>HYPERLINK("http://exon.niaid.nih.gov/transcriptome/Anopheles_sialome/links/cluster-b/anopheline-sialome-cds-pep-larger-orf55-50SimCLTL22.txt", 18)</f>
        <v>18</v>
      </c>
      <c r="BZ576">
        <f>HYPERLINK("http://exon.niaid.nih.gov/transcriptome/Anopheles_sialome/links/cluster-b/anopheline-sialome-cds-pep-larger-orf60-50SimCLU46.txt", 46)</f>
        <v>46</v>
      </c>
      <c r="CA576">
        <f>HYPERLINK("http://exon.niaid.nih.gov/transcriptome/Anopheles_sialome/links/cluster-b/anopheline-sialome-cds-pep-larger-orf60-50SimCLTL46.txt", 2)</f>
        <v>2</v>
      </c>
      <c r="CB576">
        <f>HYPERLINK("http://exon.niaid.nih.gov/transcriptome/Anopheles_sialome/links/cluster-b/anopheline-sialome-cds-pep-larger-orf65-50SimCLU55.txt", 55)</f>
        <v>55</v>
      </c>
      <c r="CC576">
        <f>HYPERLINK("http://exon.niaid.nih.gov/transcriptome/Anopheles_sialome/links/cluster-b/anopheline-sialome-cds-pep-larger-orf65-50SimCLTL55.txt", 2)</f>
        <v>2</v>
      </c>
      <c r="CD576">
        <v>111</v>
      </c>
      <c r="CE576">
        <v>1</v>
      </c>
      <c r="CF576">
        <v>157</v>
      </c>
      <c r="CG576">
        <v>1</v>
      </c>
      <c r="CH576">
        <v>219</v>
      </c>
      <c r="CI576">
        <v>1</v>
      </c>
      <c r="CJ576">
        <v>296</v>
      </c>
      <c r="CK576">
        <v>1</v>
      </c>
      <c r="CL576">
        <v>375</v>
      </c>
      <c r="CM576">
        <v>1</v>
      </c>
      <c r="CN576">
        <v>452</v>
      </c>
      <c r="CO576">
        <v>1</v>
      </c>
    </row>
    <row r="577" spans="1:93">
      <c r="A577" s="2" t="str">
        <f>HYPERLINK("http://exon.niaid.nih.gov/transcriptome/Anopheles_sialome/links/cds/anoalb_SG1b-cds.txt","anoalb_SG1b")</f>
        <v>anoalb_SG1b</v>
      </c>
      <c r="B577">
        <v>1110</v>
      </c>
      <c r="C577" t="s">
        <v>494</v>
      </c>
      <c r="D577" t="s">
        <v>7</v>
      </c>
      <c r="E577" t="s">
        <v>5</v>
      </c>
      <c r="F577" t="s">
        <v>1</v>
      </c>
      <c r="G577" t="str">
        <f>HYPERLINK("http://exon.niaid.nih.gov/transcriptome/Anopheles_sialome/links/pep/anoalb_SG1b-pep.txt","anoalb_SG1b")</f>
        <v>anoalb_SG1b</v>
      </c>
      <c r="H577">
        <v>369</v>
      </c>
      <c r="I577">
        <v>0</v>
      </c>
      <c r="J577" s="3" t="str">
        <f>HYPERLINK("http://exon.niaid.nih.gov/transcriptome/Anopheles_sialome/links/Sigp/anoalb_SG1b-SigP.txt","SIG")</f>
        <v>SIG</v>
      </c>
      <c r="K577" t="s">
        <v>652</v>
      </c>
      <c r="L577">
        <v>42.811999999999998</v>
      </c>
      <c r="M577">
        <v>8.1</v>
      </c>
      <c r="N577">
        <v>40.719000000000001</v>
      </c>
      <c r="O577">
        <v>8.1300000000000008</v>
      </c>
      <c r="P577" t="s">
        <v>1047</v>
      </c>
      <c r="Q577" s="3">
        <v>0</v>
      </c>
      <c r="R577" t="s">
        <v>128</v>
      </c>
      <c r="S577" t="s">
        <v>128</v>
      </c>
      <c r="T577" t="s">
        <v>128</v>
      </c>
      <c r="U577" t="s">
        <v>128</v>
      </c>
      <c r="V577" t="s">
        <v>128</v>
      </c>
      <c r="W577" s="3" t="str">
        <f>HYPERLINK("http://exon.niaid.nih.gov/transcriptome/Anopheles_sialome/links/netoglyc/anoalb_SG1b-netoglyc.txt","0")</f>
        <v>0</v>
      </c>
      <c r="X577">
        <v>10.3</v>
      </c>
      <c r="Y577">
        <v>3</v>
      </c>
      <c r="Z577">
        <v>2.4</v>
      </c>
      <c r="AA577" t="s">
        <v>654</v>
      </c>
      <c r="AB577" t="s">
        <v>128</v>
      </c>
      <c r="AC577" s="2" t="str">
        <f>HYPERLINK("http://exon.niaid.nih.gov/transcriptome/Anopheles_sialome/links/DIPTERA/anoalb_SG1b-DIPTERA.txt","GSG1 protein")</f>
        <v>GSG1 protein</v>
      </c>
      <c r="AD577" t="str">
        <f>HYPERLINK("http://www.ncbi.nlm.nih.gov/sutils/blink.cgi?pid=208657753","1E-178")</f>
        <v>1E-178</v>
      </c>
      <c r="AE577" t="str">
        <f>HYPERLINK("http://www.ncbi.nlm.nih.gov/protein/208657753","gi|208657753")</f>
        <v>gi|208657753</v>
      </c>
      <c r="AF577">
        <v>85</v>
      </c>
      <c r="AG577">
        <v>91</v>
      </c>
      <c r="AH577">
        <v>100</v>
      </c>
      <c r="AI577" t="s">
        <v>2283</v>
      </c>
      <c r="AJ577" s="2" t="s">
        <v>128</v>
      </c>
      <c r="AK577" t="s">
        <v>128</v>
      </c>
      <c r="AL577" t="s">
        <v>128</v>
      </c>
      <c r="AM577" t="s">
        <v>128</v>
      </c>
      <c r="AN577" t="s">
        <v>128</v>
      </c>
      <c r="AO577" t="s">
        <v>128</v>
      </c>
      <c r="AP577" t="s">
        <v>128</v>
      </c>
      <c r="AQ577" s="2" t="str">
        <f>HYPERLINK("http://exon.niaid.nih.gov/transcriptome/Anopheles_sialome/links/NR-LIGHT/anoalb_SG1b-NR-LIGHT.txt","gSG1b salivary protein")</f>
        <v>gSG1b salivary protein</v>
      </c>
      <c r="AR577" t="str">
        <f>HYPERLINK("http://www.ncbi.nlm.nih.gov/sutils/blink.cgi?pid=668453919","9E-062")</f>
        <v>9E-062</v>
      </c>
      <c r="AS577" t="str">
        <f>HYPERLINK("http://www.ncbi.nlm.nih.gov/protein/668453919","gi|668453919")</f>
        <v>gi|668453919</v>
      </c>
      <c r="AT577">
        <v>35</v>
      </c>
      <c r="AU577">
        <v>58</v>
      </c>
      <c r="AV577">
        <v>98</v>
      </c>
      <c r="AW577" t="s">
        <v>2277</v>
      </c>
      <c r="AX577" s="2" t="str">
        <f>HYPERLINK("http://exon.niaid.nih.gov/transcriptome/Anopheles_sialome/links/CDD/anoalb_SG1b-CDD.txt","PQQ_DH_like")</f>
        <v>PQQ_DH_like</v>
      </c>
      <c r="AY577" t="str">
        <f>HYPERLINK("http://www.ncbi.nlm.nih.gov/Structure/cdd/cddsrv.cgi?uid=cd00216&amp;version=v4.0","0.061")</f>
        <v>0.061</v>
      </c>
      <c r="AZ577" t="s">
        <v>2964</v>
      </c>
      <c r="BA577" s="2" t="str">
        <f>HYPERLINK("http://exon.niaid.nih.gov/transcriptome/Anopheles_sialome/links/KOG/anoalb_SG1b-KOG.txt","Extracellular matrix glycoprotein Laminin subunit beta")</f>
        <v>Extracellular matrix glycoprotein Laminin subunit beta</v>
      </c>
      <c r="BB577" t="str">
        <f>HYPERLINK("http://www.ncbi.nlm.nih.gov/Structure/cdd/cddsrv.cgi?uid=KOG0994","1.8")</f>
        <v>1.8</v>
      </c>
      <c r="BC577" t="s">
        <v>2306</v>
      </c>
      <c r="BD577" t="str">
        <f>HYPERLINK("http://exon.niaid.nih.gov/transcriptome/Anopheles_sialome/links/KOG/anoalb_SG1b-KOG.txt","KOG0994")</f>
        <v>KOG0994</v>
      </c>
      <c r="BE577" t="str">
        <f>HYPERLINK("http://exon.niaid.nih.gov/transcriptome/Anopheles_sialome/links/PFAM/anoalb_SG1b-PFAM.txt","Peptidase_M13_N")</f>
        <v>Peptidase_M13_N</v>
      </c>
      <c r="BF577" t="str">
        <f>HYPERLINK("http://pfam.sanger.ac.uk/family?acc=PF05649","0.30")</f>
        <v>0.30</v>
      </c>
      <c r="BG577" s="2" t="str">
        <f>HYPERLINK("http://exon.niaid.nih.gov/transcriptome/Anopheles_sialome/links/SMART/anoalb_SG1b-SMART.txt","AIP3")</f>
        <v>AIP3</v>
      </c>
      <c r="BH577" t="str">
        <f>HYPERLINK("http://smart.embl-heidelberg.de/smart/do_annotation.pl?DOMAIN=AIP3&amp;BLAST=DUMMY","2.0")</f>
        <v>2.0</v>
      </c>
      <c r="BI577" t="str">
        <f>HYPERLINK("http://exon.niaid.nih.gov/transcriptome/Anopheles_sialome/links/TICK-BLOCKS/anoalb_SG1b-TICK-BLOCKS.txt","SG1_full |SG1_stringent_pattern |")</f>
        <v>SG1_full |SG1_stringent_pattern |</v>
      </c>
      <c r="BJ577" s="2" t="s">
        <v>2423</v>
      </c>
      <c r="BK577" t="s">
        <v>1909</v>
      </c>
      <c r="BL577">
        <f>HYPERLINK("http://exon.niaid.nih.gov/transcriptome/Anopheles_sialome/links/cluster-b/anopheline-sialome-cds-pep-larger-orf25-50SimCLU3.txt", 3)</f>
        <v>3</v>
      </c>
      <c r="BM577">
        <f>HYPERLINK("http://exon.niaid.nih.gov/transcriptome/Anopheles_sialome/links/cluster-b/anopheline-sialome-cds-pep-larger-orf25-50SimCLTL3.txt", 119)</f>
        <v>119</v>
      </c>
      <c r="BN577">
        <f>HYPERLINK("http://exon.niaid.nih.gov/transcriptome/Anopheles_sialome/links/cluster-b/anopheline-sialome-cds-pep-larger-orf30-50SimCLU3.txt", 3)</f>
        <v>3</v>
      </c>
      <c r="BO577">
        <f>HYPERLINK("http://exon.niaid.nih.gov/transcriptome/Anopheles_sialome/links/cluster-b/anopheline-sialome-cds-pep-larger-orf30-50SimCLTL3.txt", 119)</f>
        <v>119</v>
      </c>
      <c r="BP577">
        <f>HYPERLINK("http://exon.niaid.nih.gov/transcriptome/Anopheles_sialome/links/cluster-b/anopheline-sialome-cds-pep-larger-orf35-50SimCLU2.txt", 2)</f>
        <v>2</v>
      </c>
      <c r="BQ577">
        <f>HYPERLINK("http://exon.niaid.nih.gov/transcriptome/Anopheles_sialome/links/cluster-b/anopheline-sialome-cds-pep-larger-orf35-50SimCLTL2.txt", 119)</f>
        <v>119</v>
      </c>
      <c r="BR577">
        <f>HYPERLINK("http://exon.niaid.nih.gov/transcriptome/Anopheles_sialome/links/cluster-b/anopheline-sialome-cds-pep-larger-orf40-50SimCLU1.txt", 1)</f>
        <v>1</v>
      </c>
      <c r="BS577">
        <f>HYPERLINK("http://exon.niaid.nih.gov/transcriptome/Anopheles_sialome/links/cluster-b/anopheline-sialome-cds-pep-larger-orf40-50SimCLTL1.txt", 119)</f>
        <v>119</v>
      </c>
      <c r="BT577">
        <f>HYPERLINK("http://exon.niaid.nih.gov/transcriptome/Anopheles_sialome/links/cluster-b/anopheline-sialome-cds-pep-larger-orf45-50SimCLU23.txt", 23)</f>
        <v>23</v>
      </c>
      <c r="BU577">
        <f>HYPERLINK("http://exon.niaid.nih.gov/transcriptome/Anopheles_sialome/links/cluster-b/anopheline-sialome-cds-pep-larger-orf45-50SimCLTL23.txt", 18)</f>
        <v>18</v>
      </c>
      <c r="BV577">
        <f>HYPERLINK("http://exon.niaid.nih.gov/transcriptome/Anopheles_sialome/links/cluster-b/anopheline-sialome-cds-pep-larger-orf50-50SimCLU22.txt", 22)</f>
        <v>22</v>
      </c>
      <c r="BW577">
        <f>HYPERLINK("http://exon.niaid.nih.gov/transcriptome/Anopheles_sialome/links/cluster-b/anopheline-sialome-cds-pep-larger-orf50-50SimCLTL22.txt", 18)</f>
        <v>18</v>
      </c>
      <c r="BX577">
        <f>HYPERLINK("http://exon.niaid.nih.gov/transcriptome/Anopheles_sialome/links/cluster-b/anopheline-sialome-cds-pep-larger-orf55-50SimCLU22.txt", 22)</f>
        <v>22</v>
      </c>
      <c r="BY577">
        <f>HYPERLINK("http://exon.niaid.nih.gov/transcriptome/Anopheles_sialome/links/cluster-b/anopheline-sialome-cds-pep-larger-orf55-50SimCLTL22.txt", 18)</f>
        <v>18</v>
      </c>
      <c r="BZ577">
        <f>HYPERLINK("http://exon.niaid.nih.gov/transcriptome/Anopheles_sialome/links/cluster-b/anopheline-sialome-cds-pep-larger-orf60-50SimCLU47.txt", 47)</f>
        <v>47</v>
      </c>
      <c r="CA577">
        <f>HYPERLINK("http://exon.niaid.nih.gov/transcriptome/Anopheles_sialome/links/cluster-b/anopheline-sialome-cds-pep-larger-orf60-50SimCLTL47.txt", 2)</f>
        <v>2</v>
      </c>
      <c r="CB577">
        <f>HYPERLINK("http://exon.niaid.nih.gov/transcriptome/Anopheles_sialome/links/cluster-b/anopheline-sialome-cds-pep-larger-orf65-50SimCLU56.txt", 56)</f>
        <v>56</v>
      </c>
      <c r="CC577">
        <f>HYPERLINK("http://exon.niaid.nih.gov/transcriptome/Anopheles_sialome/links/cluster-b/anopheline-sialome-cds-pep-larger-orf65-50SimCLTL56.txt", 2)</f>
        <v>2</v>
      </c>
      <c r="CD577">
        <f>HYPERLINK("http://exon.niaid.nih.gov/transcriptome/Anopheles_sialome/links/cluster-b/anopheline-sialome-cds-pep-larger-orf70-50SimCLU63.txt", 63)</f>
        <v>63</v>
      </c>
      <c r="CE577">
        <f>HYPERLINK("http://exon.niaid.nih.gov/transcriptome/Anopheles_sialome/links/cluster-b/anopheline-sialome-cds-pep-larger-orf70-50SimCLTL63.txt", 2)</f>
        <v>2</v>
      </c>
      <c r="CF577">
        <f>HYPERLINK("http://exon.niaid.nih.gov/transcriptome/Anopheles_sialome/links/cluster-b/anopheline-sialome-cds-pep-larger-orf75-50SimCLU81.txt", 81)</f>
        <v>81</v>
      </c>
      <c r="CG577">
        <f>HYPERLINK("http://exon.niaid.nih.gov/transcriptome/Anopheles_sialome/links/cluster-b/anopheline-sialome-cds-pep-larger-orf75-50SimCLTL81.txt", 2)</f>
        <v>2</v>
      </c>
      <c r="CH577">
        <f>HYPERLINK("http://exon.niaid.nih.gov/transcriptome/Anopheles_sialome/links/cluster-b/anopheline-sialome-cds-pep-larger-orf80-50SimCLU98.txt", 98)</f>
        <v>98</v>
      </c>
      <c r="CI577">
        <f>HYPERLINK("http://exon.niaid.nih.gov/transcriptome/Anopheles_sialome/links/cluster-b/anopheline-sialome-cds-pep-larger-orf80-50SimCLTL98.txt", 2)</f>
        <v>2</v>
      </c>
      <c r="CJ577">
        <f>HYPERLINK("http://exon.niaid.nih.gov/transcriptome/Anopheles_sialome/links/cluster-b/anopheline-sialome-cds-pep-larger-orf85-50SimCLU99.txt", 99)</f>
        <v>99</v>
      </c>
      <c r="CK577">
        <f>HYPERLINK("http://exon.niaid.nih.gov/transcriptome/Anopheles_sialome/links/cluster-b/anopheline-sialome-cds-pep-larger-orf85-50SimCLTL99.txt", 2)</f>
        <v>2</v>
      </c>
      <c r="CL577">
        <f>HYPERLINK("http://exon.niaid.nih.gov/transcriptome/Anopheles_sialome/links/cluster-b/anopheline-sialome-cds-pep-larger-orf90-50SimCLU85.txt", 85)</f>
        <v>85</v>
      </c>
      <c r="CM577">
        <f>HYPERLINK("http://exon.niaid.nih.gov/transcriptome/Anopheles_sialome/links/cluster-b/anopheline-sialome-cds-pep-larger-orf90-50SimCLTL85.txt", 2)</f>
        <v>2</v>
      </c>
      <c r="CN577">
        <v>453</v>
      </c>
      <c r="CO577">
        <v>1</v>
      </c>
    </row>
    <row r="578" spans="1:93">
      <c r="A578" s="2" t="str">
        <f>HYPERLINK("http://exon.niaid.nih.gov/transcriptome/Anopheles_sialome/links/cds/anodar_SG1b-cds.txt","anodar_SG1b")</f>
        <v>anodar_SG1b</v>
      </c>
      <c r="B578">
        <v>1113</v>
      </c>
      <c r="C578" t="s">
        <v>4</v>
      </c>
      <c r="D578" s="8" t="s">
        <v>3178</v>
      </c>
      <c r="E578" t="s">
        <v>5</v>
      </c>
      <c r="F578" t="s">
        <v>1</v>
      </c>
      <c r="G578" t="str">
        <f>HYPERLINK("http://exon.niaid.nih.gov/transcriptome/Anopheles_sialome/links/pep/anodar_SG1b-pep.txt","anodar_SG1b")</f>
        <v>anodar_SG1b</v>
      </c>
      <c r="H578">
        <v>370</v>
      </c>
      <c r="I578">
        <v>0</v>
      </c>
      <c r="J578" s="3" t="str">
        <f>HYPERLINK("http://exon.niaid.nih.gov/transcriptome/Anopheles_sialome/links/Sigp/anodar_SG1b-SigP.txt","SIG")</f>
        <v>SIG</v>
      </c>
      <c r="K578" t="s">
        <v>652</v>
      </c>
      <c r="L578">
        <v>42.813000000000002</v>
      </c>
      <c r="M578">
        <v>8.92</v>
      </c>
      <c r="N578">
        <v>40.716000000000001</v>
      </c>
      <c r="O578">
        <v>8.92</v>
      </c>
      <c r="P578" t="s">
        <v>1911</v>
      </c>
      <c r="Q578" s="3">
        <v>0</v>
      </c>
      <c r="R578" t="s">
        <v>128</v>
      </c>
      <c r="S578" t="s">
        <v>128</v>
      </c>
      <c r="T578" t="s">
        <v>128</v>
      </c>
      <c r="U578" t="s">
        <v>128</v>
      </c>
      <c r="V578" t="s">
        <v>128</v>
      </c>
      <c r="W578" s="3" t="str">
        <f>HYPERLINK("http://exon.niaid.nih.gov/transcriptome/Anopheles_sialome/links/netoglyc/anodar_SG1b-netoglyc.txt","0")</f>
        <v>0</v>
      </c>
      <c r="X578">
        <v>11.1</v>
      </c>
      <c r="Y578">
        <v>3</v>
      </c>
      <c r="Z578">
        <v>2.4</v>
      </c>
      <c r="AA578" t="s">
        <v>654</v>
      </c>
      <c r="AB578" t="s">
        <v>128</v>
      </c>
      <c r="AC578" s="2" t="str">
        <f>HYPERLINK("http://exon.niaid.nih.gov/transcriptome/Anopheles_sialome/links/DIPTERA/anodar_SG1b-DIPTERA.txt","GSG1 protein")</f>
        <v>GSG1 protein</v>
      </c>
      <c r="AD578" t="str">
        <f>HYPERLINK("http://www.ncbi.nlm.nih.gov/sutils/blink.cgi?pid=208657753","0.0")</f>
        <v>0.0</v>
      </c>
      <c r="AE578" t="str">
        <f>HYPERLINK("http://www.ncbi.nlm.nih.gov/protein/208657753","gi|208657753")</f>
        <v>gi|208657753</v>
      </c>
      <c r="AF578">
        <v>99</v>
      </c>
      <c r="AG578">
        <v>99</v>
      </c>
      <c r="AH578">
        <v>100</v>
      </c>
      <c r="AI578" t="s">
        <v>2283</v>
      </c>
      <c r="AJ578" s="2" t="s">
        <v>128</v>
      </c>
      <c r="AK578" t="s">
        <v>128</v>
      </c>
      <c r="AL578" t="s">
        <v>128</v>
      </c>
      <c r="AM578" t="s">
        <v>128</v>
      </c>
      <c r="AN578" t="s">
        <v>128</v>
      </c>
      <c r="AO578" t="s">
        <v>128</v>
      </c>
      <c r="AP578" t="s">
        <v>128</v>
      </c>
      <c r="AQ578" s="2" t="str">
        <f>HYPERLINK("http://exon.niaid.nih.gov/transcriptome/Anopheles_sialome/links/NR-LIGHT/anodar_SG1b-NR-LIGHT.txt","gSG1b salivary protein")</f>
        <v>gSG1b salivary protein</v>
      </c>
      <c r="AR578" t="str">
        <f>HYPERLINK("http://www.ncbi.nlm.nih.gov/sutils/blink.cgi?pid=668453919","1E-061")</f>
        <v>1E-061</v>
      </c>
      <c r="AS578" t="str">
        <f>HYPERLINK("http://www.ncbi.nlm.nih.gov/protein/668453919","gi|668453919")</f>
        <v>gi|668453919</v>
      </c>
      <c r="AT578">
        <v>35</v>
      </c>
      <c r="AU578">
        <v>58</v>
      </c>
      <c r="AV578">
        <v>98</v>
      </c>
      <c r="AW578" t="s">
        <v>2277</v>
      </c>
      <c r="AX578" s="2" t="str">
        <f>HYPERLINK("http://exon.niaid.nih.gov/transcriptome/Anopheles_sialome/links/CDD/anodar_SG1b-CDD.txt","PQQ_DH_like")</f>
        <v>PQQ_DH_like</v>
      </c>
      <c r="AY578" t="str">
        <f>HYPERLINK("http://www.ncbi.nlm.nih.gov/Structure/cdd/cddsrv.cgi?uid=cd00216&amp;version=v4.0","0.43")</f>
        <v>0.43</v>
      </c>
      <c r="AZ578" t="s">
        <v>2965</v>
      </c>
      <c r="BA578" s="2" t="str">
        <f>HYPERLINK("http://exon.niaid.nih.gov/transcriptome/Anopheles_sialome/links/KOG/anodar_SG1b-KOG.txt","Extracellular matrix glycoprotein Laminin subunit beta")</f>
        <v>Extracellular matrix glycoprotein Laminin subunit beta</v>
      </c>
      <c r="BB578" t="str">
        <f>HYPERLINK("http://www.ncbi.nlm.nih.gov/Structure/cdd/cddsrv.cgi?uid=KOG0994","1.0")</f>
        <v>1.0</v>
      </c>
      <c r="BC578" t="s">
        <v>2306</v>
      </c>
      <c r="BD578" t="str">
        <f>HYPERLINK("http://exon.niaid.nih.gov/transcriptome/Anopheles_sialome/links/KOG/anodar_SG1b-KOG.txt","KOG0994")</f>
        <v>KOG0994</v>
      </c>
      <c r="BE578" t="str">
        <f>HYPERLINK("http://exon.niaid.nih.gov/transcriptome/Anopheles_sialome/links/PFAM/anodar_SG1b-PFAM.txt","Filo_VP35")</f>
        <v>Filo_VP35</v>
      </c>
      <c r="BF578" t="str">
        <f>HYPERLINK("http://pfam.sanger.ac.uk/family?acc=PF02097","0.28")</f>
        <v>0.28</v>
      </c>
      <c r="BG578" s="2" t="str">
        <f>HYPERLINK("http://exon.niaid.nih.gov/transcriptome/Anopheles_sialome/links/SMART/anodar_SG1b-SMART.txt","POLBc")</f>
        <v>POLBc</v>
      </c>
      <c r="BH578" t="str">
        <f>HYPERLINK("http://smart.embl-heidelberg.de/smart/do_annotation.pl?DOMAIN=POLBc&amp;BLAST=DUMMY","0.38")</f>
        <v>0.38</v>
      </c>
      <c r="BI578" t="str">
        <f>HYPERLINK("http://exon.niaid.nih.gov/transcriptome/Anopheles_sialome/links/TICK-BLOCKS/anodar_SG1b-TICK-BLOCKS.txt","SG1_full |SG1_stringent_pattern |")</f>
        <v>SG1_full |SG1_stringent_pattern |</v>
      </c>
      <c r="BJ578" s="2" t="s">
        <v>2423</v>
      </c>
      <c r="BK578" t="s">
        <v>1910</v>
      </c>
      <c r="BL578">
        <f>HYPERLINK("http://exon.niaid.nih.gov/transcriptome/Anopheles_sialome/links/cluster-b/anopheline-sialome-cds-pep-larger-orf25-50SimCLU3.txt", 3)</f>
        <v>3</v>
      </c>
      <c r="BM578">
        <f>HYPERLINK("http://exon.niaid.nih.gov/transcriptome/Anopheles_sialome/links/cluster-b/anopheline-sialome-cds-pep-larger-orf25-50SimCLTL3.txt", 119)</f>
        <v>119</v>
      </c>
      <c r="BN578">
        <f>HYPERLINK("http://exon.niaid.nih.gov/transcriptome/Anopheles_sialome/links/cluster-b/anopheline-sialome-cds-pep-larger-orf30-50SimCLU3.txt", 3)</f>
        <v>3</v>
      </c>
      <c r="BO578">
        <f>HYPERLINK("http://exon.niaid.nih.gov/transcriptome/Anopheles_sialome/links/cluster-b/anopheline-sialome-cds-pep-larger-orf30-50SimCLTL3.txt", 119)</f>
        <v>119</v>
      </c>
      <c r="BP578">
        <f>HYPERLINK("http://exon.niaid.nih.gov/transcriptome/Anopheles_sialome/links/cluster-b/anopheline-sialome-cds-pep-larger-orf35-50SimCLU2.txt", 2)</f>
        <v>2</v>
      </c>
      <c r="BQ578">
        <f>HYPERLINK("http://exon.niaid.nih.gov/transcriptome/Anopheles_sialome/links/cluster-b/anopheline-sialome-cds-pep-larger-orf35-50SimCLTL2.txt", 119)</f>
        <v>119</v>
      </c>
      <c r="BR578">
        <f>HYPERLINK("http://exon.niaid.nih.gov/transcriptome/Anopheles_sialome/links/cluster-b/anopheline-sialome-cds-pep-larger-orf40-50SimCLU1.txt", 1)</f>
        <v>1</v>
      </c>
      <c r="BS578">
        <f>HYPERLINK("http://exon.niaid.nih.gov/transcriptome/Anopheles_sialome/links/cluster-b/anopheline-sialome-cds-pep-larger-orf40-50SimCLTL1.txt", 119)</f>
        <v>119</v>
      </c>
      <c r="BT578">
        <f>HYPERLINK("http://exon.niaid.nih.gov/transcriptome/Anopheles_sialome/links/cluster-b/anopheline-sialome-cds-pep-larger-orf45-50SimCLU23.txt", 23)</f>
        <v>23</v>
      </c>
      <c r="BU578">
        <f>HYPERLINK("http://exon.niaid.nih.gov/transcriptome/Anopheles_sialome/links/cluster-b/anopheline-sialome-cds-pep-larger-orf45-50SimCLTL23.txt", 18)</f>
        <v>18</v>
      </c>
      <c r="BV578">
        <f>HYPERLINK("http://exon.niaid.nih.gov/transcriptome/Anopheles_sialome/links/cluster-b/anopheline-sialome-cds-pep-larger-orf50-50SimCLU22.txt", 22)</f>
        <v>22</v>
      </c>
      <c r="BW578">
        <f>HYPERLINK("http://exon.niaid.nih.gov/transcriptome/Anopheles_sialome/links/cluster-b/anopheline-sialome-cds-pep-larger-orf50-50SimCLTL22.txt", 18)</f>
        <v>18</v>
      </c>
      <c r="BX578">
        <f>HYPERLINK("http://exon.niaid.nih.gov/transcriptome/Anopheles_sialome/links/cluster-b/anopheline-sialome-cds-pep-larger-orf55-50SimCLU22.txt", 22)</f>
        <v>22</v>
      </c>
      <c r="BY578">
        <f>HYPERLINK("http://exon.niaid.nih.gov/transcriptome/Anopheles_sialome/links/cluster-b/anopheline-sialome-cds-pep-larger-orf55-50SimCLTL22.txt", 18)</f>
        <v>18</v>
      </c>
      <c r="BZ578">
        <f>HYPERLINK("http://exon.niaid.nih.gov/transcriptome/Anopheles_sialome/links/cluster-b/anopheline-sialome-cds-pep-larger-orf60-50SimCLU47.txt", 47)</f>
        <v>47</v>
      </c>
      <c r="CA578">
        <f>HYPERLINK("http://exon.niaid.nih.gov/transcriptome/Anopheles_sialome/links/cluster-b/anopheline-sialome-cds-pep-larger-orf60-50SimCLTL47.txt", 2)</f>
        <v>2</v>
      </c>
      <c r="CB578">
        <f>HYPERLINK("http://exon.niaid.nih.gov/transcriptome/Anopheles_sialome/links/cluster-b/anopheline-sialome-cds-pep-larger-orf65-50SimCLU56.txt", 56)</f>
        <v>56</v>
      </c>
      <c r="CC578">
        <f>HYPERLINK("http://exon.niaid.nih.gov/transcriptome/Anopheles_sialome/links/cluster-b/anopheline-sialome-cds-pep-larger-orf65-50SimCLTL56.txt", 2)</f>
        <v>2</v>
      </c>
      <c r="CD578">
        <f>HYPERLINK("http://exon.niaid.nih.gov/transcriptome/Anopheles_sialome/links/cluster-b/anopheline-sialome-cds-pep-larger-orf70-50SimCLU63.txt", 63)</f>
        <v>63</v>
      </c>
      <c r="CE578">
        <f>HYPERLINK("http://exon.niaid.nih.gov/transcriptome/Anopheles_sialome/links/cluster-b/anopheline-sialome-cds-pep-larger-orf70-50SimCLTL63.txt", 2)</f>
        <v>2</v>
      </c>
      <c r="CF578">
        <f>HYPERLINK("http://exon.niaid.nih.gov/transcriptome/Anopheles_sialome/links/cluster-b/anopheline-sialome-cds-pep-larger-orf75-50SimCLU81.txt", 81)</f>
        <v>81</v>
      </c>
      <c r="CG578">
        <f>HYPERLINK("http://exon.niaid.nih.gov/transcriptome/Anopheles_sialome/links/cluster-b/anopheline-sialome-cds-pep-larger-orf75-50SimCLTL81.txt", 2)</f>
        <v>2</v>
      </c>
      <c r="CH578">
        <f>HYPERLINK("http://exon.niaid.nih.gov/transcriptome/Anopheles_sialome/links/cluster-b/anopheline-sialome-cds-pep-larger-orf80-50SimCLU98.txt", 98)</f>
        <v>98</v>
      </c>
      <c r="CI578">
        <f>HYPERLINK("http://exon.niaid.nih.gov/transcriptome/Anopheles_sialome/links/cluster-b/anopheline-sialome-cds-pep-larger-orf80-50SimCLTL98.txt", 2)</f>
        <v>2</v>
      </c>
      <c r="CJ578">
        <f>HYPERLINK("http://exon.niaid.nih.gov/transcriptome/Anopheles_sialome/links/cluster-b/anopheline-sialome-cds-pep-larger-orf85-50SimCLU99.txt", 99)</f>
        <v>99</v>
      </c>
      <c r="CK578">
        <f>HYPERLINK("http://exon.niaid.nih.gov/transcriptome/Anopheles_sialome/links/cluster-b/anopheline-sialome-cds-pep-larger-orf85-50SimCLTL99.txt", 2)</f>
        <v>2</v>
      </c>
      <c r="CL578">
        <f>HYPERLINK("http://exon.niaid.nih.gov/transcriptome/Anopheles_sialome/links/cluster-b/anopheline-sialome-cds-pep-larger-orf90-50SimCLU85.txt", 85)</f>
        <v>85</v>
      </c>
      <c r="CM578">
        <f>HYPERLINK("http://exon.niaid.nih.gov/transcriptome/Anopheles_sialome/links/cluster-b/anopheline-sialome-cds-pep-larger-orf90-50SimCLTL85.txt", 2)</f>
        <v>2</v>
      </c>
      <c r="CN578">
        <v>454</v>
      </c>
      <c r="CO578">
        <v>1</v>
      </c>
    </row>
    <row r="579" spans="1:93">
      <c r="A579" s="6" t="s">
        <v>3207</v>
      </c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</row>
    <row r="580" spans="1:93">
      <c r="A580" s="2" t="str">
        <f>HYPERLINK("http://exon.niaid.nih.gov/transcriptome/Anopheles_sialome/links/cds/anoga_TRIO-cds.txt","anoga_TRIO")</f>
        <v>anoga_TRIO</v>
      </c>
      <c r="B580">
        <v>1176</v>
      </c>
      <c r="C580" t="s">
        <v>495</v>
      </c>
      <c r="D580" t="s">
        <v>4</v>
      </c>
      <c r="E580" t="s">
        <v>5</v>
      </c>
      <c r="F580" t="s">
        <v>1</v>
      </c>
      <c r="G580" t="str">
        <f>HYPERLINK("http://exon.niaid.nih.gov/transcriptome/Anopheles_sialome/links/pep/anoga_TRIO-pep.txt","anoga_TRIO")</f>
        <v>anoga_TRIO</v>
      </c>
      <c r="H580">
        <v>391</v>
      </c>
      <c r="I580">
        <v>1</v>
      </c>
      <c r="J580" s="3" t="str">
        <f>HYPERLINK("http://exon.niaid.nih.gov/transcriptome/Anopheles_sialome/links/Sigp/anoga_TRIO-SigP.txt","SIG")</f>
        <v>SIG</v>
      </c>
      <c r="K580" t="s">
        <v>715</v>
      </c>
      <c r="L580">
        <v>43.823999999999998</v>
      </c>
      <c r="M580">
        <v>6.03</v>
      </c>
      <c r="N580">
        <v>41.366</v>
      </c>
      <c r="O580">
        <v>5.8</v>
      </c>
      <c r="P580" t="s">
        <v>1913</v>
      </c>
      <c r="Q580" s="3">
        <v>0</v>
      </c>
      <c r="R580" t="s">
        <v>128</v>
      </c>
      <c r="S580" t="s">
        <v>128</v>
      </c>
      <c r="T580" t="s">
        <v>128</v>
      </c>
      <c r="U580" t="s">
        <v>128</v>
      </c>
      <c r="V580" t="s">
        <v>128</v>
      </c>
      <c r="W580" s="3" t="str">
        <f>HYPERLINK("http://exon.niaid.nih.gov/transcriptome/Anopheles_sialome/links/netoglyc/anoga_TRIO-netoglyc.txt","2")</f>
        <v>2</v>
      </c>
      <c r="X580">
        <v>11.8</v>
      </c>
      <c r="Y580">
        <v>4.0999999999999996</v>
      </c>
      <c r="Z580">
        <v>5.6</v>
      </c>
      <c r="AA580" t="s">
        <v>654</v>
      </c>
      <c r="AB580" t="s">
        <v>128</v>
      </c>
      <c r="AC580" s="2" t="str">
        <f>HYPERLINK("http://exon.niaid.nih.gov/transcriptome/Anopheles_sialome/links/DIPTERA/anoga_TRIO-DIPTERA.txt","AGAP001374-PA")</f>
        <v>AGAP001374-PA</v>
      </c>
      <c r="AD580" t="str">
        <f>HYPERLINK("http://www.ncbi.nlm.nih.gov/sutils/blink.cgi?pid=55233973","0.0")</f>
        <v>0.0</v>
      </c>
      <c r="AE580" t="str">
        <f t="shared" ref="AE580:AE586" si="191">HYPERLINK("http://www.ncbi.nlm.nih.gov/protein/55233973","gi|55233973")</f>
        <v>gi|55233973</v>
      </c>
      <c r="AF580">
        <v>100</v>
      </c>
      <c r="AG580">
        <v>100</v>
      </c>
      <c r="AH580">
        <v>100</v>
      </c>
      <c r="AI580" t="s">
        <v>2285</v>
      </c>
      <c r="AJ580" s="2" t="s">
        <v>128</v>
      </c>
      <c r="AK580" t="s">
        <v>128</v>
      </c>
      <c r="AL580" t="s">
        <v>128</v>
      </c>
      <c r="AM580" t="s">
        <v>128</v>
      </c>
      <c r="AN580" t="s">
        <v>128</v>
      </c>
      <c r="AO580" t="s">
        <v>128</v>
      </c>
      <c r="AP580" t="s">
        <v>128</v>
      </c>
      <c r="AQ580" s="2" t="str">
        <f>HYPERLINK("http://exon.niaid.nih.gov/transcriptome/Anopheles_sialome/links/NR-LIGHT/anoga_TRIO-NR-LIGHT.txt","AGAP001374-PA")</f>
        <v>AGAP001374-PA</v>
      </c>
      <c r="AR580" t="str">
        <f>HYPERLINK("http://www.ncbi.nlm.nih.gov/sutils/blink.cgi?pid=58396245","0.0")</f>
        <v>0.0</v>
      </c>
      <c r="AS580" t="str">
        <f t="shared" ref="AS580:AS586" si="192">HYPERLINK("http://www.ncbi.nlm.nih.gov/protein/58396245","gi|58396245")</f>
        <v>gi|58396245</v>
      </c>
      <c r="AT580">
        <v>100</v>
      </c>
      <c r="AU580">
        <v>100</v>
      </c>
      <c r="AV580">
        <v>100</v>
      </c>
      <c r="AW580" t="s">
        <v>2285</v>
      </c>
      <c r="AX580" s="2" t="str">
        <f>HYPERLINK("http://exon.niaid.nih.gov/transcriptome/Anopheles_sialome/links/CDD/anoga_TRIO-CDD.txt","P")</f>
        <v>P</v>
      </c>
      <c r="AY580" t="str">
        <f>HYPERLINK("http://www.ncbi.nlm.nih.gov/Structure/cdd/cddsrv.cgi?uid=PHA02535&amp;version=v4.0","0.50")</f>
        <v>0.50</v>
      </c>
      <c r="AZ580" t="s">
        <v>2966</v>
      </c>
      <c r="BA580" s="2" t="str">
        <f>HYPERLINK("http://exon.niaid.nih.gov/transcriptome/Anopheles_sialome/links/KOG/anoga_TRIO-KOG.txt","Coiled-coil protein TPD52")</f>
        <v>Coiled-coil protein TPD52</v>
      </c>
      <c r="BB580" t="str">
        <f>HYPERLINK("http://www.ncbi.nlm.nih.gov/Structure/cdd/cddsrv.cgi?uid=KOG4010","0.65")</f>
        <v>0.65</v>
      </c>
      <c r="BC580" t="s">
        <v>2310</v>
      </c>
      <c r="BD580" t="str">
        <f>HYPERLINK("http://exon.niaid.nih.gov/transcriptome/Anopheles_sialome/links/KOG/anoga_TRIO-KOG.txt","KOG4010")</f>
        <v>KOG4010</v>
      </c>
      <c r="BE580" t="str">
        <f>HYPERLINK("http://exon.niaid.nih.gov/transcriptome/Anopheles_sialome/links/PFAM/anoga_TRIO-PFAM.txt","Anp1")</f>
        <v>Anp1</v>
      </c>
      <c r="BF580" t="str">
        <f>HYPERLINK("http://pfam.sanger.ac.uk/family?acc=PF03452","0.35")</f>
        <v>0.35</v>
      </c>
      <c r="BG580" s="2" t="str">
        <f>HYPERLINK("http://exon.niaid.nih.gov/transcriptome/Anopheles_sialome/links/SMART/anoga_TRIO-SMART.txt","OmpH")</f>
        <v>OmpH</v>
      </c>
      <c r="BH580" t="str">
        <f>HYPERLINK("http://smart.embl-heidelberg.de/smart/do_annotation.pl?DOMAIN=OmpH&amp;BLAST=DUMMY","0.51")</f>
        <v>0.51</v>
      </c>
      <c r="BI580" t="str">
        <f>HYPERLINK("http://exon.niaid.nih.gov/transcriptome/Anopheles_sialome/links/TICK-BLOCKS/anoga_TRIO-TICK-BLOCKS.txt","SG1_full |SG1_stringent_pattern |")</f>
        <v>SG1_full |SG1_stringent_pattern |</v>
      </c>
      <c r="BJ580" s="2" t="s">
        <v>2423</v>
      </c>
      <c r="BK580" t="s">
        <v>1912</v>
      </c>
      <c r="BL580">
        <f>HYPERLINK("http://exon.niaid.nih.gov/transcriptome/Anopheles_sialome/links/cluster-b/anopheline-sialome-cds-pep-larger-orf25-50SimCLU3.txt", 3)</f>
        <v>3</v>
      </c>
      <c r="BM580">
        <f>HYPERLINK("http://exon.niaid.nih.gov/transcriptome/Anopheles_sialome/links/cluster-b/anopheline-sialome-cds-pep-larger-orf25-50SimCLTL3.txt", 119)</f>
        <v>119</v>
      </c>
      <c r="BN580">
        <f>HYPERLINK("http://exon.niaid.nih.gov/transcriptome/Anopheles_sialome/links/cluster-b/anopheline-sialome-cds-pep-larger-orf30-50SimCLU3.txt", 3)</f>
        <v>3</v>
      </c>
      <c r="BO580">
        <f>HYPERLINK("http://exon.niaid.nih.gov/transcriptome/Anopheles_sialome/links/cluster-b/anopheline-sialome-cds-pep-larger-orf30-50SimCLTL3.txt", 119)</f>
        <v>119</v>
      </c>
      <c r="BP580">
        <f>HYPERLINK("http://exon.niaid.nih.gov/transcriptome/Anopheles_sialome/links/cluster-b/anopheline-sialome-cds-pep-larger-orf35-50SimCLU2.txt", 2)</f>
        <v>2</v>
      </c>
      <c r="BQ580">
        <f>HYPERLINK("http://exon.niaid.nih.gov/transcriptome/Anopheles_sialome/links/cluster-b/anopheline-sialome-cds-pep-larger-orf35-50SimCLTL2.txt", 119)</f>
        <v>119</v>
      </c>
      <c r="BR580">
        <f>HYPERLINK("http://exon.niaid.nih.gov/transcriptome/Anopheles_sialome/links/cluster-b/anopheline-sialome-cds-pep-larger-orf40-50SimCLU1.txt", 1)</f>
        <v>1</v>
      </c>
      <c r="BS580">
        <f>HYPERLINK("http://exon.niaid.nih.gov/transcriptome/Anopheles_sialome/links/cluster-b/anopheline-sialome-cds-pep-larger-orf40-50SimCLTL1.txt", 119)</f>
        <v>119</v>
      </c>
      <c r="BT580">
        <f>HYPERLINK("http://exon.niaid.nih.gov/transcriptome/Anopheles_sialome/links/cluster-b/anopheline-sialome-cds-pep-larger-orf45-50SimCLU24.txt", 24)</f>
        <v>24</v>
      </c>
      <c r="BU580">
        <f>HYPERLINK("http://exon.niaid.nih.gov/transcriptome/Anopheles_sialome/links/cluster-b/anopheline-sialome-cds-pep-larger-orf45-50SimCLTL24.txt", 18)</f>
        <v>18</v>
      </c>
      <c r="BV580">
        <f>HYPERLINK("http://exon.niaid.nih.gov/transcriptome/Anopheles_sialome/links/cluster-b/anopheline-sialome-cds-pep-larger-orf50-50SimCLU23.txt", 23)</f>
        <v>23</v>
      </c>
      <c r="BW580">
        <f>HYPERLINK("http://exon.niaid.nih.gov/transcriptome/Anopheles_sialome/links/cluster-b/anopheline-sialome-cds-pep-larger-orf50-50SimCLTL23.txt", 18)</f>
        <v>18</v>
      </c>
      <c r="BX580">
        <f>HYPERLINK("http://exon.niaid.nih.gov/transcriptome/Anopheles_sialome/links/cluster-b/anopheline-sialome-cds-pep-larger-orf55-50SimCLU31.txt", 31)</f>
        <v>31</v>
      </c>
      <c r="BY580">
        <f>HYPERLINK("http://exon.niaid.nih.gov/transcriptome/Anopheles_sialome/links/cluster-b/anopheline-sialome-cds-pep-larger-orf55-50SimCLTL31.txt", 16)</f>
        <v>16</v>
      </c>
      <c r="BZ580">
        <f>HYPERLINK("http://exon.niaid.nih.gov/transcriptome/Anopheles_sialome/links/cluster-b/anopheline-sialome-cds-pep-larger-orf60-50SimCLU34.txt", 34)</f>
        <v>34</v>
      </c>
      <c r="CA580">
        <f>HYPERLINK("http://exon.niaid.nih.gov/transcriptome/Anopheles_sialome/links/cluster-b/anopheline-sialome-cds-pep-larger-orf60-50SimCLTL34.txt", 12)</f>
        <v>12</v>
      </c>
      <c r="CB580">
        <f>HYPERLINK("http://exon.niaid.nih.gov/transcriptome/Anopheles_sialome/links/cluster-b/anopheline-sialome-cds-pep-larger-orf65-50SimCLU38.txt", 38)</f>
        <v>38</v>
      </c>
      <c r="CC580">
        <f>HYPERLINK("http://exon.niaid.nih.gov/transcriptome/Anopheles_sialome/links/cluster-b/anopheline-sialome-cds-pep-larger-orf65-50SimCLTL38.txt", 12)</f>
        <v>12</v>
      </c>
      <c r="CD580">
        <f>HYPERLINK("http://exon.niaid.nih.gov/transcriptome/Anopheles_sialome/links/cluster-b/anopheline-sialome-cds-pep-larger-orf70-50SimCLU40.txt", 40)</f>
        <v>40</v>
      </c>
      <c r="CE580">
        <f>HYPERLINK("http://exon.niaid.nih.gov/transcriptome/Anopheles_sialome/links/cluster-b/anopheline-sialome-cds-pep-larger-orf70-50SimCLTL40.txt", 12)</f>
        <v>12</v>
      </c>
      <c r="CF580">
        <f>HYPERLINK("http://exon.niaid.nih.gov/transcriptome/Anopheles_sialome/links/cluster-b/anopheline-sialome-cds-pep-larger-orf75-50SimCLU40.txt", 40)</f>
        <v>40</v>
      </c>
      <c r="CG580">
        <f>HYPERLINK("http://exon.niaid.nih.gov/transcriptome/Anopheles_sialome/links/cluster-b/anopheline-sialome-cds-pep-larger-orf75-50SimCLTL40.txt", 7)</f>
        <v>7</v>
      </c>
      <c r="CH580">
        <f>HYPERLINK("http://exon.niaid.nih.gov/transcriptome/Anopheles_sialome/links/cluster-b/anopheline-sialome-cds-pep-larger-orf80-50SimCLU48.txt", 48)</f>
        <v>48</v>
      </c>
      <c r="CI580">
        <f>HYPERLINK("http://exon.niaid.nih.gov/transcriptome/Anopheles_sialome/links/cluster-b/anopheline-sialome-cds-pep-larger-orf80-50SimCLTL48.txt", 5)</f>
        <v>5</v>
      </c>
      <c r="CJ580">
        <f>HYPERLINK("http://exon.niaid.nih.gov/transcriptome/Anopheles_sialome/links/cluster-b/anopheline-sialome-cds-pep-larger-orf85-50SimCLU49.txt", 49)</f>
        <v>49</v>
      </c>
      <c r="CK580">
        <f>HYPERLINK("http://exon.niaid.nih.gov/transcriptome/Anopheles_sialome/links/cluster-b/anopheline-sialome-cds-pep-larger-orf85-50SimCLTL49.txt", 5)</f>
        <v>5</v>
      </c>
      <c r="CL580">
        <f>HYPERLINK("http://exon.niaid.nih.gov/transcriptome/Anopheles_sialome/links/cluster-b/anopheline-sialome-cds-pep-larger-orf90-50SimCLU48.txt", 48)</f>
        <v>48</v>
      </c>
      <c r="CM580">
        <f>HYPERLINK("http://exon.niaid.nih.gov/transcriptome/Anopheles_sialome/links/cluster-b/anopheline-sialome-cds-pep-larger-orf90-50SimCLTL48.txt", 5)</f>
        <v>5</v>
      </c>
      <c r="CN580">
        <f>HYPERLINK("http://exon.niaid.nih.gov/transcriptome/Anopheles_sialome/links/cluster-b/anopheline-sialome-cds-pep-larger-orf95-50SimCLU45.txt", 45)</f>
        <v>45</v>
      </c>
      <c r="CO580">
        <f>HYPERLINK("http://exon.niaid.nih.gov/transcriptome/Anopheles_sialome/links/cluster-b/anopheline-sialome-cds-pep-larger-orf95-50SimCLTL45.txt", 5)</f>
        <v>5</v>
      </c>
    </row>
    <row r="581" spans="1:93">
      <c r="A581" s="2" t="str">
        <f>HYPERLINK("http://exon.niaid.nih.gov/transcriptome/Anopheles_sialome/links/cds/anoara_TRIO-cds.txt","anoara_TRIO")</f>
        <v>anoara_TRIO</v>
      </c>
      <c r="B581">
        <v>1176</v>
      </c>
      <c r="C581" t="s">
        <v>496</v>
      </c>
      <c r="D581" t="s">
        <v>7</v>
      </c>
      <c r="E581" t="s">
        <v>5</v>
      </c>
      <c r="F581" t="s">
        <v>1</v>
      </c>
      <c r="G581" t="str">
        <f>HYPERLINK("http://exon.niaid.nih.gov/transcriptome/Anopheles_sialome/links/pep/anoara_TRIO-pep.txt","anoara_TRIO")</f>
        <v>anoara_TRIO</v>
      </c>
      <c r="H581">
        <v>391</v>
      </c>
      <c r="I581">
        <v>1</v>
      </c>
      <c r="J581" s="3" t="str">
        <f>HYPERLINK("http://exon.niaid.nih.gov/transcriptome/Anopheles_sialome/links/Sigp/anoara_TRIO-SigP.txt","SIG")</f>
        <v>SIG</v>
      </c>
      <c r="K581" t="s">
        <v>715</v>
      </c>
      <c r="L581">
        <v>43.853000000000002</v>
      </c>
      <c r="M581">
        <v>6.04</v>
      </c>
      <c r="N581">
        <v>41.381</v>
      </c>
      <c r="O581">
        <v>5.8</v>
      </c>
      <c r="P581" t="s">
        <v>1915</v>
      </c>
      <c r="Q581" s="3">
        <v>0</v>
      </c>
      <c r="R581" t="s">
        <v>128</v>
      </c>
      <c r="S581" t="s">
        <v>128</v>
      </c>
      <c r="T581" t="s">
        <v>128</v>
      </c>
      <c r="U581" t="s">
        <v>128</v>
      </c>
      <c r="V581" t="s">
        <v>128</v>
      </c>
      <c r="W581" s="3" t="str">
        <f>HYPERLINK("http://exon.niaid.nih.gov/transcriptome/Anopheles_sialome/links/netoglyc/anoara_TRIO-netoglyc.txt","1")</f>
        <v>1</v>
      </c>
      <c r="X581">
        <v>11.8</v>
      </c>
      <c r="Y581">
        <v>4.0999999999999996</v>
      </c>
      <c r="Z581">
        <v>5.6</v>
      </c>
      <c r="AA581" t="s">
        <v>654</v>
      </c>
      <c r="AB581" t="s">
        <v>1916</v>
      </c>
      <c r="AC581" s="2" t="str">
        <f>HYPERLINK("http://exon.niaid.nih.gov/transcriptome/Anopheles_sialome/links/DIPTERA/anoara_TRIO-DIPTERA.txt","AGAP001374-PA")</f>
        <v>AGAP001374-PA</v>
      </c>
      <c r="AD581" t="str">
        <f>HYPERLINK("http://www.ncbi.nlm.nih.gov/sutils/blink.cgi?pid=55233973","0.0")</f>
        <v>0.0</v>
      </c>
      <c r="AE581" t="str">
        <f t="shared" si="191"/>
        <v>gi|55233973</v>
      </c>
      <c r="AF581">
        <v>97</v>
      </c>
      <c r="AG581">
        <v>99</v>
      </c>
      <c r="AH581">
        <v>100</v>
      </c>
      <c r="AI581" t="s">
        <v>2285</v>
      </c>
      <c r="AJ581" s="2" t="s">
        <v>128</v>
      </c>
      <c r="AK581" t="s">
        <v>128</v>
      </c>
      <c r="AL581" t="s">
        <v>128</v>
      </c>
      <c r="AM581" t="s">
        <v>128</v>
      </c>
      <c r="AN581" t="s">
        <v>128</v>
      </c>
      <c r="AO581" t="s">
        <v>128</v>
      </c>
      <c r="AP581" t="s">
        <v>128</v>
      </c>
      <c r="AQ581" s="2" t="str">
        <f>HYPERLINK("http://exon.niaid.nih.gov/transcriptome/Anopheles_sialome/links/NR-LIGHT/anoara_TRIO-NR-LIGHT.txt","AGAP001374-PA")</f>
        <v>AGAP001374-PA</v>
      </c>
      <c r="AR581" t="str">
        <f>HYPERLINK("http://www.ncbi.nlm.nih.gov/sutils/blink.cgi?pid=58396245","0.0")</f>
        <v>0.0</v>
      </c>
      <c r="AS581" t="str">
        <f t="shared" si="192"/>
        <v>gi|58396245</v>
      </c>
      <c r="AT581">
        <v>97</v>
      </c>
      <c r="AU581">
        <v>99</v>
      </c>
      <c r="AV581">
        <v>100</v>
      </c>
      <c r="AW581" t="s">
        <v>2285</v>
      </c>
      <c r="AX581" s="2" t="str">
        <f>HYPERLINK("http://exon.niaid.nih.gov/transcriptome/Anopheles_sialome/links/CDD/anoara_TRIO-CDD.txt","P")</f>
        <v>P</v>
      </c>
      <c r="AY581" t="str">
        <f>HYPERLINK("http://www.ncbi.nlm.nih.gov/Structure/cdd/cddsrv.cgi?uid=PHA02535&amp;version=v4.0","0.50")</f>
        <v>0.50</v>
      </c>
      <c r="AZ581" t="s">
        <v>2967</v>
      </c>
      <c r="BA581" s="2" t="str">
        <f>HYPERLINK("http://exon.niaid.nih.gov/transcriptome/Anopheles_sialome/links/KOG/anoara_TRIO-KOG.txt","Coiled-coil protein TPD52")</f>
        <v>Coiled-coil protein TPD52</v>
      </c>
      <c r="BB581" t="str">
        <f>HYPERLINK("http://www.ncbi.nlm.nih.gov/Structure/cdd/cddsrv.cgi?uid=KOG4010","0.79")</f>
        <v>0.79</v>
      </c>
      <c r="BC581" t="s">
        <v>2310</v>
      </c>
      <c r="BD581" t="str">
        <f>HYPERLINK("http://exon.niaid.nih.gov/transcriptome/Anopheles_sialome/links/KOG/anoara_TRIO-KOG.txt","KOG4010")</f>
        <v>KOG4010</v>
      </c>
      <c r="BE581" t="str">
        <f>HYPERLINK("http://exon.niaid.nih.gov/transcriptome/Anopheles_sialome/links/PFAM/anoara_TRIO-PFAM.txt","Anp1")</f>
        <v>Anp1</v>
      </c>
      <c r="BF581" t="str">
        <f>HYPERLINK("http://pfam.sanger.ac.uk/family?acc=PF03452","0.34")</f>
        <v>0.34</v>
      </c>
      <c r="BG581" s="2" t="str">
        <f>HYPERLINK("http://exon.niaid.nih.gov/transcriptome/Anopheles_sialome/links/SMART/anoara_TRIO-SMART.txt","OmpH")</f>
        <v>OmpH</v>
      </c>
      <c r="BH581" t="str">
        <f>HYPERLINK("http://smart.embl-heidelberg.de/smart/do_annotation.pl?DOMAIN=OmpH&amp;BLAST=DUMMY","0.20")</f>
        <v>0.20</v>
      </c>
      <c r="BI581" t="str">
        <f>HYPERLINK("http://exon.niaid.nih.gov/transcriptome/Anopheles_sialome/links/TICK-BLOCKS/anoara_TRIO-TICK-BLOCKS.txt","SG1_full |SG1_stringent_pattern |")</f>
        <v>SG1_full |SG1_stringent_pattern |</v>
      </c>
      <c r="BJ581" s="2" t="s">
        <v>2423</v>
      </c>
      <c r="BK581" t="s">
        <v>1914</v>
      </c>
      <c r="BL581">
        <f>HYPERLINK("http://exon.niaid.nih.gov/transcriptome/Anopheles_sialome/links/cluster-b/anopheline-sialome-cds-pep-larger-orf25-50SimCLU3.txt", 3)</f>
        <v>3</v>
      </c>
      <c r="BM581">
        <f>HYPERLINK("http://exon.niaid.nih.gov/transcriptome/Anopheles_sialome/links/cluster-b/anopheline-sialome-cds-pep-larger-orf25-50SimCLTL3.txt", 119)</f>
        <v>119</v>
      </c>
      <c r="BN581">
        <f>HYPERLINK("http://exon.niaid.nih.gov/transcriptome/Anopheles_sialome/links/cluster-b/anopheline-sialome-cds-pep-larger-orf30-50SimCLU3.txt", 3)</f>
        <v>3</v>
      </c>
      <c r="BO581">
        <f>HYPERLINK("http://exon.niaid.nih.gov/transcriptome/Anopheles_sialome/links/cluster-b/anopheline-sialome-cds-pep-larger-orf30-50SimCLTL3.txt", 119)</f>
        <v>119</v>
      </c>
      <c r="BP581">
        <f>HYPERLINK("http://exon.niaid.nih.gov/transcriptome/Anopheles_sialome/links/cluster-b/anopheline-sialome-cds-pep-larger-orf35-50SimCLU2.txt", 2)</f>
        <v>2</v>
      </c>
      <c r="BQ581">
        <f>HYPERLINK("http://exon.niaid.nih.gov/transcriptome/Anopheles_sialome/links/cluster-b/anopheline-sialome-cds-pep-larger-orf35-50SimCLTL2.txt", 119)</f>
        <v>119</v>
      </c>
      <c r="BR581">
        <f>HYPERLINK("http://exon.niaid.nih.gov/transcriptome/Anopheles_sialome/links/cluster-b/anopheline-sialome-cds-pep-larger-orf40-50SimCLU1.txt", 1)</f>
        <v>1</v>
      </c>
      <c r="BS581">
        <f>HYPERLINK("http://exon.niaid.nih.gov/transcriptome/Anopheles_sialome/links/cluster-b/anopheline-sialome-cds-pep-larger-orf40-50SimCLTL1.txt", 119)</f>
        <v>119</v>
      </c>
      <c r="BT581">
        <f>HYPERLINK("http://exon.niaid.nih.gov/transcriptome/Anopheles_sialome/links/cluster-b/anopheline-sialome-cds-pep-larger-orf45-50SimCLU24.txt", 24)</f>
        <v>24</v>
      </c>
      <c r="BU581">
        <f>HYPERLINK("http://exon.niaid.nih.gov/transcriptome/Anopheles_sialome/links/cluster-b/anopheline-sialome-cds-pep-larger-orf45-50SimCLTL24.txt", 18)</f>
        <v>18</v>
      </c>
      <c r="BV581">
        <f>HYPERLINK("http://exon.niaid.nih.gov/transcriptome/Anopheles_sialome/links/cluster-b/anopheline-sialome-cds-pep-larger-orf50-50SimCLU23.txt", 23)</f>
        <v>23</v>
      </c>
      <c r="BW581">
        <f>HYPERLINK("http://exon.niaid.nih.gov/transcriptome/Anopheles_sialome/links/cluster-b/anopheline-sialome-cds-pep-larger-orf50-50SimCLTL23.txt", 18)</f>
        <v>18</v>
      </c>
      <c r="BX581">
        <f>HYPERLINK("http://exon.niaid.nih.gov/transcriptome/Anopheles_sialome/links/cluster-b/anopheline-sialome-cds-pep-larger-orf55-50SimCLU31.txt", 31)</f>
        <v>31</v>
      </c>
      <c r="BY581">
        <f>HYPERLINK("http://exon.niaid.nih.gov/transcriptome/Anopheles_sialome/links/cluster-b/anopheline-sialome-cds-pep-larger-orf55-50SimCLTL31.txt", 16)</f>
        <v>16</v>
      </c>
      <c r="BZ581">
        <f>HYPERLINK("http://exon.niaid.nih.gov/transcriptome/Anopheles_sialome/links/cluster-b/anopheline-sialome-cds-pep-larger-orf60-50SimCLU34.txt", 34)</f>
        <v>34</v>
      </c>
      <c r="CA581">
        <f>HYPERLINK("http://exon.niaid.nih.gov/transcriptome/Anopheles_sialome/links/cluster-b/anopheline-sialome-cds-pep-larger-orf60-50SimCLTL34.txt", 12)</f>
        <v>12</v>
      </c>
      <c r="CB581">
        <f>HYPERLINK("http://exon.niaid.nih.gov/transcriptome/Anopheles_sialome/links/cluster-b/anopheline-sialome-cds-pep-larger-orf65-50SimCLU38.txt", 38)</f>
        <v>38</v>
      </c>
      <c r="CC581">
        <f>HYPERLINK("http://exon.niaid.nih.gov/transcriptome/Anopheles_sialome/links/cluster-b/anopheline-sialome-cds-pep-larger-orf65-50SimCLTL38.txt", 12)</f>
        <v>12</v>
      </c>
      <c r="CD581">
        <f>HYPERLINK("http://exon.niaid.nih.gov/transcriptome/Anopheles_sialome/links/cluster-b/anopheline-sialome-cds-pep-larger-orf70-50SimCLU40.txt", 40)</f>
        <v>40</v>
      </c>
      <c r="CE581">
        <f>HYPERLINK("http://exon.niaid.nih.gov/transcriptome/Anopheles_sialome/links/cluster-b/anopheline-sialome-cds-pep-larger-orf70-50SimCLTL40.txt", 12)</f>
        <v>12</v>
      </c>
      <c r="CF581">
        <f>HYPERLINK("http://exon.niaid.nih.gov/transcriptome/Anopheles_sialome/links/cluster-b/anopheline-sialome-cds-pep-larger-orf75-50SimCLU40.txt", 40)</f>
        <v>40</v>
      </c>
      <c r="CG581">
        <f>HYPERLINK("http://exon.niaid.nih.gov/transcriptome/Anopheles_sialome/links/cluster-b/anopheline-sialome-cds-pep-larger-orf75-50SimCLTL40.txt", 7)</f>
        <v>7</v>
      </c>
      <c r="CH581">
        <f>HYPERLINK("http://exon.niaid.nih.gov/transcriptome/Anopheles_sialome/links/cluster-b/anopheline-sialome-cds-pep-larger-orf80-50SimCLU48.txt", 48)</f>
        <v>48</v>
      </c>
      <c r="CI581">
        <f>HYPERLINK("http://exon.niaid.nih.gov/transcriptome/Anopheles_sialome/links/cluster-b/anopheline-sialome-cds-pep-larger-orf80-50SimCLTL48.txt", 5)</f>
        <v>5</v>
      </c>
      <c r="CJ581">
        <f>HYPERLINK("http://exon.niaid.nih.gov/transcriptome/Anopheles_sialome/links/cluster-b/anopheline-sialome-cds-pep-larger-orf85-50SimCLU49.txt", 49)</f>
        <v>49</v>
      </c>
      <c r="CK581">
        <f>HYPERLINK("http://exon.niaid.nih.gov/transcriptome/Anopheles_sialome/links/cluster-b/anopheline-sialome-cds-pep-larger-orf85-50SimCLTL49.txt", 5)</f>
        <v>5</v>
      </c>
      <c r="CL581">
        <f>HYPERLINK("http://exon.niaid.nih.gov/transcriptome/Anopheles_sialome/links/cluster-b/anopheline-sialome-cds-pep-larger-orf90-50SimCLU48.txt", 48)</f>
        <v>48</v>
      </c>
      <c r="CM581">
        <f>HYPERLINK("http://exon.niaid.nih.gov/transcriptome/Anopheles_sialome/links/cluster-b/anopheline-sialome-cds-pep-larger-orf90-50SimCLTL48.txt", 5)</f>
        <v>5</v>
      </c>
      <c r="CN581">
        <f>HYPERLINK("http://exon.niaid.nih.gov/transcriptome/Anopheles_sialome/links/cluster-b/anopheline-sialome-cds-pep-larger-orf95-50SimCLU45.txt", 45)</f>
        <v>45</v>
      </c>
      <c r="CO581">
        <f>HYPERLINK("http://exon.niaid.nih.gov/transcriptome/Anopheles_sialome/links/cluster-b/anopheline-sialome-cds-pep-larger-orf95-50SimCLTL45.txt", 5)</f>
        <v>5</v>
      </c>
    </row>
    <row r="582" spans="1:93">
      <c r="A582" s="2" t="str">
        <f>HYPERLINK("http://exon.niaid.nih.gov/transcriptome/Anopheles_sialome/links/cds/anoqua_TRIO-cds.txt","anoqua_TRIO")</f>
        <v>anoqua_TRIO</v>
      </c>
      <c r="B582">
        <v>1176</v>
      </c>
      <c r="C582" t="s">
        <v>497</v>
      </c>
      <c r="D582" t="s">
        <v>7</v>
      </c>
      <c r="E582" t="s">
        <v>5</v>
      </c>
      <c r="F582" t="s">
        <v>1</v>
      </c>
      <c r="G582" t="str">
        <f>HYPERLINK("http://exon.niaid.nih.gov/transcriptome/Anopheles_sialome/links/pep/anoqua_TRIO-pep.txt","anoqua_TRIO")</f>
        <v>anoqua_TRIO</v>
      </c>
      <c r="H582">
        <v>391</v>
      </c>
      <c r="I582">
        <v>1</v>
      </c>
      <c r="J582" s="3" t="str">
        <f>HYPERLINK("http://exon.niaid.nih.gov/transcriptome/Anopheles_sialome/links/Sigp/anoqua_TRIO-SigP.txt","SIG")</f>
        <v>SIG</v>
      </c>
      <c r="K582" t="s">
        <v>715</v>
      </c>
      <c r="L582">
        <v>43.881999999999998</v>
      </c>
      <c r="M582">
        <v>5.88</v>
      </c>
      <c r="N582">
        <v>41.41</v>
      </c>
      <c r="O582">
        <v>5.66</v>
      </c>
      <c r="P582" t="s">
        <v>1915</v>
      </c>
      <c r="Q582" s="3">
        <v>0</v>
      </c>
      <c r="R582" t="s">
        <v>128</v>
      </c>
      <c r="S582" t="s">
        <v>128</v>
      </c>
      <c r="T582" t="s">
        <v>128</v>
      </c>
      <c r="U582" t="s">
        <v>128</v>
      </c>
      <c r="V582" t="s">
        <v>128</v>
      </c>
      <c r="W582" s="3" t="str">
        <f>HYPERLINK("http://exon.niaid.nih.gov/transcriptome/Anopheles_sialome/links/netoglyc/anoqua_TRIO-netoglyc.txt","2")</f>
        <v>2</v>
      </c>
      <c r="X582">
        <v>11.8</v>
      </c>
      <c r="Y582">
        <v>4.0999999999999996</v>
      </c>
      <c r="Z582">
        <v>5.6</v>
      </c>
      <c r="AA582" t="s">
        <v>654</v>
      </c>
      <c r="AB582" t="s">
        <v>128</v>
      </c>
      <c r="AC582" s="2" t="str">
        <f>HYPERLINK("http://exon.niaid.nih.gov/transcriptome/Anopheles_sialome/links/DIPTERA/anoqua_TRIO-DIPTERA.txt","AGAP001374-PA")</f>
        <v>AGAP001374-PA</v>
      </c>
      <c r="AD582" t="str">
        <f>HYPERLINK("http://www.ncbi.nlm.nih.gov/sutils/blink.cgi?pid=55233973","0.0")</f>
        <v>0.0</v>
      </c>
      <c r="AE582" t="str">
        <f t="shared" si="191"/>
        <v>gi|55233973</v>
      </c>
      <c r="AF582">
        <v>98</v>
      </c>
      <c r="AG582">
        <v>99</v>
      </c>
      <c r="AH582">
        <v>100</v>
      </c>
      <c r="AI582" t="s">
        <v>2285</v>
      </c>
      <c r="AJ582" s="2" t="s">
        <v>128</v>
      </c>
      <c r="AK582" t="s">
        <v>128</v>
      </c>
      <c r="AL582" t="s">
        <v>128</v>
      </c>
      <c r="AM582" t="s">
        <v>128</v>
      </c>
      <c r="AN582" t="s">
        <v>128</v>
      </c>
      <c r="AO582" t="s">
        <v>128</v>
      </c>
      <c r="AP582" t="s">
        <v>128</v>
      </c>
      <c r="AQ582" s="2" t="str">
        <f>HYPERLINK("http://exon.niaid.nih.gov/transcriptome/Anopheles_sialome/links/NR-LIGHT/anoqua_TRIO-NR-LIGHT.txt","AGAP001374-PA")</f>
        <v>AGAP001374-PA</v>
      </c>
      <c r="AR582" t="str">
        <f>HYPERLINK("http://www.ncbi.nlm.nih.gov/sutils/blink.cgi?pid=58396245","0.0")</f>
        <v>0.0</v>
      </c>
      <c r="AS582" t="str">
        <f t="shared" si="192"/>
        <v>gi|58396245</v>
      </c>
      <c r="AT582">
        <v>98</v>
      </c>
      <c r="AU582">
        <v>99</v>
      </c>
      <c r="AV582">
        <v>100</v>
      </c>
      <c r="AW582" t="s">
        <v>2285</v>
      </c>
      <c r="AX582" s="2" t="str">
        <f>HYPERLINK("http://exon.niaid.nih.gov/transcriptome/Anopheles_sialome/links/CDD/anoqua_TRIO-CDD.txt","P")</f>
        <v>P</v>
      </c>
      <c r="AY582" t="str">
        <f>HYPERLINK("http://www.ncbi.nlm.nih.gov/Structure/cdd/cddsrv.cgi?uid=PHA02535&amp;version=v4.0","0.48")</f>
        <v>0.48</v>
      </c>
      <c r="AZ582" t="s">
        <v>2968</v>
      </c>
      <c r="BA582" s="2" t="str">
        <f>HYPERLINK("http://exon.niaid.nih.gov/transcriptome/Anopheles_sialome/links/KOG/anoqua_TRIO-KOG.txt","Coiled-coil protein TPD52")</f>
        <v>Coiled-coil protein TPD52</v>
      </c>
      <c r="BB582" t="str">
        <f>HYPERLINK("http://www.ncbi.nlm.nih.gov/Structure/cdd/cddsrv.cgi?uid=KOG4010","1.7")</f>
        <v>1.7</v>
      </c>
      <c r="BC582" t="s">
        <v>2310</v>
      </c>
      <c r="BD582" t="str">
        <f>HYPERLINK("http://exon.niaid.nih.gov/transcriptome/Anopheles_sialome/links/KOG/anoqua_TRIO-KOG.txt","KOG4010")</f>
        <v>KOG4010</v>
      </c>
      <c r="BE582" t="str">
        <f>HYPERLINK("http://exon.niaid.nih.gov/transcriptome/Anopheles_sialome/links/PFAM/anoqua_TRIO-PFAM.txt","Anp1")</f>
        <v>Anp1</v>
      </c>
      <c r="BF582" t="str">
        <f>HYPERLINK("http://pfam.sanger.ac.uk/family?acc=PF03452","0.42")</f>
        <v>0.42</v>
      </c>
      <c r="BG582" s="2" t="str">
        <f>HYPERLINK("http://exon.niaid.nih.gov/transcriptome/Anopheles_sialome/links/SMART/anoqua_TRIO-SMART.txt","OmpH")</f>
        <v>OmpH</v>
      </c>
      <c r="BH582" t="str">
        <f>HYPERLINK("http://smart.embl-heidelberg.de/smart/do_annotation.pl?DOMAIN=OmpH&amp;BLAST=DUMMY","0.51")</f>
        <v>0.51</v>
      </c>
      <c r="BI582" t="str">
        <f>HYPERLINK("http://exon.niaid.nih.gov/transcriptome/Anopheles_sialome/links/TICK-BLOCKS/anoqua_TRIO-TICK-BLOCKS.txt","SG1_full |SG1_stringent_pattern |")</f>
        <v>SG1_full |SG1_stringent_pattern |</v>
      </c>
      <c r="BJ582" s="2" t="s">
        <v>2423</v>
      </c>
      <c r="BK582" t="s">
        <v>1917</v>
      </c>
      <c r="BL582">
        <f>HYPERLINK("http://exon.niaid.nih.gov/transcriptome/Anopheles_sialome/links/cluster-b/anopheline-sialome-cds-pep-larger-orf25-50SimCLU3.txt", 3)</f>
        <v>3</v>
      </c>
      <c r="BM582">
        <f>HYPERLINK("http://exon.niaid.nih.gov/transcriptome/Anopheles_sialome/links/cluster-b/anopheline-sialome-cds-pep-larger-orf25-50SimCLTL3.txt", 119)</f>
        <v>119</v>
      </c>
      <c r="BN582">
        <f>HYPERLINK("http://exon.niaid.nih.gov/transcriptome/Anopheles_sialome/links/cluster-b/anopheline-sialome-cds-pep-larger-orf30-50SimCLU3.txt", 3)</f>
        <v>3</v>
      </c>
      <c r="BO582">
        <f>HYPERLINK("http://exon.niaid.nih.gov/transcriptome/Anopheles_sialome/links/cluster-b/anopheline-sialome-cds-pep-larger-orf30-50SimCLTL3.txt", 119)</f>
        <v>119</v>
      </c>
      <c r="BP582">
        <f>HYPERLINK("http://exon.niaid.nih.gov/transcriptome/Anopheles_sialome/links/cluster-b/anopheline-sialome-cds-pep-larger-orf35-50SimCLU2.txt", 2)</f>
        <v>2</v>
      </c>
      <c r="BQ582">
        <f>HYPERLINK("http://exon.niaid.nih.gov/transcriptome/Anopheles_sialome/links/cluster-b/anopheline-sialome-cds-pep-larger-orf35-50SimCLTL2.txt", 119)</f>
        <v>119</v>
      </c>
      <c r="BR582">
        <f>HYPERLINK("http://exon.niaid.nih.gov/transcriptome/Anopheles_sialome/links/cluster-b/anopheline-sialome-cds-pep-larger-orf40-50SimCLU1.txt", 1)</f>
        <v>1</v>
      </c>
      <c r="BS582">
        <f>HYPERLINK("http://exon.niaid.nih.gov/transcriptome/Anopheles_sialome/links/cluster-b/anopheline-sialome-cds-pep-larger-orf40-50SimCLTL1.txt", 119)</f>
        <v>119</v>
      </c>
      <c r="BT582">
        <f>HYPERLINK("http://exon.niaid.nih.gov/transcriptome/Anopheles_sialome/links/cluster-b/anopheline-sialome-cds-pep-larger-orf45-50SimCLU24.txt", 24)</f>
        <v>24</v>
      </c>
      <c r="BU582">
        <f>HYPERLINK("http://exon.niaid.nih.gov/transcriptome/Anopheles_sialome/links/cluster-b/anopheline-sialome-cds-pep-larger-orf45-50SimCLTL24.txt", 18)</f>
        <v>18</v>
      </c>
      <c r="BV582">
        <f>HYPERLINK("http://exon.niaid.nih.gov/transcriptome/Anopheles_sialome/links/cluster-b/anopheline-sialome-cds-pep-larger-orf50-50SimCLU23.txt", 23)</f>
        <v>23</v>
      </c>
      <c r="BW582">
        <f>HYPERLINK("http://exon.niaid.nih.gov/transcriptome/Anopheles_sialome/links/cluster-b/anopheline-sialome-cds-pep-larger-orf50-50SimCLTL23.txt", 18)</f>
        <v>18</v>
      </c>
      <c r="BX582">
        <f>HYPERLINK("http://exon.niaid.nih.gov/transcriptome/Anopheles_sialome/links/cluster-b/anopheline-sialome-cds-pep-larger-orf55-50SimCLU31.txt", 31)</f>
        <v>31</v>
      </c>
      <c r="BY582">
        <f>HYPERLINK("http://exon.niaid.nih.gov/transcriptome/Anopheles_sialome/links/cluster-b/anopheline-sialome-cds-pep-larger-orf55-50SimCLTL31.txt", 16)</f>
        <v>16</v>
      </c>
      <c r="BZ582">
        <f>HYPERLINK("http://exon.niaid.nih.gov/transcriptome/Anopheles_sialome/links/cluster-b/anopheline-sialome-cds-pep-larger-orf60-50SimCLU34.txt", 34)</f>
        <v>34</v>
      </c>
      <c r="CA582">
        <f>HYPERLINK("http://exon.niaid.nih.gov/transcriptome/Anopheles_sialome/links/cluster-b/anopheline-sialome-cds-pep-larger-orf60-50SimCLTL34.txt", 12)</f>
        <v>12</v>
      </c>
      <c r="CB582">
        <f>HYPERLINK("http://exon.niaid.nih.gov/transcriptome/Anopheles_sialome/links/cluster-b/anopheline-sialome-cds-pep-larger-orf65-50SimCLU38.txt", 38)</f>
        <v>38</v>
      </c>
      <c r="CC582">
        <f>HYPERLINK("http://exon.niaid.nih.gov/transcriptome/Anopheles_sialome/links/cluster-b/anopheline-sialome-cds-pep-larger-orf65-50SimCLTL38.txt", 12)</f>
        <v>12</v>
      </c>
      <c r="CD582">
        <f>HYPERLINK("http://exon.niaid.nih.gov/transcriptome/Anopheles_sialome/links/cluster-b/anopheline-sialome-cds-pep-larger-orf70-50SimCLU40.txt", 40)</f>
        <v>40</v>
      </c>
      <c r="CE582">
        <f>HYPERLINK("http://exon.niaid.nih.gov/transcriptome/Anopheles_sialome/links/cluster-b/anopheline-sialome-cds-pep-larger-orf70-50SimCLTL40.txt", 12)</f>
        <v>12</v>
      </c>
      <c r="CF582">
        <f>HYPERLINK("http://exon.niaid.nih.gov/transcriptome/Anopheles_sialome/links/cluster-b/anopheline-sialome-cds-pep-larger-orf75-50SimCLU40.txt", 40)</f>
        <v>40</v>
      </c>
      <c r="CG582">
        <f>HYPERLINK("http://exon.niaid.nih.gov/transcriptome/Anopheles_sialome/links/cluster-b/anopheline-sialome-cds-pep-larger-orf75-50SimCLTL40.txt", 7)</f>
        <v>7</v>
      </c>
      <c r="CH582">
        <f>HYPERLINK("http://exon.niaid.nih.gov/transcriptome/Anopheles_sialome/links/cluster-b/anopheline-sialome-cds-pep-larger-orf80-50SimCLU48.txt", 48)</f>
        <v>48</v>
      </c>
      <c r="CI582">
        <f>HYPERLINK("http://exon.niaid.nih.gov/transcriptome/Anopheles_sialome/links/cluster-b/anopheline-sialome-cds-pep-larger-orf80-50SimCLTL48.txt", 5)</f>
        <v>5</v>
      </c>
      <c r="CJ582">
        <f>HYPERLINK("http://exon.niaid.nih.gov/transcriptome/Anopheles_sialome/links/cluster-b/anopheline-sialome-cds-pep-larger-orf85-50SimCLU49.txt", 49)</f>
        <v>49</v>
      </c>
      <c r="CK582">
        <f>HYPERLINK("http://exon.niaid.nih.gov/transcriptome/Anopheles_sialome/links/cluster-b/anopheline-sialome-cds-pep-larger-orf85-50SimCLTL49.txt", 5)</f>
        <v>5</v>
      </c>
      <c r="CL582">
        <f>HYPERLINK("http://exon.niaid.nih.gov/transcriptome/Anopheles_sialome/links/cluster-b/anopheline-sialome-cds-pep-larger-orf90-50SimCLU48.txt", 48)</f>
        <v>48</v>
      </c>
      <c r="CM582">
        <f>HYPERLINK("http://exon.niaid.nih.gov/transcriptome/Anopheles_sialome/links/cluster-b/anopheline-sialome-cds-pep-larger-orf90-50SimCLTL48.txt", 5)</f>
        <v>5</v>
      </c>
      <c r="CN582">
        <f>HYPERLINK("http://exon.niaid.nih.gov/transcriptome/Anopheles_sialome/links/cluster-b/anopheline-sialome-cds-pep-larger-orf95-50SimCLU45.txt", 45)</f>
        <v>45</v>
      </c>
      <c r="CO582">
        <f>HYPERLINK("http://exon.niaid.nih.gov/transcriptome/Anopheles_sialome/links/cluster-b/anopheline-sialome-cds-pep-larger-orf95-50SimCLTL45.txt", 5)</f>
        <v>5</v>
      </c>
    </row>
    <row r="583" spans="1:93">
      <c r="A583" s="2" t="str">
        <f>HYPERLINK("http://exon.niaid.nih.gov/transcriptome/Anopheles_sialome/links/cds/anomer_TRIO-cds.txt","anomer_TRIO")</f>
        <v>anomer_TRIO</v>
      </c>
      <c r="B583">
        <v>1176</v>
      </c>
      <c r="C583" t="s">
        <v>4</v>
      </c>
      <c r="D583" s="8" t="s">
        <v>3178</v>
      </c>
      <c r="E583" t="s">
        <v>5</v>
      </c>
      <c r="F583" t="s">
        <v>1</v>
      </c>
      <c r="G583" t="str">
        <f>HYPERLINK("http://exon.niaid.nih.gov/transcriptome/Anopheles_sialome/links/pep/anomer_TRIO-pep.txt","anomer_TRIO")</f>
        <v>anomer_TRIO</v>
      </c>
      <c r="H583">
        <v>391</v>
      </c>
      <c r="I583">
        <v>1</v>
      </c>
      <c r="J583" s="3" t="str">
        <f>HYPERLINK("http://exon.niaid.nih.gov/transcriptome/Anopheles_sialome/links/Sigp/anomer_TRIO-SigP.txt","SIG")</f>
        <v>SIG</v>
      </c>
      <c r="K583" t="s">
        <v>715</v>
      </c>
      <c r="L583">
        <v>43.722999999999999</v>
      </c>
      <c r="M583">
        <v>6.04</v>
      </c>
      <c r="N583">
        <v>41.250999999999998</v>
      </c>
      <c r="O583">
        <v>5.8</v>
      </c>
      <c r="P583" t="s">
        <v>1915</v>
      </c>
      <c r="Q583" s="3">
        <v>0</v>
      </c>
      <c r="R583" t="s">
        <v>128</v>
      </c>
      <c r="S583" t="s">
        <v>128</v>
      </c>
      <c r="T583" t="s">
        <v>128</v>
      </c>
      <c r="U583" t="s">
        <v>128</v>
      </c>
      <c r="V583" t="s">
        <v>128</v>
      </c>
      <c r="W583" s="3" t="str">
        <f>HYPERLINK("http://exon.niaid.nih.gov/transcriptome/Anopheles_sialome/links/netoglyc/anomer_TRIO-netoglyc.txt","1")</f>
        <v>1</v>
      </c>
      <c r="X583">
        <v>11.3</v>
      </c>
      <c r="Y583">
        <v>4.0999999999999996</v>
      </c>
      <c r="Z583">
        <v>5.6</v>
      </c>
      <c r="AA583" t="s">
        <v>654</v>
      </c>
      <c r="AB583" t="s">
        <v>1919</v>
      </c>
      <c r="AC583" s="2" t="str">
        <f>HYPERLINK("http://exon.niaid.nih.gov/transcriptome/Anopheles_sialome/links/DIPTERA/anomer_TRIO-DIPTERA.txt","AGAP001374-PA")</f>
        <v>AGAP001374-PA</v>
      </c>
      <c r="AD583" t="str">
        <f>HYPERLINK("http://www.ncbi.nlm.nih.gov/sutils/blink.cgi?pid=55233973","0.0")</f>
        <v>0.0</v>
      </c>
      <c r="AE583" t="str">
        <f t="shared" si="191"/>
        <v>gi|55233973</v>
      </c>
      <c r="AF583">
        <v>96</v>
      </c>
      <c r="AG583">
        <v>98</v>
      </c>
      <c r="AH583">
        <v>100</v>
      </c>
      <c r="AI583" t="s">
        <v>2285</v>
      </c>
      <c r="AJ583" s="2" t="s">
        <v>128</v>
      </c>
      <c r="AK583" t="s">
        <v>128</v>
      </c>
      <c r="AL583" t="s">
        <v>128</v>
      </c>
      <c r="AM583" t="s">
        <v>128</v>
      </c>
      <c r="AN583" t="s">
        <v>128</v>
      </c>
      <c r="AO583" t="s">
        <v>128</v>
      </c>
      <c r="AP583" t="s">
        <v>128</v>
      </c>
      <c r="AQ583" s="2" t="str">
        <f>HYPERLINK("http://exon.niaid.nih.gov/transcriptome/Anopheles_sialome/links/NR-LIGHT/anomer_TRIO-NR-LIGHT.txt","AGAP001374-PA")</f>
        <v>AGAP001374-PA</v>
      </c>
      <c r="AR583" t="str">
        <f>HYPERLINK("http://www.ncbi.nlm.nih.gov/sutils/blink.cgi?pid=58396245","0.0")</f>
        <v>0.0</v>
      </c>
      <c r="AS583" t="str">
        <f t="shared" si="192"/>
        <v>gi|58396245</v>
      </c>
      <c r="AT583">
        <v>96</v>
      </c>
      <c r="AU583">
        <v>98</v>
      </c>
      <c r="AV583">
        <v>100</v>
      </c>
      <c r="AW583" t="s">
        <v>2285</v>
      </c>
      <c r="AX583" s="2" t="str">
        <f>HYPERLINK("http://exon.niaid.nih.gov/transcriptome/Anopheles_sialome/links/CDD/anomer_TRIO-CDD.txt","P")</f>
        <v>P</v>
      </c>
      <c r="AY583" t="str">
        <f>HYPERLINK("http://www.ncbi.nlm.nih.gov/Structure/cdd/cddsrv.cgi?uid=PHA02535&amp;version=v4.0","0.068")</f>
        <v>0.068</v>
      </c>
      <c r="AZ583" t="s">
        <v>2969</v>
      </c>
      <c r="BA583" s="2" t="str">
        <f>HYPERLINK("http://exon.niaid.nih.gov/transcriptome/Anopheles_sialome/links/KOG/anomer_TRIO-KOG.txt","Translation initiation factor 1 (eIF-1/SUI1)")</f>
        <v>Translation initiation factor 1 (eIF-1/SUI1)</v>
      </c>
      <c r="BB583" t="str">
        <f>HYPERLINK("http://www.ncbi.nlm.nih.gov/Structure/cdd/cddsrv.cgi?uid=KOG1770","1.4")</f>
        <v>1.4</v>
      </c>
      <c r="BC583" t="s">
        <v>2260</v>
      </c>
      <c r="BD583" t="str">
        <f>HYPERLINK("http://exon.niaid.nih.gov/transcriptome/Anopheles_sialome/links/KOG/anomer_TRIO-KOG.txt","KOG1770")</f>
        <v>KOG1770</v>
      </c>
      <c r="BE583" t="str">
        <f>HYPERLINK("http://exon.niaid.nih.gov/transcriptome/Anopheles_sialome/links/PFAM/anomer_TRIO-PFAM.txt","Spore_YhcN_YlaJ")</f>
        <v>Spore_YhcN_YlaJ</v>
      </c>
      <c r="BF583" t="str">
        <f>HYPERLINK("http://pfam.sanger.ac.uk/family?acc=PF09580","0.83")</f>
        <v>0.83</v>
      </c>
      <c r="BG583" s="2" t="str">
        <f>HYPERLINK("http://exon.niaid.nih.gov/transcriptome/Anopheles_sialome/links/SMART/anomer_TRIO-SMART.txt","OmpH")</f>
        <v>OmpH</v>
      </c>
      <c r="BH583" t="str">
        <f>HYPERLINK("http://smart.embl-heidelberg.de/smart/do_annotation.pl?DOMAIN=OmpH&amp;BLAST=DUMMY","0.049")</f>
        <v>0.049</v>
      </c>
      <c r="BI583" t="str">
        <f>HYPERLINK("http://exon.niaid.nih.gov/transcriptome/Anopheles_sialome/links/TICK-BLOCKS/anomer_TRIO-TICK-BLOCKS.txt","SG1_full |SG1_stringent_pattern |")</f>
        <v>SG1_full |SG1_stringent_pattern |</v>
      </c>
      <c r="BJ583" s="2" t="s">
        <v>2423</v>
      </c>
      <c r="BK583" t="s">
        <v>1918</v>
      </c>
      <c r="BL583">
        <f>HYPERLINK("http://exon.niaid.nih.gov/transcriptome/Anopheles_sialome/links/cluster-b/anopheline-sialome-cds-pep-larger-orf25-50SimCLU3.txt", 3)</f>
        <v>3</v>
      </c>
      <c r="BM583">
        <f>HYPERLINK("http://exon.niaid.nih.gov/transcriptome/Anopheles_sialome/links/cluster-b/anopheline-sialome-cds-pep-larger-orf25-50SimCLTL3.txt", 119)</f>
        <v>119</v>
      </c>
      <c r="BN583">
        <f>HYPERLINK("http://exon.niaid.nih.gov/transcriptome/Anopheles_sialome/links/cluster-b/anopheline-sialome-cds-pep-larger-orf30-50SimCLU3.txt", 3)</f>
        <v>3</v>
      </c>
      <c r="BO583">
        <f>HYPERLINK("http://exon.niaid.nih.gov/transcriptome/Anopheles_sialome/links/cluster-b/anopheline-sialome-cds-pep-larger-orf30-50SimCLTL3.txt", 119)</f>
        <v>119</v>
      </c>
      <c r="BP583">
        <f>HYPERLINK("http://exon.niaid.nih.gov/transcriptome/Anopheles_sialome/links/cluster-b/anopheline-sialome-cds-pep-larger-orf35-50SimCLU2.txt", 2)</f>
        <v>2</v>
      </c>
      <c r="BQ583">
        <f>HYPERLINK("http://exon.niaid.nih.gov/transcriptome/Anopheles_sialome/links/cluster-b/anopheline-sialome-cds-pep-larger-orf35-50SimCLTL2.txt", 119)</f>
        <v>119</v>
      </c>
      <c r="BR583">
        <f>HYPERLINK("http://exon.niaid.nih.gov/transcriptome/Anopheles_sialome/links/cluster-b/anopheline-sialome-cds-pep-larger-orf40-50SimCLU1.txt", 1)</f>
        <v>1</v>
      </c>
      <c r="BS583">
        <f>HYPERLINK("http://exon.niaid.nih.gov/transcriptome/Anopheles_sialome/links/cluster-b/anopheline-sialome-cds-pep-larger-orf40-50SimCLTL1.txt", 119)</f>
        <v>119</v>
      </c>
      <c r="BT583">
        <f>HYPERLINK("http://exon.niaid.nih.gov/transcriptome/Anopheles_sialome/links/cluster-b/anopheline-sialome-cds-pep-larger-orf45-50SimCLU24.txt", 24)</f>
        <v>24</v>
      </c>
      <c r="BU583">
        <f>HYPERLINK("http://exon.niaid.nih.gov/transcriptome/Anopheles_sialome/links/cluster-b/anopheline-sialome-cds-pep-larger-orf45-50SimCLTL24.txt", 18)</f>
        <v>18</v>
      </c>
      <c r="BV583">
        <f>HYPERLINK("http://exon.niaid.nih.gov/transcriptome/Anopheles_sialome/links/cluster-b/anopheline-sialome-cds-pep-larger-orf50-50SimCLU23.txt", 23)</f>
        <v>23</v>
      </c>
      <c r="BW583">
        <f>HYPERLINK("http://exon.niaid.nih.gov/transcriptome/Anopheles_sialome/links/cluster-b/anopheline-sialome-cds-pep-larger-orf50-50SimCLTL23.txt", 18)</f>
        <v>18</v>
      </c>
      <c r="BX583">
        <f>HYPERLINK("http://exon.niaid.nih.gov/transcriptome/Anopheles_sialome/links/cluster-b/anopheline-sialome-cds-pep-larger-orf55-50SimCLU31.txt", 31)</f>
        <v>31</v>
      </c>
      <c r="BY583">
        <f>HYPERLINK("http://exon.niaid.nih.gov/transcriptome/Anopheles_sialome/links/cluster-b/anopheline-sialome-cds-pep-larger-orf55-50SimCLTL31.txt", 16)</f>
        <v>16</v>
      </c>
      <c r="BZ583">
        <f>HYPERLINK("http://exon.niaid.nih.gov/transcriptome/Anopheles_sialome/links/cluster-b/anopheline-sialome-cds-pep-larger-orf60-50SimCLU34.txt", 34)</f>
        <v>34</v>
      </c>
      <c r="CA583">
        <f>HYPERLINK("http://exon.niaid.nih.gov/transcriptome/Anopheles_sialome/links/cluster-b/anopheline-sialome-cds-pep-larger-orf60-50SimCLTL34.txt", 12)</f>
        <v>12</v>
      </c>
      <c r="CB583">
        <f>HYPERLINK("http://exon.niaid.nih.gov/transcriptome/Anopheles_sialome/links/cluster-b/anopheline-sialome-cds-pep-larger-orf65-50SimCLU38.txt", 38)</f>
        <v>38</v>
      </c>
      <c r="CC583">
        <f>HYPERLINK("http://exon.niaid.nih.gov/transcriptome/Anopheles_sialome/links/cluster-b/anopheline-sialome-cds-pep-larger-orf65-50SimCLTL38.txt", 12)</f>
        <v>12</v>
      </c>
      <c r="CD583">
        <f>HYPERLINK("http://exon.niaid.nih.gov/transcriptome/Anopheles_sialome/links/cluster-b/anopheline-sialome-cds-pep-larger-orf70-50SimCLU40.txt", 40)</f>
        <v>40</v>
      </c>
      <c r="CE583">
        <f>HYPERLINK("http://exon.niaid.nih.gov/transcriptome/Anopheles_sialome/links/cluster-b/anopheline-sialome-cds-pep-larger-orf70-50SimCLTL40.txt", 12)</f>
        <v>12</v>
      </c>
      <c r="CF583">
        <f>HYPERLINK("http://exon.niaid.nih.gov/transcriptome/Anopheles_sialome/links/cluster-b/anopheline-sialome-cds-pep-larger-orf75-50SimCLU40.txt", 40)</f>
        <v>40</v>
      </c>
      <c r="CG583">
        <f>HYPERLINK("http://exon.niaid.nih.gov/transcriptome/Anopheles_sialome/links/cluster-b/anopheline-sialome-cds-pep-larger-orf75-50SimCLTL40.txt", 7)</f>
        <v>7</v>
      </c>
      <c r="CH583">
        <f>HYPERLINK("http://exon.niaid.nih.gov/transcriptome/Anopheles_sialome/links/cluster-b/anopheline-sialome-cds-pep-larger-orf80-50SimCLU48.txt", 48)</f>
        <v>48</v>
      </c>
      <c r="CI583">
        <f>HYPERLINK("http://exon.niaid.nih.gov/transcriptome/Anopheles_sialome/links/cluster-b/anopheline-sialome-cds-pep-larger-orf80-50SimCLTL48.txt", 5)</f>
        <v>5</v>
      </c>
      <c r="CJ583">
        <f>HYPERLINK("http://exon.niaid.nih.gov/transcriptome/Anopheles_sialome/links/cluster-b/anopheline-sialome-cds-pep-larger-orf85-50SimCLU49.txt", 49)</f>
        <v>49</v>
      </c>
      <c r="CK583">
        <f>HYPERLINK("http://exon.niaid.nih.gov/transcriptome/Anopheles_sialome/links/cluster-b/anopheline-sialome-cds-pep-larger-orf85-50SimCLTL49.txt", 5)</f>
        <v>5</v>
      </c>
      <c r="CL583">
        <f>HYPERLINK("http://exon.niaid.nih.gov/transcriptome/Anopheles_sialome/links/cluster-b/anopheline-sialome-cds-pep-larger-orf90-50SimCLU48.txt", 48)</f>
        <v>48</v>
      </c>
      <c r="CM583">
        <f>HYPERLINK("http://exon.niaid.nih.gov/transcriptome/Anopheles_sialome/links/cluster-b/anopheline-sialome-cds-pep-larger-orf90-50SimCLTL48.txt", 5)</f>
        <v>5</v>
      </c>
      <c r="CN583">
        <f>HYPERLINK("http://exon.niaid.nih.gov/transcriptome/Anopheles_sialome/links/cluster-b/anopheline-sialome-cds-pep-larger-orf95-50SimCLU45.txt", 45)</f>
        <v>45</v>
      </c>
      <c r="CO583">
        <f>HYPERLINK("http://exon.niaid.nih.gov/transcriptome/Anopheles_sialome/links/cluster-b/anopheline-sialome-cds-pep-larger-orf95-50SimCLTL45.txt", 5)</f>
        <v>5</v>
      </c>
    </row>
    <row r="584" spans="1:93">
      <c r="A584" s="2" t="str">
        <f>HYPERLINK("http://exon.niaid.nih.gov/transcriptome/Anopheles_sialome/links/cds/anomel_TRIO-cds.txt","anomel_TRIO")</f>
        <v>anomel_TRIO</v>
      </c>
      <c r="B584">
        <v>1176</v>
      </c>
      <c r="C584" t="s">
        <v>498</v>
      </c>
      <c r="D584" t="s">
        <v>4</v>
      </c>
      <c r="E584" t="s">
        <v>5</v>
      </c>
      <c r="F584" t="s">
        <v>1</v>
      </c>
      <c r="G584" t="str">
        <f>HYPERLINK("http://exon.niaid.nih.gov/transcriptome/Anopheles_sialome/links/pep/anomel_TRIO-pep.txt","anomel_TRIO")</f>
        <v>anomel_TRIO</v>
      </c>
      <c r="H584">
        <v>391</v>
      </c>
      <c r="I584">
        <v>1</v>
      </c>
      <c r="J584" s="3" t="str">
        <f>HYPERLINK("http://exon.niaid.nih.gov/transcriptome/Anopheles_sialome/links/Sigp/anomel_TRIO-SigP.txt","SIG")</f>
        <v>SIG</v>
      </c>
      <c r="K584" t="s">
        <v>715</v>
      </c>
      <c r="L584">
        <v>43.838999999999999</v>
      </c>
      <c r="M584">
        <v>6.27</v>
      </c>
      <c r="N584">
        <v>41.350999999999999</v>
      </c>
      <c r="O584">
        <v>6.04</v>
      </c>
      <c r="P584" t="s">
        <v>1921</v>
      </c>
      <c r="Q584" s="3">
        <v>0</v>
      </c>
      <c r="R584" t="s">
        <v>128</v>
      </c>
      <c r="S584" t="s">
        <v>128</v>
      </c>
      <c r="T584" t="s">
        <v>128</v>
      </c>
      <c r="U584" t="s">
        <v>128</v>
      </c>
      <c r="V584" t="s">
        <v>128</v>
      </c>
      <c r="W584" s="3" t="str">
        <f>HYPERLINK("http://exon.niaid.nih.gov/transcriptome/Anopheles_sialome/links/netoglyc/anomel_TRIO-netoglyc.txt","1")</f>
        <v>1</v>
      </c>
      <c r="X584">
        <v>11.5</v>
      </c>
      <c r="Y584">
        <v>4.3</v>
      </c>
      <c r="Z584">
        <v>5.6</v>
      </c>
      <c r="AA584" t="s">
        <v>654</v>
      </c>
      <c r="AB584" t="s">
        <v>128</v>
      </c>
      <c r="AC584" s="2" t="str">
        <f>HYPERLINK("http://exon.niaid.nih.gov/transcriptome/Anopheles_sialome/links/DIPTERA/anomel_TRIO-DIPTERA.txt","AGAP001374-PA")</f>
        <v>AGAP001374-PA</v>
      </c>
      <c r="AD584" t="str">
        <f>HYPERLINK("http://www.ncbi.nlm.nih.gov/sutils/blink.cgi?pid=55233973","0.0")</f>
        <v>0.0</v>
      </c>
      <c r="AE584" t="str">
        <f t="shared" si="191"/>
        <v>gi|55233973</v>
      </c>
      <c r="AF584">
        <v>96</v>
      </c>
      <c r="AG584">
        <v>97</v>
      </c>
      <c r="AH584">
        <v>100</v>
      </c>
      <c r="AI584" t="s">
        <v>2285</v>
      </c>
      <c r="AJ584" s="2" t="s">
        <v>128</v>
      </c>
      <c r="AK584" t="s">
        <v>128</v>
      </c>
      <c r="AL584" t="s">
        <v>128</v>
      </c>
      <c r="AM584" t="s">
        <v>128</v>
      </c>
      <c r="AN584" t="s">
        <v>128</v>
      </c>
      <c r="AO584" t="s">
        <v>128</v>
      </c>
      <c r="AP584" t="s">
        <v>128</v>
      </c>
      <c r="AQ584" s="2" t="str">
        <f>HYPERLINK("http://exon.niaid.nih.gov/transcriptome/Anopheles_sialome/links/NR-LIGHT/anomel_TRIO-NR-LIGHT.txt","AGAP001374-PA")</f>
        <v>AGAP001374-PA</v>
      </c>
      <c r="AR584" t="str">
        <f>HYPERLINK("http://www.ncbi.nlm.nih.gov/sutils/blink.cgi?pid=58396245","0.0")</f>
        <v>0.0</v>
      </c>
      <c r="AS584" t="str">
        <f t="shared" si="192"/>
        <v>gi|58396245</v>
      </c>
      <c r="AT584">
        <v>96</v>
      </c>
      <c r="AU584">
        <v>97</v>
      </c>
      <c r="AV584">
        <v>100</v>
      </c>
      <c r="AW584" t="s">
        <v>2285</v>
      </c>
      <c r="AX584" s="2" t="str">
        <f>HYPERLINK("http://exon.niaid.nih.gov/transcriptome/Anopheles_sialome/links/CDD/anomel_TRIO-CDD.txt","PLPDE_III_YBL03")</f>
        <v>PLPDE_III_YBL03</v>
      </c>
      <c r="AY584" t="str">
        <f>HYPERLINK("http://www.ncbi.nlm.nih.gov/Structure/cdd/cddsrv.cgi?uid=cd06822&amp;version=v4.0","0.13")</f>
        <v>0.13</v>
      </c>
      <c r="AZ584" t="s">
        <v>2970</v>
      </c>
      <c r="BA584" s="2" t="str">
        <f>HYPERLINK("http://exon.niaid.nih.gov/transcriptome/Anopheles_sialome/links/KOG/anomel_TRIO-KOG.txt","GDP-mannose 4,6 dehydratase")</f>
        <v>GDP-mannose 4,6 dehydratase</v>
      </c>
      <c r="BB584" t="str">
        <f>HYPERLINK("http://www.ncbi.nlm.nih.gov/Structure/cdd/cddsrv.cgi?uid=KOG1372","1.5")</f>
        <v>1.5</v>
      </c>
      <c r="BC584" t="s">
        <v>2308</v>
      </c>
      <c r="BD584" t="str">
        <f>HYPERLINK("http://exon.niaid.nih.gov/transcriptome/Anopheles_sialome/links/KOG/anomel_TRIO-KOG.txt","KOG1372")</f>
        <v>KOG1372</v>
      </c>
      <c r="BE584" t="str">
        <f>HYPERLINK("http://exon.niaid.nih.gov/transcriptome/Anopheles_sialome/links/PFAM/anomel_TRIO-PFAM.txt","Caleosin")</f>
        <v>Caleosin</v>
      </c>
      <c r="BF584" t="str">
        <f>HYPERLINK("http://pfam.sanger.ac.uk/family?acc=PF05042","0.89")</f>
        <v>0.89</v>
      </c>
      <c r="BG584" s="2" t="str">
        <f>HYPERLINK("http://exon.niaid.nih.gov/transcriptome/Anopheles_sialome/links/SMART/anomel_TRIO-SMART.txt","OmpH")</f>
        <v>OmpH</v>
      </c>
      <c r="BH584" t="str">
        <f>HYPERLINK("http://smart.embl-heidelberg.de/smart/do_annotation.pl?DOMAIN=OmpH&amp;BLAST=DUMMY","0.56")</f>
        <v>0.56</v>
      </c>
      <c r="BI584" t="str">
        <f>HYPERLINK("http://exon.niaid.nih.gov/transcriptome/Anopheles_sialome/links/TICK-BLOCKS/anomel_TRIO-TICK-BLOCKS.txt","SG1_full |SG1_stringent_pattern |")</f>
        <v>SG1_full |SG1_stringent_pattern |</v>
      </c>
      <c r="BJ584" s="2" t="s">
        <v>2423</v>
      </c>
      <c r="BK584" t="s">
        <v>1920</v>
      </c>
      <c r="BL584">
        <f>HYPERLINK("http://exon.niaid.nih.gov/transcriptome/Anopheles_sialome/links/cluster-b/anopheline-sialome-cds-pep-larger-orf25-50SimCLU3.txt", 3)</f>
        <v>3</v>
      </c>
      <c r="BM584">
        <f>HYPERLINK("http://exon.niaid.nih.gov/transcriptome/Anopheles_sialome/links/cluster-b/anopheline-sialome-cds-pep-larger-orf25-50SimCLTL3.txt", 119)</f>
        <v>119</v>
      </c>
      <c r="BN584">
        <f>HYPERLINK("http://exon.niaid.nih.gov/transcriptome/Anopheles_sialome/links/cluster-b/anopheline-sialome-cds-pep-larger-orf30-50SimCLU3.txt", 3)</f>
        <v>3</v>
      </c>
      <c r="BO584">
        <f>HYPERLINK("http://exon.niaid.nih.gov/transcriptome/Anopheles_sialome/links/cluster-b/anopheline-sialome-cds-pep-larger-orf30-50SimCLTL3.txt", 119)</f>
        <v>119</v>
      </c>
      <c r="BP584">
        <f>HYPERLINK("http://exon.niaid.nih.gov/transcriptome/Anopheles_sialome/links/cluster-b/anopheline-sialome-cds-pep-larger-orf35-50SimCLU2.txt", 2)</f>
        <v>2</v>
      </c>
      <c r="BQ584">
        <f>HYPERLINK("http://exon.niaid.nih.gov/transcriptome/Anopheles_sialome/links/cluster-b/anopheline-sialome-cds-pep-larger-orf35-50SimCLTL2.txt", 119)</f>
        <v>119</v>
      </c>
      <c r="BR584">
        <f>HYPERLINK("http://exon.niaid.nih.gov/transcriptome/Anopheles_sialome/links/cluster-b/anopheline-sialome-cds-pep-larger-orf40-50SimCLU1.txt", 1)</f>
        <v>1</v>
      </c>
      <c r="BS584">
        <f>HYPERLINK("http://exon.niaid.nih.gov/transcriptome/Anopheles_sialome/links/cluster-b/anopheline-sialome-cds-pep-larger-orf40-50SimCLTL1.txt", 119)</f>
        <v>119</v>
      </c>
      <c r="BT584">
        <f>HYPERLINK("http://exon.niaid.nih.gov/transcriptome/Anopheles_sialome/links/cluster-b/anopheline-sialome-cds-pep-larger-orf45-50SimCLU24.txt", 24)</f>
        <v>24</v>
      </c>
      <c r="BU584">
        <f>HYPERLINK("http://exon.niaid.nih.gov/transcriptome/Anopheles_sialome/links/cluster-b/anopheline-sialome-cds-pep-larger-orf45-50SimCLTL24.txt", 18)</f>
        <v>18</v>
      </c>
      <c r="BV584">
        <f>HYPERLINK("http://exon.niaid.nih.gov/transcriptome/Anopheles_sialome/links/cluster-b/anopheline-sialome-cds-pep-larger-orf50-50SimCLU23.txt", 23)</f>
        <v>23</v>
      </c>
      <c r="BW584">
        <f>HYPERLINK("http://exon.niaid.nih.gov/transcriptome/Anopheles_sialome/links/cluster-b/anopheline-sialome-cds-pep-larger-orf50-50SimCLTL23.txt", 18)</f>
        <v>18</v>
      </c>
      <c r="BX584">
        <f>HYPERLINK("http://exon.niaid.nih.gov/transcriptome/Anopheles_sialome/links/cluster-b/anopheline-sialome-cds-pep-larger-orf55-50SimCLU31.txt", 31)</f>
        <v>31</v>
      </c>
      <c r="BY584">
        <f>HYPERLINK("http://exon.niaid.nih.gov/transcriptome/Anopheles_sialome/links/cluster-b/anopheline-sialome-cds-pep-larger-orf55-50SimCLTL31.txt", 16)</f>
        <v>16</v>
      </c>
      <c r="BZ584">
        <f>HYPERLINK("http://exon.niaid.nih.gov/transcriptome/Anopheles_sialome/links/cluster-b/anopheline-sialome-cds-pep-larger-orf60-50SimCLU34.txt", 34)</f>
        <v>34</v>
      </c>
      <c r="CA584">
        <f>HYPERLINK("http://exon.niaid.nih.gov/transcriptome/Anopheles_sialome/links/cluster-b/anopheline-sialome-cds-pep-larger-orf60-50SimCLTL34.txt", 12)</f>
        <v>12</v>
      </c>
      <c r="CB584">
        <f>HYPERLINK("http://exon.niaid.nih.gov/transcriptome/Anopheles_sialome/links/cluster-b/anopheline-sialome-cds-pep-larger-orf65-50SimCLU38.txt", 38)</f>
        <v>38</v>
      </c>
      <c r="CC584">
        <f>HYPERLINK("http://exon.niaid.nih.gov/transcriptome/Anopheles_sialome/links/cluster-b/anopheline-sialome-cds-pep-larger-orf65-50SimCLTL38.txt", 12)</f>
        <v>12</v>
      </c>
      <c r="CD584">
        <f>HYPERLINK("http://exon.niaid.nih.gov/transcriptome/Anopheles_sialome/links/cluster-b/anopheline-sialome-cds-pep-larger-orf70-50SimCLU40.txt", 40)</f>
        <v>40</v>
      </c>
      <c r="CE584">
        <f>HYPERLINK("http://exon.niaid.nih.gov/transcriptome/Anopheles_sialome/links/cluster-b/anopheline-sialome-cds-pep-larger-orf70-50SimCLTL40.txt", 12)</f>
        <v>12</v>
      </c>
      <c r="CF584">
        <f>HYPERLINK("http://exon.niaid.nih.gov/transcriptome/Anopheles_sialome/links/cluster-b/anopheline-sialome-cds-pep-larger-orf75-50SimCLU40.txt", 40)</f>
        <v>40</v>
      </c>
      <c r="CG584">
        <f>HYPERLINK("http://exon.niaid.nih.gov/transcriptome/Anopheles_sialome/links/cluster-b/anopheline-sialome-cds-pep-larger-orf75-50SimCLTL40.txt", 7)</f>
        <v>7</v>
      </c>
      <c r="CH584">
        <f>HYPERLINK("http://exon.niaid.nih.gov/transcriptome/Anopheles_sialome/links/cluster-b/anopheline-sialome-cds-pep-larger-orf80-50SimCLU48.txt", 48)</f>
        <v>48</v>
      </c>
      <c r="CI584">
        <f>HYPERLINK("http://exon.niaid.nih.gov/transcriptome/Anopheles_sialome/links/cluster-b/anopheline-sialome-cds-pep-larger-orf80-50SimCLTL48.txt", 5)</f>
        <v>5</v>
      </c>
      <c r="CJ584">
        <f>HYPERLINK("http://exon.niaid.nih.gov/transcriptome/Anopheles_sialome/links/cluster-b/anopheline-sialome-cds-pep-larger-orf85-50SimCLU49.txt", 49)</f>
        <v>49</v>
      </c>
      <c r="CK584">
        <f>HYPERLINK("http://exon.niaid.nih.gov/transcriptome/Anopheles_sialome/links/cluster-b/anopheline-sialome-cds-pep-larger-orf85-50SimCLTL49.txt", 5)</f>
        <v>5</v>
      </c>
      <c r="CL584">
        <f>HYPERLINK("http://exon.niaid.nih.gov/transcriptome/Anopheles_sialome/links/cluster-b/anopheline-sialome-cds-pep-larger-orf90-50SimCLU48.txt", 48)</f>
        <v>48</v>
      </c>
      <c r="CM584">
        <f>HYPERLINK("http://exon.niaid.nih.gov/transcriptome/Anopheles_sialome/links/cluster-b/anopheline-sialome-cds-pep-larger-orf90-50SimCLTL48.txt", 5)</f>
        <v>5</v>
      </c>
      <c r="CN584">
        <f>HYPERLINK("http://exon.niaid.nih.gov/transcriptome/Anopheles_sialome/links/cluster-b/anopheline-sialome-cds-pep-larger-orf95-50SimCLU45.txt", 45)</f>
        <v>45</v>
      </c>
      <c r="CO584">
        <f>HYPERLINK("http://exon.niaid.nih.gov/transcriptome/Anopheles_sialome/links/cluster-b/anopheline-sialome-cds-pep-larger-orf95-50SimCLTL45.txt", 5)</f>
        <v>5</v>
      </c>
    </row>
    <row r="585" spans="1:93">
      <c r="A585" s="2" t="str">
        <f>HYPERLINK("http://exon.niaid.nih.gov/transcriptome/Anopheles_sialome/links/cds/anochris_TRIO-cds.txt","anochris_TRIO")</f>
        <v>anochris_TRIO</v>
      </c>
      <c r="B585">
        <v>1158</v>
      </c>
      <c r="C585" t="s">
        <v>499</v>
      </c>
      <c r="D585" t="s">
        <v>4</v>
      </c>
      <c r="E585" t="s">
        <v>5</v>
      </c>
      <c r="F585" t="s">
        <v>1</v>
      </c>
      <c r="G585" t="str">
        <f>HYPERLINK("http://exon.niaid.nih.gov/transcriptome/Anopheles_sialome/links/pep/anochris_TRIO-pep.txt","anochris_TRIO")</f>
        <v>anochris_TRIO</v>
      </c>
      <c r="H585">
        <v>385</v>
      </c>
      <c r="I585">
        <v>2</v>
      </c>
      <c r="J585" s="3" t="str">
        <f>HYPERLINK("http://exon.niaid.nih.gov/transcriptome/Anopheles_sialome/links/Sigp/anochris_TRIO-SigP.txt","SIG")</f>
        <v>SIG</v>
      </c>
      <c r="K585" t="s">
        <v>715</v>
      </c>
      <c r="L585">
        <v>43.295999999999999</v>
      </c>
      <c r="M585">
        <v>5.65</v>
      </c>
      <c r="N585">
        <v>40.713000000000001</v>
      </c>
      <c r="O585">
        <v>5.65</v>
      </c>
      <c r="P585" t="s">
        <v>1923</v>
      </c>
      <c r="Q585" s="3">
        <v>0</v>
      </c>
      <c r="R585" t="s">
        <v>128</v>
      </c>
      <c r="S585" t="s">
        <v>128</v>
      </c>
      <c r="T585" t="s">
        <v>128</v>
      </c>
      <c r="U585" t="s">
        <v>128</v>
      </c>
      <c r="V585" t="s">
        <v>128</v>
      </c>
      <c r="W585" s="3" t="str">
        <f>HYPERLINK("http://exon.niaid.nih.gov/transcriptome/Anopheles_sialome/links/netoglyc/anochris_TRIO-netoglyc.txt","1")</f>
        <v>1</v>
      </c>
      <c r="X585">
        <v>11.9</v>
      </c>
      <c r="Y585">
        <v>4.4000000000000004</v>
      </c>
      <c r="Z585">
        <v>7.3</v>
      </c>
      <c r="AA585" t="s">
        <v>654</v>
      </c>
      <c r="AB585" t="s">
        <v>128</v>
      </c>
      <c r="AC585" s="2" t="str">
        <f>HYPERLINK("http://exon.niaid.nih.gov/transcriptome/Anopheles_sialome/links/DIPTERA/anochris_TRIO-DIPTERA.txt","AGAP001374-PA")</f>
        <v>AGAP001374-PA</v>
      </c>
      <c r="AD585" t="str">
        <f>HYPERLINK("http://www.ncbi.nlm.nih.gov/sutils/blink.cgi?pid=55233973","1E-141")</f>
        <v>1E-141</v>
      </c>
      <c r="AE585" t="str">
        <f t="shared" si="191"/>
        <v>gi|55233973</v>
      </c>
      <c r="AF585">
        <v>65</v>
      </c>
      <c r="AG585">
        <v>77</v>
      </c>
      <c r="AH585">
        <v>100</v>
      </c>
      <c r="AI585" t="s">
        <v>2285</v>
      </c>
      <c r="AJ585" s="2" t="s">
        <v>128</v>
      </c>
      <c r="AK585" t="s">
        <v>128</v>
      </c>
      <c r="AL585" t="s">
        <v>128</v>
      </c>
      <c r="AM585" t="s">
        <v>128</v>
      </c>
      <c r="AN585" t="s">
        <v>128</v>
      </c>
      <c r="AO585" t="s">
        <v>128</v>
      </c>
      <c r="AP585" t="s">
        <v>128</v>
      </c>
      <c r="AQ585" s="2" t="str">
        <f>HYPERLINK("http://exon.niaid.nih.gov/transcriptome/Anopheles_sialome/links/NR-LIGHT/anochris_TRIO-NR-LIGHT.txt","AGAP001374-PA")</f>
        <v>AGAP001374-PA</v>
      </c>
      <c r="AR585" t="str">
        <f>HYPERLINK("http://www.ncbi.nlm.nih.gov/sutils/blink.cgi?pid=58396245","1E-141")</f>
        <v>1E-141</v>
      </c>
      <c r="AS585" t="str">
        <f t="shared" si="192"/>
        <v>gi|58396245</v>
      </c>
      <c r="AT585">
        <v>65</v>
      </c>
      <c r="AU585">
        <v>77</v>
      </c>
      <c r="AV585">
        <v>100</v>
      </c>
      <c r="AW585" t="s">
        <v>2285</v>
      </c>
      <c r="AX585" s="2" t="str">
        <f>HYPERLINK("http://exon.niaid.nih.gov/transcriptome/Anopheles_sialome/links/CDD/anochris_TRIO-CDD.txt","SQD1_like_SDR_e")</f>
        <v>SQD1_like_SDR_e</v>
      </c>
      <c r="AY585" t="str">
        <f>HYPERLINK("http://www.ncbi.nlm.nih.gov/Structure/cdd/cddsrv.cgi?uid=cd05255&amp;version=v4.0","0.68")</f>
        <v>0.68</v>
      </c>
      <c r="AZ585" t="s">
        <v>2971</v>
      </c>
      <c r="BA585" s="2" t="str">
        <f>HYPERLINK("http://exon.niaid.nih.gov/transcriptome/Anopheles_sialome/links/KOG/anochris_TRIO-KOG.txt","Microtubule-associated protein Bicaudal-D")</f>
        <v>Microtubule-associated protein Bicaudal-D</v>
      </c>
      <c r="BB585" t="str">
        <f>HYPERLINK("http://www.ncbi.nlm.nih.gov/Structure/cdd/cddsrv.cgi?uid=KOG0999","0.92")</f>
        <v>0.92</v>
      </c>
      <c r="BC585" t="s">
        <v>2487</v>
      </c>
      <c r="BD585" t="str">
        <f>HYPERLINK("http://exon.niaid.nih.gov/transcriptome/Anopheles_sialome/links/KOG/anochris_TRIO-KOG.txt","KOG0999")</f>
        <v>KOG0999</v>
      </c>
      <c r="BE585" t="str">
        <f>HYPERLINK("http://exon.niaid.nih.gov/transcriptome/Anopheles_sialome/links/PFAM/anochris_TRIO-PFAM.txt","Longin")</f>
        <v>Longin</v>
      </c>
      <c r="BF585" t="str">
        <f>HYPERLINK("http://pfam.sanger.ac.uk/family?acc=PF13774","0.99")</f>
        <v>0.99</v>
      </c>
      <c r="BG585" s="2" t="str">
        <f>HYPERLINK("http://exon.niaid.nih.gov/transcriptome/Anopheles_sialome/links/SMART/anochris_TRIO-SMART.txt","Arfaptin")</f>
        <v>Arfaptin</v>
      </c>
      <c r="BH585" t="str">
        <f>HYPERLINK("http://smart.embl-heidelberg.de/smart/do_annotation.pl?DOMAIN=Arfaptin&amp;BLAST=DUMMY","0.056")</f>
        <v>0.056</v>
      </c>
      <c r="BI585" t="s">
        <v>128</v>
      </c>
      <c r="BJ585" s="2" t="s">
        <v>128</v>
      </c>
      <c r="BK585" t="s">
        <v>1922</v>
      </c>
      <c r="BL585">
        <f>HYPERLINK("http://exon.niaid.nih.gov/transcriptome/Anopheles_sialome/links/cluster-b/anopheline-sialome-cds-pep-larger-orf25-50SimCLU3.txt", 3)</f>
        <v>3</v>
      </c>
      <c r="BM585">
        <f>HYPERLINK("http://exon.niaid.nih.gov/transcriptome/Anopheles_sialome/links/cluster-b/anopheline-sialome-cds-pep-larger-orf25-50SimCLTL3.txt", 119)</f>
        <v>119</v>
      </c>
      <c r="BN585">
        <f>HYPERLINK("http://exon.niaid.nih.gov/transcriptome/Anopheles_sialome/links/cluster-b/anopheline-sialome-cds-pep-larger-orf30-50SimCLU3.txt", 3)</f>
        <v>3</v>
      </c>
      <c r="BO585">
        <f>HYPERLINK("http://exon.niaid.nih.gov/transcriptome/Anopheles_sialome/links/cluster-b/anopheline-sialome-cds-pep-larger-orf30-50SimCLTL3.txt", 119)</f>
        <v>119</v>
      </c>
      <c r="BP585">
        <f>HYPERLINK("http://exon.niaid.nih.gov/transcriptome/Anopheles_sialome/links/cluster-b/anopheline-sialome-cds-pep-larger-orf35-50SimCLU2.txt", 2)</f>
        <v>2</v>
      </c>
      <c r="BQ585">
        <f>HYPERLINK("http://exon.niaid.nih.gov/transcriptome/Anopheles_sialome/links/cluster-b/anopheline-sialome-cds-pep-larger-orf35-50SimCLTL2.txt", 119)</f>
        <v>119</v>
      </c>
      <c r="BR585">
        <f>HYPERLINK("http://exon.niaid.nih.gov/transcriptome/Anopheles_sialome/links/cluster-b/anopheline-sialome-cds-pep-larger-orf40-50SimCLU1.txt", 1)</f>
        <v>1</v>
      </c>
      <c r="BS585">
        <f>HYPERLINK("http://exon.niaid.nih.gov/transcriptome/Anopheles_sialome/links/cluster-b/anopheline-sialome-cds-pep-larger-orf40-50SimCLTL1.txt", 119)</f>
        <v>119</v>
      </c>
      <c r="BT585">
        <f>HYPERLINK("http://exon.niaid.nih.gov/transcriptome/Anopheles_sialome/links/cluster-b/anopheline-sialome-cds-pep-larger-orf45-50SimCLU24.txt", 24)</f>
        <v>24</v>
      </c>
      <c r="BU585">
        <f>HYPERLINK("http://exon.niaid.nih.gov/transcriptome/Anopheles_sialome/links/cluster-b/anopheline-sialome-cds-pep-larger-orf45-50SimCLTL24.txt", 18)</f>
        <v>18</v>
      </c>
      <c r="BV585">
        <f>HYPERLINK("http://exon.niaid.nih.gov/transcriptome/Anopheles_sialome/links/cluster-b/anopheline-sialome-cds-pep-larger-orf50-50SimCLU23.txt", 23)</f>
        <v>23</v>
      </c>
      <c r="BW585">
        <f>HYPERLINK("http://exon.niaid.nih.gov/transcriptome/Anopheles_sialome/links/cluster-b/anopheline-sialome-cds-pep-larger-orf50-50SimCLTL23.txt", 18)</f>
        <v>18</v>
      </c>
      <c r="BX585">
        <f>HYPERLINK("http://exon.niaid.nih.gov/transcriptome/Anopheles_sialome/links/cluster-b/anopheline-sialome-cds-pep-larger-orf55-50SimCLU31.txt", 31)</f>
        <v>31</v>
      </c>
      <c r="BY585">
        <f>HYPERLINK("http://exon.niaid.nih.gov/transcriptome/Anopheles_sialome/links/cluster-b/anopheline-sialome-cds-pep-larger-orf55-50SimCLTL31.txt", 16)</f>
        <v>16</v>
      </c>
      <c r="BZ585">
        <f>HYPERLINK("http://exon.niaid.nih.gov/transcriptome/Anopheles_sialome/links/cluster-b/anopheline-sialome-cds-pep-larger-orf60-50SimCLU34.txt", 34)</f>
        <v>34</v>
      </c>
      <c r="CA585">
        <f>HYPERLINK("http://exon.niaid.nih.gov/transcriptome/Anopheles_sialome/links/cluster-b/anopheline-sialome-cds-pep-larger-orf60-50SimCLTL34.txt", 12)</f>
        <v>12</v>
      </c>
      <c r="CB585">
        <f>HYPERLINK("http://exon.niaid.nih.gov/transcriptome/Anopheles_sialome/links/cluster-b/anopheline-sialome-cds-pep-larger-orf65-50SimCLU38.txt", 38)</f>
        <v>38</v>
      </c>
      <c r="CC585">
        <f>HYPERLINK("http://exon.niaid.nih.gov/transcriptome/Anopheles_sialome/links/cluster-b/anopheline-sialome-cds-pep-larger-orf65-50SimCLTL38.txt", 12)</f>
        <v>12</v>
      </c>
      <c r="CD585">
        <f>HYPERLINK("http://exon.niaid.nih.gov/transcriptome/Anopheles_sialome/links/cluster-b/anopheline-sialome-cds-pep-larger-orf70-50SimCLU40.txt", 40)</f>
        <v>40</v>
      </c>
      <c r="CE585">
        <f>HYPERLINK("http://exon.niaid.nih.gov/transcriptome/Anopheles_sialome/links/cluster-b/anopheline-sialome-cds-pep-larger-orf70-50SimCLTL40.txt", 12)</f>
        <v>12</v>
      </c>
      <c r="CF585">
        <f>HYPERLINK("http://exon.niaid.nih.gov/transcriptome/Anopheles_sialome/links/cluster-b/anopheline-sialome-cds-pep-larger-orf75-50SimCLU40.txt", 40)</f>
        <v>40</v>
      </c>
      <c r="CG585">
        <f>HYPERLINK("http://exon.niaid.nih.gov/transcriptome/Anopheles_sialome/links/cluster-b/anopheline-sialome-cds-pep-larger-orf75-50SimCLTL40.txt", 7)</f>
        <v>7</v>
      </c>
      <c r="CH585">
        <v>220</v>
      </c>
      <c r="CI585">
        <v>1</v>
      </c>
      <c r="CJ585">
        <v>297</v>
      </c>
      <c r="CK585">
        <v>1</v>
      </c>
      <c r="CL585">
        <v>376</v>
      </c>
      <c r="CM585">
        <v>1</v>
      </c>
      <c r="CN585">
        <v>455</v>
      </c>
      <c r="CO585">
        <v>1</v>
      </c>
    </row>
    <row r="586" spans="1:93">
      <c r="A586" s="2" t="str">
        <f>HYPERLINK("http://exon.niaid.nih.gov/transcriptome/Anopheles_sialome/links/cds/anoepi_TRIO-cds.txt","anoepi_TRIO")</f>
        <v>anoepi_TRIO</v>
      </c>
      <c r="B586">
        <v>1164</v>
      </c>
      <c r="C586" t="s">
        <v>500</v>
      </c>
      <c r="D586" t="s">
        <v>4</v>
      </c>
      <c r="E586" t="s">
        <v>5</v>
      </c>
      <c r="F586" t="s">
        <v>1</v>
      </c>
      <c r="G586" t="str">
        <f>HYPERLINK("http://exon.niaid.nih.gov/transcriptome/Anopheles_sialome/links/pep/anoepi_TRIO-pep.txt","anoepi_TRIO")</f>
        <v>anoepi_TRIO</v>
      </c>
      <c r="H586">
        <v>387</v>
      </c>
      <c r="I586">
        <v>1</v>
      </c>
      <c r="J586" s="3" t="str">
        <f>HYPERLINK("http://exon.niaid.nih.gov/transcriptome/Anopheles_sialome/links/Sigp/anoepi_TRIO-SigP.txt","SIG")</f>
        <v>SIG</v>
      </c>
      <c r="K586" t="s">
        <v>652</v>
      </c>
      <c r="L586">
        <v>43.33</v>
      </c>
      <c r="M586">
        <v>7.09</v>
      </c>
      <c r="N586">
        <v>41.188000000000002</v>
      </c>
      <c r="O586">
        <v>6.72</v>
      </c>
      <c r="P586" t="s">
        <v>841</v>
      </c>
      <c r="Q586" s="3">
        <v>0</v>
      </c>
      <c r="R586" t="s">
        <v>128</v>
      </c>
      <c r="S586" t="s">
        <v>128</v>
      </c>
      <c r="T586" t="s">
        <v>128</v>
      </c>
      <c r="U586" t="s">
        <v>128</v>
      </c>
      <c r="V586" t="s">
        <v>128</v>
      </c>
      <c r="W586" s="3" t="str">
        <f>HYPERLINK("http://exon.niaid.nih.gov/transcriptome/Anopheles_sialome/links/netoglyc/anoepi_TRIO-netoglyc.txt","0")</f>
        <v>0</v>
      </c>
      <c r="X586">
        <v>11.4</v>
      </c>
      <c r="Y586">
        <v>3.1</v>
      </c>
      <c r="Z586">
        <v>6.5</v>
      </c>
      <c r="AA586" t="s">
        <v>654</v>
      </c>
      <c r="AB586" t="s">
        <v>128</v>
      </c>
      <c r="AC586" s="2" t="str">
        <f>HYPERLINK("http://exon.niaid.nih.gov/transcriptome/Anopheles_sialome/links/DIPTERA/anoepi_TRIO-DIPTERA.txt","AGAP001374-PA")</f>
        <v>AGAP001374-PA</v>
      </c>
      <c r="AD586" t="str">
        <f>HYPERLINK("http://www.ncbi.nlm.nih.gov/sutils/blink.cgi?pid=55233973","1E-136")</f>
        <v>1E-136</v>
      </c>
      <c r="AE586" t="str">
        <f t="shared" si="191"/>
        <v>gi|55233973</v>
      </c>
      <c r="AF586">
        <v>63</v>
      </c>
      <c r="AG586">
        <v>77</v>
      </c>
      <c r="AH586">
        <v>99</v>
      </c>
      <c r="AI586" t="s">
        <v>2285</v>
      </c>
      <c r="AJ586" s="2" t="s">
        <v>128</v>
      </c>
      <c r="AK586" t="s">
        <v>128</v>
      </c>
      <c r="AL586" t="s">
        <v>128</v>
      </c>
      <c r="AM586" t="s">
        <v>128</v>
      </c>
      <c r="AN586" t="s">
        <v>128</v>
      </c>
      <c r="AO586" t="s">
        <v>128</v>
      </c>
      <c r="AP586" t="s">
        <v>128</v>
      </c>
      <c r="AQ586" s="2" t="str">
        <f>HYPERLINK("http://exon.niaid.nih.gov/transcriptome/Anopheles_sialome/links/NR-LIGHT/anoepi_TRIO-NR-LIGHT.txt","AGAP001374-PA")</f>
        <v>AGAP001374-PA</v>
      </c>
      <c r="AR586" t="str">
        <f>HYPERLINK("http://www.ncbi.nlm.nih.gov/sutils/blink.cgi?pid=58396245","1E-135")</f>
        <v>1E-135</v>
      </c>
      <c r="AS586" t="str">
        <f t="shared" si="192"/>
        <v>gi|58396245</v>
      </c>
      <c r="AT586">
        <v>63</v>
      </c>
      <c r="AU586">
        <v>77</v>
      </c>
      <c r="AV586">
        <v>99</v>
      </c>
      <c r="AW586" t="s">
        <v>2285</v>
      </c>
      <c r="AX586" s="2" t="str">
        <f>HYPERLINK("http://exon.niaid.nih.gov/transcriptome/Anopheles_sialome/links/CDD/anoepi_TRIO-CDD.txt","COG1293")</f>
        <v>COG1293</v>
      </c>
      <c r="AY586" t="str">
        <f>HYPERLINK("http://www.ncbi.nlm.nih.gov/Structure/cdd/cddsrv.cgi?uid=COG1293&amp;version=v4.0","0.71")</f>
        <v>0.71</v>
      </c>
      <c r="AZ586" t="s">
        <v>2972</v>
      </c>
      <c r="BA586" s="2" t="str">
        <f>HYPERLINK("http://exon.niaid.nih.gov/transcriptome/Anopheles_sialome/links/KOG/anoepi_TRIO-KOG.txt","Transcription factor TMF, TATA element modulatory factor")</f>
        <v>Transcription factor TMF, TATA element modulatory factor</v>
      </c>
      <c r="BB586" t="str">
        <f>HYPERLINK("http://www.ncbi.nlm.nih.gov/Structure/cdd/cddsrv.cgi?uid=KOG4673","0.27")</f>
        <v>0.27</v>
      </c>
      <c r="BC586" t="s">
        <v>2262</v>
      </c>
      <c r="BD586" t="str">
        <f>HYPERLINK("http://exon.niaid.nih.gov/transcriptome/Anopheles_sialome/links/KOG/anoepi_TRIO-KOG.txt","KOG4673")</f>
        <v>KOG4673</v>
      </c>
      <c r="BE586" t="str">
        <f>HYPERLINK("http://exon.niaid.nih.gov/transcriptome/Anopheles_sialome/links/PFAM/anoepi_TRIO-PFAM.txt","Prominin")</f>
        <v>Prominin</v>
      </c>
      <c r="BF586" t="str">
        <f>HYPERLINK("http://pfam.sanger.ac.uk/family?acc=PF05478","0.20")</f>
        <v>0.20</v>
      </c>
      <c r="BG586" s="2" t="str">
        <f>HYPERLINK("http://exon.niaid.nih.gov/transcriptome/Anopheles_sialome/links/SMART/anoepi_TRIO-SMART.txt","UBX")</f>
        <v>UBX</v>
      </c>
      <c r="BH586" t="str">
        <f>HYPERLINK("http://smart.embl-heidelberg.de/smart/do_annotation.pl?DOMAIN=UBX&amp;BLAST=DUMMY","0.52")</f>
        <v>0.52</v>
      </c>
      <c r="BI586" t="s">
        <v>128</v>
      </c>
      <c r="BJ586" s="2" t="s">
        <v>128</v>
      </c>
      <c r="BK586" t="s">
        <v>1924</v>
      </c>
      <c r="BL586">
        <f>HYPERLINK("http://exon.niaid.nih.gov/transcriptome/Anopheles_sialome/links/cluster-b/anopheline-sialome-cds-pep-larger-orf25-50SimCLU3.txt", 3)</f>
        <v>3</v>
      </c>
      <c r="BM586">
        <f>HYPERLINK("http://exon.niaid.nih.gov/transcriptome/Anopheles_sialome/links/cluster-b/anopheline-sialome-cds-pep-larger-orf25-50SimCLTL3.txt", 119)</f>
        <v>119</v>
      </c>
      <c r="BN586">
        <f>HYPERLINK("http://exon.niaid.nih.gov/transcriptome/Anopheles_sialome/links/cluster-b/anopheline-sialome-cds-pep-larger-orf30-50SimCLU3.txt", 3)</f>
        <v>3</v>
      </c>
      <c r="BO586">
        <f>HYPERLINK("http://exon.niaid.nih.gov/transcriptome/Anopheles_sialome/links/cluster-b/anopheline-sialome-cds-pep-larger-orf30-50SimCLTL3.txt", 119)</f>
        <v>119</v>
      </c>
      <c r="BP586">
        <f>HYPERLINK("http://exon.niaid.nih.gov/transcriptome/Anopheles_sialome/links/cluster-b/anopheline-sialome-cds-pep-larger-orf35-50SimCLU2.txt", 2)</f>
        <v>2</v>
      </c>
      <c r="BQ586">
        <f>HYPERLINK("http://exon.niaid.nih.gov/transcriptome/Anopheles_sialome/links/cluster-b/anopheline-sialome-cds-pep-larger-orf35-50SimCLTL2.txt", 119)</f>
        <v>119</v>
      </c>
      <c r="BR586">
        <f>HYPERLINK("http://exon.niaid.nih.gov/transcriptome/Anopheles_sialome/links/cluster-b/anopheline-sialome-cds-pep-larger-orf40-50SimCLU1.txt", 1)</f>
        <v>1</v>
      </c>
      <c r="BS586">
        <f>HYPERLINK("http://exon.niaid.nih.gov/transcriptome/Anopheles_sialome/links/cluster-b/anopheline-sialome-cds-pep-larger-orf40-50SimCLTL1.txt", 119)</f>
        <v>119</v>
      </c>
      <c r="BT586">
        <f>HYPERLINK("http://exon.niaid.nih.gov/transcriptome/Anopheles_sialome/links/cluster-b/anopheline-sialome-cds-pep-larger-orf45-50SimCLU24.txt", 24)</f>
        <v>24</v>
      </c>
      <c r="BU586">
        <f>HYPERLINK("http://exon.niaid.nih.gov/transcriptome/Anopheles_sialome/links/cluster-b/anopheline-sialome-cds-pep-larger-orf45-50SimCLTL24.txt", 18)</f>
        <v>18</v>
      </c>
      <c r="BV586">
        <f>HYPERLINK("http://exon.niaid.nih.gov/transcriptome/Anopheles_sialome/links/cluster-b/anopheline-sialome-cds-pep-larger-orf50-50SimCLU23.txt", 23)</f>
        <v>23</v>
      </c>
      <c r="BW586">
        <f>HYPERLINK("http://exon.niaid.nih.gov/transcriptome/Anopheles_sialome/links/cluster-b/anopheline-sialome-cds-pep-larger-orf50-50SimCLTL23.txt", 18)</f>
        <v>18</v>
      </c>
      <c r="BX586">
        <f>HYPERLINK("http://exon.niaid.nih.gov/transcriptome/Anopheles_sialome/links/cluster-b/anopheline-sialome-cds-pep-larger-orf55-50SimCLU31.txt", 31)</f>
        <v>31</v>
      </c>
      <c r="BY586">
        <f>HYPERLINK("http://exon.niaid.nih.gov/transcriptome/Anopheles_sialome/links/cluster-b/anopheline-sialome-cds-pep-larger-orf55-50SimCLTL31.txt", 16)</f>
        <v>16</v>
      </c>
      <c r="BZ586">
        <f>HYPERLINK("http://exon.niaid.nih.gov/transcriptome/Anopheles_sialome/links/cluster-b/anopheline-sialome-cds-pep-larger-orf60-50SimCLU34.txt", 34)</f>
        <v>34</v>
      </c>
      <c r="CA586">
        <f>HYPERLINK("http://exon.niaid.nih.gov/transcriptome/Anopheles_sialome/links/cluster-b/anopheline-sialome-cds-pep-larger-orf60-50SimCLTL34.txt", 12)</f>
        <v>12</v>
      </c>
      <c r="CB586">
        <f>HYPERLINK("http://exon.niaid.nih.gov/transcriptome/Anopheles_sialome/links/cluster-b/anopheline-sialome-cds-pep-larger-orf65-50SimCLU38.txt", 38)</f>
        <v>38</v>
      </c>
      <c r="CC586">
        <f>HYPERLINK("http://exon.niaid.nih.gov/transcriptome/Anopheles_sialome/links/cluster-b/anopheline-sialome-cds-pep-larger-orf65-50SimCLTL38.txt", 12)</f>
        <v>12</v>
      </c>
      <c r="CD586">
        <f>HYPERLINK("http://exon.niaid.nih.gov/transcriptome/Anopheles_sialome/links/cluster-b/anopheline-sialome-cds-pep-larger-orf70-50SimCLU40.txt", 40)</f>
        <v>40</v>
      </c>
      <c r="CE586">
        <f>HYPERLINK("http://exon.niaid.nih.gov/transcriptome/Anopheles_sialome/links/cluster-b/anopheline-sialome-cds-pep-larger-orf70-50SimCLTL40.txt", 12)</f>
        <v>12</v>
      </c>
      <c r="CF586">
        <f>HYPERLINK("http://exon.niaid.nih.gov/transcriptome/Anopheles_sialome/links/cluster-b/anopheline-sialome-cds-pep-larger-orf75-50SimCLU40.txt", 40)</f>
        <v>40</v>
      </c>
      <c r="CG586">
        <f>HYPERLINK("http://exon.niaid.nih.gov/transcriptome/Anopheles_sialome/links/cluster-b/anopheline-sialome-cds-pep-larger-orf75-50SimCLTL40.txt", 7)</f>
        <v>7</v>
      </c>
      <c r="CH586">
        <v>221</v>
      </c>
      <c r="CI586">
        <v>1</v>
      </c>
      <c r="CJ586">
        <v>298</v>
      </c>
      <c r="CK586">
        <v>1</v>
      </c>
      <c r="CL586">
        <v>377</v>
      </c>
      <c r="CM586">
        <v>1</v>
      </c>
      <c r="CN586">
        <v>456</v>
      </c>
      <c r="CO586">
        <v>1</v>
      </c>
    </row>
    <row r="587" spans="1:93">
      <c r="A587" s="2" t="str">
        <f>HYPERLINK("http://exon.niaid.nih.gov/transcriptome/Anopheles_sialome/links/cds/anofun_TRIO-cds.txt","anofun_TRIO")</f>
        <v>anofun_TRIO</v>
      </c>
      <c r="B587">
        <v>1173</v>
      </c>
      <c r="C587" t="s">
        <v>501</v>
      </c>
      <c r="D587" t="s">
        <v>4</v>
      </c>
      <c r="E587" t="s">
        <v>5</v>
      </c>
      <c r="F587" t="s">
        <v>1</v>
      </c>
      <c r="G587" t="str">
        <f>HYPERLINK("http://exon.niaid.nih.gov/transcriptome/Anopheles_sialome/links/pep/anofun_TRIO-pep.txt","anofun_TRIO")</f>
        <v>anofun_TRIO</v>
      </c>
      <c r="H587">
        <v>390</v>
      </c>
      <c r="I587">
        <v>2</v>
      </c>
      <c r="J587" s="3" t="str">
        <f>HYPERLINK("http://exon.niaid.nih.gov/transcriptome/Anopheles_sialome/links/Sigp/anofun_TRIO-SigP.txt","SIG")</f>
        <v>SIG</v>
      </c>
      <c r="K587" t="s">
        <v>695</v>
      </c>
      <c r="L587">
        <v>43.970999999999997</v>
      </c>
      <c r="M587">
        <v>7.63</v>
      </c>
      <c r="N587">
        <v>41.470999999999997</v>
      </c>
      <c r="O587">
        <v>8.19</v>
      </c>
      <c r="P587" t="s">
        <v>1926</v>
      </c>
      <c r="Q587" s="3">
        <v>0</v>
      </c>
      <c r="R587" t="s">
        <v>128</v>
      </c>
      <c r="S587" t="s">
        <v>128</v>
      </c>
      <c r="T587" t="s">
        <v>128</v>
      </c>
      <c r="U587" t="s">
        <v>128</v>
      </c>
      <c r="V587" t="s">
        <v>128</v>
      </c>
      <c r="W587" s="3" t="str">
        <f>HYPERLINK("http://exon.niaid.nih.gov/transcriptome/Anopheles_sialome/links/netoglyc/anofun_TRIO-netoglyc.txt","0")</f>
        <v>0</v>
      </c>
      <c r="X587">
        <v>10.3</v>
      </c>
      <c r="Y587">
        <v>3.8</v>
      </c>
      <c r="Z587">
        <v>4.9000000000000004</v>
      </c>
      <c r="AA587" t="s">
        <v>654</v>
      </c>
      <c r="AB587" t="s">
        <v>128</v>
      </c>
      <c r="AC587" s="2" t="str">
        <f>HYPERLINK("http://exon.niaid.nih.gov/transcriptome/Anopheles_sialome/links/DIPTERA/anofun_TRIO-DIPTERA.txt","trio 2 salivary protein")</f>
        <v>trio 2 salivary protein</v>
      </c>
      <c r="AD587" t="str">
        <f>HYPERLINK("http://www.ncbi.nlm.nih.gov/sutils/blink.cgi?pid=114865005","0.0")</f>
        <v>0.0</v>
      </c>
      <c r="AE587" t="str">
        <f>HYPERLINK("http://www.ncbi.nlm.nih.gov/protein/114865005","gi|114865005")</f>
        <v>gi|114865005</v>
      </c>
      <c r="AF587">
        <v>97</v>
      </c>
      <c r="AG587">
        <v>98</v>
      </c>
      <c r="AH587">
        <v>100</v>
      </c>
      <c r="AI587" t="s">
        <v>2266</v>
      </c>
      <c r="AJ587" s="2" t="s">
        <v>128</v>
      </c>
      <c r="AK587" t="s">
        <v>128</v>
      </c>
      <c r="AL587" t="s">
        <v>128</v>
      </c>
      <c r="AM587" t="s">
        <v>128</v>
      </c>
      <c r="AN587" t="s">
        <v>128</v>
      </c>
      <c r="AO587" t="s">
        <v>128</v>
      </c>
      <c r="AP587" t="s">
        <v>128</v>
      </c>
      <c r="AQ587" s="2" t="str">
        <f>HYPERLINK("http://exon.niaid.nih.gov/transcriptome/Anopheles_sialome/links/NR-LIGHT/anofun_TRIO-NR-LIGHT.txt","trio 2 salivary protein")</f>
        <v>trio 2 salivary protein</v>
      </c>
      <c r="AR587" t="str">
        <f>HYPERLINK("http://www.ncbi.nlm.nih.gov/sutils/blink.cgi?pid=114865005","0.0")</f>
        <v>0.0</v>
      </c>
      <c r="AS587" t="str">
        <f>HYPERLINK("http://www.ncbi.nlm.nih.gov/protein/114865005","gi|114865005")</f>
        <v>gi|114865005</v>
      </c>
      <c r="AT587">
        <v>97</v>
      </c>
      <c r="AU587">
        <v>98</v>
      </c>
      <c r="AV587">
        <v>100</v>
      </c>
      <c r="AW587" t="s">
        <v>2266</v>
      </c>
      <c r="AX587" s="2" t="str">
        <f>HYPERLINK("http://exon.niaid.nih.gov/transcriptome/Anopheles_sialome/links/CDD/anofun_TRIO-CDD.txt","rpsA")</f>
        <v>rpsA</v>
      </c>
      <c r="AY587" t="str">
        <f>HYPERLINK("http://www.ncbi.nlm.nih.gov/Structure/cdd/cddsrv.cgi?uid=PRK07899&amp;version=v4.0","0.43")</f>
        <v>0.43</v>
      </c>
      <c r="AZ587" t="s">
        <v>2973</v>
      </c>
      <c r="BA587" s="2" t="str">
        <f>HYPERLINK("http://exon.niaid.nih.gov/transcriptome/Anopheles_sialome/links/KOG/anofun_TRIO-KOG.txt","Predicted nuclear membrane protein involved in mRNA transport and sex determination via splicing modulation")</f>
        <v>Predicted nuclear membrane protein involved in mRNA transport and sex determination via splicing modulation</v>
      </c>
      <c r="BB587" t="str">
        <f>HYPERLINK("http://www.ncbi.nlm.nih.gov/Structure/cdd/cddsrv.cgi?uid=KOG4822","0.81")</f>
        <v>0.81</v>
      </c>
      <c r="BC587" t="s">
        <v>2974</v>
      </c>
      <c r="BD587" t="str">
        <f>HYPERLINK("http://exon.niaid.nih.gov/transcriptome/Anopheles_sialome/links/KOG/anofun_TRIO-KOG.txt","KOG4822")</f>
        <v>KOG4822</v>
      </c>
      <c r="BE587" t="str">
        <f>HYPERLINK("http://exon.niaid.nih.gov/transcriptome/Anopheles_sialome/links/PFAM/anofun_TRIO-PFAM.txt","Fmp27")</f>
        <v>Fmp27</v>
      </c>
      <c r="BF587" t="str">
        <f>HYPERLINK("http://pfam.sanger.ac.uk/family?acc=PF10344","1.1")</f>
        <v>1.1</v>
      </c>
      <c r="BG587" s="2" t="str">
        <f>HYPERLINK("http://exon.niaid.nih.gov/transcriptome/Anopheles_sialome/links/SMART/anofun_TRIO-SMART.txt","CT")</f>
        <v>CT</v>
      </c>
      <c r="BH587" t="str">
        <f>HYPERLINK("http://smart.embl-heidelberg.de/smart/do_annotation.pl?DOMAIN=CT&amp;BLAST=DUMMY","0.80")</f>
        <v>0.80</v>
      </c>
      <c r="BI587" t="str">
        <f>HYPERLINK("http://exon.niaid.nih.gov/transcriptome/Anopheles_sialome/links/TICK-BLOCKS/anofun_TRIO-TICK-BLOCKS.txt","SG1_full |SG1_stringent_pattern |")</f>
        <v>SG1_full |SG1_stringent_pattern |</v>
      </c>
      <c r="BJ587" s="2" t="s">
        <v>2423</v>
      </c>
      <c r="BK587" t="s">
        <v>1925</v>
      </c>
      <c r="BL587">
        <f>HYPERLINK("http://exon.niaid.nih.gov/transcriptome/Anopheles_sialome/links/cluster-b/anopheline-sialome-cds-pep-larger-orf25-50SimCLU3.txt", 3)</f>
        <v>3</v>
      </c>
      <c r="BM587">
        <f>HYPERLINK("http://exon.niaid.nih.gov/transcriptome/Anopheles_sialome/links/cluster-b/anopheline-sialome-cds-pep-larger-orf25-50SimCLTL3.txt", 119)</f>
        <v>119</v>
      </c>
      <c r="BN587">
        <f>HYPERLINK("http://exon.niaid.nih.gov/transcriptome/Anopheles_sialome/links/cluster-b/anopheline-sialome-cds-pep-larger-orf30-50SimCLU3.txt", 3)</f>
        <v>3</v>
      </c>
      <c r="BO587">
        <f>HYPERLINK("http://exon.niaid.nih.gov/transcriptome/Anopheles_sialome/links/cluster-b/anopheline-sialome-cds-pep-larger-orf30-50SimCLTL3.txt", 119)</f>
        <v>119</v>
      </c>
      <c r="BP587">
        <f>HYPERLINK("http://exon.niaid.nih.gov/transcriptome/Anopheles_sialome/links/cluster-b/anopheline-sialome-cds-pep-larger-orf35-50SimCLU2.txt", 2)</f>
        <v>2</v>
      </c>
      <c r="BQ587">
        <f>HYPERLINK("http://exon.niaid.nih.gov/transcriptome/Anopheles_sialome/links/cluster-b/anopheline-sialome-cds-pep-larger-orf35-50SimCLTL2.txt", 119)</f>
        <v>119</v>
      </c>
      <c r="BR587">
        <f>HYPERLINK("http://exon.niaid.nih.gov/transcriptome/Anopheles_sialome/links/cluster-b/anopheline-sialome-cds-pep-larger-orf40-50SimCLU1.txt", 1)</f>
        <v>1</v>
      </c>
      <c r="BS587">
        <f>HYPERLINK("http://exon.niaid.nih.gov/transcriptome/Anopheles_sialome/links/cluster-b/anopheline-sialome-cds-pep-larger-orf40-50SimCLTL1.txt", 119)</f>
        <v>119</v>
      </c>
      <c r="BT587">
        <f>HYPERLINK("http://exon.niaid.nih.gov/transcriptome/Anopheles_sialome/links/cluster-b/anopheline-sialome-cds-pep-larger-orf45-50SimCLU24.txt", 24)</f>
        <v>24</v>
      </c>
      <c r="BU587">
        <f>HYPERLINK("http://exon.niaid.nih.gov/transcriptome/Anopheles_sialome/links/cluster-b/anopheline-sialome-cds-pep-larger-orf45-50SimCLTL24.txt", 18)</f>
        <v>18</v>
      </c>
      <c r="BV587">
        <f>HYPERLINK("http://exon.niaid.nih.gov/transcriptome/Anopheles_sialome/links/cluster-b/anopheline-sialome-cds-pep-larger-orf50-50SimCLU23.txt", 23)</f>
        <v>23</v>
      </c>
      <c r="BW587">
        <f>HYPERLINK("http://exon.niaid.nih.gov/transcriptome/Anopheles_sialome/links/cluster-b/anopheline-sialome-cds-pep-larger-orf50-50SimCLTL23.txt", 18)</f>
        <v>18</v>
      </c>
      <c r="BX587">
        <f>HYPERLINK("http://exon.niaid.nih.gov/transcriptome/Anopheles_sialome/links/cluster-b/anopheline-sialome-cds-pep-larger-orf55-50SimCLU31.txt", 31)</f>
        <v>31</v>
      </c>
      <c r="BY587">
        <f>HYPERLINK("http://exon.niaid.nih.gov/transcriptome/Anopheles_sialome/links/cluster-b/anopheline-sialome-cds-pep-larger-orf55-50SimCLTL31.txt", 16)</f>
        <v>16</v>
      </c>
      <c r="BZ587">
        <f>HYPERLINK("http://exon.niaid.nih.gov/transcriptome/Anopheles_sialome/links/cluster-b/anopheline-sialome-cds-pep-larger-orf60-50SimCLU34.txt", 34)</f>
        <v>34</v>
      </c>
      <c r="CA587">
        <f>HYPERLINK("http://exon.niaid.nih.gov/transcriptome/Anopheles_sialome/links/cluster-b/anopheline-sialome-cds-pep-larger-orf60-50SimCLTL34.txt", 12)</f>
        <v>12</v>
      </c>
      <c r="CB587">
        <f>HYPERLINK("http://exon.niaid.nih.gov/transcriptome/Anopheles_sialome/links/cluster-b/anopheline-sialome-cds-pep-larger-orf65-50SimCLU38.txt", 38)</f>
        <v>38</v>
      </c>
      <c r="CC587">
        <f>HYPERLINK("http://exon.niaid.nih.gov/transcriptome/Anopheles_sialome/links/cluster-b/anopheline-sialome-cds-pep-larger-orf65-50SimCLTL38.txt", 12)</f>
        <v>12</v>
      </c>
      <c r="CD587">
        <f>HYPERLINK("http://exon.niaid.nih.gov/transcriptome/Anopheles_sialome/links/cluster-b/anopheline-sialome-cds-pep-larger-orf70-50SimCLU40.txt", 40)</f>
        <v>40</v>
      </c>
      <c r="CE587">
        <f>HYPERLINK("http://exon.niaid.nih.gov/transcriptome/Anopheles_sialome/links/cluster-b/anopheline-sialome-cds-pep-larger-orf70-50SimCLTL40.txt", 12)</f>
        <v>12</v>
      </c>
      <c r="CF587">
        <f>HYPERLINK("http://exon.niaid.nih.gov/transcriptome/Anopheles_sialome/links/cluster-b/anopheline-sialome-cds-pep-larger-orf75-50SimCLU50.txt", 50)</f>
        <v>50</v>
      </c>
      <c r="CG587">
        <f>HYPERLINK("http://exon.niaid.nih.gov/transcriptome/Anopheles_sialome/links/cluster-b/anopheline-sialome-cds-pep-larger-orf75-50SimCLTL50.txt", 5)</f>
        <v>5</v>
      </c>
      <c r="CH587">
        <v>222</v>
      </c>
      <c r="CI587">
        <v>1</v>
      </c>
      <c r="CJ587">
        <v>299</v>
      </c>
      <c r="CK587">
        <v>1</v>
      </c>
      <c r="CL587">
        <v>378</v>
      </c>
      <c r="CM587">
        <v>1</v>
      </c>
      <c r="CN587">
        <v>457</v>
      </c>
      <c r="CO587">
        <v>1</v>
      </c>
    </row>
    <row r="588" spans="1:93">
      <c r="A588" s="2" t="str">
        <f>HYPERLINK("http://exon.niaid.nih.gov/transcriptome/Anopheles_sialome/links/cds/anomin_TRIO-cds.txt","anomin_TRIO")</f>
        <v>anomin_TRIO</v>
      </c>
      <c r="B588">
        <v>1152</v>
      </c>
      <c r="C588" t="s">
        <v>502</v>
      </c>
      <c r="D588" t="s">
        <v>4</v>
      </c>
      <c r="E588" t="s">
        <v>5</v>
      </c>
      <c r="F588" t="s">
        <v>1</v>
      </c>
      <c r="G588" t="str">
        <f>HYPERLINK("http://exon.niaid.nih.gov/transcriptome/Anopheles_sialome/links/pep/anomin_TRIO-pep.txt","anomin_TRIO")</f>
        <v>anomin_TRIO</v>
      </c>
      <c r="H588">
        <v>383</v>
      </c>
      <c r="I588">
        <v>2</v>
      </c>
      <c r="J588" s="3" t="str">
        <f>HYPERLINK("http://exon.niaid.nih.gov/transcriptome/Anopheles_sialome/links/Sigp/anomin_TRIO-SigP.txt","SIG")</f>
        <v>SIG</v>
      </c>
      <c r="K588" t="s">
        <v>715</v>
      </c>
      <c r="L588">
        <v>42.719000000000001</v>
      </c>
      <c r="M588">
        <v>8.59</v>
      </c>
      <c r="N588">
        <v>40.106000000000002</v>
      </c>
      <c r="O588">
        <v>8.24</v>
      </c>
      <c r="P588" t="s">
        <v>1928</v>
      </c>
      <c r="Q588" s="3">
        <v>0</v>
      </c>
      <c r="R588" t="s">
        <v>128</v>
      </c>
      <c r="S588" t="s">
        <v>128</v>
      </c>
      <c r="T588" t="s">
        <v>128</v>
      </c>
      <c r="U588" t="s">
        <v>128</v>
      </c>
      <c r="V588" t="s">
        <v>128</v>
      </c>
      <c r="W588" s="3" t="str">
        <f>HYPERLINK("http://exon.niaid.nih.gov/transcriptome/Anopheles_sialome/links/netoglyc/anomin_TRIO-netoglyc.txt","1")</f>
        <v>1</v>
      </c>
      <c r="X588">
        <v>11.5</v>
      </c>
      <c r="Y588">
        <v>3.9</v>
      </c>
      <c r="Z588">
        <v>6</v>
      </c>
      <c r="AA588" t="s">
        <v>654</v>
      </c>
      <c r="AB588" t="s">
        <v>128</v>
      </c>
      <c r="AC588" s="2" t="str">
        <f>HYPERLINK("http://exon.niaid.nih.gov/transcriptome/Anopheles_sialome/links/DIPTERA/anomin_TRIO-DIPTERA.txt","trio 2 salivary protein")</f>
        <v>trio 2 salivary protein</v>
      </c>
      <c r="AD588" t="str">
        <f>HYPERLINK("http://www.ncbi.nlm.nih.gov/sutils/blink.cgi?pid=114865005","1E-142")</f>
        <v>1E-142</v>
      </c>
      <c r="AE588" t="str">
        <f>HYPERLINK("http://www.ncbi.nlm.nih.gov/protein/114865005","gi|114865005")</f>
        <v>gi|114865005</v>
      </c>
      <c r="AF588">
        <v>66</v>
      </c>
      <c r="AG588">
        <v>80</v>
      </c>
      <c r="AH588">
        <v>98</v>
      </c>
      <c r="AI588" t="s">
        <v>2266</v>
      </c>
      <c r="AJ588" s="2" t="s">
        <v>128</v>
      </c>
      <c r="AK588" t="s">
        <v>128</v>
      </c>
      <c r="AL588" t="s">
        <v>128</v>
      </c>
      <c r="AM588" t="s">
        <v>128</v>
      </c>
      <c r="AN588" t="s">
        <v>128</v>
      </c>
      <c r="AO588" t="s">
        <v>128</v>
      </c>
      <c r="AP588" t="s">
        <v>128</v>
      </c>
      <c r="AQ588" s="2" t="str">
        <f>HYPERLINK("http://exon.niaid.nih.gov/transcriptome/Anopheles_sialome/links/NR-LIGHT/anomin_TRIO-NR-LIGHT.txt","trio 2 salivary protein")</f>
        <v>trio 2 salivary protein</v>
      </c>
      <c r="AR588" t="str">
        <f>HYPERLINK("http://www.ncbi.nlm.nih.gov/sutils/blink.cgi?pid=114865005","1E-141")</f>
        <v>1E-141</v>
      </c>
      <c r="AS588" t="str">
        <f>HYPERLINK("http://www.ncbi.nlm.nih.gov/protein/114865005","gi|114865005")</f>
        <v>gi|114865005</v>
      </c>
      <c r="AT588">
        <v>66</v>
      </c>
      <c r="AU588">
        <v>80</v>
      </c>
      <c r="AV588">
        <v>98</v>
      </c>
      <c r="AW588" t="s">
        <v>2266</v>
      </c>
      <c r="AX588" s="2" t="str">
        <f>HYPERLINK("http://exon.niaid.nih.gov/transcriptome/Anopheles_sialome/links/CDD/anomin_TRIO-CDD.txt","KAP95")</f>
        <v>KAP95</v>
      </c>
      <c r="AY588" t="str">
        <f>HYPERLINK("http://www.ncbi.nlm.nih.gov/Structure/cdd/cddsrv.cgi?uid=COG5215&amp;version=v4.0","0.40")</f>
        <v>0.40</v>
      </c>
      <c r="AZ588" t="s">
        <v>2975</v>
      </c>
      <c r="BA588" s="2" t="str">
        <f>HYPERLINK("http://exon.niaid.nih.gov/transcriptome/Anopheles_sialome/links/KOG/anomin_TRIO-KOG.txt","Karyopherin (importin) beta 1")</f>
        <v>Karyopherin (importin) beta 1</v>
      </c>
      <c r="BB588" t="str">
        <f>HYPERLINK("http://www.ncbi.nlm.nih.gov/Structure/cdd/cddsrv.cgi?uid=KOG1241","0.002")</f>
        <v>0.002</v>
      </c>
      <c r="BC588" t="s">
        <v>2451</v>
      </c>
      <c r="BD588" t="str">
        <f>HYPERLINK("http://exon.niaid.nih.gov/transcriptome/Anopheles_sialome/links/KOG/anomin_TRIO-KOG.txt","KOG1241")</f>
        <v>KOG1241</v>
      </c>
      <c r="BE588" t="str">
        <f>HYPERLINK("http://exon.niaid.nih.gov/transcriptome/Anopheles_sialome/links/PFAM/anomin_TRIO-PFAM.txt","DUF4240")</f>
        <v>DUF4240</v>
      </c>
      <c r="BF588" t="str">
        <f>HYPERLINK("http://pfam.sanger.ac.uk/family?acc=PF14024","0.18")</f>
        <v>0.18</v>
      </c>
      <c r="BG588" s="2" t="str">
        <f>HYPERLINK("http://exon.niaid.nih.gov/transcriptome/Anopheles_sialome/links/SMART/anomin_TRIO-SMART.txt","DM4_12")</f>
        <v>DM4_12</v>
      </c>
      <c r="BH588" t="str">
        <f>HYPERLINK("http://smart.embl-heidelberg.de/smart/do_annotation.pl?DOMAIN=DM4_12&amp;BLAST=DUMMY","1.3")</f>
        <v>1.3</v>
      </c>
      <c r="BI588" t="str">
        <f>HYPERLINK("http://exon.niaid.nih.gov/transcriptome/Anopheles_sialome/links/TICK-BLOCKS/anomin_TRIO-TICK-BLOCKS.txt","SG1_stringent_pattern |")</f>
        <v>SG1_stringent_pattern |</v>
      </c>
      <c r="BJ588" s="2" t="s">
        <v>128</v>
      </c>
      <c r="BK588" t="s">
        <v>1927</v>
      </c>
      <c r="BL588">
        <f>HYPERLINK("http://exon.niaid.nih.gov/transcriptome/Anopheles_sialome/links/cluster-b/anopheline-sialome-cds-pep-larger-orf25-50SimCLU3.txt", 3)</f>
        <v>3</v>
      </c>
      <c r="BM588">
        <f>HYPERLINK("http://exon.niaid.nih.gov/transcriptome/Anopheles_sialome/links/cluster-b/anopheline-sialome-cds-pep-larger-orf25-50SimCLTL3.txt", 119)</f>
        <v>119</v>
      </c>
      <c r="BN588">
        <f>HYPERLINK("http://exon.niaid.nih.gov/transcriptome/Anopheles_sialome/links/cluster-b/anopheline-sialome-cds-pep-larger-orf30-50SimCLU3.txt", 3)</f>
        <v>3</v>
      </c>
      <c r="BO588">
        <f>HYPERLINK("http://exon.niaid.nih.gov/transcriptome/Anopheles_sialome/links/cluster-b/anopheline-sialome-cds-pep-larger-orf30-50SimCLTL3.txt", 119)</f>
        <v>119</v>
      </c>
      <c r="BP588">
        <f>HYPERLINK("http://exon.niaid.nih.gov/transcriptome/Anopheles_sialome/links/cluster-b/anopheline-sialome-cds-pep-larger-orf35-50SimCLU2.txt", 2)</f>
        <v>2</v>
      </c>
      <c r="BQ588">
        <f>HYPERLINK("http://exon.niaid.nih.gov/transcriptome/Anopheles_sialome/links/cluster-b/anopheline-sialome-cds-pep-larger-orf35-50SimCLTL2.txt", 119)</f>
        <v>119</v>
      </c>
      <c r="BR588">
        <f>HYPERLINK("http://exon.niaid.nih.gov/transcriptome/Anopheles_sialome/links/cluster-b/anopheline-sialome-cds-pep-larger-orf40-50SimCLU1.txt", 1)</f>
        <v>1</v>
      </c>
      <c r="BS588">
        <f>HYPERLINK("http://exon.niaid.nih.gov/transcriptome/Anopheles_sialome/links/cluster-b/anopheline-sialome-cds-pep-larger-orf40-50SimCLTL1.txt", 119)</f>
        <v>119</v>
      </c>
      <c r="BT588">
        <f>HYPERLINK("http://exon.niaid.nih.gov/transcriptome/Anopheles_sialome/links/cluster-b/anopheline-sialome-cds-pep-larger-orf45-50SimCLU24.txt", 24)</f>
        <v>24</v>
      </c>
      <c r="BU588">
        <f>HYPERLINK("http://exon.niaid.nih.gov/transcriptome/Anopheles_sialome/links/cluster-b/anopheline-sialome-cds-pep-larger-orf45-50SimCLTL24.txt", 18)</f>
        <v>18</v>
      </c>
      <c r="BV588">
        <f>HYPERLINK("http://exon.niaid.nih.gov/transcriptome/Anopheles_sialome/links/cluster-b/anopheline-sialome-cds-pep-larger-orf50-50SimCLU23.txt", 23)</f>
        <v>23</v>
      </c>
      <c r="BW588">
        <f>HYPERLINK("http://exon.niaid.nih.gov/transcriptome/Anopheles_sialome/links/cluster-b/anopheline-sialome-cds-pep-larger-orf50-50SimCLTL23.txt", 18)</f>
        <v>18</v>
      </c>
      <c r="BX588">
        <f>HYPERLINK("http://exon.niaid.nih.gov/transcriptome/Anopheles_sialome/links/cluster-b/anopheline-sialome-cds-pep-larger-orf55-50SimCLU31.txt", 31)</f>
        <v>31</v>
      </c>
      <c r="BY588">
        <f>HYPERLINK("http://exon.niaid.nih.gov/transcriptome/Anopheles_sialome/links/cluster-b/anopheline-sialome-cds-pep-larger-orf55-50SimCLTL31.txt", 16)</f>
        <v>16</v>
      </c>
      <c r="BZ588">
        <f>HYPERLINK("http://exon.niaid.nih.gov/transcriptome/Anopheles_sialome/links/cluster-b/anopheline-sialome-cds-pep-larger-orf60-50SimCLU34.txt", 34)</f>
        <v>34</v>
      </c>
      <c r="CA588">
        <f>HYPERLINK("http://exon.niaid.nih.gov/transcriptome/Anopheles_sialome/links/cluster-b/anopheline-sialome-cds-pep-larger-orf60-50SimCLTL34.txt", 12)</f>
        <v>12</v>
      </c>
      <c r="CB588">
        <f>HYPERLINK("http://exon.niaid.nih.gov/transcriptome/Anopheles_sialome/links/cluster-b/anopheline-sialome-cds-pep-larger-orf65-50SimCLU38.txt", 38)</f>
        <v>38</v>
      </c>
      <c r="CC588">
        <f>HYPERLINK("http://exon.niaid.nih.gov/transcriptome/Anopheles_sialome/links/cluster-b/anopheline-sialome-cds-pep-larger-orf65-50SimCLTL38.txt", 12)</f>
        <v>12</v>
      </c>
      <c r="CD588">
        <f>HYPERLINK("http://exon.niaid.nih.gov/transcriptome/Anopheles_sialome/links/cluster-b/anopheline-sialome-cds-pep-larger-orf70-50SimCLU40.txt", 40)</f>
        <v>40</v>
      </c>
      <c r="CE588">
        <f>HYPERLINK("http://exon.niaid.nih.gov/transcriptome/Anopheles_sialome/links/cluster-b/anopheline-sialome-cds-pep-larger-orf70-50SimCLTL40.txt", 12)</f>
        <v>12</v>
      </c>
      <c r="CF588">
        <f>HYPERLINK("http://exon.niaid.nih.gov/transcriptome/Anopheles_sialome/links/cluster-b/anopheline-sialome-cds-pep-larger-orf75-50SimCLU50.txt", 50)</f>
        <v>50</v>
      </c>
      <c r="CG588">
        <f>HYPERLINK("http://exon.niaid.nih.gov/transcriptome/Anopheles_sialome/links/cluster-b/anopheline-sialome-cds-pep-larger-orf75-50SimCLTL50.txt", 5)</f>
        <v>5</v>
      </c>
      <c r="CH588">
        <f>HYPERLINK("http://exon.niaid.nih.gov/transcriptome/Anopheles_sialome/links/cluster-b/anopheline-sialome-cds-pep-larger-orf80-50SimCLU99.txt", 99)</f>
        <v>99</v>
      </c>
      <c r="CI588">
        <f>HYPERLINK("http://exon.niaid.nih.gov/transcriptome/Anopheles_sialome/links/cluster-b/anopheline-sialome-cds-pep-larger-orf80-50SimCLTL99.txt", 2)</f>
        <v>2</v>
      </c>
      <c r="CJ588">
        <v>300</v>
      </c>
      <c r="CK588">
        <v>1</v>
      </c>
      <c r="CL588">
        <v>379</v>
      </c>
      <c r="CM588">
        <v>1</v>
      </c>
      <c r="CN588">
        <v>458</v>
      </c>
      <c r="CO588">
        <v>1</v>
      </c>
    </row>
    <row r="589" spans="1:93">
      <c r="A589" s="2" t="str">
        <f>HYPERLINK("http://exon.niaid.nih.gov/transcriptome/Anopheles_sialome/links/cds/anocul_TRIO-cds.txt","anocul_TRIO")</f>
        <v>anocul_TRIO</v>
      </c>
      <c r="B589">
        <v>1152</v>
      </c>
      <c r="C589" t="s">
        <v>503</v>
      </c>
      <c r="D589" t="s">
        <v>4</v>
      </c>
      <c r="E589" t="s">
        <v>5</v>
      </c>
      <c r="F589" t="s">
        <v>1</v>
      </c>
      <c r="G589" t="str">
        <f>HYPERLINK("http://exon.niaid.nih.gov/transcriptome/Anopheles_sialome/links/pep/anocul_TRIO-pep.txt","anocul_TRIO")</f>
        <v>anocul_TRIO</v>
      </c>
      <c r="H589">
        <v>383</v>
      </c>
      <c r="I589">
        <v>1</v>
      </c>
      <c r="J589" s="3" t="str">
        <f>HYPERLINK("http://exon.niaid.nih.gov/transcriptome/Anopheles_sialome/links/Sigp/anocul_TRIO-SigP.txt","SIG")</f>
        <v>SIG</v>
      </c>
      <c r="K589" t="s">
        <v>715</v>
      </c>
      <c r="L589">
        <v>42.581000000000003</v>
      </c>
      <c r="M589">
        <v>6.66</v>
      </c>
      <c r="N589">
        <v>40.052</v>
      </c>
      <c r="O589">
        <v>6.2</v>
      </c>
      <c r="P589" t="s">
        <v>1923</v>
      </c>
      <c r="Q589" s="3">
        <v>0</v>
      </c>
      <c r="R589" t="s">
        <v>128</v>
      </c>
      <c r="S589" t="s">
        <v>128</v>
      </c>
      <c r="T589" t="s">
        <v>128</v>
      </c>
      <c r="U589" t="s">
        <v>128</v>
      </c>
      <c r="V589" t="s">
        <v>128</v>
      </c>
      <c r="W589" s="3" t="str">
        <f>HYPERLINK("http://exon.niaid.nih.gov/transcriptome/Anopheles_sialome/links/netoglyc/anocul_TRIO-netoglyc.txt","1")</f>
        <v>1</v>
      </c>
      <c r="X589">
        <v>12.8</v>
      </c>
      <c r="Y589">
        <v>3.4</v>
      </c>
      <c r="Z589">
        <v>5</v>
      </c>
      <c r="AA589" t="s">
        <v>654</v>
      </c>
      <c r="AB589" t="s">
        <v>128</v>
      </c>
      <c r="AC589" s="2" t="str">
        <f>HYPERLINK("http://exon.niaid.nih.gov/transcriptome/Anopheles_sialome/links/DIPTERA/anocul_TRIO-DIPTERA.txt","trio 2 salivary protein")</f>
        <v>trio 2 salivary protein</v>
      </c>
      <c r="AD589" t="str">
        <f>HYPERLINK("http://www.ncbi.nlm.nih.gov/sutils/blink.cgi?pid=114865005","1E-137")</f>
        <v>1E-137</v>
      </c>
      <c r="AE589" t="str">
        <f>HYPERLINK("http://www.ncbi.nlm.nih.gov/protein/114865005","gi|114865005")</f>
        <v>gi|114865005</v>
      </c>
      <c r="AF589">
        <v>65</v>
      </c>
      <c r="AG589">
        <v>78</v>
      </c>
      <c r="AH589">
        <v>99</v>
      </c>
      <c r="AI589" t="s">
        <v>2266</v>
      </c>
      <c r="AJ589" s="2" t="str">
        <f>HYPERLINK("http://exon.niaid.nih.gov/transcriptome/Anopheles_sialome/links/CULICOMORPHA/anocul_TRIO-CULICOMORPHA.txt","trio 2 salivary protein")</f>
        <v>trio 2 salivary protein</v>
      </c>
      <c r="AK589" t="str">
        <f>HYPERLINK("http://www.ncbi.nlm.nih.gov/sutils/blink.cgi?pid=114865005","1E-138")</f>
        <v>1E-138</v>
      </c>
      <c r="AL589" t="str">
        <f>HYPERLINK("http://www.ncbi.nlm.nih.gov/protein/114865005","gi|114865005")</f>
        <v>gi|114865005</v>
      </c>
      <c r="AM589">
        <v>65</v>
      </c>
      <c r="AN589">
        <v>78</v>
      </c>
      <c r="AO589">
        <v>99</v>
      </c>
      <c r="AP589" t="s">
        <v>2266</v>
      </c>
      <c r="AQ589" s="2" t="str">
        <f>HYPERLINK("http://exon.niaid.nih.gov/transcriptome/Anopheles_sialome/links/NR-LIGHT/anocul_TRIO-NR-LIGHT.txt","trio 2 salivary protein")</f>
        <v>trio 2 salivary protein</v>
      </c>
      <c r="AR589" t="str">
        <f>HYPERLINK("http://www.ncbi.nlm.nih.gov/sutils/blink.cgi?pid=114865005","1E-137")</f>
        <v>1E-137</v>
      </c>
      <c r="AS589" t="str">
        <f>HYPERLINK("http://www.ncbi.nlm.nih.gov/protein/114865005","gi|114865005")</f>
        <v>gi|114865005</v>
      </c>
      <c r="AT589">
        <v>65</v>
      </c>
      <c r="AU589">
        <v>78</v>
      </c>
      <c r="AV589">
        <v>99</v>
      </c>
      <c r="AW589" t="s">
        <v>2266</v>
      </c>
      <c r="AX589" s="2" t="str">
        <f>HYPERLINK("http://exon.niaid.nih.gov/transcriptome/Anopheles_sialome/links/CDD/anocul_TRIO-CDD.txt"," Cobalt-precorr")</f>
        <v xml:space="preserve"> Cobalt-precorr</v>
      </c>
      <c r="AY589" t="str">
        <f>HYPERLINK("http://www.ncbi.nlm.nih.gov/Structure/cdd/cddsrv.cgi?uid=TIGR00312&amp;version=v4.0","0.94")</f>
        <v>0.94</v>
      </c>
      <c r="AZ589" t="s">
        <v>2976</v>
      </c>
      <c r="BA589" s="2" t="str">
        <f>HYPERLINK("http://exon.niaid.nih.gov/transcriptome/Anopheles_sialome/links/KOG/anocul_TRIO-KOG.txt","Ribonuclease")</f>
        <v>Ribonuclease</v>
      </c>
      <c r="BB589" t="str">
        <f>HYPERLINK("http://www.ncbi.nlm.nih.gov/Structure/cdd/cddsrv.cgi?uid=KOG1817","0.45")</f>
        <v>0.45</v>
      </c>
      <c r="BC589" t="s">
        <v>2464</v>
      </c>
      <c r="BD589" t="str">
        <f>HYPERLINK("http://exon.niaid.nih.gov/transcriptome/Anopheles_sialome/links/KOG/anocul_TRIO-KOG.txt","KOG1817")</f>
        <v>KOG1817</v>
      </c>
      <c r="BE589" t="str">
        <f>HYPERLINK("http://exon.niaid.nih.gov/transcriptome/Anopheles_sialome/links/PFAM/anocul_TRIO-PFAM.txt","TMV_coat")</f>
        <v>TMV_coat</v>
      </c>
      <c r="BF589" t="str">
        <f>HYPERLINK("http://pfam.sanger.ac.uk/family?acc=PF00721","0.33")</f>
        <v>0.33</v>
      </c>
      <c r="BG589" s="2" t="str">
        <f>HYPERLINK("http://exon.niaid.nih.gov/transcriptome/Anopheles_sialome/links/SMART/anocul_TRIO-SMART.txt","CP12")</f>
        <v>CP12</v>
      </c>
      <c r="BH589" t="str">
        <f>HYPERLINK("http://smart.embl-heidelberg.de/smart/do_annotation.pl?DOMAIN=CP12&amp;BLAST=DUMMY","2.0")</f>
        <v>2.0</v>
      </c>
      <c r="BI589" t="str">
        <f>HYPERLINK("http://exon.niaid.nih.gov/transcriptome/Anopheles_sialome/links/TICK-BLOCKS/anocul_TRIO-TICK-BLOCKS.txt","SG1_full |SG1_stringent_pattern |")</f>
        <v>SG1_full |SG1_stringent_pattern |</v>
      </c>
      <c r="BJ589" s="2" t="s">
        <v>2423</v>
      </c>
      <c r="BK589" t="s">
        <v>1929</v>
      </c>
      <c r="BL589">
        <f>HYPERLINK("http://exon.niaid.nih.gov/transcriptome/Anopheles_sialome/links/cluster-b/anopheline-sialome-cds-pep-larger-orf25-50SimCLU3.txt", 3)</f>
        <v>3</v>
      </c>
      <c r="BM589">
        <f>HYPERLINK("http://exon.niaid.nih.gov/transcriptome/Anopheles_sialome/links/cluster-b/anopheline-sialome-cds-pep-larger-orf25-50SimCLTL3.txt", 119)</f>
        <v>119</v>
      </c>
      <c r="BN589">
        <f>HYPERLINK("http://exon.niaid.nih.gov/transcriptome/Anopheles_sialome/links/cluster-b/anopheline-sialome-cds-pep-larger-orf30-50SimCLU3.txt", 3)</f>
        <v>3</v>
      </c>
      <c r="BO589">
        <f>HYPERLINK("http://exon.niaid.nih.gov/transcriptome/Anopheles_sialome/links/cluster-b/anopheline-sialome-cds-pep-larger-orf30-50SimCLTL3.txt", 119)</f>
        <v>119</v>
      </c>
      <c r="BP589">
        <f>HYPERLINK("http://exon.niaid.nih.gov/transcriptome/Anopheles_sialome/links/cluster-b/anopheline-sialome-cds-pep-larger-orf35-50SimCLU2.txt", 2)</f>
        <v>2</v>
      </c>
      <c r="BQ589">
        <f>HYPERLINK("http://exon.niaid.nih.gov/transcriptome/Anopheles_sialome/links/cluster-b/anopheline-sialome-cds-pep-larger-orf35-50SimCLTL2.txt", 119)</f>
        <v>119</v>
      </c>
      <c r="BR589">
        <f>HYPERLINK("http://exon.niaid.nih.gov/transcriptome/Anopheles_sialome/links/cluster-b/anopheline-sialome-cds-pep-larger-orf40-50SimCLU1.txt", 1)</f>
        <v>1</v>
      </c>
      <c r="BS589">
        <f>HYPERLINK("http://exon.niaid.nih.gov/transcriptome/Anopheles_sialome/links/cluster-b/anopheline-sialome-cds-pep-larger-orf40-50SimCLTL1.txt", 119)</f>
        <v>119</v>
      </c>
      <c r="BT589">
        <f>HYPERLINK("http://exon.niaid.nih.gov/transcriptome/Anopheles_sialome/links/cluster-b/anopheline-sialome-cds-pep-larger-orf45-50SimCLU24.txt", 24)</f>
        <v>24</v>
      </c>
      <c r="BU589">
        <f>HYPERLINK("http://exon.niaid.nih.gov/transcriptome/Anopheles_sialome/links/cluster-b/anopheline-sialome-cds-pep-larger-orf45-50SimCLTL24.txt", 18)</f>
        <v>18</v>
      </c>
      <c r="BV589">
        <f>HYPERLINK("http://exon.niaid.nih.gov/transcriptome/Anopheles_sialome/links/cluster-b/anopheline-sialome-cds-pep-larger-orf50-50SimCLU23.txt", 23)</f>
        <v>23</v>
      </c>
      <c r="BW589">
        <f>HYPERLINK("http://exon.niaid.nih.gov/transcriptome/Anopheles_sialome/links/cluster-b/anopheline-sialome-cds-pep-larger-orf50-50SimCLTL23.txt", 18)</f>
        <v>18</v>
      </c>
      <c r="BX589">
        <f>HYPERLINK("http://exon.niaid.nih.gov/transcriptome/Anopheles_sialome/links/cluster-b/anopheline-sialome-cds-pep-larger-orf55-50SimCLU31.txt", 31)</f>
        <v>31</v>
      </c>
      <c r="BY589">
        <f>HYPERLINK("http://exon.niaid.nih.gov/transcriptome/Anopheles_sialome/links/cluster-b/anopheline-sialome-cds-pep-larger-orf55-50SimCLTL31.txt", 16)</f>
        <v>16</v>
      </c>
      <c r="BZ589">
        <f>HYPERLINK("http://exon.niaid.nih.gov/transcriptome/Anopheles_sialome/links/cluster-b/anopheline-sialome-cds-pep-larger-orf60-50SimCLU34.txt", 34)</f>
        <v>34</v>
      </c>
      <c r="CA589">
        <f>HYPERLINK("http://exon.niaid.nih.gov/transcriptome/Anopheles_sialome/links/cluster-b/anopheline-sialome-cds-pep-larger-orf60-50SimCLTL34.txt", 12)</f>
        <v>12</v>
      </c>
      <c r="CB589">
        <f>HYPERLINK("http://exon.niaid.nih.gov/transcriptome/Anopheles_sialome/links/cluster-b/anopheline-sialome-cds-pep-larger-orf65-50SimCLU38.txt", 38)</f>
        <v>38</v>
      </c>
      <c r="CC589">
        <f>HYPERLINK("http://exon.niaid.nih.gov/transcriptome/Anopheles_sialome/links/cluster-b/anopheline-sialome-cds-pep-larger-orf65-50SimCLTL38.txt", 12)</f>
        <v>12</v>
      </c>
      <c r="CD589">
        <f>HYPERLINK("http://exon.niaid.nih.gov/transcriptome/Anopheles_sialome/links/cluster-b/anopheline-sialome-cds-pep-larger-orf70-50SimCLU40.txt", 40)</f>
        <v>40</v>
      </c>
      <c r="CE589">
        <f>HYPERLINK("http://exon.niaid.nih.gov/transcriptome/Anopheles_sialome/links/cluster-b/anopheline-sialome-cds-pep-larger-orf70-50SimCLTL40.txt", 12)</f>
        <v>12</v>
      </c>
      <c r="CF589">
        <f>HYPERLINK("http://exon.niaid.nih.gov/transcriptome/Anopheles_sialome/links/cluster-b/anopheline-sialome-cds-pep-larger-orf75-50SimCLU50.txt", 50)</f>
        <v>50</v>
      </c>
      <c r="CG589">
        <f>HYPERLINK("http://exon.niaid.nih.gov/transcriptome/Anopheles_sialome/links/cluster-b/anopheline-sialome-cds-pep-larger-orf75-50SimCLTL50.txt", 5)</f>
        <v>5</v>
      </c>
      <c r="CH589">
        <f>HYPERLINK("http://exon.niaid.nih.gov/transcriptome/Anopheles_sialome/links/cluster-b/anopheline-sialome-cds-pep-larger-orf80-50SimCLU99.txt", 99)</f>
        <v>99</v>
      </c>
      <c r="CI589">
        <f>HYPERLINK("http://exon.niaid.nih.gov/transcriptome/Anopheles_sialome/links/cluster-b/anopheline-sialome-cds-pep-larger-orf80-50SimCLTL99.txt", 2)</f>
        <v>2</v>
      </c>
      <c r="CJ589">
        <v>301</v>
      </c>
      <c r="CK589">
        <v>1</v>
      </c>
      <c r="CL589">
        <v>380</v>
      </c>
      <c r="CM589">
        <v>1</v>
      </c>
      <c r="CN589">
        <v>459</v>
      </c>
      <c r="CO589">
        <v>1</v>
      </c>
    </row>
    <row r="590" spans="1:93">
      <c r="A590" s="2" t="str">
        <f>HYPERLINK("http://exon.niaid.nih.gov/transcriptome/Anopheles_sialome/links/cds/anoste_TRIO-cds.txt","anoste_TRIO")</f>
        <v>anoste_TRIO</v>
      </c>
      <c r="B590">
        <v>1182</v>
      </c>
      <c r="C590" t="s">
        <v>504</v>
      </c>
      <c r="D590" t="s">
        <v>4</v>
      </c>
      <c r="E590" t="s">
        <v>5</v>
      </c>
      <c r="F590" t="s">
        <v>1</v>
      </c>
      <c r="G590" t="str">
        <f>HYPERLINK("http://exon.niaid.nih.gov/transcriptome/Anopheles_sialome/links/pep/anoste_TRIO-pep.txt","anoste_TRIO")</f>
        <v>anoste_TRIO</v>
      </c>
      <c r="H590">
        <v>393</v>
      </c>
      <c r="I590">
        <v>3</v>
      </c>
      <c r="J590" s="3" t="str">
        <f>HYPERLINK("http://exon.niaid.nih.gov/transcriptome/Anopheles_sialome/links/Sigp/anoste_TRIO-SigP.txt","SIG")</f>
        <v>SIG</v>
      </c>
      <c r="K590" t="s">
        <v>787</v>
      </c>
      <c r="L590">
        <v>43.764000000000003</v>
      </c>
      <c r="M590">
        <v>6.62</v>
      </c>
      <c r="N590">
        <v>40.994999999999997</v>
      </c>
      <c r="O590">
        <v>6.62</v>
      </c>
      <c r="P590" t="s">
        <v>1931</v>
      </c>
      <c r="Q590" s="3">
        <v>0</v>
      </c>
      <c r="R590" t="s">
        <v>128</v>
      </c>
      <c r="S590" t="s">
        <v>128</v>
      </c>
      <c r="T590" t="s">
        <v>128</v>
      </c>
      <c r="U590" t="s">
        <v>128</v>
      </c>
      <c r="V590" t="s">
        <v>128</v>
      </c>
      <c r="W590" s="3" t="str">
        <f>HYPERLINK("http://exon.niaid.nih.gov/transcriptome/Anopheles_sialome/links/netoglyc/anoste_TRIO-netoglyc.txt","2")</f>
        <v>2</v>
      </c>
      <c r="X590">
        <v>13</v>
      </c>
      <c r="Y590">
        <v>3.3</v>
      </c>
      <c r="Z590">
        <v>5.6</v>
      </c>
      <c r="AA590" t="s">
        <v>654</v>
      </c>
      <c r="AB590" t="s">
        <v>128</v>
      </c>
      <c r="AC590" s="2" t="str">
        <f>HYPERLINK("http://exon.niaid.nih.gov/transcriptome/Anopheles_sialome/links/DIPTERA/anoste_TRIO-DIPTERA.txt","TRIO salivary gland protein precursor")</f>
        <v>TRIO salivary gland protein precursor</v>
      </c>
      <c r="AD590" t="str">
        <f>HYPERLINK("http://www.ncbi.nlm.nih.gov/sutils/blink.cgi?pid=29501528","0.0")</f>
        <v>0.0</v>
      </c>
      <c r="AE590" t="str">
        <f>HYPERLINK("http://www.ncbi.nlm.nih.gov/protein/29501528","gi|29501528")</f>
        <v>gi|29501528</v>
      </c>
      <c r="AF590">
        <v>97</v>
      </c>
      <c r="AG590">
        <v>98</v>
      </c>
      <c r="AH590">
        <v>100</v>
      </c>
      <c r="AI590" t="s">
        <v>2271</v>
      </c>
      <c r="AJ590" s="2" t="str">
        <f>HYPERLINK("http://exon.niaid.nih.gov/transcriptome/Anopheles_sialome/links/CULICOMORPHA/anoste_TRIO-CULICOMORPHA.txt","TRIO salivary gland protein precursor")</f>
        <v>TRIO salivary gland protein precursor</v>
      </c>
      <c r="AK590" t="str">
        <f>HYPERLINK("http://www.ncbi.nlm.nih.gov/sutils/blink.cgi?pid=29501528","0.0")</f>
        <v>0.0</v>
      </c>
      <c r="AL590" t="str">
        <f>HYPERLINK("http://www.ncbi.nlm.nih.gov/protein/29501528","gi|29501528")</f>
        <v>gi|29501528</v>
      </c>
      <c r="AM590">
        <v>97</v>
      </c>
      <c r="AN590">
        <v>98</v>
      </c>
      <c r="AO590">
        <v>100</v>
      </c>
      <c r="AP590" t="s">
        <v>2271</v>
      </c>
      <c r="AQ590" s="2" t="str">
        <f>HYPERLINK("http://exon.niaid.nih.gov/transcriptome/Anopheles_sialome/links/NR-LIGHT/anoste_TRIO-NR-LIGHT.txt","TRIO salivary gland protein precursor")</f>
        <v>TRIO salivary gland protein precursor</v>
      </c>
      <c r="AR590" t="str">
        <f>HYPERLINK("http://www.ncbi.nlm.nih.gov/sutils/blink.cgi?pid=29501528","0.0")</f>
        <v>0.0</v>
      </c>
      <c r="AS590" t="str">
        <f>HYPERLINK("http://www.ncbi.nlm.nih.gov/protein/29501528","gi|29501528")</f>
        <v>gi|29501528</v>
      </c>
      <c r="AT590">
        <v>97</v>
      </c>
      <c r="AU590">
        <v>98</v>
      </c>
      <c r="AV590">
        <v>100</v>
      </c>
      <c r="AW590" t="s">
        <v>2271</v>
      </c>
      <c r="AX590" s="2" t="str">
        <f>HYPERLINK("http://exon.niaid.nih.gov/transcriptome/Anopheles_sialome/links/CDD/anoste_TRIO-CDD.txt","quino_hemo_SAM")</f>
        <v>quino_hemo_SAM</v>
      </c>
      <c r="AY590" t="str">
        <f>HYPERLINK("http://www.ncbi.nlm.nih.gov/Structure/cdd/cddsrv.cgi?uid=TIGR03906&amp;version=v4.0","0.87")</f>
        <v>0.87</v>
      </c>
      <c r="AZ590" t="s">
        <v>2977</v>
      </c>
      <c r="BA590" s="2" t="str">
        <f>HYPERLINK("http://exon.niaid.nih.gov/transcriptome/Anopheles_sialome/links/KOG/anoste_TRIO-KOG.txt","Mitochondrial 28S ribosomal protein S22")</f>
        <v>Mitochondrial 28S ribosomal protein S22</v>
      </c>
      <c r="BB590" t="str">
        <f>HYPERLINK("http://www.ncbi.nlm.nih.gov/Structure/cdd/cddsrv.cgi?uid=KOG3890","0.66")</f>
        <v>0.66</v>
      </c>
      <c r="BC590" t="s">
        <v>2260</v>
      </c>
      <c r="BD590" t="str">
        <f>HYPERLINK("http://exon.niaid.nih.gov/transcriptome/Anopheles_sialome/links/KOG/anoste_TRIO-KOG.txt","KOG3890")</f>
        <v>KOG3890</v>
      </c>
      <c r="BE590" t="str">
        <f>HYPERLINK("http://exon.niaid.nih.gov/transcriptome/Anopheles_sialome/links/PFAM/anoste_TRIO-PFAM.txt","DUF4527")</f>
        <v>DUF4527</v>
      </c>
      <c r="BF590" t="str">
        <f>HYPERLINK("http://pfam.sanger.ac.uk/family?acc=PF15030","0.20")</f>
        <v>0.20</v>
      </c>
      <c r="BG590" s="2" t="str">
        <f>HYPERLINK("http://exon.niaid.nih.gov/transcriptome/Anopheles_sialome/links/SMART/anoste_TRIO-SMART.txt","OmpH")</f>
        <v>OmpH</v>
      </c>
      <c r="BH590" t="str">
        <f>HYPERLINK("http://smart.embl-heidelberg.de/smart/do_annotation.pl?DOMAIN=OmpH&amp;BLAST=DUMMY","0.45")</f>
        <v>0.45</v>
      </c>
      <c r="BI590" t="str">
        <f>HYPERLINK("http://exon.niaid.nih.gov/transcriptome/Anopheles_sialome/links/TICK-BLOCKS/anoste_TRIO-TICK-BLOCKS.txt","SG1_full |SG1_stringent_pattern |")</f>
        <v>SG1_full |SG1_stringent_pattern |</v>
      </c>
      <c r="BJ590" s="2" t="s">
        <v>2423</v>
      </c>
      <c r="BK590" t="s">
        <v>1930</v>
      </c>
      <c r="BL590">
        <f>HYPERLINK("http://exon.niaid.nih.gov/transcriptome/Anopheles_sialome/links/cluster-b/anopheline-sialome-cds-pep-larger-orf25-50SimCLU3.txt", 3)</f>
        <v>3</v>
      </c>
      <c r="BM590">
        <f>HYPERLINK("http://exon.niaid.nih.gov/transcriptome/Anopheles_sialome/links/cluster-b/anopheline-sialome-cds-pep-larger-orf25-50SimCLTL3.txt", 119)</f>
        <v>119</v>
      </c>
      <c r="BN590">
        <f>HYPERLINK("http://exon.niaid.nih.gov/transcriptome/Anopheles_sialome/links/cluster-b/anopheline-sialome-cds-pep-larger-orf30-50SimCLU3.txt", 3)</f>
        <v>3</v>
      </c>
      <c r="BO590">
        <f>HYPERLINK("http://exon.niaid.nih.gov/transcriptome/Anopheles_sialome/links/cluster-b/anopheline-sialome-cds-pep-larger-orf30-50SimCLTL3.txt", 119)</f>
        <v>119</v>
      </c>
      <c r="BP590">
        <f>HYPERLINK("http://exon.niaid.nih.gov/transcriptome/Anopheles_sialome/links/cluster-b/anopheline-sialome-cds-pep-larger-orf35-50SimCLU2.txt", 2)</f>
        <v>2</v>
      </c>
      <c r="BQ590">
        <f>HYPERLINK("http://exon.niaid.nih.gov/transcriptome/Anopheles_sialome/links/cluster-b/anopheline-sialome-cds-pep-larger-orf35-50SimCLTL2.txt", 119)</f>
        <v>119</v>
      </c>
      <c r="BR590">
        <f>HYPERLINK("http://exon.niaid.nih.gov/transcriptome/Anopheles_sialome/links/cluster-b/anopheline-sialome-cds-pep-larger-orf40-50SimCLU1.txt", 1)</f>
        <v>1</v>
      </c>
      <c r="BS590">
        <f>HYPERLINK("http://exon.niaid.nih.gov/transcriptome/Anopheles_sialome/links/cluster-b/anopheline-sialome-cds-pep-larger-orf40-50SimCLTL1.txt", 119)</f>
        <v>119</v>
      </c>
      <c r="BT590">
        <f>HYPERLINK("http://exon.niaid.nih.gov/transcriptome/Anopheles_sialome/links/cluster-b/anopheline-sialome-cds-pep-larger-orf45-50SimCLU24.txt", 24)</f>
        <v>24</v>
      </c>
      <c r="BU590">
        <f>HYPERLINK("http://exon.niaid.nih.gov/transcriptome/Anopheles_sialome/links/cluster-b/anopheline-sialome-cds-pep-larger-orf45-50SimCLTL24.txt", 18)</f>
        <v>18</v>
      </c>
      <c r="BV590">
        <f>HYPERLINK("http://exon.niaid.nih.gov/transcriptome/Anopheles_sialome/links/cluster-b/anopheline-sialome-cds-pep-larger-orf50-50SimCLU23.txt", 23)</f>
        <v>23</v>
      </c>
      <c r="BW590">
        <f>HYPERLINK("http://exon.niaid.nih.gov/transcriptome/Anopheles_sialome/links/cluster-b/anopheline-sialome-cds-pep-larger-orf50-50SimCLTL23.txt", 18)</f>
        <v>18</v>
      </c>
      <c r="BX590">
        <f>HYPERLINK("http://exon.niaid.nih.gov/transcriptome/Anopheles_sialome/links/cluster-b/anopheline-sialome-cds-pep-larger-orf55-50SimCLU31.txt", 31)</f>
        <v>31</v>
      </c>
      <c r="BY590">
        <f>HYPERLINK("http://exon.niaid.nih.gov/transcriptome/Anopheles_sialome/links/cluster-b/anopheline-sialome-cds-pep-larger-orf55-50SimCLTL31.txt", 16)</f>
        <v>16</v>
      </c>
      <c r="BZ590">
        <f>HYPERLINK("http://exon.niaid.nih.gov/transcriptome/Anopheles_sialome/links/cluster-b/anopheline-sialome-cds-pep-larger-orf60-50SimCLU34.txt", 34)</f>
        <v>34</v>
      </c>
      <c r="CA590">
        <f>HYPERLINK("http://exon.niaid.nih.gov/transcriptome/Anopheles_sialome/links/cluster-b/anopheline-sialome-cds-pep-larger-orf60-50SimCLTL34.txt", 12)</f>
        <v>12</v>
      </c>
      <c r="CB590">
        <f>HYPERLINK("http://exon.niaid.nih.gov/transcriptome/Anopheles_sialome/links/cluster-b/anopheline-sialome-cds-pep-larger-orf65-50SimCLU38.txt", 38)</f>
        <v>38</v>
      </c>
      <c r="CC590">
        <f>HYPERLINK("http://exon.niaid.nih.gov/transcriptome/Anopheles_sialome/links/cluster-b/anopheline-sialome-cds-pep-larger-orf65-50SimCLTL38.txt", 12)</f>
        <v>12</v>
      </c>
      <c r="CD590">
        <f>HYPERLINK("http://exon.niaid.nih.gov/transcriptome/Anopheles_sialome/links/cluster-b/anopheline-sialome-cds-pep-larger-orf70-50SimCLU40.txt", 40)</f>
        <v>40</v>
      </c>
      <c r="CE590">
        <f>HYPERLINK("http://exon.niaid.nih.gov/transcriptome/Anopheles_sialome/links/cluster-b/anopheline-sialome-cds-pep-larger-orf70-50SimCLTL40.txt", 12)</f>
        <v>12</v>
      </c>
      <c r="CF590">
        <f>HYPERLINK("http://exon.niaid.nih.gov/transcriptome/Anopheles_sialome/links/cluster-b/anopheline-sialome-cds-pep-larger-orf75-50SimCLU50.txt", 50)</f>
        <v>50</v>
      </c>
      <c r="CG590">
        <f>HYPERLINK("http://exon.niaid.nih.gov/transcriptome/Anopheles_sialome/links/cluster-b/anopheline-sialome-cds-pep-larger-orf75-50SimCLTL50.txt", 5)</f>
        <v>5</v>
      </c>
      <c r="CH590">
        <f>HYPERLINK("http://exon.niaid.nih.gov/transcriptome/Anopheles_sialome/links/cluster-b/anopheline-sialome-cds-pep-larger-orf80-50SimCLU100.txt", 100)</f>
        <v>100</v>
      </c>
      <c r="CI590">
        <f>HYPERLINK("http://exon.niaid.nih.gov/transcriptome/Anopheles_sialome/links/cluster-b/anopheline-sialome-cds-pep-larger-orf80-50SimCLTL100.txt", 2)</f>
        <v>2</v>
      </c>
      <c r="CJ590">
        <f>HYPERLINK("http://exon.niaid.nih.gov/transcriptome/Anopheles_sialome/links/cluster-b/anopheline-sialome-cds-pep-larger-orf85-50SimCLU100.txt", 100)</f>
        <v>100</v>
      </c>
      <c r="CK590">
        <f>HYPERLINK("http://exon.niaid.nih.gov/transcriptome/Anopheles_sialome/links/cluster-b/anopheline-sialome-cds-pep-larger-orf85-50SimCLTL100.txt", 2)</f>
        <v>2</v>
      </c>
      <c r="CL590">
        <v>381</v>
      </c>
      <c r="CM590">
        <v>1</v>
      </c>
      <c r="CN590">
        <v>460</v>
      </c>
      <c r="CO590">
        <v>1</v>
      </c>
    </row>
    <row r="591" spans="1:93">
      <c r="A591" s="2" t="str">
        <f>HYPERLINK("http://exon.niaid.nih.gov/transcriptome/Anopheles_sialome/links/cds/anomac_TRIO-cds.txt","anomac_TRIO")</f>
        <v>anomac_TRIO</v>
      </c>
      <c r="B591">
        <v>1170</v>
      </c>
      <c r="C591" t="s">
        <v>505</v>
      </c>
      <c r="D591" t="s">
        <v>4</v>
      </c>
      <c r="E591" t="s">
        <v>5</v>
      </c>
      <c r="F591" t="s">
        <v>1</v>
      </c>
      <c r="G591" t="str">
        <f>HYPERLINK("http://exon.niaid.nih.gov/transcriptome/Anopheles_sialome/links/pep/anomac_TRIO-pep.txt","anomac_TRIO")</f>
        <v>anomac_TRIO</v>
      </c>
      <c r="H591">
        <v>389</v>
      </c>
      <c r="I591">
        <v>3</v>
      </c>
      <c r="J591" s="3" t="str">
        <f>HYPERLINK("http://exon.niaid.nih.gov/transcriptome/Anopheles_sialome/links/Sigp/anomac_TRIO-SigP.txt","SIG")</f>
        <v>SIG</v>
      </c>
      <c r="K591" t="s">
        <v>692</v>
      </c>
      <c r="L591">
        <v>43.448999999999998</v>
      </c>
      <c r="M591">
        <v>8.1</v>
      </c>
      <c r="N591">
        <v>41.334000000000003</v>
      </c>
      <c r="O591">
        <v>7.76</v>
      </c>
      <c r="P591" t="s">
        <v>1933</v>
      </c>
      <c r="Q591" s="3">
        <v>0</v>
      </c>
      <c r="R591" t="s">
        <v>128</v>
      </c>
      <c r="S591" t="s">
        <v>128</v>
      </c>
      <c r="T591" t="s">
        <v>128</v>
      </c>
      <c r="U591" t="s">
        <v>128</v>
      </c>
      <c r="V591" t="s">
        <v>128</v>
      </c>
      <c r="W591" s="3" t="str">
        <f>HYPERLINK("http://exon.niaid.nih.gov/transcriptome/Anopheles_sialome/links/netoglyc/anomac_TRIO-netoglyc.txt","1")</f>
        <v>1</v>
      </c>
      <c r="X591">
        <v>12.1</v>
      </c>
      <c r="Y591">
        <v>3.3</v>
      </c>
      <c r="Z591">
        <v>5.9</v>
      </c>
      <c r="AA591" t="s">
        <v>654</v>
      </c>
      <c r="AB591" t="s">
        <v>128</v>
      </c>
      <c r="AC591" s="2" t="str">
        <f>HYPERLINK("http://exon.niaid.nih.gov/transcriptome/Anopheles_sialome/links/DIPTERA/anomac_TRIO-DIPTERA.txt","TRIO salivary gland protein precursor")</f>
        <v>TRIO salivary gland protein precursor</v>
      </c>
      <c r="AD591" t="str">
        <f>HYPERLINK("http://www.ncbi.nlm.nih.gov/sutils/blink.cgi?pid=29501528","1E-169")</f>
        <v>1E-169</v>
      </c>
      <c r="AE591" t="str">
        <f>HYPERLINK("http://www.ncbi.nlm.nih.gov/protein/29501528","gi|29501528")</f>
        <v>gi|29501528</v>
      </c>
      <c r="AF591">
        <v>77</v>
      </c>
      <c r="AG591">
        <v>86</v>
      </c>
      <c r="AH591">
        <v>99</v>
      </c>
      <c r="AI591" t="s">
        <v>2271</v>
      </c>
      <c r="AJ591" s="2" t="str">
        <f>HYPERLINK("http://exon.niaid.nih.gov/transcriptome/Anopheles_sialome/links/CULICOMORPHA/anomac_TRIO-CULICOMORPHA.txt","TRIO salivary gland protein precursor")</f>
        <v>TRIO salivary gland protein precursor</v>
      </c>
      <c r="AK591" t="str">
        <f>HYPERLINK("http://www.ncbi.nlm.nih.gov/sutils/blink.cgi?pid=29501528","1E-170")</f>
        <v>1E-170</v>
      </c>
      <c r="AL591" t="str">
        <f>HYPERLINK("http://www.ncbi.nlm.nih.gov/protein/29501528","gi|29501528")</f>
        <v>gi|29501528</v>
      </c>
      <c r="AM591">
        <v>77</v>
      </c>
      <c r="AN591">
        <v>86</v>
      </c>
      <c r="AO591">
        <v>99</v>
      </c>
      <c r="AP591" t="s">
        <v>2271</v>
      </c>
      <c r="AQ591" s="2" t="str">
        <f>HYPERLINK("http://exon.niaid.nih.gov/transcriptome/Anopheles_sialome/links/NR-LIGHT/anomac_TRIO-NR-LIGHT.txt","TRIO salivary gland protein precursor")</f>
        <v>TRIO salivary gland protein precursor</v>
      </c>
      <c r="AR591" t="str">
        <f>HYPERLINK("http://www.ncbi.nlm.nih.gov/sutils/blink.cgi?pid=29501528","1E-169")</f>
        <v>1E-169</v>
      </c>
      <c r="AS591" t="str">
        <f>HYPERLINK("http://www.ncbi.nlm.nih.gov/protein/29501528","gi|29501528")</f>
        <v>gi|29501528</v>
      </c>
      <c r="AT591">
        <v>77</v>
      </c>
      <c r="AU591">
        <v>86</v>
      </c>
      <c r="AV591">
        <v>99</v>
      </c>
      <c r="AW591" t="s">
        <v>2271</v>
      </c>
      <c r="AX591" s="2" t="str">
        <f>HYPERLINK("http://exon.niaid.nih.gov/transcriptome/Anopheles_sialome/links/CDD/anomac_TRIO-CDD.txt","DUF3452")</f>
        <v>DUF3452</v>
      </c>
      <c r="AY591" t="str">
        <f>HYPERLINK("http://www.ncbi.nlm.nih.gov/Structure/cdd/cddsrv.cgi?uid=pfam11934&amp;version=v4.0","3.6")</f>
        <v>3.6</v>
      </c>
      <c r="AZ591" t="s">
        <v>2978</v>
      </c>
      <c r="BA591" s="2" t="str">
        <f>HYPERLINK("http://exon.niaid.nih.gov/transcriptome/Anopheles_sialome/links/KOG/anomac_TRIO-KOG.txt","Translin-associated protein X")</f>
        <v>Translin-associated protein X</v>
      </c>
      <c r="BB591" t="str">
        <f>HYPERLINK("http://www.ncbi.nlm.nih.gov/Structure/cdd/cddsrv.cgi?uid=KOG3066","0.30")</f>
        <v>0.30</v>
      </c>
      <c r="BC591" t="s">
        <v>2310</v>
      </c>
      <c r="BD591" t="str">
        <f>HYPERLINK("http://exon.niaid.nih.gov/transcriptome/Anopheles_sialome/links/KOG/anomac_TRIO-KOG.txt","KOG3066")</f>
        <v>KOG3066</v>
      </c>
      <c r="BE591" t="str">
        <f>HYPERLINK("http://exon.niaid.nih.gov/transcriptome/Anopheles_sialome/links/PFAM/anomac_TRIO-PFAM.txt","DUF3452")</f>
        <v>DUF3452</v>
      </c>
      <c r="BF591" t="str">
        <f>HYPERLINK("http://pfam.sanger.ac.uk/family?acc=PF11934","0.71")</f>
        <v>0.71</v>
      </c>
      <c r="BG591" s="2" t="str">
        <f>HYPERLINK("http://exon.niaid.nih.gov/transcriptome/Anopheles_sialome/links/SMART/anomac_TRIO-SMART.txt","Beta-Casp")</f>
        <v>Beta-Casp</v>
      </c>
      <c r="BH591" t="str">
        <f>HYPERLINK("http://smart.embl-heidelberg.de/smart/do_annotation.pl?DOMAIN=Beta-Casp&amp;BLAST=DUMMY","0.59")</f>
        <v>0.59</v>
      </c>
      <c r="BI591" t="str">
        <f>HYPERLINK("http://exon.niaid.nih.gov/transcriptome/Anopheles_sialome/links/TICK-BLOCKS/anomac_TRIO-TICK-BLOCKS.txt","SG1_full |SG1_stringent_pattern |")</f>
        <v>SG1_full |SG1_stringent_pattern |</v>
      </c>
      <c r="BJ591" s="2" t="s">
        <v>2423</v>
      </c>
      <c r="BK591" t="s">
        <v>1932</v>
      </c>
      <c r="BL591">
        <f>HYPERLINK("http://exon.niaid.nih.gov/transcriptome/Anopheles_sialome/links/cluster-b/anopheline-sialome-cds-pep-larger-orf25-50SimCLU3.txt", 3)</f>
        <v>3</v>
      </c>
      <c r="BM591">
        <f>HYPERLINK("http://exon.niaid.nih.gov/transcriptome/Anopheles_sialome/links/cluster-b/anopheline-sialome-cds-pep-larger-orf25-50SimCLTL3.txt", 119)</f>
        <v>119</v>
      </c>
      <c r="BN591">
        <f>HYPERLINK("http://exon.niaid.nih.gov/transcriptome/Anopheles_sialome/links/cluster-b/anopheline-sialome-cds-pep-larger-orf30-50SimCLU3.txt", 3)</f>
        <v>3</v>
      </c>
      <c r="BO591">
        <f>HYPERLINK("http://exon.niaid.nih.gov/transcriptome/Anopheles_sialome/links/cluster-b/anopheline-sialome-cds-pep-larger-orf30-50SimCLTL3.txt", 119)</f>
        <v>119</v>
      </c>
      <c r="BP591">
        <f>HYPERLINK("http://exon.niaid.nih.gov/transcriptome/Anopheles_sialome/links/cluster-b/anopheline-sialome-cds-pep-larger-orf35-50SimCLU2.txt", 2)</f>
        <v>2</v>
      </c>
      <c r="BQ591">
        <f>HYPERLINK("http://exon.niaid.nih.gov/transcriptome/Anopheles_sialome/links/cluster-b/anopheline-sialome-cds-pep-larger-orf35-50SimCLTL2.txt", 119)</f>
        <v>119</v>
      </c>
      <c r="BR591">
        <f>HYPERLINK("http://exon.niaid.nih.gov/transcriptome/Anopheles_sialome/links/cluster-b/anopheline-sialome-cds-pep-larger-orf40-50SimCLU1.txt", 1)</f>
        <v>1</v>
      </c>
      <c r="BS591">
        <f>HYPERLINK("http://exon.niaid.nih.gov/transcriptome/Anopheles_sialome/links/cluster-b/anopheline-sialome-cds-pep-larger-orf40-50SimCLTL1.txt", 119)</f>
        <v>119</v>
      </c>
      <c r="BT591">
        <f>HYPERLINK("http://exon.niaid.nih.gov/transcriptome/Anopheles_sialome/links/cluster-b/anopheline-sialome-cds-pep-larger-orf45-50SimCLU24.txt", 24)</f>
        <v>24</v>
      </c>
      <c r="BU591">
        <f>HYPERLINK("http://exon.niaid.nih.gov/transcriptome/Anopheles_sialome/links/cluster-b/anopheline-sialome-cds-pep-larger-orf45-50SimCLTL24.txt", 18)</f>
        <v>18</v>
      </c>
      <c r="BV591">
        <f>HYPERLINK("http://exon.niaid.nih.gov/transcriptome/Anopheles_sialome/links/cluster-b/anopheline-sialome-cds-pep-larger-orf50-50SimCLU23.txt", 23)</f>
        <v>23</v>
      </c>
      <c r="BW591">
        <f>HYPERLINK("http://exon.niaid.nih.gov/transcriptome/Anopheles_sialome/links/cluster-b/anopheline-sialome-cds-pep-larger-orf50-50SimCLTL23.txt", 18)</f>
        <v>18</v>
      </c>
      <c r="BX591">
        <f>HYPERLINK("http://exon.niaid.nih.gov/transcriptome/Anopheles_sialome/links/cluster-b/anopheline-sialome-cds-pep-larger-orf55-50SimCLU31.txt", 31)</f>
        <v>31</v>
      </c>
      <c r="BY591">
        <f>HYPERLINK("http://exon.niaid.nih.gov/transcriptome/Anopheles_sialome/links/cluster-b/anopheline-sialome-cds-pep-larger-orf55-50SimCLTL31.txt", 16)</f>
        <v>16</v>
      </c>
      <c r="BZ591">
        <f>HYPERLINK("http://exon.niaid.nih.gov/transcriptome/Anopheles_sialome/links/cluster-b/anopheline-sialome-cds-pep-larger-orf60-50SimCLU34.txt", 34)</f>
        <v>34</v>
      </c>
      <c r="CA591">
        <f>HYPERLINK("http://exon.niaid.nih.gov/transcriptome/Anopheles_sialome/links/cluster-b/anopheline-sialome-cds-pep-larger-orf60-50SimCLTL34.txt", 12)</f>
        <v>12</v>
      </c>
      <c r="CB591">
        <f>HYPERLINK("http://exon.niaid.nih.gov/transcriptome/Anopheles_sialome/links/cluster-b/anopheline-sialome-cds-pep-larger-orf65-50SimCLU38.txt", 38)</f>
        <v>38</v>
      </c>
      <c r="CC591">
        <f>HYPERLINK("http://exon.niaid.nih.gov/transcriptome/Anopheles_sialome/links/cluster-b/anopheline-sialome-cds-pep-larger-orf65-50SimCLTL38.txt", 12)</f>
        <v>12</v>
      </c>
      <c r="CD591">
        <f>HYPERLINK("http://exon.niaid.nih.gov/transcriptome/Anopheles_sialome/links/cluster-b/anopheline-sialome-cds-pep-larger-orf70-50SimCLU40.txt", 40)</f>
        <v>40</v>
      </c>
      <c r="CE591">
        <f>HYPERLINK("http://exon.niaid.nih.gov/transcriptome/Anopheles_sialome/links/cluster-b/anopheline-sialome-cds-pep-larger-orf70-50SimCLTL40.txt", 12)</f>
        <v>12</v>
      </c>
      <c r="CF591">
        <f>HYPERLINK("http://exon.niaid.nih.gov/transcriptome/Anopheles_sialome/links/cluster-b/anopheline-sialome-cds-pep-larger-orf75-50SimCLU50.txt", 50)</f>
        <v>50</v>
      </c>
      <c r="CG591">
        <f>HYPERLINK("http://exon.niaid.nih.gov/transcriptome/Anopheles_sialome/links/cluster-b/anopheline-sialome-cds-pep-larger-orf75-50SimCLTL50.txt", 5)</f>
        <v>5</v>
      </c>
      <c r="CH591">
        <f>HYPERLINK("http://exon.niaid.nih.gov/transcriptome/Anopheles_sialome/links/cluster-b/anopheline-sialome-cds-pep-larger-orf80-50SimCLU100.txt", 100)</f>
        <v>100</v>
      </c>
      <c r="CI591">
        <f>HYPERLINK("http://exon.niaid.nih.gov/transcriptome/Anopheles_sialome/links/cluster-b/anopheline-sialome-cds-pep-larger-orf80-50SimCLTL100.txt", 2)</f>
        <v>2</v>
      </c>
      <c r="CJ591">
        <f>HYPERLINK("http://exon.niaid.nih.gov/transcriptome/Anopheles_sialome/links/cluster-b/anopheline-sialome-cds-pep-larger-orf85-50SimCLU100.txt", 100)</f>
        <v>100</v>
      </c>
      <c r="CK591">
        <f>HYPERLINK("http://exon.niaid.nih.gov/transcriptome/Anopheles_sialome/links/cluster-b/anopheline-sialome-cds-pep-larger-orf85-50SimCLTL100.txt", 2)</f>
        <v>2</v>
      </c>
      <c r="CL591">
        <v>382</v>
      </c>
      <c r="CM591">
        <v>1</v>
      </c>
      <c r="CN591">
        <v>461</v>
      </c>
      <c r="CO591">
        <v>1</v>
      </c>
    </row>
    <row r="592" spans="1:93">
      <c r="A592" s="2" t="str">
        <f>HYPERLINK("http://exon.niaid.nih.gov/transcriptome/Anopheles_sialome/links/cds/anofar_TRIO-cds.txt","anofar_TRIO")</f>
        <v>anofar_TRIO</v>
      </c>
      <c r="B592">
        <v>1152</v>
      </c>
      <c r="C592" t="s">
        <v>4</v>
      </c>
      <c r="D592" s="8" t="s">
        <v>3178</v>
      </c>
      <c r="E592" t="s">
        <v>5</v>
      </c>
      <c r="F592" t="s">
        <v>1</v>
      </c>
      <c r="G592" t="str">
        <f>HYPERLINK("http://exon.niaid.nih.gov/transcriptome/Anopheles_sialome/links/pep/anofar_TRIO-pep.txt","anofar_TRIO")</f>
        <v>anofar_TRIO</v>
      </c>
      <c r="H592">
        <v>383</v>
      </c>
      <c r="I592">
        <v>2</v>
      </c>
      <c r="J592" s="3" t="str">
        <f>HYPERLINK("http://exon.niaid.nih.gov/transcriptome/Anopheles_sialome/links/Sigp/anofar_TRIO-SigP.txt","SIG")</f>
        <v>SIG</v>
      </c>
      <c r="K592" t="s">
        <v>787</v>
      </c>
      <c r="L592">
        <v>43.65</v>
      </c>
      <c r="M592">
        <v>6.05</v>
      </c>
      <c r="N592">
        <v>40.948</v>
      </c>
      <c r="O592">
        <v>6.06</v>
      </c>
      <c r="P592" t="s">
        <v>1935</v>
      </c>
      <c r="Q592" s="3" t="str">
        <f>HYPERLINK("http://exon.niaid.nih.gov/transcriptome/Anopheles_sialome/links/tmhmm/anofar_TRIO-tmhmm.txt","1")</f>
        <v>1</v>
      </c>
      <c r="R592">
        <v>5.7</v>
      </c>
      <c r="S592">
        <v>92.4</v>
      </c>
      <c r="T592">
        <v>1.8</v>
      </c>
      <c r="U592" t="s">
        <v>128</v>
      </c>
      <c r="V592">
        <v>354</v>
      </c>
      <c r="W592" s="3" t="str">
        <f>HYPERLINK("http://exon.niaid.nih.gov/transcriptome/Anopheles_sialome/links/netoglyc/anofar_TRIO-netoglyc.txt","1")</f>
        <v>1</v>
      </c>
      <c r="X592">
        <v>10.7</v>
      </c>
      <c r="Y592">
        <v>3.1</v>
      </c>
      <c r="Z592">
        <v>5</v>
      </c>
      <c r="AA592" t="s">
        <v>654</v>
      </c>
      <c r="AB592" t="s">
        <v>128</v>
      </c>
      <c r="AC592" s="2" t="str">
        <f>HYPERLINK("http://exon.niaid.nih.gov/transcriptome/Anopheles_sialome/links/DIPTERA/anofar_TRIO-DIPTERA.txt","TRIO salivary gland protein precursor")</f>
        <v>TRIO salivary gland protein precursor</v>
      </c>
      <c r="AD592" t="str">
        <f>HYPERLINK("http://www.ncbi.nlm.nih.gov/sutils/blink.cgi?pid=29501528","6E-062")</f>
        <v>6E-062</v>
      </c>
      <c r="AE592" t="str">
        <f>HYPERLINK("http://www.ncbi.nlm.nih.gov/protein/29501528","gi|29501528")</f>
        <v>gi|29501528</v>
      </c>
      <c r="AF592">
        <v>36</v>
      </c>
      <c r="AG592">
        <v>58</v>
      </c>
      <c r="AH592">
        <v>97</v>
      </c>
      <c r="AI592" t="s">
        <v>2271</v>
      </c>
      <c r="AJ592" s="2" t="str">
        <f>HYPERLINK("http://exon.niaid.nih.gov/transcriptome/Anopheles_sialome/links/CULICOMORPHA/anofar_TRIO-CULICOMORPHA.txt","TRIO salivary gland protein precursor")</f>
        <v>TRIO salivary gland protein precursor</v>
      </c>
      <c r="AK592" t="str">
        <f>HYPERLINK("http://www.ncbi.nlm.nih.gov/sutils/blink.cgi?pid=29501528","1E-062")</f>
        <v>1E-062</v>
      </c>
      <c r="AL592" t="str">
        <f>HYPERLINK("http://www.ncbi.nlm.nih.gov/protein/29501528","gi|29501528")</f>
        <v>gi|29501528</v>
      </c>
      <c r="AM592">
        <v>36</v>
      </c>
      <c r="AN592">
        <v>58</v>
      </c>
      <c r="AO592">
        <v>97</v>
      </c>
      <c r="AP592" t="s">
        <v>2271</v>
      </c>
      <c r="AQ592" s="2" t="str">
        <f>HYPERLINK("http://exon.niaid.nih.gov/transcriptome/Anopheles_sialome/links/NR-LIGHT/anofar_TRIO-NR-LIGHT.txt","TRIO salivary gland protein precursor")</f>
        <v>TRIO salivary gland protein precursor</v>
      </c>
      <c r="AR592" t="str">
        <f>HYPERLINK("http://www.ncbi.nlm.nih.gov/sutils/blink.cgi?pid=29501528","2E-061")</f>
        <v>2E-061</v>
      </c>
      <c r="AS592" t="str">
        <f>HYPERLINK("http://www.ncbi.nlm.nih.gov/protein/29501528","gi|29501528")</f>
        <v>gi|29501528</v>
      </c>
      <c r="AT592">
        <v>36</v>
      </c>
      <c r="AU592">
        <v>58</v>
      </c>
      <c r="AV592">
        <v>97</v>
      </c>
      <c r="AW592" t="s">
        <v>2271</v>
      </c>
      <c r="AX592" s="2" t="str">
        <f>HYPERLINK("http://exon.niaid.nih.gov/transcriptome/Anopheles_sialome/links/CDD/anofar_TRIO-CDD.txt","PRK10807")</f>
        <v>PRK10807</v>
      </c>
      <c r="AY592" t="str">
        <f>HYPERLINK("http://www.ncbi.nlm.nih.gov/Structure/cdd/cddsrv.cgi?uid=PRK10807&amp;version=v4.0","0.29")</f>
        <v>0.29</v>
      </c>
      <c r="AZ592" t="s">
        <v>2979</v>
      </c>
      <c r="BA592" s="2" t="str">
        <f>HYPERLINK("http://exon.niaid.nih.gov/transcriptome/Anopheles_sialome/links/KOG/anofar_TRIO-KOG.txt","Rho/Rac1-interacting serine/threonine kinase Citron")</f>
        <v>Rho/Rac1-interacting serine/threonine kinase Citron</v>
      </c>
      <c r="BB592" t="str">
        <f>HYPERLINK("http://www.ncbi.nlm.nih.gov/Structure/cdd/cddsrv.cgi?uid=KOG0976","0.35")</f>
        <v>0.35</v>
      </c>
      <c r="BC592" t="s">
        <v>2292</v>
      </c>
      <c r="BD592" t="str">
        <f>HYPERLINK("http://exon.niaid.nih.gov/transcriptome/Anopheles_sialome/links/KOG/anofar_TRIO-KOG.txt","KOG0976")</f>
        <v>KOG0976</v>
      </c>
      <c r="BE592" t="str">
        <f>HYPERLINK("http://exon.niaid.nih.gov/transcriptome/Anopheles_sialome/links/PFAM/anofar_TRIO-PFAM.txt","PDCD9")</f>
        <v>PDCD9</v>
      </c>
      <c r="BF592" t="str">
        <f>HYPERLINK("http://pfam.sanger.ac.uk/family?acc=PF07147","0.084")</f>
        <v>0.084</v>
      </c>
      <c r="BG592" s="2" t="str">
        <f>HYPERLINK("http://exon.niaid.nih.gov/transcriptome/Anopheles_sialome/links/SMART/anofar_TRIO-SMART.txt","DEXDc2")</f>
        <v>DEXDc2</v>
      </c>
      <c r="BH592" t="str">
        <f>HYPERLINK("http://smart.embl-heidelberg.de/smart/do_annotation.pl?DOMAIN=DEXDc2&amp;BLAST=DUMMY","0.56")</f>
        <v>0.56</v>
      </c>
      <c r="BI592" t="str">
        <f>HYPERLINK("http://exon.niaid.nih.gov/transcriptome/Anopheles_sialome/links/TICK-BLOCKS/anofar_TRIO-TICK-BLOCKS.txt","SG1_full |SG1_stringent_pattern |")</f>
        <v>SG1_full |SG1_stringent_pattern |</v>
      </c>
      <c r="BJ592" s="2" t="s">
        <v>2423</v>
      </c>
      <c r="BK592" t="s">
        <v>1934</v>
      </c>
      <c r="BL592">
        <f>HYPERLINK("http://exon.niaid.nih.gov/transcriptome/Anopheles_sialome/links/cluster-b/anopheline-sialome-cds-pep-larger-orf25-50SimCLU3.txt", 3)</f>
        <v>3</v>
      </c>
      <c r="BM592">
        <f>HYPERLINK("http://exon.niaid.nih.gov/transcriptome/Anopheles_sialome/links/cluster-b/anopheline-sialome-cds-pep-larger-orf25-50SimCLTL3.txt", 119)</f>
        <v>119</v>
      </c>
      <c r="BN592">
        <f>HYPERLINK("http://exon.niaid.nih.gov/transcriptome/Anopheles_sialome/links/cluster-b/anopheline-sialome-cds-pep-larger-orf30-50SimCLU3.txt", 3)</f>
        <v>3</v>
      </c>
      <c r="BO592">
        <f>HYPERLINK("http://exon.niaid.nih.gov/transcriptome/Anopheles_sialome/links/cluster-b/anopheline-sialome-cds-pep-larger-orf30-50SimCLTL3.txt", 119)</f>
        <v>119</v>
      </c>
      <c r="BP592">
        <f>HYPERLINK("http://exon.niaid.nih.gov/transcriptome/Anopheles_sialome/links/cluster-b/anopheline-sialome-cds-pep-larger-orf35-50SimCLU2.txt", 2)</f>
        <v>2</v>
      </c>
      <c r="BQ592">
        <f>HYPERLINK("http://exon.niaid.nih.gov/transcriptome/Anopheles_sialome/links/cluster-b/anopheline-sialome-cds-pep-larger-orf35-50SimCLTL2.txt", 119)</f>
        <v>119</v>
      </c>
      <c r="BR592">
        <f>HYPERLINK("http://exon.niaid.nih.gov/transcriptome/Anopheles_sialome/links/cluster-b/anopheline-sialome-cds-pep-larger-orf40-50SimCLU1.txt", 1)</f>
        <v>1</v>
      </c>
      <c r="BS592">
        <f>HYPERLINK("http://exon.niaid.nih.gov/transcriptome/Anopheles_sialome/links/cluster-b/anopheline-sialome-cds-pep-larger-orf40-50SimCLTL1.txt", 119)</f>
        <v>119</v>
      </c>
      <c r="BT592">
        <f>HYPERLINK("http://exon.niaid.nih.gov/transcriptome/Anopheles_sialome/links/cluster-b/anopheline-sialome-cds-pep-larger-orf45-50SimCLU24.txt", 24)</f>
        <v>24</v>
      </c>
      <c r="BU592">
        <f>HYPERLINK("http://exon.niaid.nih.gov/transcriptome/Anopheles_sialome/links/cluster-b/anopheline-sialome-cds-pep-larger-orf45-50SimCLTL24.txt", 18)</f>
        <v>18</v>
      </c>
      <c r="BV592">
        <f>HYPERLINK("http://exon.niaid.nih.gov/transcriptome/Anopheles_sialome/links/cluster-b/anopheline-sialome-cds-pep-larger-orf50-50SimCLU23.txt", 23)</f>
        <v>23</v>
      </c>
      <c r="BW592">
        <f>HYPERLINK("http://exon.niaid.nih.gov/transcriptome/Anopheles_sialome/links/cluster-b/anopheline-sialome-cds-pep-larger-orf50-50SimCLTL23.txt", 18)</f>
        <v>18</v>
      </c>
      <c r="BX592">
        <f>HYPERLINK("http://exon.niaid.nih.gov/transcriptome/Anopheles_sialome/links/cluster-b/anopheline-sialome-cds-pep-larger-orf55-50SimCLU31.txt", 31)</f>
        <v>31</v>
      </c>
      <c r="BY592">
        <f>HYPERLINK("http://exon.niaid.nih.gov/transcriptome/Anopheles_sialome/links/cluster-b/anopheline-sialome-cds-pep-larger-orf55-50SimCLTL31.txt", 16)</f>
        <v>16</v>
      </c>
      <c r="BZ592">
        <f>HYPERLINK("http://exon.niaid.nih.gov/transcriptome/Anopheles_sialome/links/cluster-b/anopheline-sialome-cds-pep-larger-orf60-50SimCLU48.txt", 48)</f>
        <v>48</v>
      </c>
      <c r="CA592">
        <f>HYPERLINK("http://exon.niaid.nih.gov/transcriptome/Anopheles_sialome/links/cluster-b/anopheline-sialome-cds-pep-larger-orf60-50SimCLTL48.txt", 2)</f>
        <v>2</v>
      </c>
      <c r="CB592">
        <f>HYPERLINK("http://exon.niaid.nih.gov/transcriptome/Anopheles_sialome/links/cluster-b/anopheline-sialome-cds-pep-larger-orf65-50SimCLU57.txt", 57)</f>
        <v>57</v>
      </c>
      <c r="CC592">
        <f>HYPERLINK("http://exon.niaid.nih.gov/transcriptome/Anopheles_sialome/links/cluster-b/anopheline-sialome-cds-pep-larger-orf65-50SimCLTL57.txt", 2)</f>
        <v>2</v>
      </c>
      <c r="CD592">
        <f>HYPERLINK("http://exon.niaid.nih.gov/transcriptome/Anopheles_sialome/links/cluster-b/anopheline-sialome-cds-pep-larger-orf70-50SimCLU64.txt", 64)</f>
        <v>64</v>
      </c>
      <c r="CE592">
        <f>HYPERLINK("http://exon.niaid.nih.gov/transcriptome/Anopheles_sialome/links/cluster-b/anopheline-sialome-cds-pep-larger-orf70-50SimCLTL64.txt", 2)</f>
        <v>2</v>
      </c>
      <c r="CF592">
        <v>158</v>
      </c>
      <c r="CG592">
        <v>1</v>
      </c>
      <c r="CH592">
        <v>223</v>
      </c>
      <c r="CI592">
        <v>1</v>
      </c>
      <c r="CJ592">
        <v>302</v>
      </c>
      <c r="CK592">
        <v>1</v>
      </c>
      <c r="CL592">
        <v>383</v>
      </c>
      <c r="CM592">
        <v>1</v>
      </c>
      <c r="CN592">
        <v>462</v>
      </c>
      <c r="CO592">
        <v>1</v>
      </c>
    </row>
    <row r="593" spans="1:93">
      <c r="A593" s="2" t="str">
        <f>HYPERLINK("http://exon.niaid.nih.gov/transcriptome/Anopheles_sialome/links/cds/anodir_TRIO-cds.txt","anodir_TRIO")</f>
        <v>anodir_TRIO</v>
      </c>
      <c r="B593">
        <v>1134</v>
      </c>
      <c r="C593" t="s">
        <v>506</v>
      </c>
      <c r="D593" t="s">
        <v>4</v>
      </c>
      <c r="E593" t="s">
        <v>5</v>
      </c>
      <c r="F593" t="s">
        <v>1</v>
      </c>
      <c r="G593" t="str">
        <f>HYPERLINK("http://exon.niaid.nih.gov/transcriptome/Anopheles_sialome/links/pep/anodir_TRIO-pep.txt","anodir_TRIO")</f>
        <v>anodir_TRIO</v>
      </c>
      <c r="H593">
        <v>377</v>
      </c>
      <c r="I593">
        <v>3</v>
      </c>
      <c r="J593" s="3" t="str">
        <f>HYPERLINK("http://exon.niaid.nih.gov/transcriptome/Anopheles_sialome/links/Sigp/anodir_TRIO-SigP.txt","SIG")</f>
        <v>SIG</v>
      </c>
      <c r="K593" t="s">
        <v>708</v>
      </c>
      <c r="L593">
        <v>41.948999999999998</v>
      </c>
      <c r="M593">
        <v>5.21</v>
      </c>
      <c r="N593">
        <v>39.838000000000001</v>
      </c>
      <c r="O593">
        <v>5.21</v>
      </c>
      <c r="P593" t="s">
        <v>1937</v>
      </c>
      <c r="Q593" s="3">
        <v>0</v>
      </c>
      <c r="R593" t="s">
        <v>128</v>
      </c>
      <c r="S593" t="s">
        <v>128</v>
      </c>
      <c r="T593" t="s">
        <v>128</v>
      </c>
      <c r="U593" t="s">
        <v>128</v>
      </c>
      <c r="V593" t="s">
        <v>128</v>
      </c>
      <c r="W593" s="3" t="str">
        <f>HYPERLINK("http://exon.niaid.nih.gov/transcriptome/Anopheles_sialome/links/netoglyc/anodir_TRIO-netoglyc.txt","1")</f>
        <v>1</v>
      </c>
      <c r="X593">
        <v>11.9</v>
      </c>
      <c r="Y593">
        <v>4.5</v>
      </c>
      <c r="Z593">
        <v>5.8</v>
      </c>
      <c r="AA593" t="s">
        <v>654</v>
      </c>
      <c r="AB593" t="s">
        <v>128</v>
      </c>
      <c r="AC593" s="2" t="str">
        <f>HYPERLINK("http://exon.niaid.nih.gov/transcriptome/Anopheles_sialome/links/DIPTERA/anodir_TRIO-DIPTERA.txt","trio 2 salivary protein")</f>
        <v>trio 2 salivary protein</v>
      </c>
      <c r="AD593" t="str">
        <f>HYPERLINK("http://www.ncbi.nlm.nih.gov/sutils/blink.cgi?pid=114865005","3E-075")</f>
        <v>3E-075</v>
      </c>
      <c r="AE593" t="str">
        <f>HYPERLINK("http://www.ncbi.nlm.nih.gov/protein/114865005","gi|114865005")</f>
        <v>gi|114865005</v>
      </c>
      <c r="AF593">
        <v>41</v>
      </c>
      <c r="AG593">
        <v>59</v>
      </c>
      <c r="AH593">
        <v>99</v>
      </c>
      <c r="AI593" t="s">
        <v>2266</v>
      </c>
      <c r="AJ593" s="2" t="str">
        <f>HYPERLINK("http://exon.niaid.nih.gov/transcriptome/Anopheles_sialome/links/CULICOMORPHA/anodir_TRIO-CULICOMORPHA.txt","trio 2 salivary protein")</f>
        <v>trio 2 salivary protein</v>
      </c>
      <c r="AK593" t="str">
        <f>HYPERLINK("http://www.ncbi.nlm.nih.gov/sutils/blink.cgi?pid=114865005","5E-076")</f>
        <v>5E-076</v>
      </c>
      <c r="AL593" t="str">
        <f>HYPERLINK("http://www.ncbi.nlm.nih.gov/protein/114865005","gi|114865005")</f>
        <v>gi|114865005</v>
      </c>
      <c r="AM593">
        <v>41</v>
      </c>
      <c r="AN593">
        <v>59</v>
      </c>
      <c r="AO593">
        <v>99</v>
      </c>
      <c r="AP593" t="s">
        <v>2266</v>
      </c>
      <c r="AQ593" s="2" t="str">
        <f>HYPERLINK("http://exon.niaid.nih.gov/transcriptome/Anopheles_sialome/links/NR-LIGHT/anodir_TRIO-NR-LIGHT.txt","trio 2 salivary protein")</f>
        <v>trio 2 salivary protein</v>
      </c>
      <c r="AR593" t="str">
        <f>HYPERLINK("http://www.ncbi.nlm.nih.gov/sutils/blink.cgi?pid=114865005","8E-075")</f>
        <v>8E-075</v>
      </c>
      <c r="AS593" t="str">
        <f>HYPERLINK("http://www.ncbi.nlm.nih.gov/protein/114865005","gi|114865005")</f>
        <v>gi|114865005</v>
      </c>
      <c r="AT593">
        <v>41</v>
      </c>
      <c r="AU593">
        <v>59</v>
      </c>
      <c r="AV593">
        <v>99</v>
      </c>
      <c r="AW593" t="s">
        <v>2266</v>
      </c>
      <c r="AX593" s="2" t="str">
        <f>HYPERLINK("http://exon.niaid.nih.gov/transcriptome/Anopheles_sialome/links/CDD/anodir_TRIO-CDD.txt","PRK12278")</f>
        <v>PRK12278</v>
      </c>
      <c r="AY593" t="str">
        <f>HYPERLINK("http://www.ncbi.nlm.nih.gov/Structure/cdd/cddsrv.cgi?uid=PRK12278&amp;version=v4.0","0.18")</f>
        <v>0.18</v>
      </c>
      <c r="AZ593" t="s">
        <v>2980</v>
      </c>
      <c r="BA593" s="2" t="str">
        <f>HYPERLINK("http://exon.niaid.nih.gov/transcriptome/Anopheles_sialome/links/KOG/anodir_TRIO-KOG.txt","Predicted nucleotide kinase")</f>
        <v>Predicted nucleotide kinase</v>
      </c>
      <c r="BB593" t="str">
        <f>HYPERLINK("http://www.ncbi.nlm.nih.gov/Structure/cdd/cddsrv.cgi?uid=KOG4622","1.5")</f>
        <v>1.5</v>
      </c>
      <c r="BC593" t="s">
        <v>2310</v>
      </c>
      <c r="BD593" t="str">
        <f>HYPERLINK("http://exon.niaid.nih.gov/transcriptome/Anopheles_sialome/links/KOG/anodir_TRIO-KOG.txt","KOG4622")</f>
        <v>KOG4622</v>
      </c>
      <c r="BE593" t="str">
        <f>HYPERLINK("http://exon.niaid.nih.gov/transcriptome/Anopheles_sialome/links/PFAM/anodir_TRIO-PFAM.txt","SAC3_GANP")</f>
        <v>SAC3_GANP</v>
      </c>
      <c r="BF593" t="str">
        <f>HYPERLINK("http://pfam.sanger.ac.uk/family?acc=PF03399","0.26")</f>
        <v>0.26</v>
      </c>
      <c r="BG593" s="2" t="str">
        <f>HYPERLINK("http://exon.niaid.nih.gov/transcriptome/Anopheles_sialome/links/SMART/anodir_TRIO-SMART.txt","PDGF")</f>
        <v>PDGF</v>
      </c>
      <c r="BH593" t="str">
        <f>HYPERLINK("http://smart.embl-heidelberg.de/smart/do_annotation.pl?DOMAIN=PDGF&amp;BLAST=DUMMY","1.3")</f>
        <v>1.3</v>
      </c>
      <c r="BI593" t="str">
        <f>HYPERLINK("http://exon.niaid.nih.gov/transcriptome/Anopheles_sialome/links/TICK-BLOCKS/anodir_TRIO-TICK-BLOCKS.txt","SG1_stringent_pattern |")</f>
        <v>SG1_stringent_pattern |</v>
      </c>
      <c r="BJ593" s="2" t="s">
        <v>128</v>
      </c>
      <c r="BK593" t="s">
        <v>1936</v>
      </c>
      <c r="BL593">
        <f>HYPERLINK("http://exon.niaid.nih.gov/transcriptome/Anopheles_sialome/links/cluster-b/anopheline-sialome-cds-pep-larger-orf25-50SimCLU3.txt", 3)</f>
        <v>3</v>
      </c>
      <c r="BM593">
        <f>HYPERLINK("http://exon.niaid.nih.gov/transcriptome/Anopheles_sialome/links/cluster-b/anopheline-sialome-cds-pep-larger-orf25-50SimCLTL3.txt", 119)</f>
        <v>119</v>
      </c>
      <c r="BN593">
        <f>HYPERLINK("http://exon.niaid.nih.gov/transcriptome/Anopheles_sialome/links/cluster-b/anopheline-sialome-cds-pep-larger-orf30-50SimCLU3.txt", 3)</f>
        <v>3</v>
      </c>
      <c r="BO593">
        <f>HYPERLINK("http://exon.niaid.nih.gov/transcriptome/Anopheles_sialome/links/cluster-b/anopheline-sialome-cds-pep-larger-orf30-50SimCLTL3.txt", 119)</f>
        <v>119</v>
      </c>
      <c r="BP593">
        <f>HYPERLINK("http://exon.niaid.nih.gov/transcriptome/Anopheles_sialome/links/cluster-b/anopheline-sialome-cds-pep-larger-orf35-50SimCLU2.txt", 2)</f>
        <v>2</v>
      </c>
      <c r="BQ593">
        <f>HYPERLINK("http://exon.niaid.nih.gov/transcriptome/Anopheles_sialome/links/cluster-b/anopheline-sialome-cds-pep-larger-orf35-50SimCLTL2.txt", 119)</f>
        <v>119</v>
      </c>
      <c r="BR593">
        <f>HYPERLINK("http://exon.niaid.nih.gov/transcriptome/Anopheles_sialome/links/cluster-b/anopheline-sialome-cds-pep-larger-orf40-50SimCLU1.txt", 1)</f>
        <v>1</v>
      </c>
      <c r="BS593">
        <f>HYPERLINK("http://exon.niaid.nih.gov/transcriptome/Anopheles_sialome/links/cluster-b/anopheline-sialome-cds-pep-larger-orf40-50SimCLTL1.txt", 119)</f>
        <v>119</v>
      </c>
      <c r="BT593">
        <f>HYPERLINK("http://exon.niaid.nih.gov/transcriptome/Anopheles_sialome/links/cluster-b/anopheline-sialome-cds-pep-larger-orf45-50SimCLU24.txt", 24)</f>
        <v>24</v>
      </c>
      <c r="BU593">
        <f>HYPERLINK("http://exon.niaid.nih.gov/transcriptome/Anopheles_sialome/links/cluster-b/anopheline-sialome-cds-pep-larger-orf45-50SimCLTL24.txt", 18)</f>
        <v>18</v>
      </c>
      <c r="BV593">
        <f>HYPERLINK("http://exon.niaid.nih.gov/transcriptome/Anopheles_sialome/links/cluster-b/anopheline-sialome-cds-pep-larger-orf50-50SimCLU23.txt", 23)</f>
        <v>23</v>
      </c>
      <c r="BW593">
        <f>HYPERLINK("http://exon.niaid.nih.gov/transcriptome/Anopheles_sialome/links/cluster-b/anopheline-sialome-cds-pep-larger-orf50-50SimCLTL23.txt", 18)</f>
        <v>18</v>
      </c>
      <c r="BX593">
        <f>HYPERLINK("http://exon.niaid.nih.gov/transcriptome/Anopheles_sialome/links/cluster-b/anopheline-sialome-cds-pep-larger-orf55-50SimCLU31.txt", 31)</f>
        <v>31</v>
      </c>
      <c r="BY593">
        <f>HYPERLINK("http://exon.niaid.nih.gov/transcriptome/Anopheles_sialome/links/cluster-b/anopheline-sialome-cds-pep-larger-orf55-50SimCLTL31.txt", 16)</f>
        <v>16</v>
      </c>
      <c r="BZ593">
        <f>HYPERLINK("http://exon.niaid.nih.gov/transcriptome/Anopheles_sialome/links/cluster-b/anopheline-sialome-cds-pep-larger-orf60-50SimCLU48.txt", 48)</f>
        <v>48</v>
      </c>
      <c r="CA593">
        <f>HYPERLINK("http://exon.niaid.nih.gov/transcriptome/Anopheles_sialome/links/cluster-b/anopheline-sialome-cds-pep-larger-orf60-50SimCLTL48.txt", 2)</f>
        <v>2</v>
      </c>
      <c r="CB593">
        <f>HYPERLINK("http://exon.niaid.nih.gov/transcriptome/Anopheles_sialome/links/cluster-b/anopheline-sialome-cds-pep-larger-orf65-50SimCLU57.txt", 57)</f>
        <v>57</v>
      </c>
      <c r="CC593">
        <f>HYPERLINK("http://exon.niaid.nih.gov/transcriptome/Anopheles_sialome/links/cluster-b/anopheline-sialome-cds-pep-larger-orf65-50SimCLTL57.txt", 2)</f>
        <v>2</v>
      </c>
      <c r="CD593">
        <f>HYPERLINK("http://exon.niaid.nih.gov/transcriptome/Anopheles_sialome/links/cluster-b/anopheline-sialome-cds-pep-larger-orf70-50SimCLU64.txt", 64)</f>
        <v>64</v>
      </c>
      <c r="CE593">
        <f>HYPERLINK("http://exon.niaid.nih.gov/transcriptome/Anopheles_sialome/links/cluster-b/anopheline-sialome-cds-pep-larger-orf70-50SimCLTL64.txt", 2)</f>
        <v>2</v>
      </c>
      <c r="CF593">
        <v>159</v>
      </c>
      <c r="CG593">
        <v>1</v>
      </c>
      <c r="CH593">
        <v>224</v>
      </c>
      <c r="CI593">
        <v>1</v>
      </c>
      <c r="CJ593">
        <v>303</v>
      </c>
      <c r="CK593">
        <v>1</v>
      </c>
      <c r="CL593">
        <v>384</v>
      </c>
      <c r="CM593">
        <v>1</v>
      </c>
      <c r="CN593">
        <v>463</v>
      </c>
      <c r="CO593">
        <v>1</v>
      </c>
    </row>
    <row r="594" spans="1:93">
      <c r="A594" s="2" t="str">
        <f>HYPERLINK("http://exon.niaid.nih.gov/transcriptome/Anopheles_sialome/links/cds/anoatro_TRIO-cds.txt","anoatro_TRIO")</f>
        <v>anoatro_TRIO</v>
      </c>
      <c r="B594">
        <v>1173</v>
      </c>
      <c r="C594" t="s">
        <v>507</v>
      </c>
      <c r="D594" t="s">
        <v>7</v>
      </c>
      <c r="E594" t="s">
        <v>5</v>
      </c>
      <c r="F594" t="s">
        <v>1</v>
      </c>
      <c r="G594" t="str">
        <f>HYPERLINK("http://exon.niaid.nih.gov/transcriptome/Anopheles_sialome/links/pep/anoatro_TRIO-pep.txt","anoatro_TRIO")</f>
        <v>anoatro_TRIO</v>
      </c>
      <c r="H594">
        <v>390</v>
      </c>
      <c r="I594">
        <v>2</v>
      </c>
      <c r="J594" s="3" t="str">
        <f>HYPERLINK("http://exon.niaid.nih.gov/transcriptome/Anopheles_sialome/links/Sigp/anoatro_TRIO-SigP.txt","CYT")</f>
        <v>CYT</v>
      </c>
      <c r="K594" t="s">
        <v>128</v>
      </c>
      <c r="L594">
        <v>42.957999999999998</v>
      </c>
      <c r="M594">
        <v>4.88</v>
      </c>
      <c r="N594" t="s">
        <v>128</v>
      </c>
      <c r="O594" t="s">
        <v>128</v>
      </c>
      <c r="P594" t="s">
        <v>1025</v>
      </c>
      <c r="Q594" s="3">
        <v>0</v>
      </c>
      <c r="R594" t="s">
        <v>128</v>
      </c>
      <c r="S594" t="s">
        <v>128</v>
      </c>
      <c r="T594" t="s">
        <v>128</v>
      </c>
      <c r="U594" t="s">
        <v>128</v>
      </c>
      <c r="V594" t="s">
        <v>128</v>
      </c>
      <c r="W594" s="3" t="str">
        <f>HYPERLINK("http://exon.niaid.nih.gov/transcriptome/Anopheles_sialome/links/netoglyc/anoatro_TRIO-netoglyc.txt","3")</f>
        <v>3</v>
      </c>
      <c r="X594">
        <v>14.6</v>
      </c>
      <c r="Y594">
        <v>6.4</v>
      </c>
      <c r="Z594">
        <v>4.4000000000000004</v>
      </c>
      <c r="AA594" t="s">
        <v>654</v>
      </c>
      <c r="AB594" t="s">
        <v>128</v>
      </c>
      <c r="AC594" s="2" t="str">
        <f>HYPERLINK("http://exon.niaid.nih.gov/transcriptome/Anopheles_sialome/links/DIPTERA/anoatro_TRIO-DIPTERA.txt","TRIO salivary gland protein precursor")</f>
        <v>TRIO salivary gland protein precursor</v>
      </c>
      <c r="AD594" t="str">
        <f>HYPERLINK("http://www.ncbi.nlm.nih.gov/sutils/blink.cgi?pid=668456091","1E-115")</f>
        <v>1E-115</v>
      </c>
      <c r="AE594" t="str">
        <f>HYPERLINK("http://www.ncbi.nlm.nih.gov/protein/668456091","gi|668456091")</f>
        <v>gi|668456091</v>
      </c>
      <c r="AF594">
        <v>57</v>
      </c>
      <c r="AG594">
        <v>70</v>
      </c>
      <c r="AH594">
        <v>99</v>
      </c>
      <c r="AI594" t="s">
        <v>2277</v>
      </c>
      <c r="AJ594" s="2" t="str">
        <f>HYPERLINK("http://exon.niaid.nih.gov/transcriptome/Anopheles_sialome/links/CULICOMORPHA/anoatro_TRIO-CULICOMORPHA.txt","TRIO salivary gland protein precursor")</f>
        <v>TRIO salivary gland protein precursor</v>
      </c>
      <c r="AK594" t="str">
        <f>HYPERLINK("http://www.ncbi.nlm.nih.gov/sutils/blink.cgi?pid=668456091","1E-116")</f>
        <v>1E-116</v>
      </c>
      <c r="AL594" t="str">
        <f>HYPERLINK("http://www.ncbi.nlm.nih.gov/protein/668456091","gi|668456091")</f>
        <v>gi|668456091</v>
      </c>
      <c r="AM594">
        <v>57</v>
      </c>
      <c r="AN594">
        <v>70</v>
      </c>
      <c r="AO594">
        <v>99</v>
      </c>
      <c r="AP594" t="s">
        <v>2277</v>
      </c>
      <c r="AQ594" s="2" t="str">
        <f>HYPERLINK("http://exon.niaid.nih.gov/transcriptome/Anopheles_sialome/links/NR-LIGHT/anoatro_TRIO-NR-LIGHT.txt","TRIO salivary gland protein precursor")</f>
        <v>TRIO salivary gland protein precursor</v>
      </c>
      <c r="AR594" t="str">
        <f>HYPERLINK("http://www.ncbi.nlm.nih.gov/sutils/blink.cgi?pid=668456091","1E-115")</f>
        <v>1E-115</v>
      </c>
      <c r="AS594" t="str">
        <f>HYPERLINK("http://www.ncbi.nlm.nih.gov/protein/668456091","gi|668456091")</f>
        <v>gi|668456091</v>
      </c>
      <c r="AT594">
        <v>57</v>
      </c>
      <c r="AU594">
        <v>70</v>
      </c>
      <c r="AV594">
        <v>99</v>
      </c>
      <c r="AW594" t="s">
        <v>2277</v>
      </c>
      <c r="AX594" s="2" t="str">
        <f>HYPERLINK("http://exon.niaid.nih.gov/transcriptome/Anopheles_sialome/links/CDD/anoatro_TRIO-CDD.txt","COG3519")</f>
        <v>COG3519</v>
      </c>
      <c r="AY594" t="str">
        <f>HYPERLINK("http://www.ncbi.nlm.nih.gov/Structure/cdd/cddsrv.cgi?uid=COG3519&amp;version=v4.0","0.24")</f>
        <v>0.24</v>
      </c>
      <c r="AZ594" t="s">
        <v>2981</v>
      </c>
      <c r="BA594" s="2" t="str">
        <f>HYPERLINK("http://exon.niaid.nih.gov/transcriptome/Anopheles_sialome/links/KOG/anoatro_TRIO-KOG.txt","Glutamine phosphoribosylpyrophosphate amidotransferase")</f>
        <v>Glutamine phosphoribosylpyrophosphate amidotransferase</v>
      </c>
      <c r="BB594" t="str">
        <f>HYPERLINK("http://www.ncbi.nlm.nih.gov/Structure/cdd/cddsrv.cgi?uid=KOG0572","0.80")</f>
        <v>0.80</v>
      </c>
      <c r="BC594" t="s">
        <v>2398</v>
      </c>
      <c r="BD594" t="str">
        <f>HYPERLINK("http://exon.niaid.nih.gov/transcriptome/Anopheles_sialome/links/KOG/anoatro_TRIO-KOG.txt","KOG0572")</f>
        <v>KOG0572</v>
      </c>
      <c r="BE594" t="str">
        <f>HYPERLINK("http://exon.niaid.nih.gov/transcriptome/Anopheles_sialome/links/PFAM/anoatro_TRIO-PFAM.txt","DUF3584")</f>
        <v>DUF3584</v>
      </c>
      <c r="BF594" t="str">
        <f>HYPERLINK("http://pfam.sanger.ac.uk/family?acc=PF12128","0.17")</f>
        <v>0.17</v>
      </c>
      <c r="BG594" s="2" t="str">
        <f>HYPERLINK("http://exon.niaid.nih.gov/transcriptome/Anopheles_sialome/links/SMART/anoatro_TRIO-SMART.txt","ALBUMIN")</f>
        <v>ALBUMIN</v>
      </c>
      <c r="BH594" t="str">
        <f>HYPERLINK("http://smart.embl-heidelberg.de/smart/do_annotation.pl?DOMAIN=ALBUMIN&amp;BLAST=DUMMY","0.39")</f>
        <v>0.39</v>
      </c>
      <c r="BI594" t="str">
        <f>HYPERLINK("http://exon.niaid.nih.gov/transcriptome/Anopheles_sialome/links/TICK-BLOCKS/anoatro_TRIO-TICK-BLOCKS.txt","SG1_stringent_pattern |")</f>
        <v>SG1_stringent_pattern |</v>
      </c>
      <c r="BJ594" s="2" t="s">
        <v>128</v>
      </c>
      <c r="BK594" t="s">
        <v>1938</v>
      </c>
      <c r="BL594">
        <f>HYPERLINK("http://exon.niaid.nih.gov/transcriptome/Anopheles_sialome/links/cluster-b/anopheline-sialome-cds-pep-larger-orf25-50SimCLU3.txt", 3)</f>
        <v>3</v>
      </c>
      <c r="BM594">
        <f>HYPERLINK("http://exon.niaid.nih.gov/transcriptome/Anopheles_sialome/links/cluster-b/anopheline-sialome-cds-pep-larger-orf25-50SimCLTL3.txt", 119)</f>
        <v>119</v>
      </c>
      <c r="BN594">
        <f>HYPERLINK("http://exon.niaid.nih.gov/transcriptome/Anopheles_sialome/links/cluster-b/anopheline-sialome-cds-pep-larger-orf30-50SimCLU3.txt", 3)</f>
        <v>3</v>
      </c>
      <c r="BO594">
        <f>HYPERLINK("http://exon.niaid.nih.gov/transcriptome/Anopheles_sialome/links/cluster-b/anopheline-sialome-cds-pep-larger-orf30-50SimCLTL3.txt", 119)</f>
        <v>119</v>
      </c>
      <c r="BP594">
        <f>HYPERLINK("http://exon.niaid.nih.gov/transcriptome/Anopheles_sialome/links/cluster-b/anopheline-sialome-cds-pep-larger-orf35-50SimCLU2.txt", 2)</f>
        <v>2</v>
      </c>
      <c r="BQ594">
        <f>HYPERLINK("http://exon.niaid.nih.gov/transcriptome/Anopheles_sialome/links/cluster-b/anopheline-sialome-cds-pep-larger-orf35-50SimCLTL2.txt", 119)</f>
        <v>119</v>
      </c>
      <c r="BR594">
        <f>HYPERLINK("http://exon.niaid.nih.gov/transcriptome/Anopheles_sialome/links/cluster-b/anopheline-sialome-cds-pep-larger-orf40-50SimCLU1.txt", 1)</f>
        <v>1</v>
      </c>
      <c r="BS594">
        <f>HYPERLINK("http://exon.niaid.nih.gov/transcriptome/Anopheles_sialome/links/cluster-b/anopheline-sialome-cds-pep-larger-orf40-50SimCLTL1.txt", 119)</f>
        <v>119</v>
      </c>
      <c r="BT594">
        <f>HYPERLINK("http://exon.niaid.nih.gov/transcriptome/Anopheles_sialome/links/cluster-b/anopheline-sialome-cds-pep-larger-orf45-50SimCLU24.txt", 24)</f>
        <v>24</v>
      </c>
      <c r="BU594">
        <f>HYPERLINK("http://exon.niaid.nih.gov/transcriptome/Anopheles_sialome/links/cluster-b/anopheline-sialome-cds-pep-larger-orf45-50SimCLTL24.txt", 18)</f>
        <v>18</v>
      </c>
      <c r="BV594">
        <f>HYPERLINK("http://exon.niaid.nih.gov/transcriptome/Anopheles_sialome/links/cluster-b/anopheline-sialome-cds-pep-larger-orf50-50SimCLU23.txt", 23)</f>
        <v>23</v>
      </c>
      <c r="BW594">
        <f>HYPERLINK("http://exon.niaid.nih.gov/transcriptome/Anopheles_sialome/links/cluster-b/anopheline-sialome-cds-pep-larger-orf50-50SimCLTL23.txt", 18)</f>
        <v>18</v>
      </c>
      <c r="BX594">
        <f>HYPERLINK("http://exon.niaid.nih.gov/transcriptome/Anopheles_sialome/links/cluster-b/anopheline-sialome-cds-pep-larger-orf55-50SimCLU31.txt", 31)</f>
        <v>31</v>
      </c>
      <c r="BY594">
        <f>HYPERLINK("http://exon.niaid.nih.gov/transcriptome/Anopheles_sialome/links/cluster-b/anopheline-sialome-cds-pep-larger-orf55-50SimCLTL31.txt", 16)</f>
        <v>16</v>
      </c>
      <c r="BZ594">
        <f>HYPERLINK("http://exon.niaid.nih.gov/transcriptome/Anopheles_sialome/links/cluster-b/anopheline-sialome-cds-pep-larger-orf60-50SimCLU49.txt", 49)</f>
        <v>49</v>
      </c>
      <c r="CA594">
        <f>HYPERLINK("http://exon.niaid.nih.gov/transcriptome/Anopheles_sialome/links/cluster-b/anopheline-sialome-cds-pep-larger-orf60-50SimCLTL49.txt", 2)</f>
        <v>2</v>
      </c>
      <c r="CB594">
        <f>HYPERLINK("http://exon.niaid.nih.gov/transcriptome/Anopheles_sialome/links/cluster-b/anopheline-sialome-cds-pep-larger-orf65-50SimCLU58.txt", 58)</f>
        <v>58</v>
      </c>
      <c r="CC594">
        <f>HYPERLINK("http://exon.niaid.nih.gov/transcriptome/Anopheles_sialome/links/cluster-b/anopheline-sialome-cds-pep-larger-orf65-50SimCLTL58.txt", 2)</f>
        <v>2</v>
      </c>
      <c r="CD594">
        <v>112</v>
      </c>
      <c r="CE594">
        <v>1</v>
      </c>
      <c r="CF594">
        <v>160</v>
      </c>
      <c r="CG594">
        <v>1</v>
      </c>
      <c r="CH594">
        <v>225</v>
      </c>
      <c r="CI594">
        <v>1</v>
      </c>
      <c r="CJ594">
        <v>304</v>
      </c>
      <c r="CK594">
        <v>1</v>
      </c>
      <c r="CL594">
        <v>385</v>
      </c>
      <c r="CM594">
        <v>1</v>
      </c>
      <c r="CN594">
        <v>464</v>
      </c>
      <c r="CO594">
        <v>1</v>
      </c>
    </row>
    <row r="595" spans="1:93">
      <c r="A595" s="2" t="str">
        <f>HYPERLINK("http://exon.niaid.nih.gov/transcriptome/Anopheles_sialome/links/cds/anosin_TRIO-cds.txt","anosin_TRIO")</f>
        <v>anosin_TRIO</v>
      </c>
      <c r="B595">
        <v>1173</v>
      </c>
      <c r="C595" t="s">
        <v>508</v>
      </c>
      <c r="D595" t="s">
        <v>4</v>
      </c>
      <c r="E595" t="s">
        <v>5</v>
      </c>
      <c r="F595" t="s">
        <v>1</v>
      </c>
      <c r="G595" t="str">
        <f>HYPERLINK("http://exon.niaid.nih.gov/transcriptome/Anopheles_sialome/links/pep/anosin_TRIO-pep.txt","anosin_TRIO")</f>
        <v>anosin_TRIO</v>
      </c>
      <c r="H595">
        <v>390</v>
      </c>
      <c r="I595">
        <v>1</v>
      </c>
      <c r="J595" s="3" t="str">
        <f>HYPERLINK("http://exon.niaid.nih.gov/transcriptome/Anopheles_sialome/links/Sigp/anosin_TRIO-SigP.txt","SIG")</f>
        <v>SIG</v>
      </c>
      <c r="K595" t="s">
        <v>695</v>
      </c>
      <c r="L595">
        <v>43.58</v>
      </c>
      <c r="M595">
        <v>5.73</v>
      </c>
      <c r="N595">
        <v>41.109000000000002</v>
      </c>
      <c r="O595">
        <v>5.57</v>
      </c>
      <c r="P595" t="s">
        <v>1940</v>
      </c>
      <c r="Q595" s="3">
        <v>0</v>
      </c>
      <c r="R595" t="s">
        <v>128</v>
      </c>
      <c r="S595" t="s">
        <v>128</v>
      </c>
      <c r="T595" t="s">
        <v>128</v>
      </c>
      <c r="U595" t="s">
        <v>128</v>
      </c>
      <c r="V595" t="s">
        <v>128</v>
      </c>
      <c r="W595" s="3" t="str">
        <f>HYPERLINK("http://exon.niaid.nih.gov/transcriptome/Anopheles_sialome/links/netoglyc/anosin_TRIO-netoglyc.txt","1")</f>
        <v>1</v>
      </c>
      <c r="X595">
        <v>14.4</v>
      </c>
      <c r="Y595">
        <v>4.4000000000000004</v>
      </c>
      <c r="Z595">
        <v>5.4</v>
      </c>
      <c r="AA595" t="s">
        <v>654</v>
      </c>
      <c r="AB595" t="s">
        <v>128</v>
      </c>
      <c r="AC595" s="2" t="str">
        <f>HYPERLINK("http://exon.niaid.nih.gov/transcriptome/Anopheles_sialome/links/DIPTERA/anosin_TRIO-DIPTERA.txt","TRIO salivary gland protein precursor")</f>
        <v>TRIO salivary gland protein precursor</v>
      </c>
      <c r="AD595" t="str">
        <f>HYPERLINK("http://www.ncbi.nlm.nih.gov/sutils/blink.cgi?pid=668456091","0.0")</f>
        <v>0.0</v>
      </c>
      <c r="AE595" t="str">
        <f>HYPERLINK("http://www.ncbi.nlm.nih.gov/protein/668456091","gi|668456091")</f>
        <v>gi|668456091</v>
      </c>
      <c r="AF595">
        <v>98</v>
      </c>
      <c r="AG595">
        <v>98</v>
      </c>
      <c r="AH595">
        <v>100</v>
      </c>
      <c r="AI595" t="s">
        <v>2277</v>
      </c>
      <c r="AJ595" s="2" t="str">
        <f>HYPERLINK("http://exon.niaid.nih.gov/transcriptome/Anopheles_sialome/links/CULICOMORPHA/anosin_TRIO-CULICOMORPHA.txt","TRIO salivary gland protein precursor")</f>
        <v>TRIO salivary gland protein precursor</v>
      </c>
      <c r="AK595" t="str">
        <f>HYPERLINK("http://www.ncbi.nlm.nih.gov/sutils/blink.cgi?pid=668456091","0.0")</f>
        <v>0.0</v>
      </c>
      <c r="AL595" t="str">
        <f>HYPERLINK("http://www.ncbi.nlm.nih.gov/protein/668456091","gi|668456091")</f>
        <v>gi|668456091</v>
      </c>
      <c r="AM595">
        <v>98</v>
      </c>
      <c r="AN595">
        <v>98</v>
      </c>
      <c r="AO595">
        <v>100</v>
      </c>
      <c r="AP595" t="s">
        <v>2277</v>
      </c>
      <c r="AQ595" s="2" t="str">
        <f>HYPERLINK("http://exon.niaid.nih.gov/transcriptome/Anopheles_sialome/links/NR-LIGHT/anosin_TRIO-NR-LIGHT.txt","TRIO salivary gland protein precursor")</f>
        <v>TRIO salivary gland protein precursor</v>
      </c>
      <c r="AR595" t="str">
        <f>HYPERLINK("http://www.ncbi.nlm.nih.gov/sutils/blink.cgi?pid=668456091","0.0")</f>
        <v>0.0</v>
      </c>
      <c r="AS595" t="str">
        <f>HYPERLINK("http://www.ncbi.nlm.nih.gov/protein/668456091","gi|668456091")</f>
        <v>gi|668456091</v>
      </c>
      <c r="AT595">
        <v>98</v>
      </c>
      <c r="AU595">
        <v>98</v>
      </c>
      <c r="AV595">
        <v>100</v>
      </c>
      <c r="AW595" t="s">
        <v>2277</v>
      </c>
      <c r="AX595" s="2" t="str">
        <f>HYPERLINK("http://exon.niaid.nih.gov/transcriptome/Anopheles_sialome/links/CDD/anosin_TRIO-CDD.txt","FlaC")</f>
        <v>FlaC</v>
      </c>
      <c r="AY595" t="str">
        <f>HYPERLINK("http://www.ncbi.nlm.nih.gov/Structure/cdd/cddsrv.cgi?uid=COG3352&amp;version=v4.0","0.57")</f>
        <v>0.57</v>
      </c>
      <c r="AZ595" t="s">
        <v>2982</v>
      </c>
      <c r="BA595" s="2" t="str">
        <f>HYPERLINK("http://exon.niaid.nih.gov/transcriptome/Anopheles_sialome/links/KOG/anosin_TRIO-KOG.txt","Vacuolar assembly/sorting protein DID4")</f>
        <v>Vacuolar assembly/sorting protein DID4</v>
      </c>
      <c r="BB595" t="str">
        <f>HYPERLINK("http://www.ncbi.nlm.nih.gov/Structure/cdd/cddsrv.cgi?uid=KOG3230","0.039")</f>
        <v>0.039</v>
      </c>
      <c r="BC595" t="s">
        <v>2487</v>
      </c>
      <c r="BD595" t="str">
        <f>HYPERLINK("http://exon.niaid.nih.gov/transcriptome/Anopheles_sialome/links/KOG/anosin_TRIO-KOG.txt","KOG3230")</f>
        <v>KOG3230</v>
      </c>
      <c r="BE595" t="str">
        <f>HYPERLINK("http://exon.niaid.nih.gov/transcriptome/Anopheles_sialome/links/PFAM/anosin_TRIO-PFAM.txt","Snf7")</f>
        <v>Snf7</v>
      </c>
      <c r="BF595" t="str">
        <f>HYPERLINK("http://pfam.sanger.ac.uk/family?acc=PF03357","0.27")</f>
        <v>0.27</v>
      </c>
      <c r="BG595" s="2" t="str">
        <f>HYPERLINK("http://exon.niaid.nih.gov/transcriptome/Anopheles_sialome/links/SMART/anosin_TRIO-SMART.txt","FH2")</f>
        <v>FH2</v>
      </c>
      <c r="BH595" t="str">
        <f>HYPERLINK("http://smart.embl-heidelberg.de/smart/do_annotation.pl?DOMAIN=FH2&amp;BLAST=DUMMY","0.39")</f>
        <v>0.39</v>
      </c>
      <c r="BI595" t="str">
        <f>HYPERLINK("http://exon.niaid.nih.gov/transcriptome/Anopheles_sialome/links/TICK-BLOCKS/anosin_TRIO-TICK-BLOCKS.txt","SG1_stringent_pattern |")</f>
        <v>SG1_stringent_pattern |</v>
      </c>
      <c r="BJ595" s="2" t="s">
        <v>128</v>
      </c>
      <c r="BK595" t="s">
        <v>1939</v>
      </c>
      <c r="BL595">
        <f>HYPERLINK("http://exon.niaid.nih.gov/transcriptome/Anopheles_sialome/links/cluster-b/anopheline-sialome-cds-pep-larger-orf25-50SimCLU3.txt", 3)</f>
        <v>3</v>
      </c>
      <c r="BM595">
        <f>HYPERLINK("http://exon.niaid.nih.gov/transcriptome/Anopheles_sialome/links/cluster-b/anopheline-sialome-cds-pep-larger-orf25-50SimCLTL3.txt", 119)</f>
        <v>119</v>
      </c>
      <c r="BN595">
        <f>HYPERLINK("http://exon.niaid.nih.gov/transcriptome/Anopheles_sialome/links/cluster-b/anopheline-sialome-cds-pep-larger-orf30-50SimCLU3.txt", 3)</f>
        <v>3</v>
      </c>
      <c r="BO595">
        <f>HYPERLINK("http://exon.niaid.nih.gov/transcriptome/Anopheles_sialome/links/cluster-b/anopheline-sialome-cds-pep-larger-orf30-50SimCLTL3.txt", 119)</f>
        <v>119</v>
      </c>
      <c r="BP595">
        <f>HYPERLINK("http://exon.niaid.nih.gov/transcriptome/Anopheles_sialome/links/cluster-b/anopheline-sialome-cds-pep-larger-orf35-50SimCLU2.txt", 2)</f>
        <v>2</v>
      </c>
      <c r="BQ595">
        <f>HYPERLINK("http://exon.niaid.nih.gov/transcriptome/Anopheles_sialome/links/cluster-b/anopheline-sialome-cds-pep-larger-orf35-50SimCLTL2.txt", 119)</f>
        <v>119</v>
      </c>
      <c r="BR595">
        <f>HYPERLINK("http://exon.niaid.nih.gov/transcriptome/Anopheles_sialome/links/cluster-b/anopheline-sialome-cds-pep-larger-orf40-50SimCLU1.txt", 1)</f>
        <v>1</v>
      </c>
      <c r="BS595">
        <f>HYPERLINK("http://exon.niaid.nih.gov/transcriptome/Anopheles_sialome/links/cluster-b/anopheline-sialome-cds-pep-larger-orf40-50SimCLTL1.txt", 119)</f>
        <v>119</v>
      </c>
      <c r="BT595">
        <f>HYPERLINK("http://exon.niaid.nih.gov/transcriptome/Anopheles_sialome/links/cluster-b/anopheline-sialome-cds-pep-larger-orf45-50SimCLU24.txt", 24)</f>
        <v>24</v>
      </c>
      <c r="BU595">
        <f>HYPERLINK("http://exon.niaid.nih.gov/transcriptome/Anopheles_sialome/links/cluster-b/anopheline-sialome-cds-pep-larger-orf45-50SimCLTL24.txt", 18)</f>
        <v>18</v>
      </c>
      <c r="BV595">
        <f>HYPERLINK("http://exon.niaid.nih.gov/transcriptome/Anopheles_sialome/links/cluster-b/anopheline-sialome-cds-pep-larger-orf50-50SimCLU23.txt", 23)</f>
        <v>23</v>
      </c>
      <c r="BW595">
        <f>HYPERLINK("http://exon.niaid.nih.gov/transcriptome/Anopheles_sialome/links/cluster-b/anopheline-sialome-cds-pep-larger-orf50-50SimCLTL23.txt", 18)</f>
        <v>18</v>
      </c>
      <c r="BX595">
        <f>HYPERLINK("http://exon.niaid.nih.gov/transcriptome/Anopheles_sialome/links/cluster-b/anopheline-sialome-cds-pep-larger-orf55-50SimCLU31.txt", 31)</f>
        <v>31</v>
      </c>
      <c r="BY595">
        <f>HYPERLINK("http://exon.niaid.nih.gov/transcriptome/Anopheles_sialome/links/cluster-b/anopheline-sialome-cds-pep-larger-orf55-50SimCLTL31.txt", 16)</f>
        <v>16</v>
      </c>
      <c r="BZ595">
        <f>HYPERLINK("http://exon.niaid.nih.gov/transcriptome/Anopheles_sialome/links/cluster-b/anopheline-sialome-cds-pep-larger-orf60-50SimCLU49.txt", 49)</f>
        <v>49</v>
      </c>
      <c r="CA595">
        <f>HYPERLINK("http://exon.niaid.nih.gov/transcriptome/Anopheles_sialome/links/cluster-b/anopheline-sialome-cds-pep-larger-orf60-50SimCLTL49.txt", 2)</f>
        <v>2</v>
      </c>
      <c r="CB595">
        <f>HYPERLINK("http://exon.niaid.nih.gov/transcriptome/Anopheles_sialome/links/cluster-b/anopheline-sialome-cds-pep-larger-orf65-50SimCLU58.txt", 58)</f>
        <v>58</v>
      </c>
      <c r="CC595">
        <f>HYPERLINK("http://exon.niaid.nih.gov/transcriptome/Anopheles_sialome/links/cluster-b/anopheline-sialome-cds-pep-larger-orf65-50SimCLTL58.txt", 2)</f>
        <v>2</v>
      </c>
      <c r="CD595">
        <v>113</v>
      </c>
      <c r="CE595">
        <v>1</v>
      </c>
      <c r="CF595">
        <v>161</v>
      </c>
      <c r="CG595">
        <v>1</v>
      </c>
      <c r="CH595">
        <v>226</v>
      </c>
      <c r="CI595">
        <v>1</v>
      </c>
      <c r="CJ595">
        <v>305</v>
      </c>
      <c r="CK595">
        <v>1</v>
      </c>
      <c r="CL595">
        <v>386</v>
      </c>
      <c r="CM595">
        <v>1</v>
      </c>
      <c r="CN595">
        <v>465</v>
      </c>
      <c r="CO595">
        <v>1</v>
      </c>
    </row>
    <row r="596" spans="1:93">
      <c r="A596" s="2" t="str">
        <f>HYPERLINK("http://exon.niaid.nih.gov/transcriptome/Anopheles_sialome/links/cds/anoalb_TRIO-cds.txt","anoalb_TRIO")</f>
        <v>anoalb_TRIO</v>
      </c>
      <c r="B596">
        <v>1209</v>
      </c>
      <c r="C596" t="s">
        <v>509</v>
      </c>
      <c r="D596" t="s">
        <v>7</v>
      </c>
      <c r="E596" t="s">
        <v>5</v>
      </c>
      <c r="F596" t="s">
        <v>1</v>
      </c>
      <c r="G596" t="str">
        <f>HYPERLINK("http://exon.niaid.nih.gov/transcriptome/Anopheles_sialome/links/pep/anoalb_TRIO-pep.txt","anoalb_TRIO")</f>
        <v>anoalb_TRIO</v>
      </c>
      <c r="H596">
        <v>402</v>
      </c>
      <c r="I596">
        <v>0</v>
      </c>
      <c r="J596" s="3" t="str">
        <f>HYPERLINK("http://exon.niaid.nih.gov/transcriptome/Anopheles_sialome/links/Sigp/anoalb_TRIO-SigP.txt","SIG")</f>
        <v>SIG</v>
      </c>
      <c r="K596" t="s">
        <v>787</v>
      </c>
      <c r="L596">
        <v>44.606999999999999</v>
      </c>
      <c r="M596">
        <v>6.73</v>
      </c>
      <c r="N596">
        <v>41.935000000000002</v>
      </c>
      <c r="O596">
        <v>6.51</v>
      </c>
      <c r="P596" t="s">
        <v>1942</v>
      </c>
      <c r="Q596" s="3">
        <v>0</v>
      </c>
      <c r="R596" t="s">
        <v>128</v>
      </c>
      <c r="S596" t="s">
        <v>128</v>
      </c>
      <c r="T596" t="s">
        <v>128</v>
      </c>
      <c r="U596" t="s">
        <v>128</v>
      </c>
      <c r="V596" t="s">
        <v>128</v>
      </c>
      <c r="W596" s="3" t="str">
        <f>HYPERLINK("http://exon.niaid.nih.gov/transcriptome/Anopheles_sialome/links/netoglyc/anoalb_TRIO-netoglyc.txt","1")</f>
        <v>1</v>
      </c>
      <c r="X596">
        <v>11.7</v>
      </c>
      <c r="Y596">
        <v>4.5</v>
      </c>
      <c r="Z596">
        <v>4.7</v>
      </c>
      <c r="AA596" t="s">
        <v>654</v>
      </c>
      <c r="AB596" t="s">
        <v>128</v>
      </c>
      <c r="AC596" s="2" t="str">
        <f>HYPERLINK("http://exon.niaid.nih.gov/transcriptome/Anopheles_sialome/links/DIPTERA/anoalb_TRIO-DIPTERA.txt","putative trio salivary gland protein precursor, partial")</f>
        <v>putative trio salivary gland protein precursor, partial</v>
      </c>
      <c r="AD596" t="str">
        <f>HYPERLINK("http://www.ncbi.nlm.nih.gov/sutils/blink.cgi?pid=524944316","0.0")</f>
        <v>0.0</v>
      </c>
      <c r="AE596" t="str">
        <f>HYPERLINK("http://www.ncbi.nlm.nih.gov/protein/524944316","gi|524944316")</f>
        <v>gi|524944316</v>
      </c>
      <c r="AF596">
        <v>85</v>
      </c>
      <c r="AG596">
        <v>89</v>
      </c>
      <c r="AH596">
        <v>100</v>
      </c>
      <c r="AI596" t="s">
        <v>2477</v>
      </c>
      <c r="AJ596" s="2" t="str">
        <f>HYPERLINK("http://exon.niaid.nih.gov/transcriptome/Anopheles_sialome/links/CULICOMORPHA/anoalb_TRIO-CULICOMORPHA.txt","putative trio salivary gland protein precursor, partial")</f>
        <v>putative trio salivary gland protein precursor, partial</v>
      </c>
      <c r="AK596" t="str">
        <f>HYPERLINK("http://www.ncbi.nlm.nih.gov/sutils/blink.cgi?pid=524944316","0.0")</f>
        <v>0.0</v>
      </c>
      <c r="AL596" t="str">
        <f>HYPERLINK("http://www.ncbi.nlm.nih.gov/protein/524944316","gi|524944316")</f>
        <v>gi|524944316</v>
      </c>
      <c r="AM596">
        <v>85</v>
      </c>
      <c r="AN596">
        <v>89</v>
      </c>
      <c r="AO596">
        <v>100</v>
      </c>
      <c r="AP596" t="s">
        <v>2477</v>
      </c>
      <c r="AQ596" s="2" t="str">
        <f>HYPERLINK("http://exon.niaid.nih.gov/transcriptome/Anopheles_sialome/links/NR-LIGHT/anoalb_TRIO-NR-LIGHT.txt","trio 2 salivary protein")</f>
        <v>trio 2 salivary protein</v>
      </c>
      <c r="AR596" t="str">
        <f>HYPERLINK("http://www.ncbi.nlm.nih.gov/sutils/blink.cgi?pid=114865005","2E-047")</f>
        <v>2E-047</v>
      </c>
      <c r="AS596" t="str">
        <f>HYPERLINK("http://www.ncbi.nlm.nih.gov/protein/114865005","gi|114865005")</f>
        <v>gi|114865005</v>
      </c>
      <c r="AT596">
        <v>30</v>
      </c>
      <c r="AU596">
        <v>52</v>
      </c>
      <c r="AV596">
        <v>89</v>
      </c>
      <c r="AW596" t="s">
        <v>2266</v>
      </c>
      <c r="AX596" s="2" t="str">
        <f>HYPERLINK("http://exon.niaid.nih.gov/transcriptome/Anopheles_sialome/links/CDD/anoalb_TRIO-CDD.txt","TIGR03545")</f>
        <v>TIGR03545</v>
      </c>
      <c r="AY596" t="str">
        <f>HYPERLINK("http://www.ncbi.nlm.nih.gov/Structure/cdd/cddsrv.cgi?uid=TIGR03545&amp;version=v4.0","0.88")</f>
        <v>0.88</v>
      </c>
      <c r="AZ596" t="s">
        <v>2983</v>
      </c>
      <c r="BA596" s="2" t="str">
        <f>HYPERLINK("http://exon.niaid.nih.gov/transcriptome/Anopheles_sialome/links/KOG/anoalb_TRIO-KOG.txt","Dyneins, heavy chain")</f>
        <v>Dyneins, heavy chain</v>
      </c>
      <c r="BB596" t="str">
        <f>HYPERLINK("http://www.ncbi.nlm.nih.gov/Structure/cdd/cddsrv.cgi?uid=KOG3595","0.31")</f>
        <v>0.31</v>
      </c>
      <c r="BC596" t="s">
        <v>2312</v>
      </c>
      <c r="BD596" t="str">
        <f>HYPERLINK("http://exon.niaid.nih.gov/transcriptome/Anopheles_sialome/links/KOG/anoalb_TRIO-KOG.txt","KOG3595")</f>
        <v>KOG3595</v>
      </c>
      <c r="BE596" t="str">
        <f>HYPERLINK("http://exon.niaid.nih.gov/transcriptome/Anopheles_sialome/links/PFAM/anoalb_TRIO-PFAM.txt","Peptidase_S46")</f>
        <v>Peptidase_S46</v>
      </c>
      <c r="BF596" t="str">
        <f>HYPERLINK("http://pfam.sanger.ac.uk/family?acc=PF10459","0.55")</f>
        <v>0.55</v>
      </c>
      <c r="BG596" s="2" t="str">
        <f>HYPERLINK("http://exon.niaid.nih.gov/transcriptome/Anopheles_sialome/links/SMART/anoalb_TRIO-SMART.txt","CAD")</f>
        <v>CAD</v>
      </c>
      <c r="BH596" t="str">
        <f>HYPERLINK("http://smart.embl-heidelberg.de/smart/do_annotation.pl?DOMAIN=CAD&amp;BLAST=DUMMY","0.40")</f>
        <v>0.40</v>
      </c>
      <c r="BI596" t="s">
        <v>128</v>
      </c>
      <c r="BJ596" s="2" t="s">
        <v>128</v>
      </c>
      <c r="BK596" t="s">
        <v>1941</v>
      </c>
      <c r="BL596">
        <f>HYPERLINK("http://exon.niaid.nih.gov/transcriptome/Anopheles_sialome/links/cluster-b/anopheline-sialome-cds-pep-larger-orf25-50SimCLU3.txt", 3)</f>
        <v>3</v>
      </c>
      <c r="BM596">
        <f>HYPERLINK("http://exon.niaid.nih.gov/transcriptome/Anopheles_sialome/links/cluster-b/anopheline-sialome-cds-pep-larger-orf25-50SimCLTL3.txt", 119)</f>
        <v>119</v>
      </c>
      <c r="BN596">
        <f>HYPERLINK("http://exon.niaid.nih.gov/transcriptome/Anopheles_sialome/links/cluster-b/anopheline-sialome-cds-pep-larger-orf30-50SimCLU3.txt", 3)</f>
        <v>3</v>
      </c>
      <c r="BO596">
        <f>HYPERLINK("http://exon.niaid.nih.gov/transcriptome/Anopheles_sialome/links/cluster-b/anopheline-sialome-cds-pep-larger-orf30-50SimCLTL3.txt", 119)</f>
        <v>119</v>
      </c>
      <c r="BP596">
        <f>HYPERLINK("http://exon.niaid.nih.gov/transcriptome/Anopheles_sialome/links/cluster-b/anopheline-sialome-cds-pep-larger-orf35-50SimCLU2.txt", 2)</f>
        <v>2</v>
      </c>
      <c r="BQ596">
        <f>HYPERLINK("http://exon.niaid.nih.gov/transcriptome/Anopheles_sialome/links/cluster-b/anopheline-sialome-cds-pep-larger-orf35-50SimCLTL2.txt", 119)</f>
        <v>119</v>
      </c>
      <c r="BR596">
        <f>HYPERLINK("http://exon.niaid.nih.gov/transcriptome/Anopheles_sialome/links/cluster-b/anopheline-sialome-cds-pep-larger-orf40-50SimCLU1.txt", 1)</f>
        <v>1</v>
      </c>
      <c r="BS596">
        <f>HYPERLINK("http://exon.niaid.nih.gov/transcriptome/Anopheles_sialome/links/cluster-b/anopheline-sialome-cds-pep-larger-orf40-50SimCLTL1.txt", 119)</f>
        <v>119</v>
      </c>
      <c r="BT596">
        <f>HYPERLINK("http://exon.niaid.nih.gov/transcriptome/Anopheles_sialome/links/cluster-b/anopheline-sialome-cds-pep-larger-orf45-50SimCLU24.txt", 24)</f>
        <v>24</v>
      </c>
      <c r="BU596">
        <f>HYPERLINK("http://exon.niaid.nih.gov/transcriptome/Anopheles_sialome/links/cluster-b/anopheline-sialome-cds-pep-larger-orf45-50SimCLTL24.txt", 18)</f>
        <v>18</v>
      </c>
      <c r="BV596">
        <f>HYPERLINK("http://exon.niaid.nih.gov/transcriptome/Anopheles_sialome/links/cluster-b/anopheline-sialome-cds-pep-larger-orf50-50SimCLU23.txt", 23)</f>
        <v>23</v>
      </c>
      <c r="BW596">
        <f>HYPERLINK("http://exon.niaid.nih.gov/transcriptome/Anopheles_sialome/links/cluster-b/anopheline-sialome-cds-pep-larger-orf50-50SimCLTL23.txt", 18)</f>
        <v>18</v>
      </c>
      <c r="BX596">
        <f>HYPERLINK("http://exon.niaid.nih.gov/transcriptome/Anopheles_sialome/links/cluster-b/anopheline-sialome-cds-pep-larger-orf55-50SimCLU36.txt", 36)</f>
        <v>36</v>
      </c>
      <c r="BY596">
        <f>HYPERLINK("http://exon.niaid.nih.gov/transcriptome/Anopheles_sialome/links/cluster-b/anopheline-sialome-cds-pep-larger-orf55-50SimCLTL36.txt", 2)</f>
        <v>2</v>
      </c>
      <c r="BZ596">
        <f>HYPERLINK("http://exon.niaid.nih.gov/transcriptome/Anopheles_sialome/links/cluster-b/anopheline-sialome-cds-pep-larger-orf60-50SimCLU50.txt", 50)</f>
        <v>50</v>
      </c>
      <c r="CA596">
        <f>HYPERLINK("http://exon.niaid.nih.gov/transcriptome/Anopheles_sialome/links/cluster-b/anopheline-sialome-cds-pep-larger-orf60-50SimCLTL50.txt", 2)</f>
        <v>2</v>
      </c>
      <c r="CB596">
        <f>HYPERLINK("http://exon.niaid.nih.gov/transcriptome/Anopheles_sialome/links/cluster-b/anopheline-sialome-cds-pep-larger-orf65-50SimCLU59.txt", 59)</f>
        <v>59</v>
      </c>
      <c r="CC596">
        <f>HYPERLINK("http://exon.niaid.nih.gov/transcriptome/Anopheles_sialome/links/cluster-b/anopheline-sialome-cds-pep-larger-orf65-50SimCLTL59.txt", 2)</f>
        <v>2</v>
      </c>
      <c r="CD596">
        <f>HYPERLINK("http://exon.niaid.nih.gov/transcriptome/Anopheles_sialome/links/cluster-b/anopheline-sialome-cds-pep-larger-orf70-50SimCLU65.txt", 65)</f>
        <v>65</v>
      </c>
      <c r="CE596">
        <f>HYPERLINK("http://exon.niaid.nih.gov/transcriptome/Anopheles_sialome/links/cluster-b/anopheline-sialome-cds-pep-larger-orf70-50SimCLTL65.txt", 2)</f>
        <v>2</v>
      </c>
      <c r="CF596">
        <f>HYPERLINK("http://exon.niaid.nih.gov/transcriptome/Anopheles_sialome/links/cluster-b/anopheline-sialome-cds-pep-larger-orf75-50SimCLU82.txt", 82)</f>
        <v>82</v>
      </c>
      <c r="CG596">
        <f>HYPERLINK("http://exon.niaid.nih.gov/transcriptome/Anopheles_sialome/links/cluster-b/anopheline-sialome-cds-pep-larger-orf75-50SimCLTL82.txt", 2)</f>
        <v>2</v>
      </c>
      <c r="CH596">
        <f>HYPERLINK("http://exon.niaid.nih.gov/transcriptome/Anopheles_sialome/links/cluster-b/anopheline-sialome-cds-pep-larger-orf80-50SimCLU101.txt", 101)</f>
        <v>101</v>
      </c>
      <c r="CI596">
        <f>HYPERLINK("http://exon.niaid.nih.gov/transcriptome/Anopheles_sialome/links/cluster-b/anopheline-sialome-cds-pep-larger-orf80-50SimCLTL101.txt", 2)</f>
        <v>2</v>
      </c>
      <c r="CJ596">
        <f>HYPERLINK("http://exon.niaid.nih.gov/transcriptome/Anopheles_sialome/links/cluster-b/anopheline-sialome-cds-pep-larger-orf85-50SimCLU101.txt", 101)</f>
        <v>101</v>
      </c>
      <c r="CK596">
        <f>HYPERLINK("http://exon.niaid.nih.gov/transcriptome/Anopheles_sialome/links/cluster-b/anopheline-sialome-cds-pep-larger-orf85-50SimCLTL101.txt", 2)</f>
        <v>2</v>
      </c>
      <c r="CL596">
        <v>387</v>
      </c>
      <c r="CM596">
        <v>1</v>
      </c>
      <c r="CN596">
        <v>466</v>
      </c>
      <c r="CO596">
        <v>1</v>
      </c>
    </row>
    <row r="597" spans="1:93">
      <c r="A597" s="2" t="str">
        <f>HYPERLINK("http://exon.niaid.nih.gov/transcriptome/Anopheles_sialome/links/cds/anodar_TRIO-cds.txt","anodar_TRIO")</f>
        <v>anodar_TRIO</v>
      </c>
      <c r="B597">
        <v>1182</v>
      </c>
      <c r="C597" t="s">
        <v>4</v>
      </c>
      <c r="D597" s="8" t="s">
        <v>3178</v>
      </c>
      <c r="E597" t="s">
        <v>5</v>
      </c>
      <c r="F597" t="s">
        <v>1</v>
      </c>
      <c r="G597" t="str">
        <f>HYPERLINK("http://exon.niaid.nih.gov/transcriptome/Anopheles_sialome/links/pep/anodar_TRIO-pep.txt","anodar_TRIO")</f>
        <v>anodar_TRIO</v>
      </c>
      <c r="H597">
        <v>393</v>
      </c>
      <c r="I597">
        <v>1</v>
      </c>
      <c r="J597" s="3" t="str">
        <f>HYPERLINK("http://exon.niaid.nih.gov/transcriptome/Anopheles_sialome/links/Sigp/anodar_TRIO-SigP.txt","SIG")</f>
        <v>SIG</v>
      </c>
      <c r="K597" t="s">
        <v>787</v>
      </c>
      <c r="L597">
        <v>43.981999999999999</v>
      </c>
      <c r="M597">
        <v>5.82</v>
      </c>
      <c r="N597">
        <v>41.427</v>
      </c>
      <c r="O597">
        <v>5.73</v>
      </c>
      <c r="P597" t="s">
        <v>1944</v>
      </c>
      <c r="Q597" s="3">
        <v>0</v>
      </c>
      <c r="R597" t="s">
        <v>128</v>
      </c>
      <c r="S597" t="s">
        <v>128</v>
      </c>
      <c r="T597" t="s">
        <v>128</v>
      </c>
      <c r="U597" t="s">
        <v>128</v>
      </c>
      <c r="V597" t="s">
        <v>128</v>
      </c>
      <c r="W597" s="3" t="str">
        <f>HYPERLINK("http://exon.niaid.nih.gov/transcriptome/Anopheles_sialome/links/netoglyc/anodar_TRIO-netoglyc.txt","1")</f>
        <v>1</v>
      </c>
      <c r="X597">
        <v>12.2</v>
      </c>
      <c r="Y597">
        <v>3.3</v>
      </c>
      <c r="Z597">
        <v>5.3</v>
      </c>
      <c r="AA597" t="s">
        <v>654</v>
      </c>
      <c r="AB597" t="s">
        <v>128</v>
      </c>
      <c r="AC597" s="2" t="str">
        <f>HYPERLINK("http://exon.niaid.nih.gov/transcriptome/Anopheles_sialome/links/DIPTERA/anodar_TRIO-DIPTERA.txt","TRIO salivary gland protein precursor")</f>
        <v>TRIO salivary gland protein precursor</v>
      </c>
      <c r="AD597" t="str">
        <f>HYPERLINK("http://www.ncbi.nlm.nih.gov/sutils/blink.cgi?pid=208657781","0.0")</f>
        <v>0.0</v>
      </c>
      <c r="AE597" t="str">
        <f>HYPERLINK("http://www.ncbi.nlm.nih.gov/protein/208657781","gi|208657781")</f>
        <v>gi|208657781</v>
      </c>
      <c r="AF597">
        <v>98</v>
      </c>
      <c r="AG597">
        <v>99</v>
      </c>
      <c r="AH597">
        <v>99</v>
      </c>
      <c r="AI597" t="s">
        <v>2283</v>
      </c>
      <c r="AJ597" s="2" t="str">
        <f>HYPERLINK("http://exon.niaid.nih.gov/transcriptome/Anopheles_sialome/links/CULICOMORPHA/anodar_TRIO-CULICOMORPHA.txt","TRIO salivary gland protein precursor")</f>
        <v>TRIO salivary gland protein precursor</v>
      </c>
      <c r="AK597" t="str">
        <f>HYPERLINK("http://www.ncbi.nlm.nih.gov/sutils/blink.cgi?pid=208657781","0.0")</f>
        <v>0.0</v>
      </c>
      <c r="AL597" t="str">
        <f>HYPERLINK("http://www.ncbi.nlm.nih.gov/protein/208657781","gi|208657781")</f>
        <v>gi|208657781</v>
      </c>
      <c r="AM597">
        <v>98</v>
      </c>
      <c r="AN597">
        <v>99</v>
      </c>
      <c r="AO597">
        <v>99</v>
      </c>
      <c r="AP597" t="s">
        <v>2283</v>
      </c>
      <c r="AQ597" s="2" t="str">
        <f>HYPERLINK("http://exon.niaid.nih.gov/transcriptome/Anopheles_sialome/links/NR-LIGHT/anodar_TRIO-NR-LIGHT.txt","trio 2 salivary protein")</f>
        <v>trio 2 salivary protein</v>
      </c>
      <c r="AR597" t="str">
        <f>HYPERLINK("http://www.ncbi.nlm.nih.gov/sutils/blink.cgi?pid=114865005","2E-050")</f>
        <v>2E-050</v>
      </c>
      <c r="AS597" t="str">
        <f>HYPERLINK("http://www.ncbi.nlm.nih.gov/protein/114865005","gi|114865005")</f>
        <v>gi|114865005</v>
      </c>
      <c r="AT597">
        <v>31</v>
      </c>
      <c r="AU597">
        <v>55</v>
      </c>
      <c r="AV597">
        <v>88</v>
      </c>
      <c r="AW597" t="s">
        <v>2266</v>
      </c>
      <c r="AX597" s="2" t="str">
        <f>HYPERLINK("http://exon.niaid.nih.gov/transcriptome/Anopheles_sialome/links/CDD/anodar_TRIO-CDD.txt","COG2433")</f>
        <v>COG2433</v>
      </c>
      <c r="AY597" t="str">
        <f>HYPERLINK("http://www.ncbi.nlm.nih.gov/Structure/cdd/cddsrv.cgi?uid=COG2433&amp;version=v4.0","0.34")</f>
        <v>0.34</v>
      </c>
      <c r="AZ597" t="s">
        <v>2984</v>
      </c>
      <c r="BA597" s="2" t="str">
        <f>HYPERLINK("http://exon.niaid.nih.gov/transcriptome/Anopheles_sialome/links/KOG/anodar_TRIO-KOG.txt","Predicted nuclear membrane protein involved in mRNA transport and sex determination via splicing modulation")</f>
        <v>Predicted nuclear membrane protein involved in mRNA transport and sex determination via splicing modulation</v>
      </c>
      <c r="BB597" t="str">
        <f>HYPERLINK("http://www.ncbi.nlm.nih.gov/Structure/cdd/cddsrv.cgi?uid=KOG4822","0.28")</f>
        <v>0.28</v>
      </c>
      <c r="BC597" t="s">
        <v>2974</v>
      </c>
      <c r="BD597" t="str">
        <f>HYPERLINK("http://exon.niaid.nih.gov/transcriptome/Anopheles_sialome/links/KOG/anodar_TRIO-KOG.txt","KOG4822")</f>
        <v>KOG4822</v>
      </c>
      <c r="BE597" t="str">
        <f>HYPERLINK("http://exon.niaid.nih.gov/transcriptome/Anopheles_sialome/links/PFAM/anodar_TRIO-PFAM.txt","Glyco_hydro_48")</f>
        <v>Glyco_hydro_48</v>
      </c>
      <c r="BF597" t="str">
        <f>HYPERLINK("http://pfam.sanger.ac.uk/family?acc=PF02011","0.47")</f>
        <v>0.47</v>
      </c>
      <c r="BG597" s="2" t="str">
        <f>HYPERLINK("http://exon.niaid.nih.gov/transcriptome/Anopheles_sialome/links/SMART/anodar_TRIO-SMART.txt","CAD")</f>
        <v>CAD</v>
      </c>
      <c r="BH597" t="str">
        <f>HYPERLINK("http://smart.embl-heidelberg.de/smart/do_annotation.pl?DOMAIN=CAD&amp;BLAST=DUMMY","0.29")</f>
        <v>0.29</v>
      </c>
      <c r="BI597" t="str">
        <f>HYPERLINK("http://exon.niaid.nih.gov/transcriptome/Anopheles_sialome/links/TICK-BLOCKS/anodar_TRIO-TICK-BLOCKS.txt","SG1_full |SG1_stringent_pattern |")</f>
        <v>SG1_full |SG1_stringent_pattern |</v>
      </c>
      <c r="BJ597" s="2" t="s">
        <v>2423</v>
      </c>
      <c r="BK597" t="s">
        <v>1943</v>
      </c>
      <c r="BL597">
        <f>HYPERLINK("http://exon.niaid.nih.gov/transcriptome/Anopheles_sialome/links/cluster-b/anopheline-sialome-cds-pep-larger-orf25-50SimCLU3.txt", 3)</f>
        <v>3</v>
      </c>
      <c r="BM597">
        <f>HYPERLINK("http://exon.niaid.nih.gov/transcriptome/Anopheles_sialome/links/cluster-b/anopheline-sialome-cds-pep-larger-orf25-50SimCLTL3.txt", 119)</f>
        <v>119</v>
      </c>
      <c r="BN597">
        <f>HYPERLINK("http://exon.niaid.nih.gov/transcriptome/Anopheles_sialome/links/cluster-b/anopheline-sialome-cds-pep-larger-orf30-50SimCLU3.txt", 3)</f>
        <v>3</v>
      </c>
      <c r="BO597">
        <f>HYPERLINK("http://exon.niaid.nih.gov/transcriptome/Anopheles_sialome/links/cluster-b/anopheline-sialome-cds-pep-larger-orf30-50SimCLTL3.txt", 119)</f>
        <v>119</v>
      </c>
      <c r="BP597">
        <f>HYPERLINK("http://exon.niaid.nih.gov/transcriptome/Anopheles_sialome/links/cluster-b/anopheline-sialome-cds-pep-larger-orf35-50SimCLU2.txt", 2)</f>
        <v>2</v>
      </c>
      <c r="BQ597">
        <f>HYPERLINK("http://exon.niaid.nih.gov/transcriptome/Anopheles_sialome/links/cluster-b/anopheline-sialome-cds-pep-larger-orf35-50SimCLTL2.txt", 119)</f>
        <v>119</v>
      </c>
      <c r="BR597">
        <f>HYPERLINK("http://exon.niaid.nih.gov/transcriptome/Anopheles_sialome/links/cluster-b/anopheline-sialome-cds-pep-larger-orf40-50SimCLU1.txt", 1)</f>
        <v>1</v>
      </c>
      <c r="BS597">
        <f>HYPERLINK("http://exon.niaid.nih.gov/transcriptome/Anopheles_sialome/links/cluster-b/anopheline-sialome-cds-pep-larger-orf40-50SimCLTL1.txt", 119)</f>
        <v>119</v>
      </c>
      <c r="BT597">
        <f>HYPERLINK("http://exon.niaid.nih.gov/transcriptome/Anopheles_sialome/links/cluster-b/anopheline-sialome-cds-pep-larger-orf45-50SimCLU24.txt", 24)</f>
        <v>24</v>
      </c>
      <c r="BU597">
        <f>HYPERLINK("http://exon.niaid.nih.gov/transcriptome/Anopheles_sialome/links/cluster-b/anopheline-sialome-cds-pep-larger-orf45-50SimCLTL24.txt", 18)</f>
        <v>18</v>
      </c>
      <c r="BV597">
        <f>HYPERLINK("http://exon.niaid.nih.gov/transcriptome/Anopheles_sialome/links/cluster-b/anopheline-sialome-cds-pep-larger-orf50-50SimCLU23.txt", 23)</f>
        <v>23</v>
      </c>
      <c r="BW597">
        <f>HYPERLINK("http://exon.niaid.nih.gov/transcriptome/Anopheles_sialome/links/cluster-b/anopheline-sialome-cds-pep-larger-orf50-50SimCLTL23.txt", 18)</f>
        <v>18</v>
      </c>
      <c r="BX597">
        <f>HYPERLINK("http://exon.niaid.nih.gov/transcriptome/Anopheles_sialome/links/cluster-b/anopheline-sialome-cds-pep-larger-orf55-50SimCLU36.txt", 36)</f>
        <v>36</v>
      </c>
      <c r="BY597">
        <f>HYPERLINK("http://exon.niaid.nih.gov/transcriptome/Anopheles_sialome/links/cluster-b/anopheline-sialome-cds-pep-larger-orf55-50SimCLTL36.txt", 2)</f>
        <v>2</v>
      </c>
      <c r="BZ597">
        <f>HYPERLINK("http://exon.niaid.nih.gov/transcriptome/Anopheles_sialome/links/cluster-b/anopheline-sialome-cds-pep-larger-orf60-50SimCLU50.txt", 50)</f>
        <v>50</v>
      </c>
      <c r="CA597">
        <f>HYPERLINK("http://exon.niaid.nih.gov/transcriptome/Anopheles_sialome/links/cluster-b/anopheline-sialome-cds-pep-larger-orf60-50SimCLTL50.txt", 2)</f>
        <v>2</v>
      </c>
      <c r="CB597">
        <f>HYPERLINK("http://exon.niaid.nih.gov/transcriptome/Anopheles_sialome/links/cluster-b/anopheline-sialome-cds-pep-larger-orf65-50SimCLU59.txt", 59)</f>
        <v>59</v>
      </c>
      <c r="CC597">
        <f>HYPERLINK("http://exon.niaid.nih.gov/transcriptome/Anopheles_sialome/links/cluster-b/anopheline-sialome-cds-pep-larger-orf65-50SimCLTL59.txt", 2)</f>
        <v>2</v>
      </c>
      <c r="CD597">
        <f>HYPERLINK("http://exon.niaid.nih.gov/transcriptome/Anopheles_sialome/links/cluster-b/anopheline-sialome-cds-pep-larger-orf70-50SimCLU65.txt", 65)</f>
        <v>65</v>
      </c>
      <c r="CE597">
        <f>HYPERLINK("http://exon.niaid.nih.gov/transcriptome/Anopheles_sialome/links/cluster-b/anopheline-sialome-cds-pep-larger-orf70-50SimCLTL65.txt", 2)</f>
        <v>2</v>
      </c>
      <c r="CF597">
        <f>HYPERLINK("http://exon.niaid.nih.gov/transcriptome/Anopheles_sialome/links/cluster-b/anopheline-sialome-cds-pep-larger-orf75-50SimCLU82.txt", 82)</f>
        <v>82</v>
      </c>
      <c r="CG597">
        <f>HYPERLINK("http://exon.niaid.nih.gov/transcriptome/Anopheles_sialome/links/cluster-b/anopheline-sialome-cds-pep-larger-orf75-50SimCLTL82.txt", 2)</f>
        <v>2</v>
      </c>
      <c r="CH597">
        <f>HYPERLINK("http://exon.niaid.nih.gov/transcriptome/Anopheles_sialome/links/cluster-b/anopheline-sialome-cds-pep-larger-orf80-50SimCLU101.txt", 101)</f>
        <v>101</v>
      </c>
      <c r="CI597">
        <f>HYPERLINK("http://exon.niaid.nih.gov/transcriptome/Anopheles_sialome/links/cluster-b/anopheline-sialome-cds-pep-larger-orf80-50SimCLTL101.txt", 2)</f>
        <v>2</v>
      </c>
      <c r="CJ597">
        <f>HYPERLINK("http://exon.niaid.nih.gov/transcriptome/Anopheles_sialome/links/cluster-b/anopheline-sialome-cds-pep-larger-orf85-50SimCLU101.txt", 101)</f>
        <v>101</v>
      </c>
      <c r="CK597">
        <f>HYPERLINK("http://exon.niaid.nih.gov/transcriptome/Anopheles_sialome/links/cluster-b/anopheline-sialome-cds-pep-larger-orf85-50SimCLTL101.txt", 2)</f>
        <v>2</v>
      </c>
      <c r="CL597">
        <v>388</v>
      </c>
      <c r="CM597">
        <v>1</v>
      </c>
      <c r="CN597">
        <v>467</v>
      </c>
      <c r="CO597">
        <v>1</v>
      </c>
    </row>
    <row r="598" spans="1:93">
      <c r="A598" s="14" t="s">
        <v>3156</v>
      </c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  <c r="BO598" s="13"/>
      <c r="BP598" s="13"/>
      <c r="BQ598" s="13"/>
      <c r="BR598" s="13"/>
      <c r="BS598" s="13"/>
      <c r="BT598" s="13"/>
      <c r="BU598" s="13"/>
      <c r="BV598" s="13"/>
      <c r="BW598" s="13"/>
      <c r="BX598" s="13"/>
      <c r="BY598" s="13"/>
      <c r="BZ598" s="13"/>
      <c r="CA598" s="13"/>
      <c r="CB598" s="13"/>
      <c r="CC598" s="13"/>
      <c r="CD598" s="13"/>
      <c r="CE598" s="13"/>
      <c r="CF598" s="13"/>
      <c r="CG598" s="13"/>
      <c r="CH598" s="13"/>
      <c r="CI598" s="13"/>
      <c r="CJ598" s="13"/>
      <c r="CK598" s="13"/>
      <c r="CL598" s="13"/>
      <c r="CM598" s="13"/>
      <c r="CN598" s="13"/>
      <c r="CO598" s="13"/>
    </row>
    <row r="599" spans="1:93">
      <c r="A599" s="2" t="str">
        <f>HYPERLINK("http://exon.niaid.nih.gov/transcriptome/Anopheles_sialome/links/cds/anoga_SG5-cds.txt","anoga_SG5")</f>
        <v>anoga_SG5</v>
      </c>
      <c r="B599">
        <v>999</v>
      </c>
      <c r="C599" t="s">
        <v>532</v>
      </c>
      <c r="D599" t="s">
        <v>4</v>
      </c>
      <c r="E599" t="s">
        <v>5</v>
      </c>
      <c r="F599" t="s">
        <v>1</v>
      </c>
      <c r="G599" t="str">
        <f>HYPERLINK("http://exon.niaid.nih.gov/transcriptome/Anopheles_sialome/links/pep/anoga_SG5-pep.txt","anoga_SG5")</f>
        <v>anoga_SG5</v>
      </c>
      <c r="H599">
        <v>332</v>
      </c>
      <c r="I599">
        <v>2</v>
      </c>
      <c r="J599" s="3" t="str">
        <f>HYPERLINK("http://exon.niaid.nih.gov/transcriptome/Anopheles_sialome/links/Sigp/anoga_SG5-SigP.txt","SIG")</f>
        <v>SIG</v>
      </c>
      <c r="K599" t="s">
        <v>715</v>
      </c>
      <c r="L599">
        <v>38.213000000000001</v>
      </c>
      <c r="M599">
        <v>6.04</v>
      </c>
      <c r="N599">
        <v>35.841999999999999</v>
      </c>
      <c r="O599">
        <v>6.05</v>
      </c>
      <c r="P599" t="s">
        <v>2001</v>
      </c>
      <c r="Q599" s="3">
        <v>0</v>
      </c>
      <c r="R599" t="s">
        <v>128</v>
      </c>
      <c r="S599" t="s">
        <v>128</v>
      </c>
      <c r="T599" t="s">
        <v>128</v>
      </c>
      <c r="U599" t="s">
        <v>128</v>
      </c>
      <c r="V599" t="s">
        <v>128</v>
      </c>
      <c r="W599" s="3" t="str">
        <f>HYPERLINK("http://exon.niaid.nih.gov/transcriptome/Anopheles_sialome/links/netoglyc/anoga_SG5-netoglyc.txt","2")</f>
        <v>2</v>
      </c>
      <c r="X599">
        <v>11.7</v>
      </c>
      <c r="Y599">
        <v>4.2</v>
      </c>
      <c r="Z599">
        <v>3</v>
      </c>
      <c r="AA599" t="s">
        <v>654</v>
      </c>
      <c r="AB599" t="s">
        <v>2002</v>
      </c>
      <c r="AC599" s="2" t="str">
        <f>HYPERLINK("http://exon.niaid.nih.gov/transcriptome/Anopheles_sialome/links/DIPTERA/anoga_SG5-DIPTERA.txt","gSG5 protein")</f>
        <v>gSG5 protein</v>
      </c>
      <c r="AD599" t="str">
        <f t="shared" ref="AD599:AD604" si="193">HYPERLINK("http://www.ncbi.nlm.nih.gov/sutils/blink.cgi?pid=13537662","0.0")</f>
        <v>0.0</v>
      </c>
      <c r="AE599" t="str">
        <f t="shared" ref="AE599" si="194">HYPERLINK("http://www.ncbi.nlm.nih.gov/protein/13537662","gi|13537662")</f>
        <v>gi|13537662</v>
      </c>
      <c r="AF599">
        <v>100</v>
      </c>
      <c r="AG599">
        <v>100</v>
      </c>
      <c r="AH599">
        <v>100</v>
      </c>
      <c r="AI599" t="s">
        <v>2254</v>
      </c>
      <c r="AJ599" s="2" t="str">
        <f>HYPERLINK("http://exon.niaid.nih.gov/transcriptome/Anopheles_sialome/links/CULICOMORPHA/anoga_SG5-CULICOMORPHA.txt","gSG5 protein")</f>
        <v>gSG5 protein</v>
      </c>
      <c r="AK599" t="str">
        <f t="shared" ref="AK599:AK604" si="195">HYPERLINK("http://www.ncbi.nlm.nih.gov/sutils/blink.cgi?pid=13537662","0.0")</f>
        <v>0.0</v>
      </c>
      <c r="AL599" t="str">
        <f t="shared" ref="AL599" si="196">HYPERLINK("http://www.ncbi.nlm.nih.gov/protein/13537662","gi|13537662")</f>
        <v>gi|13537662</v>
      </c>
      <c r="AM599">
        <v>100</v>
      </c>
      <c r="AN599">
        <v>100</v>
      </c>
      <c r="AO599">
        <v>100</v>
      </c>
      <c r="AP599" t="s">
        <v>2254</v>
      </c>
      <c r="AQ599" s="2" t="str">
        <f>HYPERLINK("http://exon.niaid.nih.gov/transcriptome/Anopheles_sialome/links/NR-LIGHT/anoga_SG5-NR-LIGHT.txt","AGAP004334-PA")</f>
        <v>AGAP004334-PA</v>
      </c>
      <c r="AR599" t="str">
        <f t="shared" ref="AR599:AR604" si="197">HYPERLINK("http://www.ncbi.nlm.nih.gov/sutils/blink.cgi?pid=31209291","0.0")</f>
        <v>0.0</v>
      </c>
      <c r="AS599" t="str">
        <f t="shared" ref="AS599" si="198">HYPERLINK("http://www.ncbi.nlm.nih.gov/protein/31209291","gi|31209291")</f>
        <v>gi|31209291</v>
      </c>
      <c r="AT599">
        <v>100</v>
      </c>
      <c r="AU599">
        <v>100</v>
      </c>
      <c r="AV599">
        <v>100</v>
      </c>
      <c r="AW599" t="s">
        <v>2285</v>
      </c>
      <c r="AX599" s="2" t="str">
        <f>HYPERLINK("http://exon.niaid.nih.gov/transcriptome/Anopheles_sialome/links/CDD/anoga_SG5-CDD.txt","CbtA")</f>
        <v>CbtA</v>
      </c>
      <c r="AY599" t="str">
        <f>HYPERLINK("http://www.ncbi.nlm.nih.gov/Structure/cdd/cddsrv.cgi?uid=pfam09490&amp;version=v4.0","0.29")</f>
        <v>0.29</v>
      </c>
      <c r="AZ599" t="s">
        <v>3016</v>
      </c>
      <c r="BA599" s="2" t="str">
        <f>HYPERLINK("http://exon.niaid.nih.gov/transcriptome/Anopheles_sialome/links/KOG/anoga_SG5-KOG.txt","Neurotransmitter release regulator, UNC-13")</f>
        <v>Neurotransmitter release regulator, UNC-13</v>
      </c>
      <c r="BB599" t="str">
        <f>HYPERLINK("http://www.ncbi.nlm.nih.gov/Structure/cdd/cddsrv.cgi?uid=KOG1011","0.63")</f>
        <v>0.63</v>
      </c>
      <c r="BC599" t="s">
        <v>2909</v>
      </c>
      <c r="BD599" t="str">
        <f>HYPERLINK("http://exon.niaid.nih.gov/transcriptome/Anopheles_sialome/links/KOG/anoga_SG5-KOG.txt","KOG1011")</f>
        <v>KOG1011</v>
      </c>
      <c r="BE599" t="str">
        <f>HYPERLINK("http://exon.niaid.nih.gov/transcriptome/Anopheles_sialome/links/PFAM/anoga_SG5-PFAM.txt","CbtA")</f>
        <v>CbtA</v>
      </c>
      <c r="BF599" t="str">
        <f>HYPERLINK("http://pfam.sanger.ac.uk/family?acc=PF09490","0.057")</f>
        <v>0.057</v>
      </c>
      <c r="BG599" s="2" t="str">
        <f>HYPERLINK("http://exon.niaid.nih.gov/transcriptome/Anopheles_sialome/links/SMART/anoga_SG5-SMART.txt","MUTSd")</f>
        <v>MUTSd</v>
      </c>
      <c r="BH599" t="str">
        <f>HYPERLINK("http://smart.embl-heidelberg.de/smart/do_annotation.pl?DOMAIN=MUTSd&amp;BLAST=DUMMY","0.35")</f>
        <v>0.35</v>
      </c>
      <c r="BI599" t="str">
        <f>HYPERLINK("http://exon.niaid.nih.gov/transcriptome/Anopheles_sialome/links/TICK-BLOCKS/anoga_SG5-TICK-BLOCKS.txt","gSG5_protein_family |")</f>
        <v>gSG5_protein_family |</v>
      </c>
      <c r="BJ599" s="2" t="s">
        <v>3017</v>
      </c>
      <c r="BK599" t="s">
        <v>2000</v>
      </c>
      <c r="BL599">
        <f>HYPERLINK("http://exon.niaid.nih.gov/transcriptome/Anopheles_sialome/links/cluster-b/anopheline-sialome-cds-pep-larger-orf25-50SimCLU12.txt", 12)</f>
        <v>12</v>
      </c>
      <c r="BM599">
        <f>HYPERLINK("http://exon.niaid.nih.gov/transcriptome/Anopheles_sialome/links/cluster-b/anopheline-sialome-cds-pep-larger-orf25-50SimCLTL12.txt", 19)</f>
        <v>19</v>
      </c>
      <c r="BN599">
        <f>HYPERLINK("http://exon.niaid.nih.gov/transcriptome/Anopheles_sialome/links/cluster-b/anopheline-sialome-cds-pep-larger-orf30-50SimCLU11.txt", 11)</f>
        <v>11</v>
      </c>
      <c r="BO599">
        <f>HYPERLINK("http://exon.niaid.nih.gov/transcriptome/Anopheles_sialome/links/cluster-b/anopheline-sialome-cds-pep-larger-orf30-50SimCLTL11.txt", 19)</f>
        <v>19</v>
      </c>
      <c r="BP599">
        <f>HYPERLINK("http://exon.niaid.nih.gov/transcriptome/Anopheles_sialome/links/cluster-b/anopheline-sialome-cds-pep-larger-orf35-50SimCLU13.txt", 13)</f>
        <v>13</v>
      </c>
      <c r="BQ599">
        <f>HYPERLINK("http://exon.niaid.nih.gov/transcriptome/Anopheles_sialome/links/cluster-b/anopheline-sialome-cds-pep-larger-orf35-50SimCLTL13.txt", 19)</f>
        <v>19</v>
      </c>
      <c r="BR599">
        <f>HYPERLINK("http://exon.niaid.nih.gov/transcriptome/Anopheles_sialome/links/cluster-b/anopheline-sialome-cds-pep-larger-orf40-50SimCLU15.txt", 15)</f>
        <v>15</v>
      </c>
      <c r="BS599">
        <f>HYPERLINK("http://exon.niaid.nih.gov/transcriptome/Anopheles_sialome/links/cluster-b/anopheline-sialome-cds-pep-larger-orf40-50SimCLTL15.txt", 19)</f>
        <v>19</v>
      </c>
      <c r="BT599">
        <f>HYPERLINK("http://exon.niaid.nih.gov/transcriptome/Anopheles_sialome/links/cluster-b/anopheline-sialome-cds-pep-larger-orf45-50SimCLU15.txt", 15)</f>
        <v>15</v>
      </c>
      <c r="BU599">
        <f>HYPERLINK("http://exon.niaid.nih.gov/transcriptome/Anopheles_sialome/links/cluster-b/anopheline-sialome-cds-pep-larger-orf45-50SimCLTL15.txt", 19)</f>
        <v>19</v>
      </c>
      <c r="BV599">
        <f>HYPERLINK("http://exon.niaid.nih.gov/transcriptome/Anopheles_sialome/links/cluster-b/anopheline-sialome-cds-pep-larger-orf50-50SimCLU14.txt", 14)</f>
        <v>14</v>
      </c>
      <c r="BW599">
        <f>HYPERLINK("http://exon.niaid.nih.gov/transcriptome/Anopheles_sialome/links/cluster-b/anopheline-sialome-cds-pep-larger-orf50-50SimCLTL14.txt", 19)</f>
        <v>19</v>
      </c>
      <c r="BX599">
        <f>HYPERLINK("http://exon.niaid.nih.gov/transcriptome/Anopheles_sialome/links/cluster-b/anopheline-sialome-cds-pep-larger-orf55-50SimCLU15.txt", 15)</f>
        <v>15</v>
      </c>
      <c r="BY599">
        <f>HYPERLINK("http://exon.niaid.nih.gov/transcriptome/Anopheles_sialome/links/cluster-b/anopheline-sialome-cds-pep-larger-orf55-50SimCLTL15.txt", 19)</f>
        <v>19</v>
      </c>
      <c r="BZ599">
        <f>HYPERLINK("http://exon.niaid.nih.gov/transcriptome/Anopheles_sialome/links/cluster-b/anopheline-sialome-cds-pep-larger-orf60-50SimCLU14.txt", 14)</f>
        <v>14</v>
      </c>
      <c r="CA599">
        <f>HYPERLINK("http://exon.niaid.nih.gov/transcriptome/Anopheles_sialome/links/cluster-b/anopheline-sialome-cds-pep-larger-orf60-50SimCLTL14.txt", 19)</f>
        <v>19</v>
      </c>
      <c r="CB599">
        <f>HYPERLINK("http://exon.niaid.nih.gov/transcriptome/Anopheles_sialome/links/cluster-b/anopheline-sialome-cds-pep-larger-orf65-50SimCLU12.txt", 12)</f>
        <v>12</v>
      </c>
      <c r="CC599">
        <f>HYPERLINK("http://exon.niaid.nih.gov/transcriptome/Anopheles_sialome/links/cluster-b/anopheline-sialome-cds-pep-larger-orf65-50SimCLTL12.txt", 19)</f>
        <v>19</v>
      </c>
      <c r="CD599">
        <f>HYPERLINK("http://exon.niaid.nih.gov/transcriptome/Anopheles_sialome/links/cluster-b/anopheline-sialome-cds-pep-larger-orf70-50SimCLU12.txt", 12)</f>
        <v>12</v>
      </c>
      <c r="CE599">
        <f>HYPERLINK("http://exon.niaid.nih.gov/transcriptome/Anopheles_sialome/links/cluster-b/anopheline-sialome-cds-pep-larger-orf70-50SimCLTL12.txt", 19)</f>
        <v>19</v>
      </c>
      <c r="CF599">
        <f>HYPERLINK("http://exon.niaid.nih.gov/transcriptome/Anopheles_sialome/links/cluster-b/anopheline-sialome-cds-pep-larger-orf75-50SimCLU14.txt", 14)</f>
        <v>14</v>
      </c>
      <c r="CG599">
        <f>HYPERLINK("http://exon.niaid.nih.gov/transcriptome/Anopheles_sialome/links/cluster-b/anopheline-sialome-cds-pep-larger-orf75-50SimCLTL14.txt", 17)</f>
        <v>17</v>
      </c>
      <c r="CH599">
        <f>HYPERLINK("http://exon.niaid.nih.gov/transcriptome/Anopheles_sialome/links/cluster-b/anopheline-sialome-cds-pep-larger-orf80-50SimCLU13.txt", 13)</f>
        <v>13</v>
      </c>
      <c r="CI599">
        <f>HYPERLINK("http://exon.niaid.nih.gov/transcriptome/Anopheles_sialome/links/cluster-b/anopheline-sialome-cds-pep-larger-orf80-50SimCLTL13.txt", 15)</f>
        <v>15</v>
      </c>
      <c r="CJ599">
        <f>HYPERLINK("http://exon.niaid.nih.gov/transcriptome/Anopheles_sialome/links/cluster-b/anopheline-sialome-cds-pep-larger-orf85-50SimCLU12.txt", 12)</f>
        <v>12</v>
      </c>
      <c r="CK599">
        <f>HYPERLINK("http://exon.niaid.nih.gov/transcriptome/Anopheles_sialome/links/cluster-b/anopheline-sialome-cds-pep-larger-orf85-50SimCLTL12.txt", 13)</f>
        <v>13</v>
      </c>
      <c r="CL599">
        <f>HYPERLINK("http://exon.niaid.nih.gov/transcriptome/Anopheles_sialome/links/cluster-b/anopheline-sialome-cds-pep-larger-orf90-50SimCLU10.txt", 10)</f>
        <v>10</v>
      </c>
      <c r="CM599">
        <f>HYPERLINK("http://exon.niaid.nih.gov/transcriptome/Anopheles_sialome/links/cluster-b/anopheline-sialome-cds-pep-larger-orf90-50SimCLTL10.txt", 8)</f>
        <v>8</v>
      </c>
      <c r="CN599">
        <f>HYPERLINK("http://exon.niaid.nih.gov/transcriptome/Anopheles_sialome/links/cluster-b/anopheline-sialome-cds-pep-larger-orf95-50SimCLU26.txt", 26)</f>
        <v>26</v>
      </c>
      <c r="CO599">
        <f>HYPERLINK("http://exon.niaid.nih.gov/transcriptome/Anopheles_sialome/links/cluster-b/anopheline-sialome-cds-pep-larger-orf95-50SimCLTL26.txt", 6)</f>
        <v>6</v>
      </c>
    </row>
    <row r="600" spans="1:93">
      <c r="A600" s="2" t="str">
        <f>HYPERLINK("http://exon.niaid.nih.gov/transcriptome/Anopheles_sialome/links/cds/anocol_SG5-cds.txt","anocol_SG5")</f>
        <v>anocol_SG5</v>
      </c>
      <c r="B600">
        <v>999</v>
      </c>
      <c r="C600" t="s">
        <v>533</v>
      </c>
      <c r="D600" t="s">
        <v>4</v>
      </c>
      <c r="E600" t="s">
        <v>5</v>
      </c>
      <c r="F600" t="s">
        <v>1</v>
      </c>
      <c r="G600" t="str">
        <f>HYPERLINK("http://exon.niaid.nih.gov/transcriptome/Anopheles_sialome/links/pep/anocol_SG5-pep.txt","anocol_SG5")</f>
        <v>anocol_SG5</v>
      </c>
      <c r="H600">
        <v>332</v>
      </c>
      <c r="I600">
        <v>2</v>
      </c>
      <c r="J600" s="3" t="str">
        <f>HYPERLINK("http://exon.niaid.nih.gov/transcriptome/Anopheles_sialome/links/Sigp/anocol_SG5-SigP.txt","SIG")</f>
        <v>SIG</v>
      </c>
      <c r="K600" t="s">
        <v>715</v>
      </c>
      <c r="L600">
        <v>38.238</v>
      </c>
      <c r="M600">
        <v>6.04</v>
      </c>
      <c r="N600">
        <v>35.841999999999999</v>
      </c>
      <c r="O600">
        <v>6.05</v>
      </c>
      <c r="P600" t="s">
        <v>2001</v>
      </c>
      <c r="Q600" s="3">
        <v>0</v>
      </c>
      <c r="R600" t="s">
        <v>128</v>
      </c>
      <c r="S600" t="s">
        <v>128</v>
      </c>
      <c r="T600" t="s">
        <v>128</v>
      </c>
      <c r="U600" t="s">
        <v>128</v>
      </c>
      <c r="V600" t="s">
        <v>128</v>
      </c>
      <c r="W600" s="3" t="str">
        <f>HYPERLINK("http://exon.niaid.nih.gov/transcriptome/Anopheles_sialome/links/netoglyc/anocol_SG5-netoglyc.txt","2")</f>
        <v>2</v>
      </c>
      <c r="X600">
        <v>11.7</v>
      </c>
      <c r="Y600">
        <v>4.2</v>
      </c>
      <c r="Z600">
        <v>3</v>
      </c>
      <c r="AA600" t="s">
        <v>654</v>
      </c>
      <c r="AB600" t="s">
        <v>2002</v>
      </c>
      <c r="AC600" s="2" t="str">
        <f>HYPERLINK("http://exon.niaid.nih.gov/transcriptome/Anopheles_sialome/links/DIPTERA/anocol_SG5-DIPTERA.txt","gSG5 protein")</f>
        <v>gSG5 protein</v>
      </c>
      <c r="AD600" t="str">
        <f t="shared" si="193"/>
        <v>0.0</v>
      </c>
      <c r="AE600" t="str">
        <f>HYPERLINK("http://www.ncbi.nlm.nih.gov/protein/13537662","gi|13537662")</f>
        <v>gi|13537662</v>
      </c>
      <c r="AF600">
        <v>100</v>
      </c>
      <c r="AG600">
        <v>100</v>
      </c>
      <c r="AH600">
        <v>100</v>
      </c>
      <c r="AI600" t="s">
        <v>2254</v>
      </c>
      <c r="AJ600" s="2" t="str">
        <f>HYPERLINK("http://exon.niaid.nih.gov/transcriptome/Anopheles_sialome/links/CULICOMORPHA/anocol_SG5-CULICOMORPHA.txt","gSG5 protein")</f>
        <v>gSG5 protein</v>
      </c>
      <c r="AK600" t="str">
        <f t="shared" si="195"/>
        <v>0.0</v>
      </c>
      <c r="AL600" t="str">
        <f>HYPERLINK("http://www.ncbi.nlm.nih.gov/protein/13537662","gi|13537662")</f>
        <v>gi|13537662</v>
      </c>
      <c r="AM600">
        <v>100</v>
      </c>
      <c r="AN600">
        <v>100</v>
      </c>
      <c r="AO600">
        <v>100</v>
      </c>
      <c r="AP600" t="s">
        <v>2254</v>
      </c>
      <c r="AQ600" s="2" t="str">
        <f>HYPERLINK("http://exon.niaid.nih.gov/transcriptome/Anopheles_sialome/links/NR-LIGHT/anocol_SG5-NR-LIGHT.txt","AGAP004334-PA")</f>
        <v>AGAP004334-PA</v>
      </c>
      <c r="AR600" t="str">
        <f t="shared" si="197"/>
        <v>0.0</v>
      </c>
      <c r="AS600" t="str">
        <f>HYPERLINK("http://www.ncbi.nlm.nih.gov/protein/31209291","gi|31209291")</f>
        <v>gi|31209291</v>
      </c>
      <c r="AT600">
        <v>100</v>
      </c>
      <c r="AU600">
        <v>100</v>
      </c>
      <c r="AV600">
        <v>100</v>
      </c>
      <c r="AW600" t="s">
        <v>2285</v>
      </c>
      <c r="AX600" s="2" t="str">
        <f>HYPERLINK("http://exon.niaid.nih.gov/transcriptome/Anopheles_sialome/links/CDD/anocol_SG5-CDD.txt","CbtA")</f>
        <v>CbtA</v>
      </c>
      <c r="AY600" t="str">
        <f>HYPERLINK("http://www.ncbi.nlm.nih.gov/Structure/cdd/cddsrv.cgi?uid=pfam09490&amp;version=v4.0","0.29")</f>
        <v>0.29</v>
      </c>
      <c r="AZ600" t="s">
        <v>3016</v>
      </c>
      <c r="BA600" s="2" t="str">
        <f>HYPERLINK("http://exon.niaid.nih.gov/transcriptome/Anopheles_sialome/links/KOG/anocol_SG5-KOG.txt","Neurotransmitter release regulator, UNC-13")</f>
        <v>Neurotransmitter release regulator, UNC-13</v>
      </c>
      <c r="BB600" t="str">
        <f>HYPERLINK("http://www.ncbi.nlm.nih.gov/Structure/cdd/cddsrv.cgi?uid=KOG1011","0.63")</f>
        <v>0.63</v>
      </c>
      <c r="BC600" t="s">
        <v>2909</v>
      </c>
      <c r="BD600" t="str">
        <f>HYPERLINK("http://exon.niaid.nih.gov/transcriptome/Anopheles_sialome/links/KOG/anocol_SG5-KOG.txt","KOG1011")</f>
        <v>KOG1011</v>
      </c>
      <c r="BE600" t="str">
        <f>HYPERLINK("http://exon.niaid.nih.gov/transcriptome/Anopheles_sialome/links/PFAM/anocol_SG5-PFAM.txt","CbtA")</f>
        <v>CbtA</v>
      </c>
      <c r="BF600" t="str">
        <f>HYPERLINK("http://pfam.sanger.ac.uk/family?acc=PF09490","0.057")</f>
        <v>0.057</v>
      </c>
      <c r="BG600" s="2" t="str">
        <f>HYPERLINK("http://exon.niaid.nih.gov/transcriptome/Anopheles_sialome/links/SMART/anocol_SG5-SMART.txt","MUTSd")</f>
        <v>MUTSd</v>
      </c>
      <c r="BH600" t="str">
        <f>HYPERLINK("http://smart.embl-heidelberg.de/smart/do_annotation.pl?DOMAIN=MUTSd&amp;BLAST=DUMMY","0.35")</f>
        <v>0.35</v>
      </c>
      <c r="BI600" t="str">
        <f>HYPERLINK("http://exon.niaid.nih.gov/transcriptome/Anopheles_sialome/links/TICK-BLOCKS/anocol_SG5-TICK-BLOCKS.txt","gSG5_protein_family |")</f>
        <v>gSG5_protein_family |</v>
      </c>
      <c r="BJ600" s="2" t="s">
        <v>3017</v>
      </c>
      <c r="BK600" t="s">
        <v>2003</v>
      </c>
      <c r="BL600">
        <f>HYPERLINK("http://exon.niaid.nih.gov/transcriptome/Anopheles_sialome/links/cluster-b/anopheline-sialome-cds-pep-larger-orf25-50SimCLU12.txt", 12)</f>
        <v>12</v>
      </c>
      <c r="BM600">
        <f>HYPERLINK("http://exon.niaid.nih.gov/transcriptome/Anopheles_sialome/links/cluster-b/anopheline-sialome-cds-pep-larger-orf25-50SimCLTL12.txt", 19)</f>
        <v>19</v>
      </c>
      <c r="BN600">
        <f>HYPERLINK("http://exon.niaid.nih.gov/transcriptome/Anopheles_sialome/links/cluster-b/anopheline-sialome-cds-pep-larger-orf30-50SimCLU11.txt", 11)</f>
        <v>11</v>
      </c>
      <c r="BO600">
        <f>HYPERLINK("http://exon.niaid.nih.gov/transcriptome/Anopheles_sialome/links/cluster-b/anopheline-sialome-cds-pep-larger-orf30-50SimCLTL11.txt", 19)</f>
        <v>19</v>
      </c>
      <c r="BP600">
        <f>HYPERLINK("http://exon.niaid.nih.gov/transcriptome/Anopheles_sialome/links/cluster-b/anopheline-sialome-cds-pep-larger-orf35-50SimCLU13.txt", 13)</f>
        <v>13</v>
      </c>
      <c r="BQ600">
        <f>HYPERLINK("http://exon.niaid.nih.gov/transcriptome/Anopheles_sialome/links/cluster-b/anopheline-sialome-cds-pep-larger-orf35-50SimCLTL13.txt", 19)</f>
        <v>19</v>
      </c>
      <c r="BR600">
        <f>HYPERLINK("http://exon.niaid.nih.gov/transcriptome/Anopheles_sialome/links/cluster-b/anopheline-sialome-cds-pep-larger-orf40-50SimCLU15.txt", 15)</f>
        <v>15</v>
      </c>
      <c r="BS600">
        <f>HYPERLINK("http://exon.niaid.nih.gov/transcriptome/Anopheles_sialome/links/cluster-b/anopheline-sialome-cds-pep-larger-orf40-50SimCLTL15.txt", 19)</f>
        <v>19</v>
      </c>
      <c r="BT600">
        <f>HYPERLINK("http://exon.niaid.nih.gov/transcriptome/Anopheles_sialome/links/cluster-b/anopheline-sialome-cds-pep-larger-orf45-50SimCLU15.txt", 15)</f>
        <v>15</v>
      </c>
      <c r="BU600">
        <f>HYPERLINK("http://exon.niaid.nih.gov/transcriptome/Anopheles_sialome/links/cluster-b/anopheline-sialome-cds-pep-larger-orf45-50SimCLTL15.txt", 19)</f>
        <v>19</v>
      </c>
      <c r="BV600">
        <f>HYPERLINK("http://exon.niaid.nih.gov/transcriptome/Anopheles_sialome/links/cluster-b/anopheline-sialome-cds-pep-larger-orf50-50SimCLU14.txt", 14)</f>
        <v>14</v>
      </c>
      <c r="BW600">
        <f>HYPERLINK("http://exon.niaid.nih.gov/transcriptome/Anopheles_sialome/links/cluster-b/anopheline-sialome-cds-pep-larger-orf50-50SimCLTL14.txt", 19)</f>
        <v>19</v>
      </c>
      <c r="BX600">
        <f>HYPERLINK("http://exon.niaid.nih.gov/transcriptome/Anopheles_sialome/links/cluster-b/anopheline-sialome-cds-pep-larger-orf55-50SimCLU15.txt", 15)</f>
        <v>15</v>
      </c>
      <c r="BY600">
        <f>HYPERLINK("http://exon.niaid.nih.gov/transcriptome/Anopheles_sialome/links/cluster-b/anopheline-sialome-cds-pep-larger-orf55-50SimCLTL15.txt", 19)</f>
        <v>19</v>
      </c>
      <c r="BZ600">
        <f>HYPERLINK("http://exon.niaid.nih.gov/transcriptome/Anopheles_sialome/links/cluster-b/anopheline-sialome-cds-pep-larger-orf60-50SimCLU14.txt", 14)</f>
        <v>14</v>
      </c>
      <c r="CA600">
        <f>HYPERLINK("http://exon.niaid.nih.gov/transcriptome/Anopheles_sialome/links/cluster-b/anopheline-sialome-cds-pep-larger-orf60-50SimCLTL14.txt", 19)</f>
        <v>19</v>
      </c>
      <c r="CB600">
        <f>HYPERLINK("http://exon.niaid.nih.gov/transcriptome/Anopheles_sialome/links/cluster-b/anopheline-sialome-cds-pep-larger-orf65-50SimCLU12.txt", 12)</f>
        <v>12</v>
      </c>
      <c r="CC600">
        <f>HYPERLINK("http://exon.niaid.nih.gov/transcriptome/Anopheles_sialome/links/cluster-b/anopheline-sialome-cds-pep-larger-orf65-50SimCLTL12.txt", 19)</f>
        <v>19</v>
      </c>
      <c r="CD600">
        <f>HYPERLINK("http://exon.niaid.nih.gov/transcriptome/Anopheles_sialome/links/cluster-b/anopheline-sialome-cds-pep-larger-orf70-50SimCLU12.txt", 12)</f>
        <v>12</v>
      </c>
      <c r="CE600">
        <f>HYPERLINK("http://exon.niaid.nih.gov/transcriptome/Anopheles_sialome/links/cluster-b/anopheline-sialome-cds-pep-larger-orf70-50SimCLTL12.txt", 19)</f>
        <v>19</v>
      </c>
      <c r="CF600">
        <f>HYPERLINK("http://exon.niaid.nih.gov/transcriptome/Anopheles_sialome/links/cluster-b/anopheline-sialome-cds-pep-larger-orf75-50SimCLU14.txt", 14)</f>
        <v>14</v>
      </c>
      <c r="CG600">
        <f>HYPERLINK("http://exon.niaid.nih.gov/transcriptome/Anopheles_sialome/links/cluster-b/anopheline-sialome-cds-pep-larger-orf75-50SimCLTL14.txt", 17)</f>
        <v>17</v>
      </c>
      <c r="CH600">
        <f>HYPERLINK("http://exon.niaid.nih.gov/transcriptome/Anopheles_sialome/links/cluster-b/anopheline-sialome-cds-pep-larger-orf80-50SimCLU13.txt", 13)</f>
        <v>13</v>
      </c>
      <c r="CI600">
        <f>HYPERLINK("http://exon.niaid.nih.gov/transcriptome/Anopheles_sialome/links/cluster-b/anopheline-sialome-cds-pep-larger-orf80-50SimCLTL13.txt", 15)</f>
        <v>15</v>
      </c>
      <c r="CJ600">
        <f>HYPERLINK("http://exon.niaid.nih.gov/transcriptome/Anopheles_sialome/links/cluster-b/anopheline-sialome-cds-pep-larger-orf85-50SimCLU12.txt", 12)</f>
        <v>12</v>
      </c>
      <c r="CK600">
        <f>HYPERLINK("http://exon.niaid.nih.gov/transcriptome/Anopheles_sialome/links/cluster-b/anopheline-sialome-cds-pep-larger-orf85-50SimCLTL12.txt", 13)</f>
        <v>13</v>
      </c>
      <c r="CL600">
        <f>HYPERLINK("http://exon.niaid.nih.gov/transcriptome/Anopheles_sialome/links/cluster-b/anopheline-sialome-cds-pep-larger-orf90-50SimCLU10.txt", 10)</f>
        <v>10</v>
      </c>
      <c r="CM600">
        <f>HYPERLINK("http://exon.niaid.nih.gov/transcriptome/Anopheles_sialome/links/cluster-b/anopheline-sialome-cds-pep-larger-orf90-50SimCLTL10.txt", 8)</f>
        <v>8</v>
      </c>
      <c r="CN600">
        <f>HYPERLINK("http://exon.niaid.nih.gov/transcriptome/Anopheles_sialome/links/cluster-b/anopheline-sialome-cds-pep-larger-orf95-50SimCLU26.txt", 26)</f>
        <v>26</v>
      </c>
      <c r="CO600">
        <f>HYPERLINK("http://exon.niaid.nih.gov/transcriptome/Anopheles_sialome/links/cluster-b/anopheline-sialome-cds-pep-larger-orf95-50SimCLTL26.txt", 6)</f>
        <v>6</v>
      </c>
    </row>
    <row r="601" spans="1:93">
      <c r="A601" s="2" t="str">
        <f>HYPERLINK("http://exon.niaid.nih.gov/transcriptome/Anopheles_sialome/links/cds/anoara_SG5-cds.txt","anoara_SG5")</f>
        <v>anoara_SG5</v>
      </c>
      <c r="B601">
        <v>999</v>
      </c>
      <c r="C601" t="s">
        <v>534</v>
      </c>
      <c r="D601" t="s">
        <v>4</v>
      </c>
      <c r="E601" t="s">
        <v>5</v>
      </c>
      <c r="F601" t="s">
        <v>1</v>
      </c>
      <c r="G601" t="str">
        <f>HYPERLINK("http://exon.niaid.nih.gov/transcriptome/Anopheles_sialome/links/pep/anoara_SG5-pep.txt","anoara_SG5")</f>
        <v>anoara_SG5</v>
      </c>
      <c r="H601">
        <v>332</v>
      </c>
      <c r="I601">
        <v>2</v>
      </c>
      <c r="J601" s="3" t="str">
        <f>HYPERLINK("http://exon.niaid.nih.gov/transcriptome/Anopheles_sialome/links/Sigp/anoara_SG5-SigP.txt","SIG")</f>
        <v>SIG</v>
      </c>
      <c r="K601" t="s">
        <v>715</v>
      </c>
      <c r="L601">
        <v>38.222000000000001</v>
      </c>
      <c r="M601">
        <v>6.04</v>
      </c>
      <c r="N601">
        <v>35.826000000000001</v>
      </c>
      <c r="O601">
        <v>6.05</v>
      </c>
      <c r="P601" t="s">
        <v>2005</v>
      </c>
      <c r="Q601" s="3">
        <v>0</v>
      </c>
      <c r="R601" t="s">
        <v>128</v>
      </c>
      <c r="S601" t="s">
        <v>128</v>
      </c>
      <c r="T601" t="s">
        <v>128</v>
      </c>
      <c r="U601" t="s">
        <v>128</v>
      </c>
      <c r="V601" t="s">
        <v>128</v>
      </c>
      <c r="W601" s="3" t="str">
        <f>HYPERLINK("http://exon.niaid.nih.gov/transcriptome/Anopheles_sialome/links/netoglyc/anoara_SG5-netoglyc.txt","2")</f>
        <v>2</v>
      </c>
      <c r="X601">
        <v>11.4</v>
      </c>
      <c r="Y601">
        <v>4.2</v>
      </c>
      <c r="Z601">
        <v>3</v>
      </c>
      <c r="AA601" t="s">
        <v>654</v>
      </c>
      <c r="AB601" t="s">
        <v>2002</v>
      </c>
      <c r="AC601" s="2" t="str">
        <f>HYPERLINK("http://exon.niaid.nih.gov/transcriptome/Anopheles_sialome/links/DIPTERA/anoara_SG5-DIPTERA.txt","gSG5 protein")</f>
        <v>gSG5 protein</v>
      </c>
      <c r="AD601" t="str">
        <f t="shared" si="193"/>
        <v>0.0</v>
      </c>
      <c r="AE601" t="str">
        <f>HYPERLINK("http://www.ncbi.nlm.nih.gov/protein/13537662","gi|13537662")</f>
        <v>gi|13537662</v>
      </c>
      <c r="AF601">
        <v>99</v>
      </c>
      <c r="AG601">
        <v>100</v>
      </c>
      <c r="AH601">
        <v>100</v>
      </c>
      <c r="AI601" t="s">
        <v>2254</v>
      </c>
      <c r="AJ601" s="2" t="str">
        <f>HYPERLINK("http://exon.niaid.nih.gov/transcriptome/Anopheles_sialome/links/CULICOMORPHA/anoara_SG5-CULICOMORPHA.txt","gSG5 protein")</f>
        <v>gSG5 protein</v>
      </c>
      <c r="AK601" t="str">
        <f t="shared" si="195"/>
        <v>0.0</v>
      </c>
      <c r="AL601" t="str">
        <f>HYPERLINK("http://www.ncbi.nlm.nih.gov/protein/13537662","gi|13537662")</f>
        <v>gi|13537662</v>
      </c>
      <c r="AM601">
        <v>99</v>
      </c>
      <c r="AN601">
        <v>100</v>
      </c>
      <c r="AO601">
        <v>100</v>
      </c>
      <c r="AP601" t="s">
        <v>2254</v>
      </c>
      <c r="AQ601" s="2" t="str">
        <f>HYPERLINK("http://exon.niaid.nih.gov/transcriptome/Anopheles_sialome/links/NR-LIGHT/anoara_SG5-NR-LIGHT.txt","AGAP004334-PA")</f>
        <v>AGAP004334-PA</v>
      </c>
      <c r="AR601" t="str">
        <f t="shared" si="197"/>
        <v>0.0</v>
      </c>
      <c r="AS601" t="str">
        <f>HYPERLINK("http://www.ncbi.nlm.nih.gov/protein/31209291","gi|31209291")</f>
        <v>gi|31209291</v>
      </c>
      <c r="AT601">
        <v>99</v>
      </c>
      <c r="AU601">
        <v>100</v>
      </c>
      <c r="AV601">
        <v>100</v>
      </c>
      <c r="AW601" t="s">
        <v>2285</v>
      </c>
      <c r="AX601" s="2" t="str">
        <f>HYPERLINK("http://exon.niaid.nih.gov/transcriptome/Anopheles_sialome/links/CDD/anoara_SG5-CDD.txt","CbtA")</f>
        <v>CbtA</v>
      </c>
      <c r="AY601" t="str">
        <f>HYPERLINK("http://www.ncbi.nlm.nih.gov/Structure/cdd/cddsrv.cgi?uid=pfam09490&amp;version=v4.0","0.31")</f>
        <v>0.31</v>
      </c>
      <c r="AZ601" t="s">
        <v>3018</v>
      </c>
      <c r="BA601" s="2" t="str">
        <f>HYPERLINK("http://exon.niaid.nih.gov/transcriptome/Anopheles_sialome/links/KOG/anoara_SG5-KOG.txt","Neurotransmitter release regulator, UNC-13")</f>
        <v>Neurotransmitter release regulator, UNC-13</v>
      </c>
      <c r="BB601" t="str">
        <f>HYPERLINK("http://www.ncbi.nlm.nih.gov/Structure/cdd/cddsrv.cgi?uid=KOG1011","0.64")</f>
        <v>0.64</v>
      </c>
      <c r="BC601" t="s">
        <v>2909</v>
      </c>
      <c r="BD601" t="str">
        <f>HYPERLINK("http://exon.niaid.nih.gov/transcriptome/Anopheles_sialome/links/KOG/anoara_SG5-KOG.txt","KOG1011")</f>
        <v>KOG1011</v>
      </c>
      <c r="BE601" t="str">
        <f>HYPERLINK("http://exon.niaid.nih.gov/transcriptome/Anopheles_sialome/links/PFAM/anoara_SG5-PFAM.txt","CbtA")</f>
        <v>CbtA</v>
      </c>
      <c r="BF601" t="str">
        <f>HYPERLINK("http://pfam.sanger.ac.uk/family?acc=PF09490","0.062")</f>
        <v>0.062</v>
      </c>
      <c r="BG601" s="2" t="str">
        <f>HYPERLINK("http://exon.niaid.nih.gov/transcriptome/Anopheles_sialome/links/SMART/anoara_SG5-SMART.txt","MUTSd")</f>
        <v>MUTSd</v>
      </c>
      <c r="BH601" t="str">
        <f>HYPERLINK("http://smart.embl-heidelberg.de/smart/do_annotation.pl?DOMAIN=MUTSd&amp;BLAST=DUMMY","0.34")</f>
        <v>0.34</v>
      </c>
      <c r="BI601" t="str">
        <f>HYPERLINK("http://exon.niaid.nih.gov/transcriptome/Anopheles_sialome/links/TICK-BLOCKS/anoara_SG5-TICK-BLOCKS.txt","gSG5_protein_family |")</f>
        <v>gSG5_protein_family |</v>
      </c>
      <c r="BJ601" s="2" t="s">
        <v>3017</v>
      </c>
      <c r="BK601" t="s">
        <v>2004</v>
      </c>
      <c r="BL601">
        <f>HYPERLINK("http://exon.niaid.nih.gov/transcriptome/Anopheles_sialome/links/cluster-b/anopheline-sialome-cds-pep-larger-orf25-50SimCLU12.txt", 12)</f>
        <v>12</v>
      </c>
      <c r="BM601">
        <f>HYPERLINK("http://exon.niaid.nih.gov/transcriptome/Anopheles_sialome/links/cluster-b/anopheline-sialome-cds-pep-larger-orf25-50SimCLTL12.txt", 19)</f>
        <v>19</v>
      </c>
      <c r="BN601">
        <f>HYPERLINK("http://exon.niaid.nih.gov/transcriptome/Anopheles_sialome/links/cluster-b/anopheline-sialome-cds-pep-larger-orf30-50SimCLU11.txt", 11)</f>
        <v>11</v>
      </c>
      <c r="BO601">
        <f>HYPERLINK("http://exon.niaid.nih.gov/transcriptome/Anopheles_sialome/links/cluster-b/anopheline-sialome-cds-pep-larger-orf30-50SimCLTL11.txt", 19)</f>
        <v>19</v>
      </c>
      <c r="BP601">
        <f>HYPERLINK("http://exon.niaid.nih.gov/transcriptome/Anopheles_sialome/links/cluster-b/anopheline-sialome-cds-pep-larger-orf35-50SimCLU13.txt", 13)</f>
        <v>13</v>
      </c>
      <c r="BQ601">
        <f>HYPERLINK("http://exon.niaid.nih.gov/transcriptome/Anopheles_sialome/links/cluster-b/anopheline-sialome-cds-pep-larger-orf35-50SimCLTL13.txt", 19)</f>
        <v>19</v>
      </c>
      <c r="BR601">
        <f>HYPERLINK("http://exon.niaid.nih.gov/transcriptome/Anopheles_sialome/links/cluster-b/anopheline-sialome-cds-pep-larger-orf40-50SimCLU15.txt", 15)</f>
        <v>15</v>
      </c>
      <c r="BS601">
        <f>HYPERLINK("http://exon.niaid.nih.gov/transcriptome/Anopheles_sialome/links/cluster-b/anopheline-sialome-cds-pep-larger-orf40-50SimCLTL15.txt", 19)</f>
        <v>19</v>
      </c>
      <c r="BT601">
        <f>HYPERLINK("http://exon.niaid.nih.gov/transcriptome/Anopheles_sialome/links/cluster-b/anopheline-sialome-cds-pep-larger-orf45-50SimCLU15.txt", 15)</f>
        <v>15</v>
      </c>
      <c r="BU601">
        <f>HYPERLINK("http://exon.niaid.nih.gov/transcriptome/Anopheles_sialome/links/cluster-b/anopheline-sialome-cds-pep-larger-orf45-50SimCLTL15.txt", 19)</f>
        <v>19</v>
      </c>
      <c r="BV601">
        <f>HYPERLINK("http://exon.niaid.nih.gov/transcriptome/Anopheles_sialome/links/cluster-b/anopheline-sialome-cds-pep-larger-orf50-50SimCLU14.txt", 14)</f>
        <v>14</v>
      </c>
      <c r="BW601">
        <f>HYPERLINK("http://exon.niaid.nih.gov/transcriptome/Anopheles_sialome/links/cluster-b/anopheline-sialome-cds-pep-larger-orf50-50SimCLTL14.txt", 19)</f>
        <v>19</v>
      </c>
      <c r="BX601">
        <f>HYPERLINK("http://exon.niaid.nih.gov/transcriptome/Anopheles_sialome/links/cluster-b/anopheline-sialome-cds-pep-larger-orf55-50SimCLU15.txt", 15)</f>
        <v>15</v>
      </c>
      <c r="BY601">
        <f>HYPERLINK("http://exon.niaid.nih.gov/transcriptome/Anopheles_sialome/links/cluster-b/anopheline-sialome-cds-pep-larger-orf55-50SimCLTL15.txt", 19)</f>
        <v>19</v>
      </c>
      <c r="BZ601">
        <f>HYPERLINK("http://exon.niaid.nih.gov/transcriptome/Anopheles_sialome/links/cluster-b/anopheline-sialome-cds-pep-larger-orf60-50SimCLU14.txt", 14)</f>
        <v>14</v>
      </c>
      <c r="CA601">
        <f>HYPERLINK("http://exon.niaid.nih.gov/transcriptome/Anopheles_sialome/links/cluster-b/anopheline-sialome-cds-pep-larger-orf60-50SimCLTL14.txt", 19)</f>
        <v>19</v>
      </c>
      <c r="CB601">
        <f>HYPERLINK("http://exon.niaid.nih.gov/transcriptome/Anopheles_sialome/links/cluster-b/anopheline-sialome-cds-pep-larger-orf65-50SimCLU12.txt", 12)</f>
        <v>12</v>
      </c>
      <c r="CC601">
        <f>HYPERLINK("http://exon.niaid.nih.gov/transcriptome/Anopheles_sialome/links/cluster-b/anopheline-sialome-cds-pep-larger-orf65-50SimCLTL12.txt", 19)</f>
        <v>19</v>
      </c>
      <c r="CD601">
        <f>HYPERLINK("http://exon.niaid.nih.gov/transcriptome/Anopheles_sialome/links/cluster-b/anopheline-sialome-cds-pep-larger-orf70-50SimCLU12.txt", 12)</f>
        <v>12</v>
      </c>
      <c r="CE601">
        <f>HYPERLINK("http://exon.niaid.nih.gov/transcriptome/Anopheles_sialome/links/cluster-b/anopheline-sialome-cds-pep-larger-orf70-50SimCLTL12.txt", 19)</f>
        <v>19</v>
      </c>
      <c r="CF601">
        <f>HYPERLINK("http://exon.niaid.nih.gov/transcriptome/Anopheles_sialome/links/cluster-b/anopheline-sialome-cds-pep-larger-orf75-50SimCLU14.txt", 14)</f>
        <v>14</v>
      </c>
      <c r="CG601">
        <f>HYPERLINK("http://exon.niaid.nih.gov/transcriptome/Anopheles_sialome/links/cluster-b/anopheline-sialome-cds-pep-larger-orf75-50SimCLTL14.txt", 17)</f>
        <v>17</v>
      </c>
      <c r="CH601">
        <f>HYPERLINK("http://exon.niaid.nih.gov/transcriptome/Anopheles_sialome/links/cluster-b/anopheline-sialome-cds-pep-larger-orf80-50SimCLU13.txt", 13)</f>
        <v>13</v>
      </c>
      <c r="CI601">
        <f>HYPERLINK("http://exon.niaid.nih.gov/transcriptome/Anopheles_sialome/links/cluster-b/anopheline-sialome-cds-pep-larger-orf80-50SimCLTL13.txt", 15)</f>
        <v>15</v>
      </c>
      <c r="CJ601">
        <f>HYPERLINK("http://exon.niaid.nih.gov/transcriptome/Anopheles_sialome/links/cluster-b/anopheline-sialome-cds-pep-larger-orf85-50SimCLU12.txt", 12)</f>
        <v>12</v>
      </c>
      <c r="CK601">
        <f>HYPERLINK("http://exon.niaid.nih.gov/transcriptome/Anopheles_sialome/links/cluster-b/anopheline-sialome-cds-pep-larger-orf85-50SimCLTL12.txt", 13)</f>
        <v>13</v>
      </c>
      <c r="CL601">
        <f>HYPERLINK("http://exon.niaid.nih.gov/transcriptome/Anopheles_sialome/links/cluster-b/anopheline-sialome-cds-pep-larger-orf90-50SimCLU10.txt", 10)</f>
        <v>10</v>
      </c>
      <c r="CM601">
        <f>HYPERLINK("http://exon.niaid.nih.gov/transcriptome/Anopheles_sialome/links/cluster-b/anopheline-sialome-cds-pep-larger-orf90-50SimCLTL10.txt", 8)</f>
        <v>8</v>
      </c>
      <c r="CN601">
        <f>HYPERLINK("http://exon.niaid.nih.gov/transcriptome/Anopheles_sialome/links/cluster-b/anopheline-sialome-cds-pep-larger-orf95-50SimCLU26.txt", 26)</f>
        <v>26</v>
      </c>
      <c r="CO601">
        <f>HYPERLINK("http://exon.niaid.nih.gov/transcriptome/Anopheles_sialome/links/cluster-b/anopheline-sialome-cds-pep-larger-orf95-50SimCLTL26.txt", 6)</f>
        <v>6</v>
      </c>
    </row>
    <row r="602" spans="1:93">
      <c r="A602" s="2" t="str">
        <f>HYPERLINK("http://exon.niaid.nih.gov/transcriptome/Anopheles_sialome/links/cds/anoqua_SG5-cds.txt","anoqua_SG5")</f>
        <v>anoqua_SG5</v>
      </c>
      <c r="B602">
        <v>999</v>
      </c>
      <c r="C602" t="s">
        <v>535</v>
      </c>
      <c r="D602" t="s">
        <v>4</v>
      </c>
      <c r="E602" t="s">
        <v>5</v>
      </c>
      <c r="F602" t="s">
        <v>1</v>
      </c>
      <c r="G602" t="str">
        <f>HYPERLINK("http://exon.niaid.nih.gov/transcriptome/Anopheles_sialome/links/pep/anoqua_SG5-pep.txt","anoqua_SG5")</f>
        <v>anoqua_SG5</v>
      </c>
      <c r="H602">
        <v>332</v>
      </c>
      <c r="I602">
        <v>2</v>
      </c>
      <c r="J602" s="3" t="str">
        <f>HYPERLINK("http://exon.niaid.nih.gov/transcriptome/Anopheles_sialome/links/Sigp/anoqua_SG5-SigP.txt","SIG")</f>
        <v>SIG</v>
      </c>
      <c r="K602" t="s">
        <v>787</v>
      </c>
      <c r="L602">
        <v>38.189</v>
      </c>
      <c r="M602">
        <v>6.1</v>
      </c>
      <c r="N602">
        <v>35.734999999999999</v>
      </c>
      <c r="O602">
        <v>6.11</v>
      </c>
      <c r="P602" t="s">
        <v>2007</v>
      </c>
      <c r="Q602" s="3">
        <v>0</v>
      </c>
      <c r="R602" t="s">
        <v>128</v>
      </c>
      <c r="S602" t="s">
        <v>128</v>
      </c>
      <c r="T602" t="s">
        <v>128</v>
      </c>
      <c r="U602" t="s">
        <v>128</v>
      </c>
      <c r="V602" t="s">
        <v>128</v>
      </c>
      <c r="W602" s="3" t="str">
        <f>HYPERLINK("http://exon.niaid.nih.gov/transcriptome/Anopheles_sialome/links/netoglyc/anoqua_SG5-netoglyc.txt","2")</f>
        <v>2</v>
      </c>
      <c r="X602">
        <v>11.4</v>
      </c>
      <c r="Y602">
        <v>4.2</v>
      </c>
      <c r="Z602">
        <v>3</v>
      </c>
      <c r="AA602" t="s">
        <v>654</v>
      </c>
      <c r="AB602" t="s">
        <v>2002</v>
      </c>
      <c r="AC602" s="2" t="str">
        <f>HYPERLINK("http://exon.niaid.nih.gov/transcriptome/Anopheles_sialome/links/DIPTERA/anoqua_SG5-DIPTERA.txt","gSG5 protein")</f>
        <v>gSG5 protein</v>
      </c>
      <c r="AD602" t="str">
        <f t="shared" si="193"/>
        <v>0.0</v>
      </c>
      <c r="AE602" t="str">
        <f t="shared" ref="AE602:AE604" si="199">HYPERLINK("http://www.ncbi.nlm.nih.gov/protein/13537662","gi|13537662")</f>
        <v>gi|13537662</v>
      </c>
      <c r="AF602">
        <v>98</v>
      </c>
      <c r="AG602">
        <v>99</v>
      </c>
      <c r="AH602">
        <v>100</v>
      </c>
      <c r="AI602" t="s">
        <v>2254</v>
      </c>
      <c r="AJ602" s="2" t="str">
        <f>HYPERLINK("http://exon.niaid.nih.gov/transcriptome/Anopheles_sialome/links/CULICOMORPHA/anoqua_SG5-CULICOMORPHA.txt","gSG5 protein")</f>
        <v>gSG5 protein</v>
      </c>
      <c r="AK602" t="str">
        <f t="shared" si="195"/>
        <v>0.0</v>
      </c>
      <c r="AL602" t="str">
        <f t="shared" ref="AL602:AL604" si="200">HYPERLINK("http://www.ncbi.nlm.nih.gov/protein/13537662","gi|13537662")</f>
        <v>gi|13537662</v>
      </c>
      <c r="AM602">
        <v>98</v>
      </c>
      <c r="AN602">
        <v>99</v>
      </c>
      <c r="AO602">
        <v>100</v>
      </c>
      <c r="AP602" t="s">
        <v>2254</v>
      </c>
      <c r="AQ602" s="2" t="str">
        <f>HYPERLINK("http://exon.niaid.nih.gov/transcriptome/Anopheles_sialome/links/NR-LIGHT/anoqua_SG5-NR-LIGHT.txt","AGAP004334-PA")</f>
        <v>AGAP004334-PA</v>
      </c>
      <c r="AR602" t="str">
        <f t="shared" si="197"/>
        <v>0.0</v>
      </c>
      <c r="AS602" t="str">
        <f t="shared" ref="AS602:AS604" si="201">HYPERLINK("http://www.ncbi.nlm.nih.gov/protein/31209291","gi|31209291")</f>
        <v>gi|31209291</v>
      </c>
      <c r="AT602">
        <v>98</v>
      </c>
      <c r="AU602">
        <v>99</v>
      </c>
      <c r="AV602">
        <v>100</v>
      </c>
      <c r="AW602" t="s">
        <v>2285</v>
      </c>
      <c r="AX602" s="2" t="str">
        <f>HYPERLINK("http://exon.niaid.nih.gov/transcriptome/Anopheles_sialome/links/CDD/anoqua_SG5-CDD.txt","CbtA")</f>
        <v>CbtA</v>
      </c>
      <c r="AY602" t="str">
        <f>HYPERLINK("http://www.ncbi.nlm.nih.gov/Structure/cdd/cddsrv.cgi?uid=pfam09490&amp;version=v4.0","0.028")</f>
        <v>0.028</v>
      </c>
      <c r="AZ602" t="s">
        <v>3019</v>
      </c>
      <c r="BA602" s="2" t="str">
        <f>HYPERLINK("http://exon.niaid.nih.gov/transcriptome/Anopheles_sialome/links/KOG/anoqua_SG5-KOG.txt","U5 snRNP spliceosome subunit")</f>
        <v>U5 snRNP spliceosome subunit</v>
      </c>
      <c r="BB602" t="str">
        <f>HYPERLINK("http://www.ncbi.nlm.nih.gov/Structure/cdd/cddsrv.cgi?uid=KOG1795","0.083")</f>
        <v>0.083</v>
      </c>
      <c r="BC602" t="s">
        <v>2464</v>
      </c>
      <c r="BD602" t="str">
        <f>HYPERLINK("http://exon.niaid.nih.gov/transcriptome/Anopheles_sialome/links/KOG/anoqua_SG5-KOG.txt","KOG1795")</f>
        <v>KOG1795</v>
      </c>
      <c r="BE602" t="str">
        <f>HYPERLINK("http://exon.niaid.nih.gov/transcriptome/Anopheles_sialome/links/PFAM/anoqua_SG5-PFAM.txt","CbtA")</f>
        <v>CbtA</v>
      </c>
      <c r="BF602" t="str">
        <f>HYPERLINK("http://pfam.sanger.ac.uk/family?acc=PF09490","0.006")</f>
        <v>0.006</v>
      </c>
      <c r="BG602" s="2" t="str">
        <f>HYPERLINK("http://exon.niaid.nih.gov/transcriptome/Anopheles_sialome/links/SMART/anoqua_SG5-SMART.txt","MUTSd")</f>
        <v>MUTSd</v>
      </c>
      <c r="BH602" t="str">
        <f>HYPERLINK("http://smart.embl-heidelberg.de/smart/do_annotation.pl?DOMAIN=MUTSd&amp;BLAST=DUMMY","0.32")</f>
        <v>0.32</v>
      </c>
      <c r="BI602" t="str">
        <f>HYPERLINK("http://exon.niaid.nih.gov/transcriptome/Anopheles_sialome/links/TICK-BLOCKS/anoqua_SG5-TICK-BLOCKS.txt","gSG5_protein_family |")</f>
        <v>gSG5_protein_family |</v>
      </c>
      <c r="BJ602" s="2" t="s">
        <v>3017</v>
      </c>
      <c r="BK602" t="s">
        <v>2006</v>
      </c>
      <c r="BL602">
        <f>HYPERLINK("http://exon.niaid.nih.gov/transcriptome/Anopheles_sialome/links/cluster-b/anopheline-sialome-cds-pep-larger-orf25-50SimCLU12.txt", 12)</f>
        <v>12</v>
      </c>
      <c r="BM602">
        <f>HYPERLINK("http://exon.niaid.nih.gov/transcriptome/Anopheles_sialome/links/cluster-b/anopheline-sialome-cds-pep-larger-orf25-50SimCLTL12.txt", 19)</f>
        <v>19</v>
      </c>
      <c r="BN602">
        <f>HYPERLINK("http://exon.niaid.nih.gov/transcriptome/Anopheles_sialome/links/cluster-b/anopheline-sialome-cds-pep-larger-orf30-50SimCLU11.txt", 11)</f>
        <v>11</v>
      </c>
      <c r="BO602">
        <f>HYPERLINK("http://exon.niaid.nih.gov/transcriptome/Anopheles_sialome/links/cluster-b/anopheline-sialome-cds-pep-larger-orf30-50SimCLTL11.txt", 19)</f>
        <v>19</v>
      </c>
      <c r="BP602">
        <f>HYPERLINK("http://exon.niaid.nih.gov/transcriptome/Anopheles_sialome/links/cluster-b/anopheline-sialome-cds-pep-larger-orf35-50SimCLU13.txt", 13)</f>
        <v>13</v>
      </c>
      <c r="BQ602">
        <f>HYPERLINK("http://exon.niaid.nih.gov/transcriptome/Anopheles_sialome/links/cluster-b/anopheline-sialome-cds-pep-larger-orf35-50SimCLTL13.txt", 19)</f>
        <v>19</v>
      </c>
      <c r="BR602">
        <f>HYPERLINK("http://exon.niaid.nih.gov/transcriptome/Anopheles_sialome/links/cluster-b/anopheline-sialome-cds-pep-larger-orf40-50SimCLU15.txt", 15)</f>
        <v>15</v>
      </c>
      <c r="BS602">
        <f>HYPERLINK("http://exon.niaid.nih.gov/transcriptome/Anopheles_sialome/links/cluster-b/anopheline-sialome-cds-pep-larger-orf40-50SimCLTL15.txt", 19)</f>
        <v>19</v>
      </c>
      <c r="BT602">
        <f>HYPERLINK("http://exon.niaid.nih.gov/transcriptome/Anopheles_sialome/links/cluster-b/anopheline-sialome-cds-pep-larger-orf45-50SimCLU15.txt", 15)</f>
        <v>15</v>
      </c>
      <c r="BU602">
        <f>HYPERLINK("http://exon.niaid.nih.gov/transcriptome/Anopheles_sialome/links/cluster-b/anopheline-sialome-cds-pep-larger-orf45-50SimCLTL15.txt", 19)</f>
        <v>19</v>
      </c>
      <c r="BV602">
        <f>HYPERLINK("http://exon.niaid.nih.gov/transcriptome/Anopheles_sialome/links/cluster-b/anopheline-sialome-cds-pep-larger-orf50-50SimCLU14.txt", 14)</f>
        <v>14</v>
      </c>
      <c r="BW602">
        <f>HYPERLINK("http://exon.niaid.nih.gov/transcriptome/Anopheles_sialome/links/cluster-b/anopheline-sialome-cds-pep-larger-orf50-50SimCLTL14.txt", 19)</f>
        <v>19</v>
      </c>
      <c r="BX602">
        <f>HYPERLINK("http://exon.niaid.nih.gov/transcriptome/Anopheles_sialome/links/cluster-b/anopheline-sialome-cds-pep-larger-orf55-50SimCLU15.txt", 15)</f>
        <v>15</v>
      </c>
      <c r="BY602">
        <f>HYPERLINK("http://exon.niaid.nih.gov/transcriptome/Anopheles_sialome/links/cluster-b/anopheline-sialome-cds-pep-larger-orf55-50SimCLTL15.txt", 19)</f>
        <v>19</v>
      </c>
      <c r="BZ602">
        <f>HYPERLINK("http://exon.niaid.nih.gov/transcriptome/Anopheles_sialome/links/cluster-b/anopheline-sialome-cds-pep-larger-orf60-50SimCLU14.txt", 14)</f>
        <v>14</v>
      </c>
      <c r="CA602">
        <f>HYPERLINK("http://exon.niaid.nih.gov/transcriptome/Anopheles_sialome/links/cluster-b/anopheline-sialome-cds-pep-larger-orf60-50SimCLTL14.txt", 19)</f>
        <v>19</v>
      </c>
      <c r="CB602">
        <f>HYPERLINK("http://exon.niaid.nih.gov/transcriptome/Anopheles_sialome/links/cluster-b/anopheline-sialome-cds-pep-larger-orf65-50SimCLU12.txt", 12)</f>
        <v>12</v>
      </c>
      <c r="CC602">
        <f>HYPERLINK("http://exon.niaid.nih.gov/transcriptome/Anopheles_sialome/links/cluster-b/anopheline-sialome-cds-pep-larger-orf65-50SimCLTL12.txt", 19)</f>
        <v>19</v>
      </c>
      <c r="CD602">
        <f>HYPERLINK("http://exon.niaid.nih.gov/transcriptome/Anopheles_sialome/links/cluster-b/anopheline-sialome-cds-pep-larger-orf70-50SimCLU12.txt", 12)</f>
        <v>12</v>
      </c>
      <c r="CE602">
        <f>HYPERLINK("http://exon.niaid.nih.gov/transcriptome/Anopheles_sialome/links/cluster-b/anopheline-sialome-cds-pep-larger-orf70-50SimCLTL12.txt", 19)</f>
        <v>19</v>
      </c>
      <c r="CF602">
        <f>HYPERLINK("http://exon.niaid.nih.gov/transcriptome/Anopheles_sialome/links/cluster-b/anopheline-sialome-cds-pep-larger-orf75-50SimCLU14.txt", 14)</f>
        <v>14</v>
      </c>
      <c r="CG602">
        <f>HYPERLINK("http://exon.niaid.nih.gov/transcriptome/Anopheles_sialome/links/cluster-b/anopheline-sialome-cds-pep-larger-orf75-50SimCLTL14.txt", 17)</f>
        <v>17</v>
      </c>
      <c r="CH602">
        <f>HYPERLINK("http://exon.niaid.nih.gov/transcriptome/Anopheles_sialome/links/cluster-b/anopheline-sialome-cds-pep-larger-orf80-50SimCLU13.txt", 13)</f>
        <v>13</v>
      </c>
      <c r="CI602">
        <f>HYPERLINK("http://exon.niaid.nih.gov/transcriptome/Anopheles_sialome/links/cluster-b/anopheline-sialome-cds-pep-larger-orf80-50SimCLTL13.txt", 15)</f>
        <v>15</v>
      </c>
      <c r="CJ602">
        <f>HYPERLINK("http://exon.niaid.nih.gov/transcriptome/Anopheles_sialome/links/cluster-b/anopheline-sialome-cds-pep-larger-orf85-50SimCLU12.txt", 12)</f>
        <v>12</v>
      </c>
      <c r="CK602">
        <f>HYPERLINK("http://exon.niaid.nih.gov/transcriptome/Anopheles_sialome/links/cluster-b/anopheline-sialome-cds-pep-larger-orf85-50SimCLTL12.txt", 13)</f>
        <v>13</v>
      </c>
      <c r="CL602">
        <f>HYPERLINK("http://exon.niaid.nih.gov/transcriptome/Anopheles_sialome/links/cluster-b/anopheline-sialome-cds-pep-larger-orf90-50SimCLU10.txt", 10)</f>
        <v>10</v>
      </c>
      <c r="CM602">
        <f>HYPERLINK("http://exon.niaid.nih.gov/transcriptome/Anopheles_sialome/links/cluster-b/anopheline-sialome-cds-pep-larger-orf90-50SimCLTL10.txt", 8)</f>
        <v>8</v>
      </c>
      <c r="CN602">
        <f>HYPERLINK("http://exon.niaid.nih.gov/transcriptome/Anopheles_sialome/links/cluster-b/anopheline-sialome-cds-pep-larger-orf95-50SimCLU26.txt", 26)</f>
        <v>26</v>
      </c>
      <c r="CO602">
        <f>HYPERLINK("http://exon.niaid.nih.gov/transcriptome/Anopheles_sialome/links/cluster-b/anopheline-sialome-cds-pep-larger-orf95-50SimCLTL26.txt", 6)</f>
        <v>6</v>
      </c>
    </row>
    <row r="603" spans="1:93">
      <c r="A603" s="2" t="str">
        <f>HYPERLINK("http://exon.niaid.nih.gov/transcriptome/Anopheles_sialome/links/cds/anomer_SG5-cds.txt","anomer_SG5")</f>
        <v>anomer_SG5</v>
      </c>
      <c r="B603">
        <v>999</v>
      </c>
      <c r="C603" t="s">
        <v>536</v>
      </c>
      <c r="D603" t="s">
        <v>4</v>
      </c>
      <c r="E603" t="s">
        <v>5</v>
      </c>
      <c r="F603" t="s">
        <v>1</v>
      </c>
      <c r="G603" t="str">
        <f>HYPERLINK("http://exon.niaid.nih.gov/transcriptome/Anopheles_sialome/links/pep/anomer_SG5-pep.txt","anomer_SG5")</f>
        <v>anomer_SG5</v>
      </c>
      <c r="H603">
        <v>332</v>
      </c>
      <c r="I603">
        <v>2</v>
      </c>
      <c r="J603" s="3" t="str">
        <f>HYPERLINK("http://exon.niaid.nih.gov/transcriptome/Anopheles_sialome/links/Sigp/anomer_SG5-SigP.txt","SIG")</f>
        <v>SIG</v>
      </c>
      <c r="K603" t="s">
        <v>715</v>
      </c>
      <c r="L603">
        <v>38.222000000000001</v>
      </c>
      <c r="M603">
        <v>6.04</v>
      </c>
      <c r="N603">
        <v>35.840000000000003</v>
      </c>
      <c r="O603">
        <v>6.05</v>
      </c>
      <c r="P603" t="s">
        <v>2009</v>
      </c>
      <c r="Q603" s="3">
        <v>0</v>
      </c>
      <c r="R603" t="s">
        <v>128</v>
      </c>
      <c r="S603" t="s">
        <v>128</v>
      </c>
      <c r="T603" t="s">
        <v>128</v>
      </c>
      <c r="U603" t="s">
        <v>128</v>
      </c>
      <c r="V603" t="s">
        <v>128</v>
      </c>
      <c r="W603" s="3" t="str">
        <f>HYPERLINK("http://exon.niaid.nih.gov/transcriptome/Anopheles_sialome/links/netoglyc/anomer_SG5-netoglyc.txt","2")</f>
        <v>2</v>
      </c>
      <c r="X603">
        <v>11.4</v>
      </c>
      <c r="Y603">
        <v>3.9</v>
      </c>
      <c r="Z603">
        <v>3</v>
      </c>
      <c r="AA603" t="s">
        <v>654</v>
      </c>
      <c r="AB603" t="s">
        <v>2002</v>
      </c>
      <c r="AC603" s="2" t="str">
        <f>HYPERLINK("http://exon.niaid.nih.gov/transcriptome/Anopheles_sialome/links/DIPTERA/anomer_SG5-DIPTERA.txt","gSG5 protein")</f>
        <v>gSG5 protein</v>
      </c>
      <c r="AD603" t="str">
        <f t="shared" si="193"/>
        <v>0.0</v>
      </c>
      <c r="AE603" t="str">
        <f t="shared" si="199"/>
        <v>gi|13537662</v>
      </c>
      <c r="AF603">
        <v>99</v>
      </c>
      <c r="AG603">
        <v>99</v>
      </c>
      <c r="AH603">
        <v>100</v>
      </c>
      <c r="AI603" t="s">
        <v>2254</v>
      </c>
      <c r="AJ603" s="2" t="str">
        <f>HYPERLINK("http://exon.niaid.nih.gov/transcriptome/Anopheles_sialome/links/CULICOMORPHA/anomer_SG5-CULICOMORPHA.txt","gSG5 protein")</f>
        <v>gSG5 protein</v>
      </c>
      <c r="AK603" t="str">
        <f t="shared" si="195"/>
        <v>0.0</v>
      </c>
      <c r="AL603" t="str">
        <f t="shared" si="200"/>
        <v>gi|13537662</v>
      </c>
      <c r="AM603">
        <v>99</v>
      </c>
      <c r="AN603">
        <v>99</v>
      </c>
      <c r="AO603">
        <v>100</v>
      </c>
      <c r="AP603" t="s">
        <v>2254</v>
      </c>
      <c r="AQ603" s="2" t="str">
        <f>HYPERLINK("http://exon.niaid.nih.gov/transcriptome/Anopheles_sialome/links/NR-LIGHT/anomer_SG5-NR-LIGHT.txt","AGAP004334-PA")</f>
        <v>AGAP004334-PA</v>
      </c>
      <c r="AR603" t="str">
        <f t="shared" si="197"/>
        <v>0.0</v>
      </c>
      <c r="AS603" t="str">
        <f t="shared" si="201"/>
        <v>gi|31209291</v>
      </c>
      <c r="AT603">
        <v>99</v>
      </c>
      <c r="AU603">
        <v>99</v>
      </c>
      <c r="AV603">
        <v>100</v>
      </c>
      <c r="AW603" t="s">
        <v>2285</v>
      </c>
      <c r="AX603" s="2" t="str">
        <f>HYPERLINK("http://exon.niaid.nih.gov/transcriptome/Anopheles_sialome/links/CDD/anomer_SG5-CDD.txt","CbtA")</f>
        <v>CbtA</v>
      </c>
      <c r="AY603" t="str">
        <f>HYPERLINK("http://www.ncbi.nlm.nih.gov/Structure/cdd/cddsrv.cgi?uid=pfam09490&amp;version=v4.0","0.13")</f>
        <v>0.13</v>
      </c>
      <c r="AZ603" t="s">
        <v>3020</v>
      </c>
      <c r="BA603" s="2" t="str">
        <f>HYPERLINK("http://exon.niaid.nih.gov/transcriptome/Anopheles_sialome/links/KOG/anomer_SG5-KOG.txt","Neurotransmitter release regulator, UNC-13")</f>
        <v>Neurotransmitter release regulator, UNC-13</v>
      </c>
      <c r="BB603" t="str">
        <f>HYPERLINK("http://www.ncbi.nlm.nih.gov/Structure/cdd/cddsrv.cgi?uid=KOG1011","0.49")</f>
        <v>0.49</v>
      </c>
      <c r="BC603" t="s">
        <v>2909</v>
      </c>
      <c r="BD603" t="str">
        <f>HYPERLINK("http://exon.niaid.nih.gov/transcriptome/Anopheles_sialome/links/KOG/anomer_SG5-KOG.txt","KOG1011")</f>
        <v>KOG1011</v>
      </c>
      <c r="BE603" t="str">
        <f>HYPERLINK("http://exon.niaid.nih.gov/transcriptome/Anopheles_sialome/links/PFAM/anomer_SG5-PFAM.txt","CbtA")</f>
        <v>CbtA</v>
      </c>
      <c r="BF603" t="str">
        <f>HYPERLINK("http://pfam.sanger.ac.uk/family?acc=PF09490","0.026")</f>
        <v>0.026</v>
      </c>
      <c r="BG603" s="2" t="str">
        <f>HYPERLINK("http://exon.niaid.nih.gov/transcriptome/Anopheles_sialome/links/SMART/anomer_SG5-SMART.txt","MUTSd")</f>
        <v>MUTSd</v>
      </c>
      <c r="BH603" t="str">
        <f>HYPERLINK("http://smart.embl-heidelberg.de/smart/do_annotation.pl?DOMAIN=MUTSd&amp;BLAST=DUMMY","0.34")</f>
        <v>0.34</v>
      </c>
      <c r="BI603" t="str">
        <f>HYPERLINK("http://exon.niaid.nih.gov/transcriptome/Anopheles_sialome/links/TICK-BLOCKS/anomer_SG5-TICK-BLOCKS.txt","gSG5_protein_family |")</f>
        <v>gSG5_protein_family |</v>
      </c>
      <c r="BJ603" s="2" t="s">
        <v>3017</v>
      </c>
      <c r="BK603" t="s">
        <v>2008</v>
      </c>
      <c r="BL603">
        <f>HYPERLINK("http://exon.niaid.nih.gov/transcriptome/Anopheles_sialome/links/cluster-b/anopheline-sialome-cds-pep-larger-orf25-50SimCLU12.txt", 12)</f>
        <v>12</v>
      </c>
      <c r="BM603">
        <f>HYPERLINK("http://exon.niaid.nih.gov/transcriptome/Anopheles_sialome/links/cluster-b/anopheline-sialome-cds-pep-larger-orf25-50SimCLTL12.txt", 19)</f>
        <v>19</v>
      </c>
      <c r="BN603">
        <f>HYPERLINK("http://exon.niaid.nih.gov/transcriptome/Anopheles_sialome/links/cluster-b/anopheline-sialome-cds-pep-larger-orf30-50SimCLU11.txt", 11)</f>
        <v>11</v>
      </c>
      <c r="BO603">
        <f>HYPERLINK("http://exon.niaid.nih.gov/transcriptome/Anopheles_sialome/links/cluster-b/anopheline-sialome-cds-pep-larger-orf30-50SimCLTL11.txt", 19)</f>
        <v>19</v>
      </c>
      <c r="BP603">
        <f>HYPERLINK("http://exon.niaid.nih.gov/transcriptome/Anopheles_sialome/links/cluster-b/anopheline-sialome-cds-pep-larger-orf35-50SimCLU13.txt", 13)</f>
        <v>13</v>
      </c>
      <c r="BQ603">
        <f>HYPERLINK("http://exon.niaid.nih.gov/transcriptome/Anopheles_sialome/links/cluster-b/anopheline-sialome-cds-pep-larger-orf35-50SimCLTL13.txt", 19)</f>
        <v>19</v>
      </c>
      <c r="BR603">
        <f>HYPERLINK("http://exon.niaid.nih.gov/transcriptome/Anopheles_sialome/links/cluster-b/anopheline-sialome-cds-pep-larger-orf40-50SimCLU15.txt", 15)</f>
        <v>15</v>
      </c>
      <c r="BS603">
        <f>HYPERLINK("http://exon.niaid.nih.gov/transcriptome/Anopheles_sialome/links/cluster-b/anopheline-sialome-cds-pep-larger-orf40-50SimCLTL15.txt", 19)</f>
        <v>19</v>
      </c>
      <c r="BT603">
        <f>HYPERLINK("http://exon.niaid.nih.gov/transcriptome/Anopheles_sialome/links/cluster-b/anopheline-sialome-cds-pep-larger-orf45-50SimCLU15.txt", 15)</f>
        <v>15</v>
      </c>
      <c r="BU603">
        <f>HYPERLINK("http://exon.niaid.nih.gov/transcriptome/Anopheles_sialome/links/cluster-b/anopheline-sialome-cds-pep-larger-orf45-50SimCLTL15.txt", 19)</f>
        <v>19</v>
      </c>
      <c r="BV603">
        <f>HYPERLINK("http://exon.niaid.nih.gov/transcriptome/Anopheles_sialome/links/cluster-b/anopheline-sialome-cds-pep-larger-orf50-50SimCLU14.txt", 14)</f>
        <v>14</v>
      </c>
      <c r="BW603">
        <f>HYPERLINK("http://exon.niaid.nih.gov/transcriptome/Anopheles_sialome/links/cluster-b/anopheline-sialome-cds-pep-larger-orf50-50SimCLTL14.txt", 19)</f>
        <v>19</v>
      </c>
      <c r="BX603">
        <f>HYPERLINK("http://exon.niaid.nih.gov/transcriptome/Anopheles_sialome/links/cluster-b/anopheline-sialome-cds-pep-larger-orf55-50SimCLU15.txt", 15)</f>
        <v>15</v>
      </c>
      <c r="BY603">
        <f>HYPERLINK("http://exon.niaid.nih.gov/transcriptome/Anopheles_sialome/links/cluster-b/anopheline-sialome-cds-pep-larger-orf55-50SimCLTL15.txt", 19)</f>
        <v>19</v>
      </c>
      <c r="BZ603">
        <f>HYPERLINK("http://exon.niaid.nih.gov/transcriptome/Anopheles_sialome/links/cluster-b/anopheline-sialome-cds-pep-larger-orf60-50SimCLU14.txt", 14)</f>
        <v>14</v>
      </c>
      <c r="CA603">
        <f>HYPERLINK("http://exon.niaid.nih.gov/transcriptome/Anopheles_sialome/links/cluster-b/anopheline-sialome-cds-pep-larger-orf60-50SimCLTL14.txt", 19)</f>
        <v>19</v>
      </c>
      <c r="CB603">
        <f>HYPERLINK("http://exon.niaid.nih.gov/transcriptome/Anopheles_sialome/links/cluster-b/anopheline-sialome-cds-pep-larger-orf65-50SimCLU12.txt", 12)</f>
        <v>12</v>
      </c>
      <c r="CC603">
        <f>HYPERLINK("http://exon.niaid.nih.gov/transcriptome/Anopheles_sialome/links/cluster-b/anopheline-sialome-cds-pep-larger-orf65-50SimCLTL12.txt", 19)</f>
        <v>19</v>
      </c>
      <c r="CD603">
        <f>HYPERLINK("http://exon.niaid.nih.gov/transcriptome/Anopheles_sialome/links/cluster-b/anopheline-sialome-cds-pep-larger-orf70-50SimCLU12.txt", 12)</f>
        <v>12</v>
      </c>
      <c r="CE603">
        <f>HYPERLINK("http://exon.niaid.nih.gov/transcriptome/Anopheles_sialome/links/cluster-b/anopheline-sialome-cds-pep-larger-orf70-50SimCLTL12.txt", 19)</f>
        <v>19</v>
      </c>
      <c r="CF603">
        <f>HYPERLINK("http://exon.niaid.nih.gov/transcriptome/Anopheles_sialome/links/cluster-b/anopheline-sialome-cds-pep-larger-orf75-50SimCLU14.txt", 14)</f>
        <v>14</v>
      </c>
      <c r="CG603">
        <f>HYPERLINK("http://exon.niaid.nih.gov/transcriptome/Anopheles_sialome/links/cluster-b/anopheline-sialome-cds-pep-larger-orf75-50SimCLTL14.txt", 17)</f>
        <v>17</v>
      </c>
      <c r="CH603">
        <f>HYPERLINK("http://exon.niaid.nih.gov/transcriptome/Anopheles_sialome/links/cluster-b/anopheline-sialome-cds-pep-larger-orf80-50SimCLU13.txt", 13)</f>
        <v>13</v>
      </c>
      <c r="CI603">
        <f>HYPERLINK("http://exon.niaid.nih.gov/transcriptome/Anopheles_sialome/links/cluster-b/anopheline-sialome-cds-pep-larger-orf80-50SimCLTL13.txt", 15)</f>
        <v>15</v>
      </c>
      <c r="CJ603">
        <f>HYPERLINK("http://exon.niaid.nih.gov/transcriptome/Anopheles_sialome/links/cluster-b/anopheline-sialome-cds-pep-larger-orf85-50SimCLU12.txt", 12)</f>
        <v>12</v>
      </c>
      <c r="CK603">
        <f>HYPERLINK("http://exon.niaid.nih.gov/transcriptome/Anopheles_sialome/links/cluster-b/anopheline-sialome-cds-pep-larger-orf85-50SimCLTL12.txt", 13)</f>
        <v>13</v>
      </c>
      <c r="CL603">
        <f>HYPERLINK("http://exon.niaid.nih.gov/transcriptome/Anopheles_sialome/links/cluster-b/anopheline-sialome-cds-pep-larger-orf90-50SimCLU10.txt", 10)</f>
        <v>10</v>
      </c>
      <c r="CM603">
        <f>HYPERLINK("http://exon.niaid.nih.gov/transcriptome/Anopheles_sialome/links/cluster-b/anopheline-sialome-cds-pep-larger-orf90-50SimCLTL10.txt", 8)</f>
        <v>8</v>
      </c>
      <c r="CN603">
        <f>HYPERLINK("http://exon.niaid.nih.gov/transcriptome/Anopheles_sialome/links/cluster-b/anopheline-sialome-cds-pep-larger-orf95-50SimCLU26.txt", 26)</f>
        <v>26</v>
      </c>
      <c r="CO603">
        <f>HYPERLINK("http://exon.niaid.nih.gov/transcriptome/Anopheles_sialome/links/cluster-b/anopheline-sialome-cds-pep-larger-orf95-50SimCLTL26.txt", 6)</f>
        <v>6</v>
      </c>
    </row>
    <row r="604" spans="1:93">
      <c r="A604" s="2" t="str">
        <f>HYPERLINK("http://exon.niaid.nih.gov/transcriptome/Anopheles_sialome/links/cds/anomel_SG5-cds.txt","anomel_SG5")</f>
        <v>anomel_SG5</v>
      </c>
      <c r="B604">
        <v>999</v>
      </c>
      <c r="C604" t="s">
        <v>537</v>
      </c>
      <c r="D604" t="s">
        <v>4</v>
      </c>
      <c r="E604" t="s">
        <v>5</v>
      </c>
      <c r="F604" t="s">
        <v>1</v>
      </c>
      <c r="G604" t="str">
        <f>HYPERLINK("http://exon.niaid.nih.gov/transcriptome/Anopheles_sialome/links/pep/anomel_SG5-pep.txt","anomel_SG5")</f>
        <v>anomel_SG5</v>
      </c>
      <c r="H604">
        <v>332</v>
      </c>
      <c r="I604">
        <v>2</v>
      </c>
      <c r="J604" s="3" t="str">
        <f>HYPERLINK("http://exon.niaid.nih.gov/transcriptome/Anopheles_sialome/links/Sigp/anomel_SG5-SigP.txt","SIG")</f>
        <v>SIG</v>
      </c>
      <c r="K604" t="s">
        <v>715</v>
      </c>
      <c r="L604">
        <v>38.121000000000002</v>
      </c>
      <c r="M604">
        <v>5.91</v>
      </c>
      <c r="N604">
        <v>35.71</v>
      </c>
      <c r="O604">
        <v>5.92</v>
      </c>
      <c r="P604" t="s">
        <v>2011</v>
      </c>
      <c r="Q604" s="3" t="str">
        <f>HYPERLINK("http://exon.niaid.nih.gov/transcriptome/Anopheles_sialome/links/tmhmm/anomel_SG5-tmhmm.txt","1")</f>
        <v>1</v>
      </c>
      <c r="R604">
        <v>6.6</v>
      </c>
      <c r="S604">
        <v>92.5</v>
      </c>
      <c r="T604">
        <v>0.9</v>
      </c>
      <c r="U604" t="s">
        <v>128</v>
      </c>
      <c r="V604">
        <v>307</v>
      </c>
      <c r="W604" s="3" t="str">
        <f>HYPERLINK("http://exon.niaid.nih.gov/transcriptome/Anopheles_sialome/links/netoglyc/anomel_SG5-netoglyc.txt","2")</f>
        <v>2</v>
      </c>
      <c r="X604">
        <v>11.4</v>
      </c>
      <c r="Y604">
        <v>4.5</v>
      </c>
      <c r="Z604">
        <v>3.3</v>
      </c>
      <c r="AA604" t="s">
        <v>654</v>
      </c>
      <c r="AB604" t="s">
        <v>2002</v>
      </c>
      <c r="AC604" s="2" t="str">
        <f>HYPERLINK("http://exon.niaid.nih.gov/transcriptome/Anopheles_sialome/links/DIPTERA/anomel_SG5-DIPTERA.txt","gSG5 protein")</f>
        <v>gSG5 protein</v>
      </c>
      <c r="AD604" t="str">
        <f t="shared" si="193"/>
        <v>0.0</v>
      </c>
      <c r="AE604" t="str">
        <f t="shared" si="199"/>
        <v>gi|13537662</v>
      </c>
      <c r="AF604">
        <v>98</v>
      </c>
      <c r="AG604">
        <v>99</v>
      </c>
      <c r="AH604">
        <v>100</v>
      </c>
      <c r="AI604" t="s">
        <v>2254</v>
      </c>
      <c r="AJ604" s="2" t="str">
        <f>HYPERLINK("http://exon.niaid.nih.gov/transcriptome/Anopheles_sialome/links/CULICOMORPHA/anomel_SG5-CULICOMORPHA.txt","gSG5 protein")</f>
        <v>gSG5 protein</v>
      </c>
      <c r="AK604" t="str">
        <f t="shared" si="195"/>
        <v>0.0</v>
      </c>
      <c r="AL604" t="str">
        <f t="shared" si="200"/>
        <v>gi|13537662</v>
      </c>
      <c r="AM604">
        <v>98</v>
      </c>
      <c r="AN604">
        <v>99</v>
      </c>
      <c r="AO604">
        <v>100</v>
      </c>
      <c r="AP604" t="s">
        <v>2254</v>
      </c>
      <c r="AQ604" s="2" t="str">
        <f>HYPERLINK("http://exon.niaid.nih.gov/transcriptome/Anopheles_sialome/links/NR-LIGHT/anomel_SG5-NR-LIGHT.txt","AGAP004334-PA")</f>
        <v>AGAP004334-PA</v>
      </c>
      <c r="AR604" t="str">
        <f t="shared" si="197"/>
        <v>0.0</v>
      </c>
      <c r="AS604" t="str">
        <f t="shared" si="201"/>
        <v>gi|31209291</v>
      </c>
      <c r="AT604">
        <v>98</v>
      </c>
      <c r="AU604">
        <v>99</v>
      </c>
      <c r="AV604">
        <v>100</v>
      </c>
      <c r="AW604" t="s">
        <v>2285</v>
      </c>
      <c r="AX604" s="2" t="str">
        <f>HYPERLINK("http://exon.niaid.nih.gov/transcriptome/Anopheles_sialome/links/CDD/anomel_SG5-CDD.txt","Nnf1")</f>
        <v>Nnf1</v>
      </c>
      <c r="AY604" t="str">
        <f>HYPERLINK("http://www.ncbi.nlm.nih.gov/Structure/cdd/cddsrv.cgi?uid=pfam03980&amp;version=v4.0","0.23")</f>
        <v>0.23</v>
      </c>
      <c r="AZ604" t="s">
        <v>3021</v>
      </c>
      <c r="BA604" s="2" t="str">
        <f>HYPERLINK("http://exon.niaid.nih.gov/transcriptome/Anopheles_sialome/links/KOG/anomel_SG5-KOG.txt","Uncharacterized conserved protein (tumor-suppressor AXUD1 in humans)")</f>
        <v>Uncharacterized conserved protein (tumor-suppressor AXUD1 in humans)</v>
      </c>
      <c r="BB604" t="str">
        <f>HYPERLINK("http://www.ncbi.nlm.nih.gov/Structure/cdd/cddsrv.cgi?uid=KOG3813","0.020")</f>
        <v>0.020</v>
      </c>
      <c r="BC604" t="s">
        <v>2310</v>
      </c>
      <c r="BD604" t="str">
        <f>HYPERLINK("http://exon.niaid.nih.gov/transcriptome/Anopheles_sialome/links/KOG/anomel_SG5-KOG.txt","KOG3813")</f>
        <v>KOG3813</v>
      </c>
      <c r="BE604" t="str">
        <f>HYPERLINK("http://exon.niaid.nih.gov/transcriptome/Anopheles_sialome/links/PFAM/anomel_SG5-PFAM.txt","Nnf1")</f>
        <v>Nnf1</v>
      </c>
      <c r="BF604" t="str">
        <f>HYPERLINK("http://pfam.sanger.ac.uk/family?acc=PF03980","0.046")</f>
        <v>0.046</v>
      </c>
      <c r="BG604" s="2" t="str">
        <f>HYPERLINK("http://exon.niaid.nih.gov/transcriptome/Anopheles_sialome/links/SMART/anomel_SG5-SMART.txt","MUTSd")</f>
        <v>MUTSd</v>
      </c>
      <c r="BH604" t="str">
        <f>HYPERLINK("http://smart.embl-heidelberg.de/smart/do_annotation.pl?DOMAIN=MUTSd&amp;BLAST=DUMMY","0.26")</f>
        <v>0.26</v>
      </c>
      <c r="BI604" t="str">
        <f>HYPERLINK("http://exon.niaid.nih.gov/transcriptome/Anopheles_sialome/links/TICK-BLOCKS/anomel_SG5-TICK-BLOCKS.txt","gSG5_protein_family |")</f>
        <v>gSG5_protein_family |</v>
      </c>
      <c r="BJ604" s="2" t="s">
        <v>3017</v>
      </c>
      <c r="BK604" t="s">
        <v>2010</v>
      </c>
      <c r="BL604">
        <f>HYPERLINK("http://exon.niaid.nih.gov/transcriptome/Anopheles_sialome/links/cluster-b/anopheline-sialome-cds-pep-larger-orf25-50SimCLU12.txt", 12)</f>
        <v>12</v>
      </c>
      <c r="BM604">
        <f>HYPERLINK("http://exon.niaid.nih.gov/transcriptome/Anopheles_sialome/links/cluster-b/anopheline-sialome-cds-pep-larger-orf25-50SimCLTL12.txt", 19)</f>
        <v>19</v>
      </c>
      <c r="BN604">
        <f>HYPERLINK("http://exon.niaid.nih.gov/transcriptome/Anopheles_sialome/links/cluster-b/anopheline-sialome-cds-pep-larger-orf30-50SimCLU11.txt", 11)</f>
        <v>11</v>
      </c>
      <c r="BO604">
        <f>HYPERLINK("http://exon.niaid.nih.gov/transcriptome/Anopheles_sialome/links/cluster-b/anopheline-sialome-cds-pep-larger-orf30-50SimCLTL11.txt", 19)</f>
        <v>19</v>
      </c>
      <c r="BP604">
        <f>HYPERLINK("http://exon.niaid.nih.gov/transcriptome/Anopheles_sialome/links/cluster-b/anopheline-sialome-cds-pep-larger-orf35-50SimCLU13.txt", 13)</f>
        <v>13</v>
      </c>
      <c r="BQ604">
        <f>HYPERLINK("http://exon.niaid.nih.gov/transcriptome/Anopheles_sialome/links/cluster-b/anopheline-sialome-cds-pep-larger-orf35-50SimCLTL13.txt", 19)</f>
        <v>19</v>
      </c>
      <c r="BR604">
        <f>HYPERLINK("http://exon.niaid.nih.gov/transcriptome/Anopheles_sialome/links/cluster-b/anopheline-sialome-cds-pep-larger-orf40-50SimCLU15.txt", 15)</f>
        <v>15</v>
      </c>
      <c r="BS604">
        <f>HYPERLINK("http://exon.niaid.nih.gov/transcriptome/Anopheles_sialome/links/cluster-b/anopheline-sialome-cds-pep-larger-orf40-50SimCLTL15.txt", 19)</f>
        <v>19</v>
      </c>
      <c r="BT604">
        <f>HYPERLINK("http://exon.niaid.nih.gov/transcriptome/Anopheles_sialome/links/cluster-b/anopheline-sialome-cds-pep-larger-orf45-50SimCLU15.txt", 15)</f>
        <v>15</v>
      </c>
      <c r="BU604">
        <f>HYPERLINK("http://exon.niaid.nih.gov/transcriptome/Anopheles_sialome/links/cluster-b/anopheline-sialome-cds-pep-larger-orf45-50SimCLTL15.txt", 19)</f>
        <v>19</v>
      </c>
      <c r="BV604">
        <f>HYPERLINK("http://exon.niaid.nih.gov/transcriptome/Anopheles_sialome/links/cluster-b/anopheline-sialome-cds-pep-larger-orf50-50SimCLU14.txt", 14)</f>
        <v>14</v>
      </c>
      <c r="BW604">
        <f>HYPERLINK("http://exon.niaid.nih.gov/transcriptome/Anopheles_sialome/links/cluster-b/anopheline-sialome-cds-pep-larger-orf50-50SimCLTL14.txt", 19)</f>
        <v>19</v>
      </c>
      <c r="BX604">
        <f>HYPERLINK("http://exon.niaid.nih.gov/transcriptome/Anopheles_sialome/links/cluster-b/anopheline-sialome-cds-pep-larger-orf55-50SimCLU15.txt", 15)</f>
        <v>15</v>
      </c>
      <c r="BY604">
        <f>HYPERLINK("http://exon.niaid.nih.gov/transcriptome/Anopheles_sialome/links/cluster-b/anopheline-sialome-cds-pep-larger-orf55-50SimCLTL15.txt", 19)</f>
        <v>19</v>
      </c>
      <c r="BZ604">
        <f>HYPERLINK("http://exon.niaid.nih.gov/transcriptome/Anopheles_sialome/links/cluster-b/anopheline-sialome-cds-pep-larger-orf60-50SimCLU14.txt", 14)</f>
        <v>14</v>
      </c>
      <c r="CA604">
        <f>HYPERLINK("http://exon.niaid.nih.gov/transcriptome/Anopheles_sialome/links/cluster-b/anopheline-sialome-cds-pep-larger-orf60-50SimCLTL14.txt", 19)</f>
        <v>19</v>
      </c>
      <c r="CB604">
        <f>HYPERLINK("http://exon.niaid.nih.gov/transcriptome/Anopheles_sialome/links/cluster-b/anopheline-sialome-cds-pep-larger-orf65-50SimCLU12.txt", 12)</f>
        <v>12</v>
      </c>
      <c r="CC604">
        <f>HYPERLINK("http://exon.niaid.nih.gov/transcriptome/Anopheles_sialome/links/cluster-b/anopheline-sialome-cds-pep-larger-orf65-50SimCLTL12.txt", 19)</f>
        <v>19</v>
      </c>
      <c r="CD604">
        <f>HYPERLINK("http://exon.niaid.nih.gov/transcriptome/Anopheles_sialome/links/cluster-b/anopheline-sialome-cds-pep-larger-orf70-50SimCLU12.txt", 12)</f>
        <v>12</v>
      </c>
      <c r="CE604">
        <f>HYPERLINK("http://exon.niaid.nih.gov/transcriptome/Anopheles_sialome/links/cluster-b/anopheline-sialome-cds-pep-larger-orf70-50SimCLTL12.txt", 19)</f>
        <v>19</v>
      </c>
      <c r="CF604">
        <f>HYPERLINK("http://exon.niaid.nih.gov/transcriptome/Anopheles_sialome/links/cluster-b/anopheline-sialome-cds-pep-larger-orf75-50SimCLU14.txt", 14)</f>
        <v>14</v>
      </c>
      <c r="CG604">
        <f>HYPERLINK("http://exon.niaid.nih.gov/transcriptome/Anopheles_sialome/links/cluster-b/anopheline-sialome-cds-pep-larger-orf75-50SimCLTL14.txt", 17)</f>
        <v>17</v>
      </c>
      <c r="CH604">
        <f>HYPERLINK("http://exon.niaid.nih.gov/transcriptome/Anopheles_sialome/links/cluster-b/anopheline-sialome-cds-pep-larger-orf80-50SimCLU13.txt", 13)</f>
        <v>13</v>
      </c>
      <c r="CI604">
        <f>HYPERLINK("http://exon.niaid.nih.gov/transcriptome/Anopheles_sialome/links/cluster-b/anopheline-sialome-cds-pep-larger-orf80-50SimCLTL13.txt", 15)</f>
        <v>15</v>
      </c>
      <c r="CJ604">
        <f>HYPERLINK("http://exon.niaid.nih.gov/transcriptome/Anopheles_sialome/links/cluster-b/anopheline-sialome-cds-pep-larger-orf85-50SimCLU12.txt", 12)</f>
        <v>12</v>
      </c>
      <c r="CK604">
        <f>HYPERLINK("http://exon.niaid.nih.gov/transcriptome/Anopheles_sialome/links/cluster-b/anopheline-sialome-cds-pep-larger-orf85-50SimCLTL12.txt", 13)</f>
        <v>13</v>
      </c>
      <c r="CL604">
        <f>HYPERLINK("http://exon.niaid.nih.gov/transcriptome/Anopheles_sialome/links/cluster-b/anopheline-sialome-cds-pep-larger-orf90-50SimCLU10.txt", 10)</f>
        <v>10</v>
      </c>
      <c r="CM604">
        <f>HYPERLINK("http://exon.niaid.nih.gov/transcriptome/Anopheles_sialome/links/cluster-b/anopheline-sialome-cds-pep-larger-orf90-50SimCLTL10.txt", 8)</f>
        <v>8</v>
      </c>
      <c r="CN604">
        <f>HYPERLINK("http://exon.niaid.nih.gov/transcriptome/Anopheles_sialome/links/cluster-b/anopheline-sialome-cds-pep-larger-orf95-50SimCLU26.txt", 26)</f>
        <v>26</v>
      </c>
      <c r="CO604">
        <f>HYPERLINK("http://exon.niaid.nih.gov/transcriptome/Anopheles_sialome/links/cluster-b/anopheline-sialome-cds-pep-larger-orf95-50SimCLTL26.txt", 6)</f>
        <v>6</v>
      </c>
    </row>
    <row r="605" spans="1:93">
      <c r="A605" s="2" t="str">
        <f>HYPERLINK("http://exon.niaid.nih.gov/transcriptome/Anopheles_sialome/links/cds/anochris_SG5-cds.txt","anochris_SG5")</f>
        <v>anochris_SG5</v>
      </c>
      <c r="B605">
        <v>999</v>
      </c>
      <c r="C605" t="s">
        <v>538</v>
      </c>
      <c r="D605" t="s">
        <v>4</v>
      </c>
      <c r="E605" t="s">
        <v>5</v>
      </c>
      <c r="F605" t="s">
        <v>1</v>
      </c>
      <c r="G605" t="str">
        <f>HYPERLINK("http://exon.niaid.nih.gov/transcriptome/Anopheles_sialome/links/pep/anochris_SG5-pep.txt","anochris_SG5")</f>
        <v>anochris_SG5</v>
      </c>
      <c r="H605">
        <v>332</v>
      </c>
      <c r="I605">
        <v>1</v>
      </c>
      <c r="J605" s="3" t="str">
        <f>HYPERLINK("http://exon.niaid.nih.gov/transcriptome/Anopheles_sialome/links/Sigp/anochris_SG5-SigP.txt","SIG")</f>
        <v>SIG</v>
      </c>
      <c r="K605" t="s">
        <v>715</v>
      </c>
      <c r="L605">
        <v>38.314</v>
      </c>
      <c r="M605">
        <v>5.76</v>
      </c>
      <c r="N605">
        <v>35.755000000000003</v>
      </c>
      <c r="O605">
        <v>5.76</v>
      </c>
      <c r="P605" t="s">
        <v>2013</v>
      </c>
      <c r="Q605" s="3" t="str">
        <f>HYPERLINK("http://exon.niaid.nih.gov/transcriptome/Anopheles_sialome/links/tmhmm/anochris_SG5-tmhmm.txt","1")</f>
        <v>1</v>
      </c>
      <c r="R605">
        <v>6.6</v>
      </c>
      <c r="S605">
        <v>92.5</v>
      </c>
      <c r="T605">
        <v>0.9</v>
      </c>
      <c r="U605" t="s">
        <v>128</v>
      </c>
      <c r="V605">
        <v>307</v>
      </c>
      <c r="W605" s="3" t="str">
        <f>HYPERLINK("http://exon.niaid.nih.gov/transcriptome/Anopheles_sialome/links/netoglyc/anochris_SG5-netoglyc.txt","2")</f>
        <v>2</v>
      </c>
      <c r="X605">
        <v>11.7</v>
      </c>
      <c r="Y605">
        <v>3.9</v>
      </c>
      <c r="Z605">
        <v>3</v>
      </c>
      <c r="AA605" t="s">
        <v>654</v>
      </c>
      <c r="AB605" t="s">
        <v>2014</v>
      </c>
      <c r="AC605" s="2" t="str">
        <f>HYPERLINK("http://exon.niaid.nih.gov/transcriptome/Anopheles_sialome/links/DIPTERA/anochris_SG5-DIPTERA.txt","gSG5 protein")</f>
        <v>gSG5 protein</v>
      </c>
      <c r="AD605" t="str">
        <f>HYPERLINK("http://www.ncbi.nlm.nih.gov/sutils/blink.cgi?pid=13537662","1E-165")</f>
        <v>1E-165</v>
      </c>
      <c r="AE605" t="str">
        <f>HYPERLINK("http://www.ncbi.nlm.nih.gov/protein/13537662","gi|13537662")</f>
        <v>gi|13537662</v>
      </c>
      <c r="AF605">
        <v>85</v>
      </c>
      <c r="AG605">
        <v>93</v>
      </c>
      <c r="AH605">
        <v>100</v>
      </c>
      <c r="AI605" t="s">
        <v>2254</v>
      </c>
      <c r="AJ605" s="2" t="str">
        <f>HYPERLINK("http://exon.niaid.nih.gov/transcriptome/Anopheles_sialome/links/CULICOMORPHA/anochris_SG5-CULICOMORPHA.txt","gSG5 protein")</f>
        <v>gSG5 protein</v>
      </c>
      <c r="AK605" t="str">
        <f>HYPERLINK("http://www.ncbi.nlm.nih.gov/sutils/blink.cgi?pid=13537662","1E-166")</f>
        <v>1E-166</v>
      </c>
      <c r="AL605" t="str">
        <f>HYPERLINK("http://www.ncbi.nlm.nih.gov/protein/13537662","gi|13537662")</f>
        <v>gi|13537662</v>
      </c>
      <c r="AM605">
        <v>85</v>
      </c>
      <c r="AN605">
        <v>93</v>
      </c>
      <c r="AO605">
        <v>100</v>
      </c>
      <c r="AP605" t="s">
        <v>2254</v>
      </c>
      <c r="AQ605" s="2" t="str">
        <f>HYPERLINK("http://exon.niaid.nih.gov/transcriptome/Anopheles_sialome/links/NR-LIGHT/anochris_SG5-NR-LIGHT.txt","AGAP004334-PA")</f>
        <v>AGAP004334-PA</v>
      </c>
      <c r="AR605" t="str">
        <f>HYPERLINK("http://www.ncbi.nlm.nih.gov/sutils/blink.cgi?pid=31209291","1E-164")</f>
        <v>1E-164</v>
      </c>
      <c r="AS605" t="str">
        <f>HYPERLINK("http://www.ncbi.nlm.nih.gov/protein/31209291","gi|31209291")</f>
        <v>gi|31209291</v>
      </c>
      <c r="AT605">
        <v>85</v>
      </c>
      <c r="AU605">
        <v>93</v>
      </c>
      <c r="AV605">
        <v>100</v>
      </c>
      <c r="AW605" t="s">
        <v>2285</v>
      </c>
      <c r="AX605" s="2" t="str">
        <f>HYPERLINK("http://exon.niaid.nih.gov/transcriptome/Anopheles_sialome/links/CDD/anochris_SG5-CDD.txt","murB")</f>
        <v>murB</v>
      </c>
      <c r="AY605" t="str">
        <f>HYPERLINK("http://www.ncbi.nlm.nih.gov/Structure/cdd/cddsrv.cgi?uid=PRK13906&amp;version=v4.0","0.53")</f>
        <v>0.53</v>
      </c>
      <c r="AZ605" t="s">
        <v>3022</v>
      </c>
      <c r="BA605" s="2" t="str">
        <f>HYPERLINK("http://exon.niaid.nih.gov/transcriptome/Anopheles_sialome/links/KOG/anochris_SG5-KOG.txt","Predicted helicase, DEAD-box superfamily")</f>
        <v>Predicted helicase, DEAD-box superfamily</v>
      </c>
      <c r="BB605" t="str">
        <f>HYPERLINK("http://www.ncbi.nlm.nih.gov/Structure/cdd/cddsrv.cgi?uid=KOG0949","3.1")</f>
        <v>3.1</v>
      </c>
      <c r="BC605" t="s">
        <v>2310</v>
      </c>
      <c r="BD605" t="str">
        <f>HYPERLINK("http://exon.niaid.nih.gov/transcriptome/Anopheles_sialome/links/KOG/anochris_SG5-KOG.txt","KOG0949")</f>
        <v>KOG0949</v>
      </c>
      <c r="BE605" t="str">
        <f>HYPERLINK("http://exon.niaid.nih.gov/transcriptome/Anopheles_sialome/links/PFAM/anochris_SG5-PFAM.txt","Phage_GP20")</f>
        <v>Phage_GP20</v>
      </c>
      <c r="BF605" t="str">
        <f>HYPERLINK("http://pfam.sanger.ac.uk/family?acc=PF06810","0.51")</f>
        <v>0.51</v>
      </c>
      <c r="BG605" s="2" t="str">
        <f>HYPERLINK("http://exon.niaid.nih.gov/transcriptome/Anopheles_sialome/links/SMART/anochris_SG5-SMART.txt","Zpr1")</f>
        <v>Zpr1</v>
      </c>
      <c r="BH605" t="str">
        <f>HYPERLINK("http://smart.embl-heidelberg.de/smart/do_annotation.pl?DOMAIN=Zpr1&amp;BLAST=DUMMY","2.0")</f>
        <v>2.0</v>
      </c>
      <c r="BI605" t="str">
        <f>HYPERLINK("http://exon.niaid.nih.gov/transcriptome/Anopheles_sialome/links/TICK-BLOCKS/anochris_SG5-TICK-BLOCKS.txt","gSG5_protein_family |")</f>
        <v>gSG5_protein_family |</v>
      </c>
      <c r="BJ605" s="2" t="s">
        <v>3017</v>
      </c>
      <c r="BK605" t="s">
        <v>2012</v>
      </c>
      <c r="BL605">
        <f>HYPERLINK("http://exon.niaid.nih.gov/transcriptome/Anopheles_sialome/links/cluster-b/anopheline-sialome-cds-pep-larger-orf25-50SimCLU12.txt", 12)</f>
        <v>12</v>
      </c>
      <c r="BM605">
        <f>HYPERLINK("http://exon.niaid.nih.gov/transcriptome/Anopheles_sialome/links/cluster-b/anopheline-sialome-cds-pep-larger-orf25-50SimCLTL12.txt", 19)</f>
        <v>19</v>
      </c>
      <c r="BN605">
        <f>HYPERLINK("http://exon.niaid.nih.gov/transcriptome/Anopheles_sialome/links/cluster-b/anopheline-sialome-cds-pep-larger-orf30-50SimCLU11.txt", 11)</f>
        <v>11</v>
      </c>
      <c r="BO605">
        <f>HYPERLINK("http://exon.niaid.nih.gov/transcriptome/Anopheles_sialome/links/cluster-b/anopheline-sialome-cds-pep-larger-orf30-50SimCLTL11.txt", 19)</f>
        <v>19</v>
      </c>
      <c r="BP605">
        <f>HYPERLINK("http://exon.niaid.nih.gov/transcriptome/Anopheles_sialome/links/cluster-b/anopheline-sialome-cds-pep-larger-orf35-50SimCLU13.txt", 13)</f>
        <v>13</v>
      </c>
      <c r="BQ605">
        <f>HYPERLINK("http://exon.niaid.nih.gov/transcriptome/Anopheles_sialome/links/cluster-b/anopheline-sialome-cds-pep-larger-orf35-50SimCLTL13.txt", 19)</f>
        <v>19</v>
      </c>
      <c r="BR605">
        <f>HYPERLINK("http://exon.niaid.nih.gov/transcriptome/Anopheles_sialome/links/cluster-b/anopheline-sialome-cds-pep-larger-orf40-50SimCLU15.txt", 15)</f>
        <v>15</v>
      </c>
      <c r="BS605">
        <f>HYPERLINK("http://exon.niaid.nih.gov/transcriptome/Anopheles_sialome/links/cluster-b/anopheline-sialome-cds-pep-larger-orf40-50SimCLTL15.txt", 19)</f>
        <v>19</v>
      </c>
      <c r="BT605">
        <f>HYPERLINK("http://exon.niaid.nih.gov/transcriptome/Anopheles_sialome/links/cluster-b/anopheline-sialome-cds-pep-larger-orf45-50SimCLU15.txt", 15)</f>
        <v>15</v>
      </c>
      <c r="BU605">
        <f>HYPERLINK("http://exon.niaid.nih.gov/transcriptome/Anopheles_sialome/links/cluster-b/anopheline-sialome-cds-pep-larger-orf45-50SimCLTL15.txt", 19)</f>
        <v>19</v>
      </c>
      <c r="BV605">
        <f>HYPERLINK("http://exon.niaid.nih.gov/transcriptome/Anopheles_sialome/links/cluster-b/anopheline-sialome-cds-pep-larger-orf50-50SimCLU14.txt", 14)</f>
        <v>14</v>
      </c>
      <c r="BW605">
        <f>HYPERLINK("http://exon.niaid.nih.gov/transcriptome/Anopheles_sialome/links/cluster-b/anopheline-sialome-cds-pep-larger-orf50-50SimCLTL14.txt", 19)</f>
        <v>19</v>
      </c>
      <c r="BX605">
        <f>HYPERLINK("http://exon.niaid.nih.gov/transcriptome/Anopheles_sialome/links/cluster-b/anopheline-sialome-cds-pep-larger-orf55-50SimCLU15.txt", 15)</f>
        <v>15</v>
      </c>
      <c r="BY605">
        <f>HYPERLINK("http://exon.niaid.nih.gov/transcriptome/Anopheles_sialome/links/cluster-b/anopheline-sialome-cds-pep-larger-orf55-50SimCLTL15.txt", 19)</f>
        <v>19</v>
      </c>
      <c r="BZ605">
        <f>HYPERLINK("http://exon.niaid.nih.gov/transcriptome/Anopheles_sialome/links/cluster-b/anopheline-sialome-cds-pep-larger-orf60-50SimCLU14.txt", 14)</f>
        <v>14</v>
      </c>
      <c r="CA605">
        <f>HYPERLINK("http://exon.niaid.nih.gov/transcriptome/Anopheles_sialome/links/cluster-b/anopheline-sialome-cds-pep-larger-orf60-50SimCLTL14.txt", 19)</f>
        <v>19</v>
      </c>
      <c r="CB605">
        <f>HYPERLINK("http://exon.niaid.nih.gov/transcriptome/Anopheles_sialome/links/cluster-b/anopheline-sialome-cds-pep-larger-orf65-50SimCLU12.txt", 12)</f>
        <v>12</v>
      </c>
      <c r="CC605">
        <f>HYPERLINK("http://exon.niaid.nih.gov/transcriptome/Anopheles_sialome/links/cluster-b/anopheline-sialome-cds-pep-larger-orf65-50SimCLTL12.txt", 19)</f>
        <v>19</v>
      </c>
      <c r="CD605">
        <f>HYPERLINK("http://exon.niaid.nih.gov/transcriptome/Anopheles_sialome/links/cluster-b/anopheline-sialome-cds-pep-larger-orf70-50SimCLU12.txt", 12)</f>
        <v>12</v>
      </c>
      <c r="CE605">
        <f>HYPERLINK("http://exon.niaid.nih.gov/transcriptome/Anopheles_sialome/links/cluster-b/anopheline-sialome-cds-pep-larger-orf70-50SimCLTL12.txt", 19)</f>
        <v>19</v>
      </c>
      <c r="CF605">
        <f>HYPERLINK("http://exon.niaid.nih.gov/transcriptome/Anopheles_sialome/links/cluster-b/anopheline-sialome-cds-pep-larger-orf75-50SimCLU14.txt", 14)</f>
        <v>14</v>
      </c>
      <c r="CG605">
        <f>HYPERLINK("http://exon.niaid.nih.gov/transcriptome/Anopheles_sialome/links/cluster-b/anopheline-sialome-cds-pep-larger-orf75-50SimCLTL14.txt", 17)</f>
        <v>17</v>
      </c>
      <c r="CH605">
        <f>HYPERLINK("http://exon.niaid.nih.gov/transcriptome/Anopheles_sialome/links/cluster-b/anopheline-sialome-cds-pep-larger-orf80-50SimCLU13.txt", 13)</f>
        <v>13</v>
      </c>
      <c r="CI605">
        <f>HYPERLINK("http://exon.niaid.nih.gov/transcriptome/Anopheles_sialome/links/cluster-b/anopheline-sialome-cds-pep-larger-orf80-50SimCLTL13.txt", 15)</f>
        <v>15</v>
      </c>
      <c r="CJ605">
        <f>HYPERLINK("http://exon.niaid.nih.gov/transcriptome/Anopheles_sialome/links/cluster-b/anopheline-sialome-cds-pep-larger-orf85-50SimCLU12.txt", 12)</f>
        <v>12</v>
      </c>
      <c r="CK605">
        <f>HYPERLINK("http://exon.niaid.nih.gov/transcriptome/Anopheles_sialome/links/cluster-b/anopheline-sialome-cds-pep-larger-orf85-50SimCLTL12.txt", 13)</f>
        <v>13</v>
      </c>
      <c r="CL605">
        <f>HYPERLINK("http://exon.niaid.nih.gov/transcriptome/Anopheles_sialome/links/cluster-b/anopheline-sialome-cds-pep-larger-orf90-50SimCLU10.txt", 10)</f>
        <v>10</v>
      </c>
      <c r="CM605">
        <f>HYPERLINK("http://exon.niaid.nih.gov/transcriptome/Anopheles_sialome/links/cluster-b/anopheline-sialome-cds-pep-larger-orf90-50SimCLTL10.txt", 8)</f>
        <v>8</v>
      </c>
      <c r="CN605">
        <v>490</v>
      </c>
      <c r="CO605">
        <v>1</v>
      </c>
    </row>
    <row r="606" spans="1:93">
      <c r="A606" s="2" t="str">
        <f>HYPERLINK("http://exon.niaid.nih.gov/transcriptome/Anopheles_sialome/links/cds/anoepi_SG5-cds.txt","anoepi_SG5")</f>
        <v>anoepi_SG5</v>
      </c>
      <c r="B606">
        <v>993</v>
      </c>
      <c r="C606" t="s">
        <v>539</v>
      </c>
      <c r="D606" t="s">
        <v>4</v>
      </c>
      <c r="E606" t="s">
        <v>5</v>
      </c>
      <c r="F606" t="s">
        <v>1</v>
      </c>
      <c r="G606" t="str">
        <f>HYPERLINK("http://exon.niaid.nih.gov/transcriptome/Anopheles_sialome/links/pep/anoepi_SG5-pep.txt","anoepi_SG5")</f>
        <v>anoepi_SG5</v>
      </c>
      <c r="H606">
        <v>330</v>
      </c>
      <c r="I606">
        <v>1</v>
      </c>
      <c r="J606" s="3" t="str">
        <f>HYPERLINK("http://exon.niaid.nih.gov/transcriptome/Anopheles_sialome/links/Sigp/anoepi_SG5-SigP.txt","SIG")</f>
        <v>SIG</v>
      </c>
      <c r="K606" t="s">
        <v>787</v>
      </c>
      <c r="L606">
        <v>37.911999999999999</v>
      </c>
      <c r="M606">
        <v>5.73</v>
      </c>
      <c r="N606">
        <v>35.4</v>
      </c>
      <c r="O606">
        <v>5.73</v>
      </c>
      <c r="P606" t="s">
        <v>2016</v>
      </c>
      <c r="Q606" s="3" t="str">
        <f>HYPERLINK("http://exon.niaid.nih.gov/transcriptome/Anopheles_sialome/links/tmhmm/anoepi_SG5-tmhmm.txt","1")</f>
        <v>1</v>
      </c>
      <c r="R606">
        <v>5.8</v>
      </c>
      <c r="S606">
        <v>92.1</v>
      </c>
      <c r="T606">
        <v>2.1</v>
      </c>
      <c r="U606" t="s">
        <v>128</v>
      </c>
      <c r="V606">
        <v>304</v>
      </c>
      <c r="W606" s="3" t="str">
        <f>HYPERLINK("http://exon.niaid.nih.gov/transcriptome/Anopheles_sialome/links/netoglyc/anoepi_SG5-netoglyc.txt","2")</f>
        <v>2</v>
      </c>
      <c r="X606">
        <v>11.5</v>
      </c>
      <c r="Y606">
        <v>3.9</v>
      </c>
      <c r="Z606">
        <v>2.7</v>
      </c>
      <c r="AA606" t="s">
        <v>654</v>
      </c>
      <c r="AB606" t="s">
        <v>2017</v>
      </c>
      <c r="AC606" s="2" t="str">
        <f>HYPERLINK("http://exon.niaid.nih.gov/transcriptome/Anopheles_sialome/links/DIPTERA/anoepi_SG5-DIPTERA.txt","gSG5 protein")</f>
        <v>gSG5 protein</v>
      </c>
      <c r="AD606" t="str">
        <f>HYPERLINK("http://www.ncbi.nlm.nih.gov/sutils/blink.cgi?pid=13537662","1E-155")</f>
        <v>1E-155</v>
      </c>
      <c r="AE606" t="str">
        <f t="shared" ref="AE606:AE608" si="202">HYPERLINK("http://www.ncbi.nlm.nih.gov/protein/13537662","gi|13537662")</f>
        <v>gi|13537662</v>
      </c>
      <c r="AF606">
        <v>82</v>
      </c>
      <c r="AG606">
        <v>90</v>
      </c>
      <c r="AH606">
        <v>100</v>
      </c>
      <c r="AI606" t="s">
        <v>2254</v>
      </c>
      <c r="AJ606" s="2" t="str">
        <f>HYPERLINK("http://exon.niaid.nih.gov/transcriptome/Anopheles_sialome/links/CULICOMORPHA/anoepi_SG5-CULICOMORPHA.txt","gSG5 protein")</f>
        <v>gSG5 protein</v>
      </c>
      <c r="AK606" t="str">
        <f>HYPERLINK("http://www.ncbi.nlm.nih.gov/sutils/blink.cgi?pid=13537662","1E-155")</f>
        <v>1E-155</v>
      </c>
      <c r="AL606" t="str">
        <f t="shared" ref="AL606:AL608" si="203">HYPERLINK("http://www.ncbi.nlm.nih.gov/protein/13537662","gi|13537662")</f>
        <v>gi|13537662</v>
      </c>
      <c r="AM606">
        <v>82</v>
      </c>
      <c r="AN606">
        <v>90</v>
      </c>
      <c r="AO606">
        <v>100</v>
      </c>
      <c r="AP606" t="s">
        <v>2254</v>
      </c>
      <c r="AQ606" s="2" t="str">
        <f>HYPERLINK("http://exon.niaid.nih.gov/transcriptome/Anopheles_sialome/links/NR-LIGHT/anoepi_SG5-NR-LIGHT.txt","AGAP004334-PA")</f>
        <v>AGAP004334-PA</v>
      </c>
      <c r="AR606" t="str">
        <f>HYPERLINK("http://www.ncbi.nlm.nih.gov/sutils/blink.cgi?pid=31209291","1E-154")</f>
        <v>1E-154</v>
      </c>
      <c r="AS606" t="str">
        <f t="shared" ref="AS606:AS608" si="204">HYPERLINK("http://www.ncbi.nlm.nih.gov/protein/31209291","gi|31209291")</f>
        <v>gi|31209291</v>
      </c>
      <c r="AT606">
        <v>82</v>
      </c>
      <c r="AU606">
        <v>90</v>
      </c>
      <c r="AV606">
        <v>100</v>
      </c>
      <c r="AW606" t="s">
        <v>2285</v>
      </c>
      <c r="AX606" s="2" t="str">
        <f>HYPERLINK("http://exon.niaid.nih.gov/transcriptome/Anopheles_sialome/links/CDD/anoepi_SG5-CDD.txt","PTZ00341")</f>
        <v>PTZ00341</v>
      </c>
      <c r="AY606" t="str">
        <f>HYPERLINK("http://www.ncbi.nlm.nih.gov/Structure/cdd/cddsrv.cgi?uid=PTZ00341&amp;version=v4.0","0.43")</f>
        <v>0.43</v>
      </c>
      <c r="AZ606" t="s">
        <v>3023</v>
      </c>
      <c r="BA606" s="2" t="str">
        <f>HYPERLINK("http://exon.niaid.nih.gov/transcriptome/Anopheles_sialome/links/KOG/anoepi_SG5-KOG.txt","U5 snRNP spliceosome subunit")</f>
        <v>U5 snRNP spliceosome subunit</v>
      </c>
      <c r="BB606" t="str">
        <f>HYPERLINK("http://www.ncbi.nlm.nih.gov/Structure/cdd/cddsrv.cgi?uid=KOG1795","0.088")</f>
        <v>0.088</v>
      </c>
      <c r="BC606" t="s">
        <v>2464</v>
      </c>
      <c r="BD606" t="str">
        <f>HYPERLINK("http://exon.niaid.nih.gov/transcriptome/Anopheles_sialome/links/KOG/anoepi_SG5-KOG.txt","KOG1795")</f>
        <v>KOG1795</v>
      </c>
      <c r="BE606" t="str">
        <f>HYPERLINK("http://exon.niaid.nih.gov/transcriptome/Anopheles_sialome/links/PFAM/anoepi_SG5-PFAM.txt","DUF2317")</f>
        <v>DUF2317</v>
      </c>
      <c r="BF606" t="str">
        <f>HYPERLINK("http://pfam.sanger.ac.uk/family?acc=PF10079","0.16")</f>
        <v>0.16</v>
      </c>
      <c r="BG606" s="2" t="str">
        <f>HYPERLINK("http://exon.niaid.nih.gov/transcriptome/Anopheles_sialome/links/SMART/anoepi_SG5-SMART.txt","H4")</f>
        <v>H4</v>
      </c>
      <c r="BH606" t="str">
        <f>HYPERLINK("http://smart.embl-heidelberg.de/smart/do_annotation.pl?DOMAIN=H4&amp;BLAST=DUMMY","1.3")</f>
        <v>1.3</v>
      </c>
      <c r="BI606" t="str">
        <f>HYPERLINK("http://exon.niaid.nih.gov/transcriptome/Anopheles_sialome/links/TICK-BLOCKS/anoepi_SG5-TICK-BLOCKS.txt","gSG5_protein_family |")</f>
        <v>gSG5_protein_family |</v>
      </c>
      <c r="BJ606" s="2" t="s">
        <v>3017</v>
      </c>
      <c r="BK606" t="s">
        <v>2015</v>
      </c>
      <c r="BL606">
        <f>HYPERLINK("http://exon.niaid.nih.gov/transcriptome/Anopheles_sialome/links/cluster-b/anopheline-sialome-cds-pep-larger-orf25-50SimCLU12.txt", 12)</f>
        <v>12</v>
      </c>
      <c r="BM606">
        <f>HYPERLINK("http://exon.niaid.nih.gov/transcriptome/Anopheles_sialome/links/cluster-b/anopheline-sialome-cds-pep-larger-orf25-50SimCLTL12.txt", 19)</f>
        <v>19</v>
      </c>
      <c r="BN606">
        <f>HYPERLINK("http://exon.niaid.nih.gov/transcriptome/Anopheles_sialome/links/cluster-b/anopheline-sialome-cds-pep-larger-orf30-50SimCLU11.txt", 11)</f>
        <v>11</v>
      </c>
      <c r="BO606">
        <f>HYPERLINK("http://exon.niaid.nih.gov/transcriptome/Anopheles_sialome/links/cluster-b/anopheline-sialome-cds-pep-larger-orf30-50SimCLTL11.txt", 19)</f>
        <v>19</v>
      </c>
      <c r="BP606">
        <f>HYPERLINK("http://exon.niaid.nih.gov/transcriptome/Anopheles_sialome/links/cluster-b/anopheline-sialome-cds-pep-larger-orf35-50SimCLU13.txt", 13)</f>
        <v>13</v>
      </c>
      <c r="BQ606">
        <f>HYPERLINK("http://exon.niaid.nih.gov/transcriptome/Anopheles_sialome/links/cluster-b/anopheline-sialome-cds-pep-larger-orf35-50SimCLTL13.txt", 19)</f>
        <v>19</v>
      </c>
      <c r="BR606">
        <f>HYPERLINK("http://exon.niaid.nih.gov/transcriptome/Anopheles_sialome/links/cluster-b/anopheline-sialome-cds-pep-larger-orf40-50SimCLU15.txt", 15)</f>
        <v>15</v>
      </c>
      <c r="BS606">
        <f>HYPERLINK("http://exon.niaid.nih.gov/transcriptome/Anopheles_sialome/links/cluster-b/anopheline-sialome-cds-pep-larger-orf40-50SimCLTL15.txt", 19)</f>
        <v>19</v>
      </c>
      <c r="BT606">
        <f>HYPERLINK("http://exon.niaid.nih.gov/transcriptome/Anopheles_sialome/links/cluster-b/anopheline-sialome-cds-pep-larger-orf45-50SimCLU15.txt", 15)</f>
        <v>15</v>
      </c>
      <c r="BU606">
        <f>HYPERLINK("http://exon.niaid.nih.gov/transcriptome/Anopheles_sialome/links/cluster-b/anopheline-sialome-cds-pep-larger-orf45-50SimCLTL15.txt", 19)</f>
        <v>19</v>
      </c>
      <c r="BV606">
        <f>HYPERLINK("http://exon.niaid.nih.gov/transcriptome/Anopheles_sialome/links/cluster-b/anopheline-sialome-cds-pep-larger-orf50-50SimCLU14.txt", 14)</f>
        <v>14</v>
      </c>
      <c r="BW606">
        <f>HYPERLINK("http://exon.niaid.nih.gov/transcriptome/Anopheles_sialome/links/cluster-b/anopheline-sialome-cds-pep-larger-orf50-50SimCLTL14.txt", 19)</f>
        <v>19</v>
      </c>
      <c r="BX606">
        <f>HYPERLINK("http://exon.niaid.nih.gov/transcriptome/Anopheles_sialome/links/cluster-b/anopheline-sialome-cds-pep-larger-orf55-50SimCLU15.txt", 15)</f>
        <v>15</v>
      </c>
      <c r="BY606">
        <f>HYPERLINK("http://exon.niaid.nih.gov/transcriptome/Anopheles_sialome/links/cluster-b/anopheline-sialome-cds-pep-larger-orf55-50SimCLTL15.txt", 19)</f>
        <v>19</v>
      </c>
      <c r="BZ606">
        <f>HYPERLINK("http://exon.niaid.nih.gov/transcriptome/Anopheles_sialome/links/cluster-b/anopheline-sialome-cds-pep-larger-orf60-50SimCLU14.txt", 14)</f>
        <v>14</v>
      </c>
      <c r="CA606">
        <f>HYPERLINK("http://exon.niaid.nih.gov/transcriptome/Anopheles_sialome/links/cluster-b/anopheline-sialome-cds-pep-larger-orf60-50SimCLTL14.txt", 19)</f>
        <v>19</v>
      </c>
      <c r="CB606">
        <f>HYPERLINK("http://exon.niaid.nih.gov/transcriptome/Anopheles_sialome/links/cluster-b/anopheline-sialome-cds-pep-larger-orf65-50SimCLU12.txt", 12)</f>
        <v>12</v>
      </c>
      <c r="CC606">
        <f>HYPERLINK("http://exon.niaid.nih.gov/transcriptome/Anopheles_sialome/links/cluster-b/anopheline-sialome-cds-pep-larger-orf65-50SimCLTL12.txt", 19)</f>
        <v>19</v>
      </c>
      <c r="CD606">
        <f>HYPERLINK("http://exon.niaid.nih.gov/transcriptome/Anopheles_sialome/links/cluster-b/anopheline-sialome-cds-pep-larger-orf70-50SimCLU12.txt", 12)</f>
        <v>12</v>
      </c>
      <c r="CE606">
        <f>HYPERLINK("http://exon.niaid.nih.gov/transcriptome/Anopheles_sialome/links/cluster-b/anopheline-sialome-cds-pep-larger-orf70-50SimCLTL12.txt", 19)</f>
        <v>19</v>
      </c>
      <c r="CF606">
        <f>HYPERLINK("http://exon.niaid.nih.gov/transcriptome/Anopheles_sialome/links/cluster-b/anopheline-sialome-cds-pep-larger-orf75-50SimCLU14.txt", 14)</f>
        <v>14</v>
      </c>
      <c r="CG606">
        <f>HYPERLINK("http://exon.niaid.nih.gov/transcriptome/Anopheles_sialome/links/cluster-b/anopheline-sialome-cds-pep-larger-orf75-50SimCLTL14.txt", 17)</f>
        <v>17</v>
      </c>
      <c r="CH606">
        <f>HYPERLINK("http://exon.niaid.nih.gov/transcriptome/Anopheles_sialome/links/cluster-b/anopheline-sialome-cds-pep-larger-orf80-50SimCLU13.txt", 13)</f>
        <v>13</v>
      </c>
      <c r="CI606">
        <f>HYPERLINK("http://exon.niaid.nih.gov/transcriptome/Anopheles_sialome/links/cluster-b/anopheline-sialome-cds-pep-larger-orf80-50SimCLTL13.txt", 15)</f>
        <v>15</v>
      </c>
      <c r="CJ606">
        <f>HYPERLINK("http://exon.niaid.nih.gov/transcriptome/Anopheles_sialome/links/cluster-b/anopheline-sialome-cds-pep-larger-orf85-50SimCLU12.txt", 12)</f>
        <v>12</v>
      </c>
      <c r="CK606">
        <f>HYPERLINK("http://exon.niaid.nih.gov/transcriptome/Anopheles_sialome/links/cluster-b/anopheline-sialome-cds-pep-larger-orf85-50SimCLTL12.txt", 13)</f>
        <v>13</v>
      </c>
      <c r="CL606">
        <f>HYPERLINK("http://exon.niaid.nih.gov/transcriptome/Anopheles_sialome/links/cluster-b/anopheline-sialome-cds-pep-larger-orf90-50SimCLU10.txt", 10)</f>
        <v>10</v>
      </c>
      <c r="CM606">
        <f>HYPERLINK("http://exon.niaid.nih.gov/transcriptome/Anopheles_sialome/links/cluster-b/anopheline-sialome-cds-pep-larger-orf90-50SimCLTL10.txt", 8)</f>
        <v>8</v>
      </c>
      <c r="CN606">
        <v>491</v>
      </c>
      <c r="CO606">
        <v>1</v>
      </c>
    </row>
    <row r="607" spans="1:93">
      <c r="A607" s="2" t="str">
        <f>HYPERLINK("http://exon.niaid.nih.gov/transcriptome/Anopheles_sialome/links/cds/anofun_SG5-cds.txt","anofun_SG5")</f>
        <v>anofun_SG5</v>
      </c>
      <c r="B607">
        <v>1005</v>
      </c>
      <c r="C607" t="s">
        <v>540</v>
      </c>
      <c r="D607" t="s">
        <v>4</v>
      </c>
      <c r="E607" t="s">
        <v>5</v>
      </c>
      <c r="F607" t="s">
        <v>1</v>
      </c>
      <c r="G607" t="str">
        <f>HYPERLINK("http://exon.niaid.nih.gov/transcriptome/Anopheles_sialome/links/pep/anofun_SG5-pep.txt","anofun_SG5")</f>
        <v>anofun_SG5</v>
      </c>
      <c r="H607">
        <v>334</v>
      </c>
      <c r="I607">
        <v>1</v>
      </c>
      <c r="J607" s="3" t="str">
        <f>HYPERLINK("http://exon.niaid.nih.gov/transcriptome/Anopheles_sialome/links/Sigp/anofun_SG5-SigP.txt","SIG")</f>
        <v>SIG</v>
      </c>
      <c r="K607" t="s">
        <v>1182</v>
      </c>
      <c r="L607">
        <v>38.859000000000002</v>
      </c>
      <c r="M607">
        <v>6.51</v>
      </c>
      <c r="N607">
        <v>35.956000000000003</v>
      </c>
      <c r="O607">
        <v>6.38</v>
      </c>
      <c r="P607" t="s">
        <v>2019</v>
      </c>
      <c r="Q607" s="3" t="str">
        <f>HYPERLINK("http://exon.niaid.nih.gov/transcriptome/Anopheles_sialome/links/tmhmm/anofun_SG5-tmhmm.txt","1")</f>
        <v>1</v>
      </c>
      <c r="R607">
        <v>6.6</v>
      </c>
      <c r="S607">
        <v>91.9</v>
      </c>
      <c r="T607">
        <v>1.5</v>
      </c>
      <c r="U607" t="s">
        <v>128</v>
      </c>
      <c r="V607">
        <v>307</v>
      </c>
      <c r="W607" s="3" t="str">
        <f>HYPERLINK("http://exon.niaid.nih.gov/transcriptome/Anopheles_sialome/links/netoglyc/anofun_SG5-netoglyc.txt","2")</f>
        <v>2</v>
      </c>
      <c r="X607">
        <v>10.199999999999999</v>
      </c>
      <c r="Y607">
        <v>3.3</v>
      </c>
      <c r="Z607">
        <v>3</v>
      </c>
      <c r="AA607" t="s">
        <v>654</v>
      </c>
      <c r="AB607" t="s">
        <v>2020</v>
      </c>
      <c r="AC607" s="2" t="str">
        <f>HYPERLINK("http://exon.niaid.nih.gov/transcriptome/Anopheles_sialome/links/DIPTERA/anofun_SG5-DIPTERA.txt","gSG5 protein")</f>
        <v>gSG5 protein</v>
      </c>
      <c r="AD607" t="str">
        <f>HYPERLINK("http://www.ncbi.nlm.nih.gov/sutils/blink.cgi?pid=13537662","1E-142")</f>
        <v>1E-142</v>
      </c>
      <c r="AE607" t="str">
        <f t="shared" si="202"/>
        <v>gi|13537662</v>
      </c>
      <c r="AF607">
        <v>74</v>
      </c>
      <c r="AG607">
        <v>86</v>
      </c>
      <c r="AH607">
        <v>99</v>
      </c>
      <c r="AI607" t="s">
        <v>2254</v>
      </c>
      <c r="AJ607" s="2" t="str">
        <f>HYPERLINK("http://exon.niaid.nih.gov/transcriptome/Anopheles_sialome/links/CULICOMORPHA/anofun_SG5-CULICOMORPHA.txt","gSG5 protein")</f>
        <v>gSG5 protein</v>
      </c>
      <c r="AK607" t="str">
        <f>HYPERLINK("http://www.ncbi.nlm.nih.gov/sutils/blink.cgi?pid=13537662","1E-143")</f>
        <v>1E-143</v>
      </c>
      <c r="AL607" t="str">
        <f t="shared" si="203"/>
        <v>gi|13537662</v>
      </c>
      <c r="AM607">
        <v>74</v>
      </c>
      <c r="AN607">
        <v>86</v>
      </c>
      <c r="AO607">
        <v>99</v>
      </c>
      <c r="AP607" t="s">
        <v>2254</v>
      </c>
      <c r="AQ607" s="2" t="str">
        <f>HYPERLINK("http://exon.niaid.nih.gov/transcriptome/Anopheles_sialome/links/NR-LIGHT/anofun_SG5-NR-LIGHT.txt","AGAP004334-PA")</f>
        <v>AGAP004334-PA</v>
      </c>
      <c r="AR607" t="str">
        <f>HYPERLINK("http://www.ncbi.nlm.nih.gov/sutils/blink.cgi?pid=31209291","1E-142")</f>
        <v>1E-142</v>
      </c>
      <c r="AS607" t="str">
        <f t="shared" si="204"/>
        <v>gi|31209291</v>
      </c>
      <c r="AT607">
        <v>74</v>
      </c>
      <c r="AU607">
        <v>86</v>
      </c>
      <c r="AV607">
        <v>99</v>
      </c>
      <c r="AW607" t="s">
        <v>2285</v>
      </c>
      <c r="AX607" s="2" t="str">
        <f>HYPERLINK("http://exon.niaid.nih.gov/transcriptome/Anopheles_sialome/links/CDD/anofun_SG5-CDD.txt","PHA02976")</f>
        <v>PHA02976</v>
      </c>
      <c r="AY607" t="str">
        <f>HYPERLINK("http://www.ncbi.nlm.nih.gov/Structure/cdd/cddsrv.cgi?uid=PHA02976&amp;version=v4.0","0.41")</f>
        <v>0.41</v>
      </c>
      <c r="AZ607" t="s">
        <v>3024</v>
      </c>
      <c r="BA607" s="2" t="str">
        <f>HYPERLINK("http://exon.niaid.nih.gov/transcriptome/Anopheles_sialome/links/KOG/anofun_SG5-KOG.txt","Mitochondrial inner membrane protein (mitofilin)")</f>
        <v>Mitochondrial inner membrane protein (mitofilin)</v>
      </c>
      <c r="BB607" t="str">
        <f>HYPERLINK("http://www.ncbi.nlm.nih.gov/Structure/cdd/cddsrv.cgi?uid=KOG1854","0.036")</f>
        <v>0.036</v>
      </c>
      <c r="BC607" t="s">
        <v>3025</v>
      </c>
      <c r="BD607" t="str">
        <f>HYPERLINK("http://exon.niaid.nih.gov/transcriptome/Anopheles_sialome/links/KOG/anofun_SG5-KOG.txt","KOG1854")</f>
        <v>KOG1854</v>
      </c>
      <c r="BE607" t="str">
        <f>HYPERLINK("http://exon.niaid.nih.gov/transcriptome/Anopheles_sialome/links/PFAM/anofun_SG5-PFAM.txt","DUF4455")</f>
        <v>DUF4455</v>
      </c>
      <c r="BF607" t="str">
        <f>HYPERLINK("http://pfam.sanger.ac.uk/family?acc=PF14643","0.34")</f>
        <v>0.34</v>
      </c>
      <c r="BG607" s="2" t="str">
        <f>HYPERLINK("http://exon.niaid.nih.gov/transcriptome/Anopheles_sialome/links/SMART/anofun_SG5-SMART.txt","Ubox")</f>
        <v>Ubox</v>
      </c>
      <c r="BH607" t="str">
        <f>HYPERLINK("http://smart.embl-heidelberg.de/smart/do_annotation.pl?DOMAIN=Ubox&amp;BLAST=DUMMY","1.9")</f>
        <v>1.9</v>
      </c>
      <c r="BI607" t="str">
        <f>HYPERLINK("http://exon.niaid.nih.gov/transcriptome/Anopheles_sialome/links/TICK-BLOCKS/anofun_SG5-TICK-BLOCKS.txt","gSG5_protein_family |")</f>
        <v>gSG5_protein_family |</v>
      </c>
      <c r="BJ607" s="2" t="s">
        <v>3017</v>
      </c>
      <c r="BK607" t="s">
        <v>2018</v>
      </c>
      <c r="BL607">
        <f>HYPERLINK("http://exon.niaid.nih.gov/transcriptome/Anopheles_sialome/links/cluster-b/anopheline-sialome-cds-pep-larger-orf25-50SimCLU12.txt", 12)</f>
        <v>12</v>
      </c>
      <c r="BM607">
        <f>HYPERLINK("http://exon.niaid.nih.gov/transcriptome/Anopheles_sialome/links/cluster-b/anopheline-sialome-cds-pep-larger-orf25-50SimCLTL12.txt", 19)</f>
        <v>19</v>
      </c>
      <c r="BN607">
        <f>HYPERLINK("http://exon.niaid.nih.gov/transcriptome/Anopheles_sialome/links/cluster-b/anopheline-sialome-cds-pep-larger-orf30-50SimCLU11.txt", 11)</f>
        <v>11</v>
      </c>
      <c r="BO607">
        <f>HYPERLINK("http://exon.niaid.nih.gov/transcriptome/Anopheles_sialome/links/cluster-b/anopheline-sialome-cds-pep-larger-orf30-50SimCLTL11.txt", 19)</f>
        <v>19</v>
      </c>
      <c r="BP607">
        <f>HYPERLINK("http://exon.niaid.nih.gov/transcriptome/Anopheles_sialome/links/cluster-b/anopheline-sialome-cds-pep-larger-orf35-50SimCLU13.txt", 13)</f>
        <v>13</v>
      </c>
      <c r="BQ607">
        <f>HYPERLINK("http://exon.niaid.nih.gov/transcriptome/Anopheles_sialome/links/cluster-b/anopheline-sialome-cds-pep-larger-orf35-50SimCLTL13.txt", 19)</f>
        <v>19</v>
      </c>
      <c r="BR607">
        <f>HYPERLINK("http://exon.niaid.nih.gov/transcriptome/Anopheles_sialome/links/cluster-b/anopheline-sialome-cds-pep-larger-orf40-50SimCLU15.txt", 15)</f>
        <v>15</v>
      </c>
      <c r="BS607">
        <f>HYPERLINK("http://exon.niaid.nih.gov/transcriptome/Anopheles_sialome/links/cluster-b/anopheline-sialome-cds-pep-larger-orf40-50SimCLTL15.txt", 19)</f>
        <v>19</v>
      </c>
      <c r="BT607">
        <f>HYPERLINK("http://exon.niaid.nih.gov/transcriptome/Anopheles_sialome/links/cluster-b/anopheline-sialome-cds-pep-larger-orf45-50SimCLU15.txt", 15)</f>
        <v>15</v>
      </c>
      <c r="BU607">
        <f>HYPERLINK("http://exon.niaid.nih.gov/transcriptome/Anopheles_sialome/links/cluster-b/anopheline-sialome-cds-pep-larger-orf45-50SimCLTL15.txt", 19)</f>
        <v>19</v>
      </c>
      <c r="BV607">
        <f>HYPERLINK("http://exon.niaid.nih.gov/transcriptome/Anopheles_sialome/links/cluster-b/anopheline-sialome-cds-pep-larger-orf50-50SimCLU14.txt", 14)</f>
        <v>14</v>
      </c>
      <c r="BW607">
        <f>HYPERLINK("http://exon.niaid.nih.gov/transcriptome/Anopheles_sialome/links/cluster-b/anopheline-sialome-cds-pep-larger-orf50-50SimCLTL14.txt", 19)</f>
        <v>19</v>
      </c>
      <c r="BX607">
        <f>HYPERLINK("http://exon.niaid.nih.gov/transcriptome/Anopheles_sialome/links/cluster-b/anopheline-sialome-cds-pep-larger-orf55-50SimCLU15.txt", 15)</f>
        <v>15</v>
      </c>
      <c r="BY607">
        <f>HYPERLINK("http://exon.niaid.nih.gov/transcriptome/Anopheles_sialome/links/cluster-b/anopheline-sialome-cds-pep-larger-orf55-50SimCLTL15.txt", 19)</f>
        <v>19</v>
      </c>
      <c r="BZ607">
        <f>HYPERLINK("http://exon.niaid.nih.gov/transcriptome/Anopheles_sialome/links/cluster-b/anopheline-sialome-cds-pep-larger-orf60-50SimCLU14.txt", 14)</f>
        <v>14</v>
      </c>
      <c r="CA607">
        <f>HYPERLINK("http://exon.niaid.nih.gov/transcriptome/Anopheles_sialome/links/cluster-b/anopheline-sialome-cds-pep-larger-orf60-50SimCLTL14.txt", 19)</f>
        <v>19</v>
      </c>
      <c r="CB607">
        <f>HYPERLINK("http://exon.niaid.nih.gov/transcriptome/Anopheles_sialome/links/cluster-b/anopheline-sialome-cds-pep-larger-orf65-50SimCLU12.txt", 12)</f>
        <v>12</v>
      </c>
      <c r="CC607">
        <f>HYPERLINK("http://exon.niaid.nih.gov/transcriptome/Anopheles_sialome/links/cluster-b/anopheline-sialome-cds-pep-larger-orf65-50SimCLTL12.txt", 19)</f>
        <v>19</v>
      </c>
      <c r="CD607">
        <f>HYPERLINK("http://exon.niaid.nih.gov/transcriptome/Anopheles_sialome/links/cluster-b/anopheline-sialome-cds-pep-larger-orf70-50SimCLU12.txt", 12)</f>
        <v>12</v>
      </c>
      <c r="CE607">
        <f>HYPERLINK("http://exon.niaid.nih.gov/transcriptome/Anopheles_sialome/links/cluster-b/anopheline-sialome-cds-pep-larger-orf70-50SimCLTL12.txt", 19)</f>
        <v>19</v>
      </c>
      <c r="CF607">
        <f>HYPERLINK("http://exon.niaid.nih.gov/transcriptome/Anopheles_sialome/links/cluster-b/anopheline-sialome-cds-pep-larger-orf75-50SimCLU14.txt", 14)</f>
        <v>14</v>
      </c>
      <c r="CG607">
        <f>HYPERLINK("http://exon.niaid.nih.gov/transcriptome/Anopheles_sialome/links/cluster-b/anopheline-sialome-cds-pep-larger-orf75-50SimCLTL14.txt", 17)</f>
        <v>17</v>
      </c>
      <c r="CH607">
        <f>HYPERLINK("http://exon.niaid.nih.gov/transcriptome/Anopheles_sialome/links/cluster-b/anopheline-sialome-cds-pep-larger-orf80-50SimCLU13.txt", 13)</f>
        <v>13</v>
      </c>
      <c r="CI607">
        <f>HYPERLINK("http://exon.niaid.nih.gov/transcriptome/Anopheles_sialome/links/cluster-b/anopheline-sialome-cds-pep-larger-orf80-50SimCLTL13.txt", 15)</f>
        <v>15</v>
      </c>
      <c r="CJ607">
        <f>HYPERLINK("http://exon.niaid.nih.gov/transcriptome/Anopheles_sialome/links/cluster-b/anopheline-sialome-cds-pep-larger-orf85-50SimCLU12.txt", 12)</f>
        <v>12</v>
      </c>
      <c r="CK607">
        <f>HYPERLINK("http://exon.niaid.nih.gov/transcriptome/Anopheles_sialome/links/cluster-b/anopheline-sialome-cds-pep-larger-orf85-50SimCLTL12.txt", 13)</f>
        <v>13</v>
      </c>
      <c r="CL607">
        <f>HYPERLINK("http://exon.niaid.nih.gov/transcriptome/Anopheles_sialome/links/cluster-b/anopheline-sialome-cds-pep-larger-orf90-50SimCLU57.txt", 57)</f>
        <v>57</v>
      </c>
      <c r="CM607">
        <f>HYPERLINK("http://exon.niaid.nih.gov/transcriptome/Anopheles_sialome/links/cluster-b/anopheline-sialome-cds-pep-larger-orf90-50SimCLTL57.txt", 3)</f>
        <v>3</v>
      </c>
      <c r="CN607">
        <v>492</v>
      </c>
      <c r="CO607">
        <v>1</v>
      </c>
    </row>
    <row r="608" spans="1:93">
      <c r="A608" s="2" t="str">
        <f>HYPERLINK("http://exon.niaid.nih.gov/transcriptome/Anopheles_sialome/links/cds/anomin_SG5-cds.txt","anomin_SG5")</f>
        <v>anomin_SG5</v>
      </c>
      <c r="B608">
        <v>993</v>
      </c>
      <c r="C608" t="s">
        <v>541</v>
      </c>
      <c r="D608" t="s">
        <v>4</v>
      </c>
      <c r="E608" t="s">
        <v>5</v>
      </c>
      <c r="F608" t="s">
        <v>1</v>
      </c>
      <c r="G608" t="str">
        <f>HYPERLINK("http://exon.niaid.nih.gov/transcriptome/Anopheles_sialome/links/pep/anomin_SG5-pep.txt","anomin_SG5")</f>
        <v>anomin_SG5</v>
      </c>
      <c r="H608">
        <v>330</v>
      </c>
      <c r="I608">
        <v>1</v>
      </c>
      <c r="J608" s="3" t="str">
        <f>HYPERLINK("http://exon.niaid.nih.gov/transcriptome/Anopheles_sialome/links/Sigp/anomin_SG5-SigP.txt","SIG")</f>
        <v>SIG</v>
      </c>
      <c r="K608" t="s">
        <v>787</v>
      </c>
      <c r="L608">
        <v>38.249000000000002</v>
      </c>
      <c r="M608">
        <v>6.33</v>
      </c>
      <c r="N608">
        <v>35.567999999999998</v>
      </c>
      <c r="O608">
        <v>6.1</v>
      </c>
      <c r="P608" t="s">
        <v>2022</v>
      </c>
      <c r="Q608" s="3" t="str">
        <f>HYPERLINK("http://exon.niaid.nih.gov/transcriptome/Anopheles_sialome/links/tmhmm/anomin_SG5-tmhmm.txt","1")</f>
        <v>1</v>
      </c>
      <c r="R608">
        <v>5.8</v>
      </c>
      <c r="S608">
        <v>92.7</v>
      </c>
      <c r="T608">
        <v>1.5</v>
      </c>
      <c r="U608" t="s">
        <v>128</v>
      </c>
      <c r="V608">
        <v>306</v>
      </c>
      <c r="W608" s="3" t="str">
        <f>HYPERLINK("http://exon.niaid.nih.gov/transcriptome/Anopheles_sialome/links/netoglyc/anomin_SG5-netoglyc.txt","1")</f>
        <v>1</v>
      </c>
      <c r="X608">
        <v>9.1</v>
      </c>
      <c r="Y608">
        <v>4.8</v>
      </c>
      <c r="Z608">
        <v>2.7</v>
      </c>
      <c r="AA608" t="s">
        <v>654</v>
      </c>
      <c r="AB608" t="s">
        <v>2023</v>
      </c>
      <c r="AC608" s="2" t="str">
        <f>HYPERLINK("http://exon.niaid.nih.gov/transcriptome/Anopheles_sialome/links/DIPTERA/anomin_SG5-DIPTERA.txt","gSG5 protein")</f>
        <v>gSG5 protein</v>
      </c>
      <c r="AD608" t="str">
        <f>HYPERLINK("http://www.ncbi.nlm.nih.gov/sutils/blink.cgi?pid=13537662","1E-146")</f>
        <v>1E-146</v>
      </c>
      <c r="AE608" t="str">
        <f t="shared" si="202"/>
        <v>gi|13537662</v>
      </c>
      <c r="AF608">
        <v>75</v>
      </c>
      <c r="AG608">
        <v>86</v>
      </c>
      <c r="AH608">
        <v>100</v>
      </c>
      <c r="AI608" t="s">
        <v>2254</v>
      </c>
      <c r="AJ608" s="2" t="str">
        <f>HYPERLINK("http://exon.niaid.nih.gov/transcriptome/Anopheles_sialome/links/CULICOMORPHA/anomin_SG5-CULICOMORPHA.txt","gSG5 protein")</f>
        <v>gSG5 protein</v>
      </c>
      <c r="AK608" t="str">
        <f>HYPERLINK("http://www.ncbi.nlm.nih.gov/sutils/blink.cgi?pid=13537662","1E-147")</f>
        <v>1E-147</v>
      </c>
      <c r="AL608" t="str">
        <f t="shared" si="203"/>
        <v>gi|13537662</v>
      </c>
      <c r="AM608">
        <v>75</v>
      </c>
      <c r="AN608">
        <v>86</v>
      </c>
      <c r="AO608">
        <v>100</v>
      </c>
      <c r="AP608" t="s">
        <v>2254</v>
      </c>
      <c r="AQ608" s="2" t="str">
        <f>HYPERLINK("http://exon.niaid.nih.gov/transcriptome/Anopheles_sialome/links/NR-LIGHT/anomin_SG5-NR-LIGHT.txt","AGAP004334-PA")</f>
        <v>AGAP004334-PA</v>
      </c>
      <c r="AR608" t="str">
        <f>HYPERLINK("http://www.ncbi.nlm.nih.gov/sutils/blink.cgi?pid=31209291","1E-146")</f>
        <v>1E-146</v>
      </c>
      <c r="AS608" t="str">
        <f t="shared" si="204"/>
        <v>gi|31209291</v>
      </c>
      <c r="AT608">
        <v>75</v>
      </c>
      <c r="AU608">
        <v>86</v>
      </c>
      <c r="AV608">
        <v>100</v>
      </c>
      <c r="AW608" t="s">
        <v>2285</v>
      </c>
      <c r="AX608" s="2" t="str">
        <f>HYPERLINK("http://exon.niaid.nih.gov/transcriptome/Anopheles_sialome/links/CDD/anomin_SG5-CDD.txt","CbtA")</f>
        <v>CbtA</v>
      </c>
      <c r="AY608" t="str">
        <f>HYPERLINK("http://www.ncbi.nlm.nih.gov/Structure/cdd/cddsrv.cgi?uid=pfam09490&amp;version=v4.0","0.51")</f>
        <v>0.51</v>
      </c>
      <c r="AZ608" t="s">
        <v>3026</v>
      </c>
      <c r="BA608" s="2" t="str">
        <f>HYPERLINK("http://exon.niaid.nih.gov/transcriptome/Anopheles_sialome/links/KOG/anomin_SG5-KOG.txt","Mitochondrial inner membrane protein (mitofilin)")</f>
        <v>Mitochondrial inner membrane protein (mitofilin)</v>
      </c>
      <c r="BB608" t="str">
        <f>HYPERLINK("http://www.ncbi.nlm.nih.gov/Structure/cdd/cddsrv.cgi?uid=KOG1854","0.082")</f>
        <v>0.082</v>
      </c>
      <c r="BC608" t="s">
        <v>3025</v>
      </c>
      <c r="BD608" t="str">
        <f>HYPERLINK("http://exon.niaid.nih.gov/transcriptome/Anopheles_sialome/links/KOG/anomin_SG5-KOG.txt","KOG1854")</f>
        <v>KOG1854</v>
      </c>
      <c r="BE608" t="str">
        <f>HYPERLINK("http://exon.niaid.nih.gov/transcriptome/Anopheles_sialome/links/PFAM/anomin_SG5-PFAM.txt","CbtA")</f>
        <v>CbtA</v>
      </c>
      <c r="BF608" t="str">
        <f>HYPERLINK("http://pfam.sanger.ac.uk/family?acc=PF09490","0.10")</f>
        <v>0.10</v>
      </c>
      <c r="BG608" s="2" t="str">
        <f>HYPERLINK("http://exon.niaid.nih.gov/transcriptome/Anopheles_sialome/links/SMART/anomin_SG5-SMART.txt","Piwi")</f>
        <v>Piwi</v>
      </c>
      <c r="BH608" t="str">
        <f>HYPERLINK("http://smart.embl-heidelberg.de/smart/do_annotation.pl?DOMAIN=Piwi&amp;BLAST=DUMMY","0.87")</f>
        <v>0.87</v>
      </c>
      <c r="BI608" t="str">
        <f>HYPERLINK("http://exon.niaid.nih.gov/transcriptome/Anopheles_sialome/links/TICK-BLOCKS/anomin_SG5-TICK-BLOCKS.txt","gSG5_protein_family |")</f>
        <v>gSG5_protein_family |</v>
      </c>
      <c r="BJ608" s="2" t="s">
        <v>3017</v>
      </c>
      <c r="BK608" t="s">
        <v>2021</v>
      </c>
      <c r="BL608">
        <f>HYPERLINK("http://exon.niaid.nih.gov/transcriptome/Anopheles_sialome/links/cluster-b/anopheline-sialome-cds-pep-larger-orf25-50SimCLU12.txt", 12)</f>
        <v>12</v>
      </c>
      <c r="BM608">
        <f>HYPERLINK("http://exon.niaid.nih.gov/transcriptome/Anopheles_sialome/links/cluster-b/anopheline-sialome-cds-pep-larger-orf25-50SimCLTL12.txt", 19)</f>
        <v>19</v>
      </c>
      <c r="BN608">
        <f>HYPERLINK("http://exon.niaid.nih.gov/transcriptome/Anopheles_sialome/links/cluster-b/anopheline-sialome-cds-pep-larger-orf30-50SimCLU11.txt", 11)</f>
        <v>11</v>
      </c>
      <c r="BO608">
        <f>HYPERLINK("http://exon.niaid.nih.gov/transcriptome/Anopheles_sialome/links/cluster-b/anopheline-sialome-cds-pep-larger-orf30-50SimCLTL11.txt", 19)</f>
        <v>19</v>
      </c>
      <c r="BP608">
        <f>HYPERLINK("http://exon.niaid.nih.gov/transcriptome/Anopheles_sialome/links/cluster-b/anopheline-sialome-cds-pep-larger-orf35-50SimCLU13.txt", 13)</f>
        <v>13</v>
      </c>
      <c r="BQ608">
        <f>HYPERLINK("http://exon.niaid.nih.gov/transcriptome/Anopheles_sialome/links/cluster-b/anopheline-sialome-cds-pep-larger-orf35-50SimCLTL13.txt", 19)</f>
        <v>19</v>
      </c>
      <c r="BR608">
        <f>HYPERLINK("http://exon.niaid.nih.gov/transcriptome/Anopheles_sialome/links/cluster-b/anopheline-sialome-cds-pep-larger-orf40-50SimCLU15.txt", 15)</f>
        <v>15</v>
      </c>
      <c r="BS608">
        <f>HYPERLINK("http://exon.niaid.nih.gov/transcriptome/Anopheles_sialome/links/cluster-b/anopheline-sialome-cds-pep-larger-orf40-50SimCLTL15.txt", 19)</f>
        <v>19</v>
      </c>
      <c r="BT608">
        <f>HYPERLINK("http://exon.niaid.nih.gov/transcriptome/Anopheles_sialome/links/cluster-b/anopheline-sialome-cds-pep-larger-orf45-50SimCLU15.txt", 15)</f>
        <v>15</v>
      </c>
      <c r="BU608">
        <f>HYPERLINK("http://exon.niaid.nih.gov/transcriptome/Anopheles_sialome/links/cluster-b/anopheline-sialome-cds-pep-larger-orf45-50SimCLTL15.txt", 19)</f>
        <v>19</v>
      </c>
      <c r="BV608">
        <f>HYPERLINK("http://exon.niaid.nih.gov/transcriptome/Anopheles_sialome/links/cluster-b/anopheline-sialome-cds-pep-larger-orf50-50SimCLU14.txt", 14)</f>
        <v>14</v>
      </c>
      <c r="BW608">
        <f>HYPERLINK("http://exon.niaid.nih.gov/transcriptome/Anopheles_sialome/links/cluster-b/anopheline-sialome-cds-pep-larger-orf50-50SimCLTL14.txt", 19)</f>
        <v>19</v>
      </c>
      <c r="BX608">
        <f>HYPERLINK("http://exon.niaid.nih.gov/transcriptome/Anopheles_sialome/links/cluster-b/anopheline-sialome-cds-pep-larger-orf55-50SimCLU15.txt", 15)</f>
        <v>15</v>
      </c>
      <c r="BY608">
        <f>HYPERLINK("http://exon.niaid.nih.gov/transcriptome/Anopheles_sialome/links/cluster-b/anopheline-sialome-cds-pep-larger-orf55-50SimCLTL15.txt", 19)</f>
        <v>19</v>
      </c>
      <c r="BZ608">
        <f>HYPERLINK("http://exon.niaid.nih.gov/transcriptome/Anopheles_sialome/links/cluster-b/anopheline-sialome-cds-pep-larger-orf60-50SimCLU14.txt", 14)</f>
        <v>14</v>
      </c>
      <c r="CA608">
        <f>HYPERLINK("http://exon.niaid.nih.gov/transcriptome/Anopheles_sialome/links/cluster-b/anopheline-sialome-cds-pep-larger-orf60-50SimCLTL14.txt", 19)</f>
        <v>19</v>
      </c>
      <c r="CB608">
        <f>HYPERLINK("http://exon.niaid.nih.gov/transcriptome/Anopheles_sialome/links/cluster-b/anopheline-sialome-cds-pep-larger-orf65-50SimCLU12.txt", 12)</f>
        <v>12</v>
      </c>
      <c r="CC608">
        <f>HYPERLINK("http://exon.niaid.nih.gov/transcriptome/Anopheles_sialome/links/cluster-b/anopheline-sialome-cds-pep-larger-orf65-50SimCLTL12.txt", 19)</f>
        <v>19</v>
      </c>
      <c r="CD608">
        <f>HYPERLINK("http://exon.niaid.nih.gov/transcriptome/Anopheles_sialome/links/cluster-b/anopheline-sialome-cds-pep-larger-orf70-50SimCLU12.txt", 12)</f>
        <v>12</v>
      </c>
      <c r="CE608">
        <f>HYPERLINK("http://exon.niaid.nih.gov/transcriptome/Anopheles_sialome/links/cluster-b/anopheline-sialome-cds-pep-larger-orf70-50SimCLTL12.txt", 19)</f>
        <v>19</v>
      </c>
      <c r="CF608">
        <f>HYPERLINK("http://exon.niaid.nih.gov/transcriptome/Anopheles_sialome/links/cluster-b/anopheline-sialome-cds-pep-larger-orf75-50SimCLU14.txt", 14)</f>
        <v>14</v>
      </c>
      <c r="CG608">
        <f>HYPERLINK("http://exon.niaid.nih.gov/transcriptome/Anopheles_sialome/links/cluster-b/anopheline-sialome-cds-pep-larger-orf75-50SimCLTL14.txt", 17)</f>
        <v>17</v>
      </c>
      <c r="CH608">
        <f>HYPERLINK("http://exon.niaid.nih.gov/transcriptome/Anopheles_sialome/links/cluster-b/anopheline-sialome-cds-pep-larger-orf80-50SimCLU13.txt", 13)</f>
        <v>13</v>
      </c>
      <c r="CI608">
        <f>HYPERLINK("http://exon.niaid.nih.gov/transcriptome/Anopheles_sialome/links/cluster-b/anopheline-sialome-cds-pep-larger-orf80-50SimCLTL13.txt", 15)</f>
        <v>15</v>
      </c>
      <c r="CJ608">
        <f>HYPERLINK("http://exon.niaid.nih.gov/transcriptome/Anopheles_sialome/links/cluster-b/anopheline-sialome-cds-pep-larger-orf85-50SimCLU12.txt", 12)</f>
        <v>12</v>
      </c>
      <c r="CK608">
        <f>HYPERLINK("http://exon.niaid.nih.gov/transcriptome/Anopheles_sialome/links/cluster-b/anopheline-sialome-cds-pep-larger-orf85-50SimCLTL12.txt", 13)</f>
        <v>13</v>
      </c>
      <c r="CL608">
        <f>HYPERLINK("http://exon.niaid.nih.gov/transcriptome/Anopheles_sialome/links/cluster-b/anopheline-sialome-cds-pep-larger-orf90-50SimCLU57.txt", 57)</f>
        <v>57</v>
      </c>
      <c r="CM608">
        <f>HYPERLINK("http://exon.niaid.nih.gov/transcriptome/Anopheles_sialome/links/cluster-b/anopheline-sialome-cds-pep-larger-orf90-50SimCLTL57.txt", 3)</f>
        <v>3</v>
      </c>
      <c r="CN608">
        <v>493</v>
      </c>
      <c r="CO608">
        <v>1</v>
      </c>
    </row>
    <row r="609" spans="1:93">
      <c r="A609" s="2" t="str">
        <f>HYPERLINK("http://exon.niaid.nih.gov/transcriptome/Anopheles_sialome/links/cds/anocul_SG5-cds.txt","anocul_SG5")</f>
        <v>anocul_SG5</v>
      </c>
      <c r="B609">
        <v>1002</v>
      </c>
      <c r="C609" t="s">
        <v>542</v>
      </c>
      <c r="D609" t="s">
        <v>4</v>
      </c>
      <c r="E609" t="s">
        <v>5</v>
      </c>
      <c r="F609" t="s">
        <v>1</v>
      </c>
      <c r="G609" t="str">
        <f>HYPERLINK("http://exon.niaid.nih.gov/transcriptome/Anopheles_sialome/links/pep/anocul_SG5-pep.txt","anocul_SG5")</f>
        <v>anocul_SG5</v>
      </c>
      <c r="H609">
        <v>333</v>
      </c>
      <c r="I609">
        <v>1</v>
      </c>
      <c r="J609" s="3" t="str">
        <f>HYPERLINK("http://exon.niaid.nih.gov/transcriptome/Anopheles_sialome/links/Sigp/anocul_SG5-SigP.txt","SIG")</f>
        <v>SIG</v>
      </c>
      <c r="K609" t="s">
        <v>715</v>
      </c>
      <c r="L609">
        <v>38.753</v>
      </c>
      <c r="M609">
        <v>6.04</v>
      </c>
      <c r="N609">
        <v>36.069000000000003</v>
      </c>
      <c r="O609">
        <v>5.82</v>
      </c>
      <c r="P609" t="s">
        <v>2025</v>
      </c>
      <c r="Q609" s="3">
        <v>0</v>
      </c>
      <c r="R609" t="s">
        <v>128</v>
      </c>
      <c r="S609" t="s">
        <v>128</v>
      </c>
      <c r="T609" t="s">
        <v>128</v>
      </c>
      <c r="U609" t="s">
        <v>128</v>
      </c>
      <c r="V609" t="s">
        <v>128</v>
      </c>
      <c r="W609" s="3" t="str">
        <f>HYPERLINK("http://exon.niaid.nih.gov/transcriptome/Anopheles_sialome/links/netoglyc/anocul_SG5-netoglyc.txt","1")</f>
        <v>1</v>
      </c>
      <c r="X609">
        <v>10.199999999999999</v>
      </c>
      <c r="Y609">
        <v>3.3</v>
      </c>
      <c r="Z609">
        <v>2.7</v>
      </c>
      <c r="AA609" t="s">
        <v>654</v>
      </c>
      <c r="AB609" t="s">
        <v>2026</v>
      </c>
      <c r="AC609" s="2" t="str">
        <f>HYPERLINK("http://exon.niaid.nih.gov/transcriptome/Anopheles_sialome/links/DIPTERA/anocul_SG5-DIPTERA.txt","gSG5 protein")</f>
        <v>gSG5 protein</v>
      </c>
      <c r="AD609" t="str">
        <f>HYPERLINK("http://www.ncbi.nlm.nih.gov/sutils/blink.cgi?pid=13537662","1E-143")</f>
        <v>1E-143</v>
      </c>
      <c r="AE609" t="str">
        <f>HYPERLINK("http://www.ncbi.nlm.nih.gov/protein/13537662","gi|13537662")</f>
        <v>gi|13537662</v>
      </c>
      <c r="AF609">
        <v>74</v>
      </c>
      <c r="AG609">
        <v>86</v>
      </c>
      <c r="AH609">
        <v>100</v>
      </c>
      <c r="AI609" t="s">
        <v>2254</v>
      </c>
      <c r="AJ609" s="2" t="str">
        <f>HYPERLINK("http://exon.niaid.nih.gov/transcriptome/Anopheles_sialome/links/CULICOMORPHA/anocul_SG5-CULICOMORPHA.txt","gSG5 protein")</f>
        <v>gSG5 protein</v>
      </c>
      <c r="AK609" t="str">
        <f>HYPERLINK("http://www.ncbi.nlm.nih.gov/sutils/blink.cgi?pid=13537662","1E-144")</f>
        <v>1E-144</v>
      </c>
      <c r="AL609" t="str">
        <f>HYPERLINK("http://www.ncbi.nlm.nih.gov/protein/13537662","gi|13537662")</f>
        <v>gi|13537662</v>
      </c>
      <c r="AM609">
        <v>74</v>
      </c>
      <c r="AN609">
        <v>86</v>
      </c>
      <c r="AO609">
        <v>100</v>
      </c>
      <c r="AP609" t="s">
        <v>2254</v>
      </c>
      <c r="AQ609" s="2" t="str">
        <f>HYPERLINK("http://exon.niaid.nih.gov/transcriptome/Anopheles_sialome/links/NR-LIGHT/anocul_SG5-NR-LIGHT.txt","AGAP004334-PA")</f>
        <v>AGAP004334-PA</v>
      </c>
      <c r="AR609" t="str">
        <f>HYPERLINK("http://www.ncbi.nlm.nih.gov/sutils/blink.cgi?pid=31209291","1E-143")</f>
        <v>1E-143</v>
      </c>
      <c r="AS609" t="str">
        <f>HYPERLINK("http://www.ncbi.nlm.nih.gov/protein/31209291","gi|31209291")</f>
        <v>gi|31209291</v>
      </c>
      <c r="AT609">
        <v>74</v>
      </c>
      <c r="AU609">
        <v>86</v>
      </c>
      <c r="AV609">
        <v>100</v>
      </c>
      <c r="AW609" t="s">
        <v>2285</v>
      </c>
      <c r="AX609" s="2" t="str">
        <f>HYPERLINK("http://exon.niaid.nih.gov/transcriptome/Anopheles_sialome/links/CDD/anocul_SG5-CDD.txt","Flagellar_biosy")</f>
        <v>Flagellar_biosy</v>
      </c>
      <c r="AY609" t="str">
        <f>HYPERLINK("http://www.ncbi.nlm.nih.gov/Structure/cdd/cddsrv.cgi?uid=TIGR01398&amp;version=v4.0","0.87")</f>
        <v>0.87</v>
      </c>
      <c r="AZ609" t="s">
        <v>3027</v>
      </c>
      <c r="BA609" s="2" t="str">
        <f>HYPERLINK("http://exon.niaid.nih.gov/transcriptome/Anopheles_sialome/links/KOG/anocul_SG5-KOG.txt","Mitochondrial inner membrane protein (mitofilin)")</f>
        <v>Mitochondrial inner membrane protein (mitofilin)</v>
      </c>
      <c r="BB609" t="str">
        <f>HYPERLINK("http://www.ncbi.nlm.nih.gov/Structure/cdd/cddsrv.cgi?uid=KOG1854","0.007")</f>
        <v>0.007</v>
      </c>
      <c r="BC609" t="s">
        <v>3025</v>
      </c>
      <c r="BD609" t="str">
        <f>HYPERLINK("http://exon.niaid.nih.gov/transcriptome/Anopheles_sialome/links/KOG/anocul_SG5-KOG.txt","KOG1854")</f>
        <v>KOG1854</v>
      </c>
      <c r="BE609" t="str">
        <f>HYPERLINK("http://exon.niaid.nih.gov/transcriptome/Anopheles_sialome/links/PFAM/anocul_SG5-PFAM.txt","RmuC")</f>
        <v>RmuC</v>
      </c>
      <c r="BF609" t="str">
        <f>HYPERLINK("http://pfam.sanger.ac.uk/family?acc=PF02646","2.2")</f>
        <v>2.2</v>
      </c>
      <c r="BG609" s="2" t="str">
        <f>HYPERLINK("http://exon.niaid.nih.gov/transcriptome/Anopheles_sialome/links/SMART/anocul_SG5-SMART.txt","MUTSd")</f>
        <v>MUTSd</v>
      </c>
      <c r="BH609" t="str">
        <f>HYPERLINK("http://smart.embl-heidelberg.de/smart/do_annotation.pl?DOMAIN=MUTSd&amp;BLAST=DUMMY","0.68")</f>
        <v>0.68</v>
      </c>
      <c r="BI609" t="str">
        <f>HYPERLINK("http://exon.niaid.nih.gov/transcriptome/Anopheles_sialome/links/TICK-BLOCKS/anocul_SG5-TICK-BLOCKS.txt","gSG5_protein_family |")</f>
        <v>gSG5_protein_family |</v>
      </c>
      <c r="BJ609" s="2" t="s">
        <v>3017</v>
      </c>
      <c r="BK609" t="s">
        <v>2024</v>
      </c>
      <c r="BL609">
        <f>HYPERLINK("http://exon.niaid.nih.gov/transcriptome/Anopheles_sialome/links/cluster-b/anopheline-sialome-cds-pep-larger-orf25-50SimCLU12.txt", 12)</f>
        <v>12</v>
      </c>
      <c r="BM609">
        <f>HYPERLINK("http://exon.niaid.nih.gov/transcriptome/Anopheles_sialome/links/cluster-b/anopheline-sialome-cds-pep-larger-orf25-50SimCLTL12.txt", 19)</f>
        <v>19</v>
      </c>
      <c r="BN609">
        <f>HYPERLINK("http://exon.niaid.nih.gov/transcriptome/Anopheles_sialome/links/cluster-b/anopheline-sialome-cds-pep-larger-orf30-50SimCLU11.txt", 11)</f>
        <v>11</v>
      </c>
      <c r="BO609">
        <f>HYPERLINK("http://exon.niaid.nih.gov/transcriptome/Anopheles_sialome/links/cluster-b/anopheline-sialome-cds-pep-larger-orf30-50SimCLTL11.txt", 19)</f>
        <v>19</v>
      </c>
      <c r="BP609">
        <f>HYPERLINK("http://exon.niaid.nih.gov/transcriptome/Anopheles_sialome/links/cluster-b/anopheline-sialome-cds-pep-larger-orf35-50SimCLU13.txt", 13)</f>
        <v>13</v>
      </c>
      <c r="BQ609">
        <f>HYPERLINK("http://exon.niaid.nih.gov/transcriptome/Anopheles_sialome/links/cluster-b/anopheline-sialome-cds-pep-larger-orf35-50SimCLTL13.txt", 19)</f>
        <v>19</v>
      </c>
      <c r="BR609">
        <f>HYPERLINK("http://exon.niaid.nih.gov/transcriptome/Anopheles_sialome/links/cluster-b/anopheline-sialome-cds-pep-larger-orf40-50SimCLU15.txt", 15)</f>
        <v>15</v>
      </c>
      <c r="BS609">
        <f>HYPERLINK("http://exon.niaid.nih.gov/transcriptome/Anopheles_sialome/links/cluster-b/anopheline-sialome-cds-pep-larger-orf40-50SimCLTL15.txt", 19)</f>
        <v>19</v>
      </c>
      <c r="BT609">
        <f>HYPERLINK("http://exon.niaid.nih.gov/transcriptome/Anopheles_sialome/links/cluster-b/anopheline-sialome-cds-pep-larger-orf45-50SimCLU15.txt", 15)</f>
        <v>15</v>
      </c>
      <c r="BU609">
        <f>HYPERLINK("http://exon.niaid.nih.gov/transcriptome/Anopheles_sialome/links/cluster-b/anopheline-sialome-cds-pep-larger-orf45-50SimCLTL15.txt", 19)</f>
        <v>19</v>
      </c>
      <c r="BV609">
        <f>HYPERLINK("http://exon.niaid.nih.gov/transcriptome/Anopheles_sialome/links/cluster-b/anopheline-sialome-cds-pep-larger-orf50-50SimCLU14.txt", 14)</f>
        <v>14</v>
      </c>
      <c r="BW609">
        <f>HYPERLINK("http://exon.niaid.nih.gov/transcriptome/Anopheles_sialome/links/cluster-b/anopheline-sialome-cds-pep-larger-orf50-50SimCLTL14.txt", 19)</f>
        <v>19</v>
      </c>
      <c r="BX609">
        <f>HYPERLINK("http://exon.niaid.nih.gov/transcriptome/Anopheles_sialome/links/cluster-b/anopheline-sialome-cds-pep-larger-orf55-50SimCLU15.txt", 15)</f>
        <v>15</v>
      </c>
      <c r="BY609">
        <f>HYPERLINK("http://exon.niaid.nih.gov/transcriptome/Anopheles_sialome/links/cluster-b/anopheline-sialome-cds-pep-larger-orf55-50SimCLTL15.txt", 19)</f>
        <v>19</v>
      </c>
      <c r="BZ609">
        <f>HYPERLINK("http://exon.niaid.nih.gov/transcriptome/Anopheles_sialome/links/cluster-b/anopheline-sialome-cds-pep-larger-orf60-50SimCLU14.txt", 14)</f>
        <v>14</v>
      </c>
      <c r="CA609">
        <f>HYPERLINK("http://exon.niaid.nih.gov/transcriptome/Anopheles_sialome/links/cluster-b/anopheline-sialome-cds-pep-larger-orf60-50SimCLTL14.txt", 19)</f>
        <v>19</v>
      </c>
      <c r="CB609">
        <f>HYPERLINK("http://exon.niaid.nih.gov/transcriptome/Anopheles_sialome/links/cluster-b/anopheline-sialome-cds-pep-larger-orf65-50SimCLU12.txt", 12)</f>
        <v>12</v>
      </c>
      <c r="CC609">
        <f>HYPERLINK("http://exon.niaid.nih.gov/transcriptome/Anopheles_sialome/links/cluster-b/anopheline-sialome-cds-pep-larger-orf65-50SimCLTL12.txt", 19)</f>
        <v>19</v>
      </c>
      <c r="CD609">
        <f>HYPERLINK("http://exon.niaid.nih.gov/transcriptome/Anopheles_sialome/links/cluster-b/anopheline-sialome-cds-pep-larger-orf70-50SimCLU12.txt", 12)</f>
        <v>12</v>
      </c>
      <c r="CE609">
        <f>HYPERLINK("http://exon.niaid.nih.gov/transcriptome/Anopheles_sialome/links/cluster-b/anopheline-sialome-cds-pep-larger-orf70-50SimCLTL12.txt", 19)</f>
        <v>19</v>
      </c>
      <c r="CF609">
        <f>HYPERLINK("http://exon.niaid.nih.gov/transcriptome/Anopheles_sialome/links/cluster-b/anopheline-sialome-cds-pep-larger-orf75-50SimCLU14.txt", 14)</f>
        <v>14</v>
      </c>
      <c r="CG609">
        <f>HYPERLINK("http://exon.niaid.nih.gov/transcriptome/Anopheles_sialome/links/cluster-b/anopheline-sialome-cds-pep-larger-orf75-50SimCLTL14.txt", 17)</f>
        <v>17</v>
      </c>
      <c r="CH609">
        <f>HYPERLINK("http://exon.niaid.nih.gov/transcriptome/Anopheles_sialome/links/cluster-b/anopheline-sialome-cds-pep-larger-orf80-50SimCLU13.txt", 13)</f>
        <v>13</v>
      </c>
      <c r="CI609">
        <f>HYPERLINK("http://exon.niaid.nih.gov/transcriptome/Anopheles_sialome/links/cluster-b/anopheline-sialome-cds-pep-larger-orf80-50SimCLTL13.txt", 15)</f>
        <v>15</v>
      </c>
      <c r="CJ609">
        <f>HYPERLINK("http://exon.niaid.nih.gov/transcriptome/Anopheles_sialome/links/cluster-b/anopheline-sialome-cds-pep-larger-orf85-50SimCLU12.txt", 12)</f>
        <v>12</v>
      </c>
      <c r="CK609">
        <f>HYPERLINK("http://exon.niaid.nih.gov/transcriptome/Anopheles_sialome/links/cluster-b/anopheline-sialome-cds-pep-larger-orf85-50SimCLTL12.txt", 13)</f>
        <v>13</v>
      </c>
      <c r="CL609">
        <f>HYPERLINK("http://exon.niaid.nih.gov/transcriptome/Anopheles_sialome/links/cluster-b/anopheline-sialome-cds-pep-larger-orf90-50SimCLU57.txt", 57)</f>
        <v>57</v>
      </c>
      <c r="CM609">
        <f>HYPERLINK("http://exon.niaid.nih.gov/transcriptome/Anopheles_sialome/links/cluster-b/anopheline-sialome-cds-pep-larger-orf90-50SimCLTL57.txt", 3)</f>
        <v>3</v>
      </c>
      <c r="CN609">
        <v>494</v>
      </c>
      <c r="CO609">
        <v>1</v>
      </c>
    </row>
    <row r="610" spans="1:93">
      <c r="A610" s="2" t="str">
        <f>HYPERLINK("http://exon.niaid.nih.gov/transcriptome/Anopheles_sialome/links/cds/anoste_SG5-cds.txt","anoste_SG5")</f>
        <v>anoste_SG5</v>
      </c>
      <c r="B610">
        <v>1008</v>
      </c>
      <c r="C610" t="s">
        <v>543</v>
      </c>
      <c r="D610" t="s">
        <v>4</v>
      </c>
      <c r="E610" t="s">
        <v>5</v>
      </c>
      <c r="F610" t="s">
        <v>1</v>
      </c>
      <c r="G610" t="str">
        <f>HYPERLINK("http://exon.niaid.nih.gov/transcriptome/Anopheles_sialome/links/pep/anoste_SG5-pep.txt","anoste_SG5")</f>
        <v>anoste_SG5</v>
      </c>
      <c r="H610">
        <v>335</v>
      </c>
      <c r="I610">
        <v>1</v>
      </c>
      <c r="J610" s="3" t="str">
        <f>HYPERLINK("http://exon.niaid.nih.gov/transcriptome/Anopheles_sialome/links/Sigp/anoste_SG5-SigP.txt","SIG")</f>
        <v>SIG</v>
      </c>
      <c r="K610" t="s">
        <v>834</v>
      </c>
      <c r="L610">
        <v>38.932000000000002</v>
      </c>
      <c r="M610">
        <v>5.94</v>
      </c>
      <c r="N610">
        <v>36.023000000000003</v>
      </c>
      <c r="O610">
        <v>5.94</v>
      </c>
      <c r="P610" t="s">
        <v>2028</v>
      </c>
      <c r="Q610" s="3" t="str">
        <f>HYPERLINK("http://exon.niaid.nih.gov/transcriptome/Anopheles_sialome/links/tmhmm/anoste_SG5-tmhmm.txt","1")</f>
        <v>1</v>
      </c>
      <c r="R610">
        <v>6.6</v>
      </c>
      <c r="S610">
        <v>91.9</v>
      </c>
      <c r="T610">
        <v>1.5</v>
      </c>
      <c r="U610" t="s">
        <v>128</v>
      </c>
      <c r="V610">
        <v>308</v>
      </c>
      <c r="W610" s="3" t="str">
        <f>HYPERLINK("http://exon.niaid.nih.gov/transcriptome/Anopheles_sialome/links/netoglyc/anoste_SG5-netoglyc.txt","2")</f>
        <v>2</v>
      </c>
      <c r="X610">
        <v>10.4</v>
      </c>
      <c r="Y610">
        <v>4.2</v>
      </c>
      <c r="Z610">
        <v>3</v>
      </c>
      <c r="AA610" t="s">
        <v>654</v>
      </c>
      <c r="AB610" t="s">
        <v>2029</v>
      </c>
      <c r="AC610" s="2" t="str">
        <f>HYPERLINK("http://exon.niaid.nih.gov/transcriptome/Anopheles_sialome/links/DIPTERA/anoste_SG5-DIPTERA.txt","gSG5 protein")</f>
        <v>gSG5 protein</v>
      </c>
      <c r="AD610" t="str">
        <f>HYPERLINK("http://www.ncbi.nlm.nih.gov/sutils/blink.cgi?pid=13537662","1E-132")</f>
        <v>1E-132</v>
      </c>
      <c r="AE610" t="str">
        <f>HYPERLINK("http://www.ncbi.nlm.nih.gov/protein/13537662","gi|13537662")</f>
        <v>gi|13537662</v>
      </c>
      <c r="AF610">
        <v>68</v>
      </c>
      <c r="AG610">
        <v>82</v>
      </c>
      <c r="AH610">
        <v>101</v>
      </c>
      <c r="AI610" t="s">
        <v>2254</v>
      </c>
      <c r="AJ610" s="2" t="str">
        <f>HYPERLINK("http://exon.niaid.nih.gov/transcriptome/Anopheles_sialome/links/CULICOMORPHA/anoste_SG5-CULICOMORPHA.txt","gSG5 protein")</f>
        <v>gSG5 protein</v>
      </c>
      <c r="AK610" t="str">
        <f>HYPERLINK("http://www.ncbi.nlm.nih.gov/sutils/blink.cgi?pid=13537662","1E-133")</f>
        <v>1E-133</v>
      </c>
      <c r="AL610" t="str">
        <f>HYPERLINK("http://www.ncbi.nlm.nih.gov/protein/13537662","gi|13537662")</f>
        <v>gi|13537662</v>
      </c>
      <c r="AM610">
        <v>68</v>
      </c>
      <c r="AN610">
        <v>82</v>
      </c>
      <c r="AO610">
        <v>101</v>
      </c>
      <c r="AP610" t="s">
        <v>2254</v>
      </c>
      <c r="AQ610" s="2" t="str">
        <f>HYPERLINK("http://exon.niaid.nih.gov/transcriptome/Anopheles_sialome/links/NR-LIGHT/anoste_SG5-NR-LIGHT.txt","AGAP004334-PA")</f>
        <v>AGAP004334-PA</v>
      </c>
      <c r="AR610" t="str">
        <f>HYPERLINK("http://www.ncbi.nlm.nih.gov/sutils/blink.cgi?pid=31209291","1E-132")</f>
        <v>1E-132</v>
      </c>
      <c r="AS610" t="str">
        <f>HYPERLINK("http://www.ncbi.nlm.nih.gov/protein/31209291","gi|31209291")</f>
        <v>gi|31209291</v>
      </c>
      <c r="AT610">
        <v>68</v>
      </c>
      <c r="AU610">
        <v>82</v>
      </c>
      <c r="AV610">
        <v>101</v>
      </c>
      <c r="AW610" t="s">
        <v>2285</v>
      </c>
      <c r="AX610" s="2" t="str">
        <f>HYPERLINK("http://exon.niaid.nih.gov/transcriptome/Anopheles_sialome/links/CDD/anoste_SG5-CDD.txt","FhaC")</f>
        <v>FhaC</v>
      </c>
      <c r="AY610" t="str">
        <f>HYPERLINK("http://www.ncbi.nlm.nih.gov/Structure/cdd/cddsrv.cgi?uid=COG2831&amp;version=v4.0","0.80")</f>
        <v>0.80</v>
      </c>
      <c r="AZ610" t="s">
        <v>3028</v>
      </c>
      <c r="BA610" s="2" t="str">
        <f>HYPERLINK("http://exon.niaid.nih.gov/transcriptome/Anopheles_sialome/links/KOG/anoste_SG5-KOG.txt","Mitochondrial oxaloacetate carrier protein")</f>
        <v>Mitochondrial oxaloacetate carrier protein</v>
      </c>
      <c r="BB610" t="str">
        <f>HYPERLINK("http://www.ncbi.nlm.nih.gov/Structure/cdd/cddsrv.cgi?uid=KOG0755","0.30")</f>
        <v>0.30</v>
      </c>
      <c r="BC610" t="s">
        <v>2516</v>
      </c>
      <c r="BD610" t="str">
        <f>HYPERLINK("http://exon.niaid.nih.gov/transcriptome/Anopheles_sialome/links/KOG/anoste_SG5-KOG.txt","KOG0755")</f>
        <v>KOG0755</v>
      </c>
      <c r="BE610" t="str">
        <f>HYPERLINK("http://exon.niaid.nih.gov/transcriptome/Anopheles_sialome/links/PFAM/anoste_SG5-PFAM.txt","DUF603")</f>
        <v>DUF603</v>
      </c>
      <c r="BF610" t="str">
        <f>HYPERLINK("http://pfam.sanger.ac.uk/family?acc=PF04645","0.20")</f>
        <v>0.20</v>
      </c>
      <c r="BG610" s="2" t="str">
        <f>HYPERLINK("http://exon.niaid.nih.gov/transcriptome/Anopheles_sialome/links/SMART/anoste_SG5-SMART.txt","MUTSd")</f>
        <v>MUTSd</v>
      </c>
      <c r="BH610" t="str">
        <f>HYPERLINK("http://smart.embl-heidelberg.de/smart/do_annotation.pl?DOMAIN=MUTSd&amp;BLAST=DUMMY","0.89")</f>
        <v>0.89</v>
      </c>
      <c r="BI610" t="str">
        <f>HYPERLINK("http://exon.niaid.nih.gov/transcriptome/Anopheles_sialome/links/TICK-BLOCKS/anoste_SG5-TICK-BLOCKS.txt","gSG5_protein_family |")</f>
        <v>gSG5_protein_family |</v>
      </c>
      <c r="BJ610" s="2" t="s">
        <v>3017</v>
      </c>
      <c r="BK610" t="s">
        <v>2027</v>
      </c>
      <c r="BL610">
        <f>HYPERLINK("http://exon.niaid.nih.gov/transcriptome/Anopheles_sialome/links/cluster-b/anopheline-sialome-cds-pep-larger-orf25-50SimCLU12.txt", 12)</f>
        <v>12</v>
      </c>
      <c r="BM610">
        <f>HYPERLINK("http://exon.niaid.nih.gov/transcriptome/Anopheles_sialome/links/cluster-b/anopheline-sialome-cds-pep-larger-orf25-50SimCLTL12.txt", 19)</f>
        <v>19</v>
      </c>
      <c r="BN610">
        <f>HYPERLINK("http://exon.niaid.nih.gov/transcriptome/Anopheles_sialome/links/cluster-b/anopheline-sialome-cds-pep-larger-orf30-50SimCLU11.txt", 11)</f>
        <v>11</v>
      </c>
      <c r="BO610">
        <f>HYPERLINK("http://exon.niaid.nih.gov/transcriptome/Anopheles_sialome/links/cluster-b/anopheline-sialome-cds-pep-larger-orf30-50SimCLTL11.txt", 19)</f>
        <v>19</v>
      </c>
      <c r="BP610">
        <f>HYPERLINK("http://exon.niaid.nih.gov/transcriptome/Anopheles_sialome/links/cluster-b/anopheline-sialome-cds-pep-larger-orf35-50SimCLU13.txt", 13)</f>
        <v>13</v>
      </c>
      <c r="BQ610">
        <f>HYPERLINK("http://exon.niaid.nih.gov/transcriptome/Anopheles_sialome/links/cluster-b/anopheline-sialome-cds-pep-larger-orf35-50SimCLTL13.txt", 19)</f>
        <v>19</v>
      </c>
      <c r="BR610">
        <f>HYPERLINK("http://exon.niaid.nih.gov/transcriptome/Anopheles_sialome/links/cluster-b/anopheline-sialome-cds-pep-larger-orf40-50SimCLU15.txt", 15)</f>
        <v>15</v>
      </c>
      <c r="BS610">
        <f>HYPERLINK("http://exon.niaid.nih.gov/transcriptome/Anopheles_sialome/links/cluster-b/anopheline-sialome-cds-pep-larger-orf40-50SimCLTL15.txt", 19)</f>
        <v>19</v>
      </c>
      <c r="BT610">
        <f>HYPERLINK("http://exon.niaid.nih.gov/transcriptome/Anopheles_sialome/links/cluster-b/anopheline-sialome-cds-pep-larger-orf45-50SimCLU15.txt", 15)</f>
        <v>15</v>
      </c>
      <c r="BU610">
        <f>HYPERLINK("http://exon.niaid.nih.gov/transcriptome/Anopheles_sialome/links/cluster-b/anopheline-sialome-cds-pep-larger-orf45-50SimCLTL15.txt", 19)</f>
        <v>19</v>
      </c>
      <c r="BV610">
        <f>HYPERLINK("http://exon.niaid.nih.gov/transcriptome/Anopheles_sialome/links/cluster-b/anopheline-sialome-cds-pep-larger-orf50-50SimCLU14.txt", 14)</f>
        <v>14</v>
      </c>
      <c r="BW610">
        <f>HYPERLINK("http://exon.niaid.nih.gov/transcriptome/Anopheles_sialome/links/cluster-b/anopheline-sialome-cds-pep-larger-orf50-50SimCLTL14.txt", 19)</f>
        <v>19</v>
      </c>
      <c r="BX610">
        <f>HYPERLINK("http://exon.niaid.nih.gov/transcriptome/Anopheles_sialome/links/cluster-b/anopheline-sialome-cds-pep-larger-orf55-50SimCLU15.txt", 15)</f>
        <v>15</v>
      </c>
      <c r="BY610">
        <f>HYPERLINK("http://exon.niaid.nih.gov/transcriptome/Anopheles_sialome/links/cluster-b/anopheline-sialome-cds-pep-larger-orf55-50SimCLTL15.txt", 19)</f>
        <v>19</v>
      </c>
      <c r="BZ610">
        <f>HYPERLINK("http://exon.niaid.nih.gov/transcriptome/Anopheles_sialome/links/cluster-b/anopheline-sialome-cds-pep-larger-orf60-50SimCLU14.txt", 14)</f>
        <v>14</v>
      </c>
      <c r="CA610">
        <f>HYPERLINK("http://exon.niaid.nih.gov/transcriptome/Anopheles_sialome/links/cluster-b/anopheline-sialome-cds-pep-larger-orf60-50SimCLTL14.txt", 19)</f>
        <v>19</v>
      </c>
      <c r="CB610">
        <f>HYPERLINK("http://exon.niaid.nih.gov/transcriptome/Anopheles_sialome/links/cluster-b/anopheline-sialome-cds-pep-larger-orf65-50SimCLU12.txt", 12)</f>
        <v>12</v>
      </c>
      <c r="CC610">
        <f>HYPERLINK("http://exon.niaid.nih.gov/transcriptome/Anopheles_sialome/links/cluster-b/anopheline-sialome-cds-pep-larger-orf65-50SimCLTL12.txt", 19)</f>
        <v>19</v>
      </c>
      <c r="CD610">
        <f>HYPERLINK("http://exon.niaid.nih.gov/transcriptome/Anopheles_sialome/links/cluster-b/anopheline-sialome-cds-pep-larger-orf70-50SimCLU12.txt", 12)</f>
        <v>12</v>
      </c>
      <c r="CE610">
        <f>HYPERLINK("http://exon.niaid.nih.gov/transcriptome/Anopheles_sialome/links/cluster-b/anopheline-sialome-cds-pep-larger-orf70-50SimCLTL12.txt", 19)</f>
        <v>19</v>
      </c>
      <c r="CF610">
        <f>HYPERLINK("http://exon.niaid.nih.gov/transcriptome/Anopheles_sialome/links/cluster-b/anopheline-sialome-cds-pep-larger-orf75-50SimCLU14.txt", 14)</f>
        <v>14</v>
      </c>
      <c r="CG610">
        <f>HYPERLINK("http://exon.niaid.nih.gov/transcriptome/Anopheles_sialome/links/cluster-b/anopheline-sialome-cds-pep-larger-orf75-50SimCLTL14.txt", 17)</f>
        <v>17</v>
      </c>
      <c r="CH610">
        <f>HYPERLINK("http://exon.niaid.nih.gov/transcriptome/Anopheles_sialome/links/cluster-b/anopheline-sialome-cds-pep-larger-orf80-50SimCLU13.txt", 13)</f>
        <v>13</v>
      </c>
      <c r="CI610">
        <f>HYPERLINK("http://exon.niaid.nih.gov/transcriptome/Anopheles_sialome/links/cluster-b/anopheline-sialome-cds-pep-larger-orf80-50SimCLTL13.txt", 15)</f>
        <v>15</v>
      </c>
      <c r="CJ610">
        <f>HYPERLINK("http://exon.niaid.nih.gov/transcriptome/Anopheles_sialome/links/cluster-b/anopheline-sialome-cds-pep-larger-orf85-50SimCLU12.txt", 12)</f>
        <v>12</v>
      </c>
      <c r="CK610">
        <f>HYPERLINK("http://exon.niaid.nih.gov/transcriptome/Anopheles_sialome/links/cluster-b/anopheline-sialome-cds-pep-larger-orf85-50SimCLTL12.txt", 13)</f>
        <v>13</v>
      </c>
      <c r="CL610">
        <f>HYPERLINK("http://exon.niaid.nih.gov/transcriptome/Anopheles_sialome/links/cluster-b/anopheline-sialome-cds-pep-larger-orf90-50SimCLU88.txt", 88)</f>
        <v>88</v>
      </c>
      <c r="CM610">
        <f>HYPERLINK("http://exon.niaid.nih.gov/transcriptome/Anopheles_sialome/links/cluster-b/anopheline-sialome-cds-pep-larger-orf90-50SimCLTL88.txt", 2)</f>
        <v>2</v>
      </c>
      <c r="CN610">
        <v>495</v>
      </c>
      <c r="CO610">
        <v>1</v>
      </c>
    </row>
    <row r="611" spans="1:93">
      <c r="A611" s="2" t="str">
        <f>HYPERLINK("http://exon.niaid.nih.gov/transcriptome/Anopheles_sialome/links/cds/anomac_SG5-cds.txt","anomac_SG5")</f>
        <v>anomac_SG5</v>
      </c>
      <c r="B611">
        <v>1005</v>
      </c>
      <c r="C611" t="s">
        <v>544</v>
      </c>
      <c r="D611" t="s">
        <v>4</v>
      </c>
      <c r="E611" t="s">
        <v>5</v>
      </c>
      <c r="F611" t="s">
        <v>1</v>
      </c>
      <c r="G611" t="str">
        <f>HYPERLINK("http://exon.niaid.nih.gov/transcriptome/Anopheles_sialome/links/pep/anomac_SG5-pep.txt","anomac_SG5")</f>
        <v>anomac_SG5</v>
      </c>
      <c r="H611">
        <v>334</v>
      </c>
      <c r="I611">
        <v>1</v>
      </c>
      <c r="J611" s="3" t="str">
        <f>HYPERLINK("http://exon.niaid.nih.gov/transcriptome/Anopheles_sialome/links/Sigp/anomac_SG5-SigP.txt","SIG")</f>
        <v>SIG</v>
      </c>
      <c r="K611" t="s">
        <v>834</v>
      </c>
      <c r="L611">
        <v>38.664000000000001</v>
      </c>
      <c r="M611">
        <v>6.03</v>
      </c>
      <c r="N611">
        <v>35.783999999999999</v>
      </c>
      <c r="O611">
        <v>5.86</v>
      </c>
      <c r="P611" t="s">
        <v>2031</v>
      </c>
      <c r="Q611" s="3" t="str">
        <f>HYPERLINK("http://exon.niaid.nih.gov/transcriptome/Anopheles_sialome/links/tmhmm/anomac_SG5-tmhmm.txt","1")</f>
        <v>1</v>
      </c>
      <c r="R611">
        <v>5.7</v>
      </c>
      <c r="S611">
        <v>92.2</v>
      </c>
      <c r="T611">
        <v>2.1</v>
      </c>
      <c r="U611" t="s">
        <v>128</v>
      </c>
      <c r="V611">
        <v>308</v>
      </c>
      <c r="W611" s="3" t="str">
        <f>HYPERLINK("http://exon.niaid.nih.gov/transcriptome/Anopheles_sialome/links/netoglyc/anomac_SG5-netoglyc.txt","1")</f>
        <v>1</v>
      </c>
      <c r="X611">
        <v>11.7</v>
      </c>
      <c r="Y611">
        <v>3.3</v>
      </c>
      <c r="Z611">
        <v>3</v>
      </c>
      <c r="AA611" t="s">
        <v>654</v>
      </c>
      <c r="AB611" t="s">
        <v>2032</v>
      </c>
      <c r="AC611" s="2" t="str">
        <f>HYPERLINK("http://exon.niaid.nih.gov/transcriptome/Anopheles_sialome/links/DIPTERA/anomac_SG5-DIPTERA.txt","gSG5 protein")</f>
        <v>gSG5 protein</v>
      </c>
      <c r="AD611" t="str">
        <f>HYPERLINK("http://www.ncbi.nlm.nih.gov/sutils/blink.cgi?pid=13537662","1E-138")</f>
        <v>1E-138</v>
      </c>
      <c r="AE611" t="str">
        <f t="shared" ref="AE611:AE613" si="205">HYPERLINK("http://www.ncbi.nlm.nih.gov/protein/13537662","gi|13537662")</f>
        <v>gi|13537662</v>
      </c>
      <c r="AF611">
        <v>71</v>
      </c>
      <c r="AG611">
        <v>84</v>
      </c>
      <c r="AH611">
        <v>101</v>
      </c>
      <c r="AI611" t="s">
        <v>2254</v>
      </c>
      <c r="AJ611" s="2" t="str">
        <f>HYPERLINK("http://exon.niaid.nih.gov/transcriptome/Anopheles_sialome/links/CULICOMORPHA/anomac_SG5-CULICOMORPHA.txt","gSG5 protein")</f>
        <v>gSG5 protein</v>
      </c>
      <c r="AK611" t="str">
        <f>HYPERLINK("http://www.ncbi.nlm.nih.gov/sutils/blink.cgi?pid=13537662","1E-139")</f>
        <v>1E-139</v>
      </c>
      <c r="AL611" t="str">
        <f t="shared" ref="AL611:AL613" si="206">HYPERLINK("http://www.ncbi.nlm.nih.gov/protein/13537662","gi|13537662")</f>
        <v>gi|13537662</v>
      </c>
      <c r="AM611">
        <v>71</v>
      </c>
      <c r="AN611">
        <v>84</v>
      </c>
      <c r="AO611">
        <v>101</v>
      </c>
      <c r="AP611" t="s">
        <v>2254</v>
      </c>
      <c r="AQ611" s="2" t="str">
        <f>HYPERLINK("http://exon.niaid.nih.gov/transcriptome/Anopheles_sialome/links/NR-LIGHT/anomac_SG5-NR-LIGHT.txt","AGAP004334-PA")</f>
        <v>AGAP004334-PA</v>
      </c>
      <c r="AR611" t="str">
        <f>HYPERLINK("http://www.ncbi.nlm.nih.gov/sutils/blink.cgi?pid=31209291","1E-137")</f>
        <v>1E-137</v>
      </c>
      <c r="AS611" t="str">
        <f t="shared" ref="AS611:AS613" si="207">HYPERLINK("http://www.ncbi.nlm.nih.gov/protein/31209291","gi|31209291")</f>
        <v>gi|31209291</v>
      </c>
      <c r="AT611">
        <v>71</v>
      </c>
      <c r="AU611">
        <v>84</v>
      </c>
      <c r="AV611">
        <v>101</v>
      </c>
      <c r="AW611" t="s">
        <v>2285</v>
      </c>
      <c r="AX611" s="2" t="str">
        <f>HYPERLINK("http://exon.niaid.nih.gov/transcriptome/Anopheles_sialome/links/CDD/anomac_SG5-CDD.txt","lolA")</f>
        <v>lolA</v>
      </c>
      <c r="AY611" t="str">
        <f>HYPERLINK("http://www.ncbi.nlm.nih.gov/Structure/cdd/cddsrv.cgi?uid=PRK00031&amp;version=v4.0","0.47")</f>
        <v>0.47</v>
      </c>
      <c r="AZ611" t="s">
        <v>3029</v>
      </c>
      <c r="BA611" s="2" t="str">
        <f>HYPERLINK("http://exon.niaid.nih.gov/transcriptome/Anopheles_sialome/links/KOG/anomac_SG5-KOG.txt","Golgi transport complex subunit")</f>
        <v>Golgi transport complex subunit</v>
      </c>
      <c r="BB611" t="str">
        <f>HYPERLINK("http://www.ncbi.nlm.nih.gov/Structure/cdd/cddsrv.cgi?uid=KOG2069","0.24")</f>
        <v>0.24</v>
      </c>
      <c r="BC611" t="s">
        <v>2487</v>
      </c>
      <c r="BD611" t="str">
        <f>HYPERLINK("http://exon.niaid.nih.gov/transcriptome/Anopheles_sialome/links/KOG/anomac_SG5-KOG.txt","KOG2069")</f>
        <v>KOG2069</v>
      </c>
      <c r="BE611" t="str">
        <f>HYPERLINK("http://exon.niaid.nih.gov/transcriptome/Anopheles_sialome/links/PFAM/anomac_SG5-PFAM.txt","Bromo_coat")</f>
        <v>Bromo_coat</v>
      </c>
      <c r="BF611" t="str">
        <f>HYPERLINK("http://pfam.sanger.ac.uk/family?acc=PF01318","0.12")</f>
        <v>0.12</v>
      </c>
      <c r="BG611" s="2" t="str">
        <f>HYPERLINK("http://exon.niaid.nih.gov/transcriptome/Anopheles_sialome/links/SMART/anomac_SG5-SMART.txt","H4")</f>
        <v>H4</v>
      </c>
      <c r="BH611" t="str">
        <f>HYPERLINK("http://smart.embl-heidelberg.de/smart/do_annotation.pl?DOMAIN=H4&amp;BLAST=DUMMY","1.6")</f>
        <v>1.6</v>
      </c>
      <c r="BI611" t="str">
        <f>HYPERLINK("http://exon.niaid.nih.gov/transcriptome/Anopheles_sialome/links/TICK-BLOCKS/anomac_SG5-TICK-BLOCKS.txt","gSG5_protein_family |")</f>
        <v>gSG5_protein_family |</v>
      </c>
      <c r="BJ611" s="2" t="s">
        <v>3017</v>
      </c>
      <c r="BK611" t="s">
        <v>2030</v>
      </c>
      <c r="BL611">
        <f>HYPERLINK("http://exon.niaid.nih.gov/transcriptome/Anopheles_sialome/links/cluster-b/anopheline-sialome-cds-pep-larger-orf25-50SimCLU12.txt", 12)</f>
        <v>12</v>
      </c>
      <c r="BM611">
        <f>HYPERLINK("http://exon.niaid.nih.gov/transcriptome/Anopheles_sialome/links/cluster-b/anopheline-sialome-cds-pep-larger-orf25-50SimCLTL12.txt", 19)</f>
        <v>19</v>
      </c>
      <c r="BN611">
        <f>HYPERLINK("http://exon.niaid.nih.gov/transcriptome/Anopheles_sialome/links/cluster-b/anopheline-sialome-cds-pep-larger-orf30-50SimCLU11.txt", 11)</f>
        <v>11</v>
      </c>
      <c r="BO611">
        <f>HYPERLINK("http://exon.niaid.nih.gov/transcriptome/Anopheles_sialome/links/cluster-b/anopheline-sialome-cds-pep-larger-orf30-50SimCLTL11.txt", 19)</f>
        <v>19</v>
      </c>
      <c r="BP611">
        <f>HYPERLINK("http://exon.niaid.nih.gov/transcriptome/Anopheles_sialome/links/cluster-b/anopheline-sialome-cds-pep-larger-orf35-50SimCLU13.txt", 13)</f>
        <v>13</v>
      </c>
      <c r="BQ611">
        <f>HYPERLINK("http://exon.niaid.nih.gov/transcriptome/Anopheles_sialome/links/cluster-b/anopheline-sialome-cds-pep-larger-orf35-50SimCLTL13.txt", 19)</f>
        <v>19</v>
      </c>
      <c r="BR611">
        <f>HYPERLINK("http://exon.niaid.nih.gov/transcriptome/Anopheles_sialome/links/cluster-b/anopheline-sialome-cds-pep-larger-orf40-50SimCLU15.txt", 15)</f>
        <v>15</v>
      </c>
      <c r="BS611">
        <f>HYPERLINK("http://exon.niaid.nih.gov/transcriptome/Anopheles_sialome/links/cluster-b/anopheline-sialome-cds-pep-larger-orf40-50SimCLTL15.txt", 19)</f>
        <v>19</v>
      </c>
      <c r="BT611">
        <f>HYPERLINK("http://exon.niaid.nih.gov/transcriptome/Anopheles_sialome/links/cluster-b/anopheline-sialome-cds-pep-larger-orf45-50SimCLU15.txt", 15)</f>
        <v>15</v>
      </c>
      <c r="BU611">
        <f>HYPERLINK("http://exon.niaid.nih.gov/transcriptome/Anopheles_sialome/links/cluster-b/anopheline-sialome-cds-pep-larger-orf45-50SimCLTL15.txt", 19)</f>
        <v>19</v>
      </c>
      <c r="BV611">
        <f>HYPERLINK("http://exon.niaid.nih.gov/transcriptome/Anopheles_sialome/links/cluster-b/anopheline-sialome-cds-pep-larger-orf50-50SimCLU14.txt", 14)</f>
        <v>14</v>
      </c>
      <c r="BW611">
        <f>HYPERLINK("http://exon.niaid.nih.gov/transcriptome/Anopheles_sialome/links/cluster-b/anopheline-sialome-cds-pep-larger-orf50-50SimCLTL14.txt", 19)</f>
        <v>19</v>
      </c>
      <c r="BX611">
        <f>HYPERLINK("http://exon.niaid.nih.gov/transcriptome/Anopheles_sialome/links/cluster-b/anopheline-sialome-cds-pep-larger-orf55-50SimCLU15.txt", 15)</f>
        <v>15</v>
      </c>
      <c r="BY611">
        <f>HYPERLINK("http://exon.niaid.nih.gov/transcriptome/Anopheles_sialome/links/cluster-b/anopheline-sialome-cds-pep-larger-orf55-50SimCLTL15.txt", 19)</f>
        <v>19</v>
      </c>
      <c r="BZ611">
        <f>HYPERLINK("http://exon.niaid.nih.gov/transcriptome/Anopheles_sialome/links/cluster-b/anopheline-sialome-cds-pep-larger-orf60-50SimCLU14.txt", 14)</f>
        <v>14</v>
      </c>
      <c r="CA611">
        <f>HYPERLINK("http://exon.niaid.nih.gov/transcriptome/Anopheles_sialome/links/cluster-b/anopheline-sialome-cds-pep-larger-orf60-50SimCLTL14.txt", 19)</f>
        <v>19</v>
      </c>
      <c r="CB611">
        <f>HYPERLINK("http://exon.niaid.nih.gov/transcriptome/Anopheles_sialome/links/cluster-b/anopheline-sialome-cds-pep-larger-orf65-50SimCLU12.txt", 12)</f>
        <v>12</v>
      </c>
      <c r="CC611">
        <f>HYPERLINK("http://exon.niaid.nih.gov/transcriptome/Anopheles_sialome/links/cluster-b/anopheline-sialome-cds-pep-larger-orf65-50SimCLTL12.txt", 19)</f>
        <v>19</v>
      </c>
      <c r="CD611">
        <f>HYPERLINK("http://exon.niaid.nih.gov/transcriptome/Anopheles_sialome/links/cluster-b/anopheline-sialome-cds-pep-larger-orf70-50SimCLU12.txt", 12)</f>
        <v>12</v>
      </c>
      <c r="CE611">
        <f>HYPERLINK("http://exon.niaid.nih.gov/transcriptome/Anopheles_sialome/links/cluster-b/anopheline-sialome-cds-pep-larger-orf70-50SimCLTL12.txt", 19)</f>
        <v>19</v>
      </c>
      <c r="CF611">
        <f>HYPERLINK("http://exon.niaid.nih.gov/transcriptome/Anopheles_sialome/links/cluster-b/anopheline-sialome-cds-pep-larger-orf75-50SimCLU14.txt", 14)</f>
        <v>14</v>
      </c>
      <c r="CG611">
        <f>HYPERLINK("http://exon.niaid.nih.gov/transcriptome/Anopheles_sialome/links/cluster-b/anopheline-sialome-cds-pep-larger-orf75-50SimCLTL14.txt", 17)</f>
        <v>17</v>
      </c>
      <c r="CH611">
        <f>HYPERLINK("http://exon.niaid.nih.gov/transcriptome/Anopheles_sialome/links/cluster-b/anopheline-sialome-cds-pep-larger-orf80-50SimCLU13.txt", 13)</f>
        <v>13</v>
      </c>
      <c r="CI611">
        <f>HYPERLINK("http://exon.niaid.nih.gov/transcriptome/Anopheles_sialome/links/cluster-b/anopheline-sialome-cds-pep-larger-orf80-50SimCLTL13.txt", 15)</f>
        <v>15</v>
      </c>
      <c r="CJ611">
        <f>HYPERLINK("http://exon.niaid.nih.gov/transcriptome/Anopheles_sialome/links/cluster-b/anopheline-sialome-cds-pep-larger-orf85-50SimCLU12.txt", 12)</f>
        <v>12</v>
      </c>
      <c r="CK611">
        <f>HYPERLINK("http://exon.niaid.nih.gov/transcriptome/Anopheles_sialome/links/cluster-b/anopheline-sialome-cds-pep-larger-orf85-50SimCLTL12.txt", 13)</f>
        <v>13</v>
      </c>
      <c r="CL611">
        <f>HYPERLINK("http://exon.niaid.nih.gov/transcriptome/Anopheles_sialome/links/cluster-b/anopheline-sialome-cds-pep-larger-orf90-50SimCLU88.txt", 88)</f>
        <v>88</v>
      </c>
      <c r="CM611">
        <f>HYPERLINK("http://exon.niaid.nih.gov/transcriptome/Anopheles_sialome/links/cluster-b/anopheline-sialome-cds-pep-larger-orf90-50SimCLTL88.txt", 2)</f>
        <v>2</v>
      </c>
      <c r="CN611">
        <v>496</v>
      </c>
      <c r="CO611">
        <v>1</v>
      </c>
    </row>
    <row r="612" spans="1:93">
      <c r="A612" s="2" t="str">
        <f>HYPERLINK("http://exon.niaid.nih.gov/transcriptome/Anopheles_sialome/links/cds/anofar_SG5-cds.txt","anofar_SG5")</f>
        <v>anofar_SG5</v>
      </c>
      <c r="B612">
        <v>1014</v>
      </c>
      <c r="C612" t="s">
        <v>545</v>
      </c>
      <c r="D612" t="s">
        <v>7</v>
      </c>
      <c r="E612" t="s">
        <v>5</v>
      </c>
      <c r="F612" t="s">
        <v>1</v>
      </c>
      <c r="G612" t="str">
        <f>HYPERLINK("http://exon.niaid.nih.gov/transcriptome/Anopheles_sialome/links/pep/anofar_SG5-pep.txt","anofar_SG5")</f>
        <v>anofar_SG5</v>
      </c>
      <c r="H612">
        <v>337</v>
      </c>
      <c r="I612">
        <v>1</v>
      </c>
      <c r="J612" s="3" t="str">
        <f>HYPERLINK("http://exon.niaid.nih.gov/transcriptome/Anopheles_sialome/links/Sigp/anofar_SG5-SigP.txt","SIG")</f>
        <v>SIG</v>
      </c>
      <c r="K612" t="s">
        <v>1182</v>
      </c>
      <c r="L612">
        <v>38.768000000000001</v>
      </c>
      <c r="M612">
        <v>6.23</v>
      </c>
      <c r="N612">
        <v>36.015999999999998</v>
      </c>
      <c r="O612">
        <v>6.25</v>
      </c>
      <c r="P612" t="s">
        <v>2034</v>
      </c>
      <c r="Q612" s="3">
        <v>0</v>
      </c>
      <c r="R612" t="s">
        <v>128</v>
      </c>
      <c r="S612" t="s">
        <v>128</v>
      </c>
      <c r="T612" t="s">
        <v>128</v>
      </c>
      <c r="U612" t="s">
        <v>128</v>
      </c>
      <c r="V612" t="s">
        <v>128</v>
      </c>
      <c r="W612" s="3" t="str">
        <f>HYPERLINK("http://exon.niaid.nih.gov/transcriptome/Anopheles_sialome/links/netoglyc/anofar_SG5-netoglyc.txt","1")</f>
        <v>1</v>
      </c>
      <c r="X612">
        <v>11</v>
      </c>
      <c r="Y612">
        <v>4.2</v>
      </c>
      <c r="Z612">
        <v>3</v>
      </c>
      <c r="AA612" t="s">
        <v>654</v>
      </c>
      <c r="AB612" t="s">
        <v>2035</v>
      </c>
      <c r="AC612" s="2" t="str">
        <f>HYPERLINK("http://exon.niaid.nih.gov/transcriptome/Anopheles_sialome/links/DIPTERA/anofar_SG5-DIPTERA.txt","gSG5 protein")</f>
        <v>gSG5 protein</v>
      </c>
      <c r="AD612" t="str">
        <f>HYPERLINK("http://www.ncbi.nlm.nih.gov/sutils/blink.cgi?pid=13537662","1E-127")</f>
        <v>1E-127</v>
      </c>
      <c r="AE612" t="str">
        <f t="shared" si="205"/>
        <v>gi|13537662</v>
      </c>
      <c r="AF612">
        <v>65</v>
      </c>
      <c r="AG612">
        <v>81</v>
      </c>
      <c r="AH612">
        <v>102</v>
      </c>
      <c r="AI612" t="s">
        <v>2254</v>
      </c>
      <c r="AJ612" s="2" t="str">
        <f>HYPERLINK("http://exon.niaid.nih.gov/transcriptome/Anopheles_sialome/links/CULICOMORPHA/anofar_SG5-CULICOMORPHA.txt","gSG5 protein")</f>
        <v>gSG5 protein</v>
      </c>
      <c r="AK612" t="str">
        <f>HYPERLINK("http://www.ncbi.nlm.nih.gov/sutils/blink.cgi?pid=13537662","1E-128")</f>
        <v>1E-128</v>
      </c>
      <c r="AL612" t="str">
        <f t="shared" si="206"/>
        <v>gi|13537662</v>
      </c>
      <c r="AM612">
        <v>65</v>
      </c>
      <c r="AN612">
        <v>81</v>
      </c>
      <c r="AO612">
        <v>102</v>
      </c>
      <c r="AP612" t="s">
        <v>2254</v>
      </c>
      <c r="AQ612" s="2" t="str">
        <f>HYPERLINK("http://exon.niaid.nih.gov/transcriptome/Anopheles_sialome/links/NR-LIGHT/anofar_SG5-NR-LIGHT.txt","AGAP004334-PA")</f>
        <v>AGAP004334-PA</v>
      </c>
      <c r="AR612" t="str">
        <f>HYPERLINK("http://www.ncbi.nlm.nih.gov/sutils/blink.cgi?pid=31209291","1E-126")</f>
        <v>1E-126</v>
      </c>
      <c r="AS612" t="str">
        <f t="shared" si="207"/>
        <v>gi|31209291</v>
      </c>
      <c r="AT612">
        <v>65</v>
      </c>
      <c r="AU612">
        <v>81</v>
      </c>
      <c r="AV612">
        <v>102</v>
      </c>
      <c r="AW612" t="s">
        <v>2285</v>
      </c>
      <c r="AX612" s="2" t="str">
        <f>HYPERLINK("http://exon.niaid.nih.gov/transcriptome/Anopheles_sialome/links/CDD/anofar_SG5-CDD.txt","xseA")</f>
        <v>xseA</v>
      </c>
      <c r="AY612" t="str">
        <f>HYPERLINK("http://www.ncbi.nlm.nih.gov/Structure/cdd/cddsrv.cgi?uid=PRK00286&amp;version=v4.0","0.22")</f>
        <v>0.22</v>
      </c>
      <c r="AZ612" t="s">
        <v>3030</v>
      </c>
      <c r="BA612" s="2" t="str">
        <f>HYPERLINK("http://exon.niaid.nih.gov/transcriptome/Anopheles_sialome/links/KOG/anofar_SG5-KOG.txt","PH domain-containing protein")</f>
        <v>PH domain-containing protein</v>
      </c>
      <c r="BB612" t="str">
        <f>HYPERLINK("http://www.ncbi.nlm.nih.gov/Structure/cdd/cddsrv.cgi?uid=KOG1997","0.14")</f>
        <v>0.14</v>
      </c>
      <c r="BC612" t="s">
        <v>2292</v>
      </c>
      <c r="BD612" t="str">
        <f>HYPERLINK("http://exon.niaid.nih.gov/transcriptome/Anopheles_sialome/links/KOG/anofar_SG5-KOG.txt","KOG1997")</f>
        <v>KOG1997</v>
      </c>
      <c r="BE612" t="str">
        <f>HYPERLINK("http://exon.niaid.nih.gov/transcriptome/Anopheles_sialome/links/PFAM/anofar_SG5-PFAM.txt","HCR")</f>
        <v>HCR</v>
      </c>
      <c r="BF612" t="str">
        <f>HYPERLINK("http://pfam.sanger.ac.uk/family?acc=PF07111","0.47")</f>
        <v>0.47</v>
      </c>
      <c r="BG612" s="2" t="str">
        <f>HYPERLINK("http://exon.niaid.nih.gov/transcriptome/Anopheles_sialome/links/SMART/anofar_SG5-SMART.txt","CRM1_C")</f>
        <v>CRM1_C</v>
      </c>
      <c r="BH612" t="str">
        <f>HYPERLINK("http://smart.embl-heidelberg.de/smart/do_annotation.pl?DOMAIN=CRM1_C&amp;BLAST=DUMMY","2.7")</f>
        <v>2.7</v>
      </c>
      <c r="BI612" t="str">
        <f>HYPERLINK("http://exon.niaid.nih.gov/transcriptome/Anopheles_sialome/links/TICK-BLOCKS/anofar_SG5-TICK-BLOCKS.txt","gSG5_protein_family |")</f>
        <v>gSG5_protein_family |</v>
      </c>
      <c r="BJ612" s="2" t="s">
        <v>3017</v>
      </c>
      <c r="BK612" t="s">
        <v>2033</v>
      </c>
      <c r="BL612">
        <f>HYPERLINK("http://exon.niaid.nih.gov/transcriptome/Anopheles_sialome/links/cluster-b/anopheline-sialome-cds-pep-larger-orf25-50SimCLU12.txt", 12)</f>
        <v>12</v>
      </c>
      <c r="BM612">
        <f>HYPERLINK("http://exon.niaid.nih.gov/transcriptome/Anopheles_sialome/links/cluster-b/anopheline-sialome-cds-pep-larger-orf25-50SimCLTL12.txt", 19)</f>
        <v>19</v>
      </c>
      <c r="BN612">
        <f>HYPERLINK("http://exon.niaid.nih.gov/transcriptome/Anopheles_sialome/links/cluster-b/anopheline-sialome-cds-pep-larger-orf30-50SimCLU11.txt", 11)</f>
        <v>11</v>
      </c>
      <c r="BO612">
        <f>HYPERLINK("http://exon.niaid.nih.gov/transcriptome/Anopheles_sialome/links/cluster-b/anopheline-sialome-cds-pep-larger-orf30-50SimCLTL11.txt", 19)</f>
        <v>19</v>
      </c>
      <c r="BP612">
        <f>HYPERLINK("http://exon.niaid.nih.gov/transcriptome/Anopheles_sialome/links/cluster-b/anopheline-sialome-cds-pep-larger-orf35-50SimCLU13.txt", 13)</f>
        <v>13</v>
      </c>
      <c r="BQ612">
        <f>HYPERLINK("http://exon.niaid.nih.gov/transcriptome/Anopheles_sialome/links/cluster-b/anopheline-sialome-cds-pep-larger-orf35-50SimCLTL13.txt", 19)</f>
        <v>19</v>
      </c>
      <c r="BR612">
        <f>HYPERLINK("http://exon.niaid.nih.gov/transcriptome/Anopheles_sialome/links/cluster-b/anopheline-sialome-cds-pep-larger-orf40-50SimCLU15.txt", 15)</f>
        <v>15</v>
      </c>
      <c r="BS612">
        <f>HYPERLINK("http://exon.niaid.nih.gov/transcriptome/Anopheles_sialome/links/cluster-b/anopheline-sialome-cds-pep-larger-orf40-50SimCLTL15.txt", 19)</f>
        <v>19</v>
      </c>
      <c r="BT612">
        <f>HYPERLINK("http://exon.niaid.nih.gov/transcriptome/Anopheles_sialome/links/cluster-b/anopheline-sialome-cds-pep-larger-orf45-50SimCLU15.txt", 15)</f>
        <v>15</v>
      </c>
      <c r="BU612">
        <f>HYPERLINK("http://exon.niaid.nih.gov/transcriptome/Anopheles_sialome/links/cluster-b/anopheline-sialome-cds-pep-larger-orf45-50SimCLTL15.txt", 19)</f>
        <v>19</v>
      </c>
      <c r="BV612">
        <f>HYPERLINK("http://exon.niaid.nih.gov/transcriptome/Anopheles_sialome/links/cluster-b/anopheline-sialome-cds-pep-larger-orf50-50SimCLU14.txt", 14)</f>
        <v>14</v>
      </c>
      <c r="BW612">
        <f>HYPERLINK("http://exon.niaid.nih.gov/transcriptome/Anopheles_sialome/links/cluster-b/anopheline-sialome-cds-pep-larger-orf50-50SimCLTL14.txt", 19)</f>
        <v>19</v>
      </c>
      <c r="BX612">
        <f>HYPERLINK("http://exon.niaid.nih.gov/transcriptome/Anopheles_sialome/links/cluster-b/anopheline-sialome-cds-pep-larger-orf55-50SimCLU15.txt", 15)</f>
        <v>15</v>
      </c>
      <c r="BY612">
        <f>HYPERLINK("http://exon.niaid.nih.gov/transcriptome/Anopheles_sialome/links/cluster-b/anopheline-sialome-cds-pep-larger-orf55-50SimCLTL15.txt", 19)</f>
        <v>19</v>
      </c>
      <c r="BZ612">
        <f>HYPERLINK("http://exon.niaid.nih.gov/transcriptome/Anopheles_sialome/links/cluster-b/anopheline-sialome-cds-pep-larger-orf60-50SimCLU14.txt", 14)</f>
        <v>14</v>
      </c>
      <c r="CA612">
        <f>HYPERLINK("http://exon.niaid.nih.gov/transcriptome/Anopheles_sialome/links/cluster-b/anopheline-sialome-cds-pep-larger-orf60-50SimCLTL14.txt", 19)</f>
        <v>19</v>
      </c>
      <c r="CB612">
        <f>HYPERLINK("http://exon.niaid.nih.gov/transcriptome/Anopheles_sialome/links/cluster-b/anopheline-sialome-cds-pep-larger-orf65-50SimCLU12.txt", 12)</f>
        <v>12</v>
      </c>
      <c r="CC612">
        <f>HYPERLINK("http://exon.niaid.nih.gov/transcriptome/Anopheles_sialome/links/cluster-b/anopheline-sialome-cds-pep-larger-orf65-50SimCLTL12.txt", 19)</f>
        <v>19</v>
      </c>
      <c r="CD612">
        <f>HYPERLINK("http://exon.niaid.nih.gov/transcriptome/Anopheles_sialome/links/cluster-b/anopheline-sialome-cds-pep-larger-orf70-50SimCLU12.txt", 12)</f>
        <v>12</v>
      </c>
      <c r="CE612">
        <f>HYPERLINK("http://exon.niaid.nih.gov/transcriptome/Anopheles_sialome/links/cluster-b/anopheline-sialome-cds-pep-larger-orf70-50SimCLTL12.txt", 19)</f>
        <v>19</v>
      </c>
      <c r="CF612">
        <f>HYPERLINK("http://exon.niaid.nih.gov/transcriptome/Anopheles_sialome/links/cluster-b/anopheline-sialome-cds-pep-larger-orf75-50SimCLU14.txt", 14)</f>
        <v>14</v>
      </c>
      <c r="CG612">
        <f>HYPERLINK("http://exon.niaid.nih.gov/transcriptome/Anopheles_sialome/links/cluster-b/anopheline-sialome-cds-pep-larger-orf75-50SimCLTL14.txt", 17)</f>
        <v>17</v>
      </c>
      <c r="CH612">
        <f>HYPERLINK("http://exon.niaid.nih.gov/transcriptome/Anopheles_sialome/links/cluster-b/anopheline-sialome-cds-pep-larger-orf80-50SimCLU13.txt", 13)</f>
        <v>13</v>
      </c>
      <c r="CI612">
        <f>HYPERLINK("http://exon.niaid.nih.gov/transcriptome/Anopheles_sialome/links/cluster-b/anopheline-sialome-cds-pep-larger-orf80-50SimCLTL13.txt", 15)</f>
        <v>15</v>
      </c>
      <c r="CJ612">
        <v>316</v>
      </c>
      <c r="CK612">
        <v>1</v>
      </c>
      <c r="CL612">
        <v>402</v>
      </c>
      <c r="CM612">
        <v>1</v>
      </c>
      <c r="CN612">
        <v>497</v>
      </c>
      <c r="CO612">
        <v>1</v>
      </c>
    </row>
    <row r="613" spans="1:93">
      <c r="A613" s="2" t="str">
        <f>HYPERLINK("http://exon.niaid.nih.gov/transcriptome/Anopheles_sialome/links/cds/anodir_SG5-cds.txt","anodir_SG5")</f>
        <v>anodir_SG5</v>
      </c>
      <c r="B613">
        <v>1032</v>
      </c>
      <c r="C613" t="s">
        <v>546</v>
      </c>
      <c r="D613" t="s">
        <v>4</v>
      </c>
      <c r="E613" t="s">
        <v>5</v>
      </c>
      <c r="F613" t="s">
        <v>1</v>
      </c>
      <c r="G613" t="str">
        <f>HYPERLINK("http://exon.niaid.nih.gov/transcriptome/Anopheles_sialome/links/pep/anodir_SG5-pep.txt","anodir_SG5")</f>
        <v>anodir_SG5</v>
      </c>
      <c r="H613">
        <v>343</v>
      </c>
      <c r="I613">
        <v>2</v>
      </c>
      <c r="J613" s="3" t="str">
        <f>HYPERLINK("http://exon.niaid.nih.gov/transcriptome/Anopheles_sialome/links/Sigp/anodir_SG5-SigP.txt","SIG")</f>
        <v>SIG</v>
      </c>
      <c r="K613" t="s">
        <v>1250</v>
      </c>
      <c r="L613">
        <v>39.485999999999997</v>
      </c>
      <c r="M613">
        <v>6.24</v>
      </c>
      <c r="N613">
        <v>35.935000000000002</v>
      </c>
      <c r="O613">
        <v>6.11</v>
      </c>
      <c r="P613" t="s">
        <v>2037</v>
      </c>
      <c r="Q613" s="3" t="str">
        <f>HYPERLINK("http://exon.niaid.nih.gov/transcriptome/Anopheles_sialome/links/tmhmm/anodir_SG5-tmhmm.txt","1")</f>
        <v>1</v>
      </c>
      <c r="R613">
        <v>6.4</v>
      </c>
      <c r="S613">
        <v>89.8</v>
      </c>
      <c r="T613">
        <v>3.8</v>
      </c>
      <c r="U613" t="s">
        <v>128</v>
      </c>
      <c r="V613">
        <v>308</v>
      </c>
      <c r="W613" s="3" t="str">
        <f>HYPERLINK("http://exon.niaid.nih.gov/transcriptome/Anopheles_sialome/links/netoglyc/anodir_SG5-netoglyc.txt","4")</f>
        <v>4</v>
      </c>
      <c r="X613">
        <v>9.9</v>
      </c>
      <c r="Y613">
        <v>3.8</v>
      </c>
      <c r="Z613">
        <v>4.0999999999999996</v>
      </c>
      <c r="AA613" t="s">
        <v>654</v>
      </c>
      <c r="AB613" t="s">
        <v>128</v>
      </c>
      <c r="AC613" s="2" t="str">
        <f>HYPERLINK("http://exon.niaid.nih.gov/transcriptome/Anopheles_sialome/links/DIPTERA/anodir_SG5-DIPTERA.txt","gSG5 protein")</f>
        <v>gSG5 protein</v>
      </c>
      <c r="AD613" t="str">
        <f>HYPERLINK("http://www.ncbi.nlm.nih.gov/sutils/blink.cgi?pid=13537662","1E-125")</f>
        <v>1E-125</v>
      </c>
      <c r="AE613" t="str">
        <f t="shared" si="205"/>
        <v>gi|13537662</v>
      </c>
      <c r="AF613">
        <v>67</v>
      </c>
      <c r="AG613">
        <v>78</v>
      </c>
      <c r="AH613">
        <v>101</v>
      </c>
      <c r="AI613" t="s">
        <v>2254</v>
      </c>
      <c r="AJ613" s="2" t="str">
        <f>HYPERLINK("http://exon.niaid.nih.gov/transcriptome/Anopheles_sialome/links/CULICOMORPHA/anodir_SG5-CULICOMORPHA.txt","gSG5 protein")</f>
        <v>gSG5 protein</v>
      </c>
      <c r="AK613" t="str">
        <f>HYPERLINK("http://www.ncbi.nlm.nih.gov/sutils/blink.cgi?pid=13537662","1E-126")</f>
        <v>1E-126</v>
      </c>
      <c r="AL613" t="str">
        <f t="shared" si="206"/>
        <v>gi|13537662</v>
      </c>
      <c r="AM613">
        <v>67</v>
      </c>
      <c r="AN613">
        <v>78</v>
      </c>
      <c r="AO613">
        <v>101</v>
      </c>
      <c r="AP613" t="s">
        <v>2254</v>
      </c>
      <c r="AQ613" s="2" t="str">
        <f>HYPERLINK("http://exon.niaid.nih.gov/transcriptome/Anopheles_sialome/links/NR-LIGHT/anodir_SG5-NR-LIGHT.txt","AGAP004334-PA")</f>
        <v>AGAP004334-PA</v>
      </c>
      <c r="AR613" t="str">
        <f>HYPERLINK("http://www.ncbi.nlm.nih.gov/sutils/blink.cgi?pid=31209291","1E-125")</f>
        <v>1E-125</v>
      </c>
      <c r="AS613" t="str">
        <f t="shared" si="207"/>
        <v>gi|31209291</v>
      </c>
      <c r="AT613">
        <v>67</v>
      </c>
      <c r="AU613">
        <v>78</v>
      </c>
      <c r="AV613">
        <v>101</v>
      </c>
      <c r="AW613" t="s">
        <v>2285</v>
      </c>
      <c r="AX613" s="2" t="str">
        <f>HYPERLINK("http://exon.niaid.nih.gov/transcriptome/Anopheles_sialome/links/CDD/anodir_SG5-CDD.txt","DUF4455")</f>
        <v>DUF4455</v>
      </c>
      <c r="AY613" t="str">
        <f>HYPERLINK("http://www.ncbi.nlm.nih.gov/Structure/cdd/cddsrv.cgi?uid=pfam14643&amp;version=v4.0","0.37")</f>
        <v>0.37</v>
      </c>
      <c r="AZ613" t="s">
        <v>3031</v>
      </c>
      <c r="BA613" s="2" t="str">
        <f>HYPERLINK("http://exon.niaid.nih.gov/transcriptome/Anopheles_sialome/links/KOG/anodir_SG5-KOG.txt","Mitochondrial inner membrane protein (mitofilin)")</f>
        <v>Mitochondrial inner membrane protein (mitofilin)</v>
      </c>
      <c r="BB613" t="str">
        <f>HYPERLINK("http://www.ncbi.nlm.nih.gov/Structure/cdd/cddsrv.cgi?uid=KOG1854","0.62")</f>
        <v>0.62</v>
      </c>
      <c r="BC613" t="s">
        <v>3025</v>
      </c>
      <c r="BD613" t="str">
        <f>HYPERLINK("http://exon.niaid.nih.gov/transcriptome/Anopheles_sialome/links/KOG/anodir_SG5-KOG.txt","KOG1854")</f>
        <v>KOG1854</v>
      </c>
      <c r="BE613" t="str">
        <f>HYPERLINK("http://exon.niaid.nih.gov/transcriptome/Anopheles_sialome/links/PFAM/anodir_SG5-PFAM.txt","DUF4455")</f>
        <v>DUF4455</v>
      </c>
      <c r="BF613" t="str">
        <f>HYPERLINK("http://pfam.sanger.ac.uk/family?acc=PF14643","0.073")</f>
        <v>0.073</v>
      </c>
      <c r="BG613" s="2" t="str">
        <f>HYPERLINK("http://exon.niaid.nih.gov/transcriptome/Anopheles_sialome/links/SMART/anodir_SG5-SMART.txt","CYCc")</f>
        <v>CYCc</v>
      </c>
      <c r="BH613" t="str">
        <f>HYPERLINK("http://smart.embl-heidelberg.de/smart/do_annotation.pl?DOMAIN=CYCc&amp;BLAST=DUMMY","0.071")</f>
        <v>0.071</v>
      </c>
      <c r="BI613" t="str">
        <f>HYPERLINK("http://exon.niaid.nih.gov/transcriptome/Anopheles_sialome/links/TICK-BLOCKS/anodir_SG5-TICK-BLOCKS.txt","gSG5_protein_family |")</f>
        <v>gSG5_protein_family |</v>
      </c>
      <c r="BJ613" s="2" t="s">
        <v>3017</v>
      </c>
      <c r="BK613" t="s">
        <v>2036</v>
      </c>
      <c r="BL613">
        <f>HYPERLINK("http://exon.niaid.nih.gov/transcriptome/Anopheles_sialome/links/cluster-b/anopheline-sialome-cds-pep-larger-orf25-50SimCLU12.txt", 12)</f>
        <v>12</v>
      </c>
      <c r="BM613">
        <f>HYPERLINK("http://exon.niaid.nih.gov/transcriptome/Anopheles_sialome/links/cluster-b/anopheline-sialome-cds-pep-larger-orf25-50SimCLTL12.txt", 19)</f>
        <v>19</v>
      </c>
      <c r="BN613">
        <f>HYPERLINK("http://exon.niaid.nih.gov/transcriptome/Anopheles_sialome/links/cluster-b/anopheline-sialome-cds-pep-larger-orf30-50SimCLU11.txt", 11)</f>
        <v>11</v>
      </c>
      <c r="BO613">
        <f>HYPERLINK("http://exon.niaid.nih.gov/transcriptome/Anopheles_sialome/links/cluster-b/anopheline-sialome-cds-pep-larger-orf30-50SimCLTL11.txt", 19)</f>
        <v>19</v>
      </c>
      <c r="BP613">
        <f>HYPERLINK("http://exon.niaid.nih.gov/transcriptome/Anopheles_sialome/links/cluster-b/anopheline-sialome-cds-pep-larger-orf35-50SimCLU13.txt", 13)</f>
        <v>13</v>
      </c>
      <c r="BQ613">
        <f>HYPERLINK("http://exon.niaid.nih.gov/transcriptome/Anopheles_sialome/links/cluster-b/anopheline-sialome-cds-pep-larger-orf35-50SimCLTL13.txt", 19)</f>
        <v>19</v>
      </c>
      <c r="BR613">
        <f>HYPERLINK("http://exon.niaid.nih.gov/transcriptome/Anopheles_sialome/links/cluster-b/anopheline-sialome-cds-pep-larger-orf40-50SimCLU15.txt", 15)</f>
        <v>15</v>
      </c>
      <c r="BS613">
        <f>HYPERLINK("http://exon.niaid.nih.gov/transcriptome/Anopheles_sialome/links/cluster-b/anopheline-sialome-cds-pep-larger-orf40-50SimCLTL15.txt", 19)</f>
        <v>19</v>
      </c>
      <c r="BT613">
        <f>HYPERLINK("http://exon.niaid.nih.gov/transcriptome/Anopheles_sialome/links/cluster-b/anopheline-sialome-cds-pep-larger-orf45-50SimCLU15.txt", 15)</f>
        <v>15</v>
      </c>
      <c r="BU613">
        <f>HYPERLINK("http://exon.niaid.nih.gov/transcriptome/Anopheles_sialome/links/cluster-b/anopheline-sialome-cds-pep-larger-orf45-50SimCLTL15.txt", 19)</f>
        <v>19</v>
      </c>
      <c r="BV613">
        <f>HYPERLINK("http://exon.niaid.nih.gov/transcriptome/Anopheles_sialome/links/cluster-b/anopheline-sialome-cds-pep-larger-orf50-50SimCLU14.txt", 14)</f>
        <v>14</v>
      </c>
      <c r="BW613">
        <f>HYPERLINK("http://exon.niaid.nih.gov/transcriptome/Anopheles_sialome/links/cluster-b/anopheline-sialome-cds-pep-larger-orf50-50SimCLTL14.txt", 19)</f>
        <v>19</v>
      </c>
      <c r="BX613">
        <f>HYPERLINK("http://exon.niaid.nih.gov/transcriptome/Anopheles_sialome/links/cluster-b/anopheline-sialome-cds-pep-larger-orf55-50SimCLU15.txt", 15)</f>
        <v>15</v>
      </c>
      <c r="BY613">
        <f>HYPERLINK("http://exon.niaid.nih.gov/transcriptome/Anopheles_sialome/links/cluster-b/anopheline-sialome-cds-pep-larger-orf55-50SimCLTL15.txt", 19)</f>
        <v>19</v>
      </c>
      <c r="BZ613">
        <f>HYPERLINK("http://exon.niaid.nih.gov/transcriptome/Anopheles_sialome/links/cluster-b/anopheline-sialome-cds-pep-larger-orf60-50SimCLU14.txt", 14)</f>
        <v>14</v>
      </c>
      <c r="CA613">
        <f>HYPERLINK("http://exon.niaid.nih.gov/transcriptome/Anopheles_sialome/links/cluster-b/anopheline-sialome-cds-pep-larger-orf60-50SimCLTL14.txt", 19)</f>
        <v>19</v>
      </c>
      <c r="CB613">
        <f>HYPERLINK("http://exon.niaid.nih.gov/transcriptome/Anopheles_sialome/links/cluster-b/anopheline-sialome-cds-pep-larger-orf65-50SimCLU12.txt", 12)</f>
        <v>12</v>
      </c>
      <c r="CC613">
        <f>HYPERLINK("http://exon.niaid.nih.gov/transcriptome/Anopheles_sialome/links/cluster-b/anopheline-sialome-cds-pep-larger-orf65-50SimCLTL12.txt", 19)</f>
        <v>19</v>
      </c>
      <c r="CD613">
        <f>HYPERLINK("http://exon.niaid.nih.gov/transcriptome/Anopheles_sialome/links/cluster-b/anopheline-sialome-cds-pep-larger-orf70-50SimCLU12.txt", 12)</f>
        <v>12</v>
      </c>
      <c r="CE613">
        <f>HYPERLINK("http://exon.niaid.nih.gov/transcriptome/Anopheles_sialome/links/cluster-b/anopheline-sialome-cds-pep-larger-orf70-50SimCLTL12.txt", 19)</f>
        <v>19</v>
      </c>
      <c r="CF613">
        <f>HYPERLINK("http://exon.niaid.nih.gov/transcriptome/Anopheles_sialome/links/cluster-b/anopheline-sialome-cds-pep-larger-orf75-50SimCLU14.txt", 14)</f>
        <v>14</v>
      </c>
      <c r="CG613">
        <f>HYPERLINK("http://exon.niaid.nih.gov/transcriptome/Anopheles_sialome/links/cluster-b/anopheline-sialome-cds-pep-larger-orf75-50SimCLTL14.txt", 17)</f>
        <v>17</v>
      </c>
      <c r="CH613">
        <f>HYPERLINK("http://exon.niaid.nih.gov/transcriptome/Anopheles_sialome/links/cluster-b/anopheline-sialome-cds-pep-larger-orf80-50SimCLU13.txt", 13)</f>
        <v>13</v>
      </c>
      <c r="CI613">
        <f>HYPERLINK("http://exon.niaid.nih.gov/transcriptome/Anopheles_sialome/links/cluster-b/anopheline-sialome-cds-pep-larger-orf80-50SimCLTL13.txt", 15)</f>
        <v>15</v>
      </c>
      <c r="CJ613">
        <v>317</v>
      </c>
      <c r="CK613">
        <v>1</v>
      </c>
      <c r="CL613">
        <v>403</v>
      </c>
      <c r="CM613">
        <v>1</v>
      </c>
      <c r="CN613">
        <v>498</v>
      </c>
      <c r="CO613">
        <v>1</v>
      </c>
    </row>
    <row r="614" spans="1:93">
      <c r="A614" s="2" t="str">
        <f>HYPERLINK("http://exon.niaid.nih.gov/transcriptome/Anopheles_sialome/links/cds/anoatro_SG5-cds.txt","anoatro_SG5")</f>
        <v>anoatro_SG5</v>
      </c>
      <c r="B614">
        <v>993</v>
      </c>
      <c r="C614" t="s">
        <v>547</v>
      </c>
      <c r="D614" t="s">
        <v>4</v>
      </c>
      <c r="E614" t="s">
        <v>5</v>
      </c>
      <c r="F614" t="s">
        <v>1</v>
      </c>
      <c r="G614" t="str">
        <f>HYPERLINK("http://exon.niaid.nih.gov/transcriptome/Anopheles_sialome/links/pep/anoatro_SG5-pep.txt","anoatro_SG5")</f>
        <v>anoatro_SG5</v>
      </c>
      <c r="H614">
        <v>330</v>
      </c>
      <c r="I614">
        <v>1</v>
      </c>
      <c r="J614" s="3" t="str">
        <f>HYPERLINK("http://exon.niaid.nih.gov/transcriptome/Anopheles_sialome/links/Sigp/anoatro_SG5-SigP.txt","SIG")</f>
        <v>SIG</v>
      </c>
      <c r="K614" t="s">
        <v>695</v>
      </c>
      <c r="L614">
        <v>37.661999999999999</v>
      </c>
      <c r="M614">
        <v>6.34</v>
      </c>
      <c r="N614">
        <v>35.201999999999998</v>
      </c>
      <c r="O614">
        <v>5.85</v>
      </c>
      <c r="P614" t="s">
        <v>2039</v>
      </c>
      <c r="Q614" s="3">
        <v>0</v>
      </c>
      <c r="R614" t="s">
        <v>128</v>
      </c>
      <c r="S614" t="s">
        <v>128</v>
      </c>
      <c r="T614" t="s">
        <v>128</v>
      </c>
      <c r="U614" t="s">
        <v>128</v>
      </c>
      <c r="V614" t="s">
        <v>128</v>
      </c>
      <c r="W614" s="3" t="str">
        <f>HYPERLINK("http://exon.niaid.nih.gov/transcriptome/Anopheles_sialome/links/netoglyc/anoatro_SG5-netoglyc.txt","2")</f>
        <v>2</v>
      </c>
      <c r="X614">
        <v>10.9</v>
      </c>
      <c r="Y614">
        <v>5.8</v>
      </c>
      <c r="Z614">
        <v>3.9</v>
      </c>
      <c r="AA614" t="s">
        <v>654</v>
      </c>
      <c r="AB614" t="s">
        <v>128</v>
      </c>
      <c r="AC614" s="2" t="str">
        <f>HYPERLINK("http://exon.niaid.nih.gov/transcriptome/Anopheles_sialome/links/DIPTERA/anoatro_SG5-DIPTERA.txt","AGAP004334-PA-like protein")</f>
        <v>AGAP004334-PA-like protein</v>
      </c>
      <c r="AD614" t="str">
        <f>HYPERLINK("http://www.ncbi.nlm.nih.gov/sutils/blink.cgi?pid=668465533","1E-142")</f>
        <v>1E-142</v>
      </c>
      <c r="AE614" t="str">
        <f>HYPERLINK("http://www.ncbi.nlm.nih.gov/protein/668465533","gi|668465533")</f>
        <v>gi|668465533</v>
      </c>
      <c r="AF614">
        <v>74</v>
      </c>
      <c r="AG614">
        <v>88</v>
      </c>
      <c r="AH614">
        <v>77</v>
      </c>
      <c r="AI614" t="s">
        <v>2277</v>
      </c>
      <c r="AJ614" s="2" t="str">
        <f>HYPERLINK("http://exon.niaid.nih.gov/transcriptome/Anopheles_sialome/links/CULICOMORPHA/anoatro_SG5-CULICOMORPHA.txt","AGAP004334-PA-like protein")</f>
        <v>AGAP004334-PA-like protein</v>
      </c>
      <c r="AK614" t="str">
        <f>HYPERLINK("http://www.ncbi.nlm.nih.gov/sutils/blink.cgi?pid=668465533","1E-143")</f>
        <v>1E-143</v>
      </c>
      <c r="AL614" t="str">
        <f>HYPERLINK("http://www.ncbi.nlm.nih.gov/protein/668465533","gi|668465533")</f>
        <v>gi|668465533</v>
      </c>
      <c r="AM614">
        <v>74</v>
      </c>
      <c r="AN614">
        <v>88</v>
      </c>
      <c r="AO614">
        <v>77</v>
      </c>
      <c r="AP614" t="s">
        <v>2277</v>
      </c>
      <c r="AQ614" s="2" t="str">
        <f>HYPERLINK("http://exon.niaid.nih.gov/transcriptome/Anopheles_sialome/links/NR-LIGHT/anoatro_SG5-NR-LIGHT.txt","AGAP004334-PA-like protein")</f>
        <v>AGAP004334-PA-like protein</v>
      </c>
      <c r="AR614" t="str">
        <f>HYPERLINK("http://www.ncbi.nlm.nih.gov/sutils/blink.cgi?pid=668465533","1E-142")</f>
        <v>1E-142</v>
      </c>
      <c r="AS614" t="str">
        <f>HYPERLINK("http://www.ncbi.nlm.nih.gov/protein/668465533","gi|668465533")</f>
        <v>gi|668465533</v>
      </c>
      <c r="AT614">
        <v>74</v>
      </c>
      <c r="AU614">
        <v>88</v>
      </c>
      <c r="AV614">
        <v>77</v>
      </c>
      <c r="AW614" t="s">
        <v>2277</v>
      </c>
      <c r="AX614" s="2" t="str">
        <f>HYPERLINK("http://exon.niaid.nih.gov/transcriptome/Anopheles_sialome/links/CDD/anoatro_SG5-CDD.txt","Mrr")</f>
        <v>Mrr</v>
      </c>
      <c r="AY614" t="str">
        <f>HYPERLINK("http://www.ncbi.nlm.nih.gov/Structure/cdd/cddsrv.cgi?uid=COG1715&amp;version=v4.0","0.33")</f>
        <v>0.33</v>
      </c>
      <c r="AZ614" t="s">
        <v>3032</v>
      </c>
      <c r="BA614" s="2" t="str">
        <f>HYPERLINK("http://exon.niaid.nih.gov/transcriptome/Anopheles_sialome/links/KOG/anoatro_SG5-KOG.txt","RAVE (regulator of V-ATPase assembly) complex subunit RAV1/DMX protein, WD repeat superfamily")</f>
        <v>RAVE (regulator of V-ATPase assembly) complex subunit RAV1/DMX protein, WD repeat superfamily</v>
      </c>
      <c r="BB614" t="str">
        <f>HYPERLINK("http://www.ncbi.nlm.nih.gov/Structure/cdd/cddsrv.cgi?uid=KOG1064","0.36")</f>
        <v>0.36</v>
      </c>
      <c r="BC614" t="s">
        <v>2310</v>
      </c>
      <c r="BD614" t="str">
        <f>HYPERLINK("http://exon.niaid.nih.gov/transcriptome/Anopheles_sialome/links/KOG/anoatro_SG5-KOG.txt","KOG1064")</f>
        <v>KOG1064</v>
      </c>
      <c r="BE614" t="str">
        <f>HYPERLINK("http://exon.niaid.nih.gov/transcriptome/Anopheles_sialome/links/PFAM/anoatro_SG5-PFAM.txt","HCR")</f>
        <v>HCR</v>
      </c>
      <c r="BF614" t="str">
        <f>HYPERLINK("http://pfam.sanger.ac.uk/family?acc=PF07111","1.1")</f>
        <v>1.1</v>
      </c>
      <c r="BG614" s="2" t="str">
        <f>HYPERLINK("http://exon.niaid.nih.gov/transcriptome/Anopheles_sialome/links/SMART/anoatro_SG5-SMART.txt","LIGANc")</f>
        <v>LIGANc</v>
      </c>
      <c r="BH614" t="str">
        <f>HYPERLINK("http://smart.embl-heidelberg.de/smart/do_annotation.pl?DOMAIN=LIGANc&amp;BLAST=DUMMY","0.042")</f>
        <v>0.042</v>
      </c>
      <c r="BI614" t="s">
        <v>128</v>
      </c>
      <c r="BJ614" s="2" t="s">
        <v>128</v>
      </c>
      <c r="BK614" t="s">
        <v>2038</v>
      </c>
      <c r="BL614">
        <f>HYPERLINK("http://exon.niaid.nih.gov/transcriptome/Anopheles_sialome/links/cluster-b/anopheline-sialome-cds-pep-larger-orf25-50SimCLU12.txt", 12)</f>
        <v>12</v>
      </c>
      <c r="BM614">
        <f>HYPERLINK("http://exon.niaid.nih.gov/transcriptome/Anopheles_sialome/links/cluster-b/anopheline-sialome-cds-pep-larger-orf25-50SimCLTL12.txt", 19)</f>
        <v>19</v>
      </c>
      <c r="BN614">
        <f>HYPERLINK("http://exon.niaid.nih.gov/transcriptome/Anopheles_sialome/links/cluster-b/anopheline-sialome-cds-pep-larger-orf30-50SimCLU11.txt", 11)</f>
        <v>11</v>
      </c>
      <c r="BO614">
        <f>HYPERLINK("http://exon.niaid.nih.gov/transcriptome/Anopheles_sialome/links/cluster-b/anopheline-sialome-cds-pep-larger-orf30-50SimCLTL11.txt", 19)</f>
        <v>19</v>
      </c>
      <c r="BP614">
        <f>HYPERLINK("http://exon.niaid.nih.gov/transcriptome/Anopheles_sialome/links/cluster-b/anopheline-sialome-cds-pep-larger-orf35-50SimCLU13.txt", 13)</f>
        <v>13</v>
      </c>
      <c r="BQ614">
        <f>HYPERLINK("http://exon.niaid.nih.gov/transcriptome/Anopheles_sialome/links/cluster-b/anopheline-sialome-cds-pep-larger-orf35-50SimCLTL13.txt", 19)</f>
        <v>19</v>
      </c>
      <c r="BR614">
        <f>HYPERLINK("http://exon.niaid.nih.gov/transcriptome/Anopheles_sialome/links/cluster-b/anopheline-sialome-cds-pep-larger-orf40-50SimCLU15.txt", 15)</f>
        <v>15</v>
      </c>
      <c r="BS614">
        <f>HYPERLINK("http://exon.niaid.nih.gov/transcriptome/Anopheles_sialome/links/cluster-b/anopheline-sialome-cds-pep-larger-orf40-50SimCLTL15.txt", 19)</f>
        <v>19</v>
      </c>
      <c r="BT614">
        <f>HYPERLINK("http://exon.niaid.nih.gov/transcriptome/Anopheles_sialome/links/cluster-b/anopheline-sialome-cds-pep-larger-orf45-50SimCLU15.txt", 15)</f>
        <v>15</v>
      </c>
      <c r="BU614">
        <f>HYPERLINK("http://exon.niaid.nih.gov/transcriptome/Anopheles_sialome/links/cluster-b/anopheline-sialome-cds-pep-larger-orf45-50SimCLTL15.txt", 19)</f>
        <v>19</v>
      </c>
      <c r="BV614">
        <f>HYPERLINK("http://exon.niaid.nih.gov/transcriptome/Anopheles_sialome/links/cluster-b/anopheline-sialome-cds-pep-larger-orf50-50SimCLU14.txt", 14)</f>
        <v>14</v>
      </c>
      <c r="BW614">
        <f>HYPERLINK("http://exon.niaid.nih.gov/transcriptome/Anopheles_sialome/links/cluster-b/anopheline-sialome-cds-pep-larger-orf50-50SimCLTL14.txt", 19)</f>
        <v>19</v>
      </c>
      <c r="BX614">
        <f>HYPERLINK("http://exon.niaid.nih.gov/transcriptome/Anopheles_sialome/links/cluster-b/anopheline-sialome-cds-pep-larger-orf55-50SimCLU15.txt", 15)</f>
        <v>15</v>
      </c>
      <c r="BY614">
        <f>HYPERLINK("http://exon.niaid.nih.gov/transcriptome/Anopheles_sialome/links/cluster-b/anopheline-sialome-cds-pep-larger-orf55-50SimCLTL15.txt", 19)</f>
        <v>19</v>
      </c>
      <c r="BZ614">
        <f>HYPERLINK("http://exon.niaid.nih.gov/transcriptome/Anopheles_sialome/links/cluster-b/anopheline-sialome-cds-pep-larger-orf60-50SimCLU14.txt", 14)</f>
        <v>14</v>
      </c>
      <c r="CA614">
        <f>HYPERLINK("http://exon.niaid.nih.gov/transcriptome/Anopheles_sialome/links/cluster-b/anopheline-sialome-cds-pep-larger-orf60-50SimCLTL14.txt", 19)</f>
        <v>19</v>
      </c>
      <c r="CB614">
        <f>HYPERLINK("http://exon.niaid.nih.gov/transcriptome/Anopheles_sialome/links/cluster-b/anopheline-sialome-cds-pep-larger-orf65-50SimCLU12.txt", 12)</f>
        <v>12</v>
      </c>
      <c r="CC614">
        <f>HYPERLINK("http://exon.niaid.nih.gov/transcriptome/Anopheles_sialome/links/cluster-b/anopheline-sialome-cds-pep-larger-orf65-50SimCLTL12.txt", 19)</f>
        <v>19</v>
      </c>
      <c r="CD614">
        <f>HYPERLINK("http://exon.niaid.nih.gov/transcriptome/Anopheles_sialome/links/cluster-b/anopheline-sialome-cds-pep-larger-orf70-50SimCLU12.txt", 12)</f>
        <v>12</v>
      </c>
      <c r="CE614">
        <f>HYPERLINK("http://exon.niaid.nih.gov/transcriptome/Anopheles_sialome/links/cluster-b/anopheline-sialome-cds-pep-larger-orf70-50SimCLTL12.txt", 19)</f>
        <v>19</v>
      </c>
      <c r="CF614">
        <f>HYPERLINK("http://exon.niaid.nih.gov/transcriptome/Anopheles_sialome/links/cluster-b/anopheline-sialome-cds-pep-larger-orf75-50SimCLU14.txt", 14)</f>
        <v>14</v>
      </c>
      <c r="CG614">
        <f>HYPERLINK("http://exon.niaid.nih.gov/transcriptome/Anopheles_sialome/links/cluster-b/anopheline-sialome-cds-pep-larger-orf75-50SimCLTL14.txt", 17)</f>
        <v>17</v>
      </c>
      <c r="CH614">
        <f>HYPERLINK("http://exon.niaid.nih.gov/transcriptome/Anopheles_sialome/links/cluster-b/anopheline-sialome-cds-pep-larger-orf80-50SimCLU102.txt", 102)</f>
        <v>102</v>
      </c>
      <c r="CI614">
        <f>HYPERLINK("http://exon.niaid.nih.gov/transcriptome/Anopheles_sialome/links/cluster-b/anopheline-sialome-cds-pep-larger-orf80-50SimCLTL102.txt", 2)</f>
        <v>2</v>
      </c>
      <c r="CJ614">
        <f>HYPERLINK("http://exon.niaid.nih.gov/transcriptome/Anopheles_sialome/links/cluster-b/anopheline-sialome-cds-pep-larger-orf85-50SimCLU102.txt", 102)</f>
        <v>102</v>
      </c>
      <c r="CK614">
        <f>HYPERLINK("http://exon.niaid.nih.gov/transcriptome/Anopheles_sialome/links/cluster-b/anopheline-sialome-cds-pep-larger-orf85-50SimCLTL102.txt", 2)</f>
        <v>2</v>
      </c>
      <c r="CL614">
        <v>404</v>
      </c>
      <c r="CM614">
        <v>1</v>
      </c>
      <c r="CN614">
        <v>499</v>
      </c>
      <c r="CO614">
        <v>1</v>
      </c>
    </row>
    <row r="615" spans="1:93">
      <c r="A615" s="2" t="str">
        <f>HYPERLINK("http://exon.niaid.nih.gov/transcriptome/Anopheles_sialome/links/cds/anosin_SG5-cds.txt","anosin_SG5")</f>
        <v>anosin_SG5</v>
      </c>
      <c r="B615">
        <v>1011</v>
      </c>
      <c r="C615" t="s">
        <v>548</v>
      </c>
      <c r="D615" t="s">
        <v>4</v>
      </c>
      <c r="E615" t="s">
        <v>5</v>
      </c>
      <c r="F615" t="s">
        <v>1</v>
      </c>
      <c r="G615" t="str">
        <f>HYPERLINK("http://exon.niaid.nih.gov/transcriptome/Anopheles_sialome/links/pep/anosin_SG5-pep.txt","anosin_SG5")</f>
        <v>anosin_SG5</v>
      </c>
      <c r="H615">
        <v>336</v>
      </c>
      <c r="I615">
        <v>1</v>
      </c>
      <c r="J615" s="3" t="str">
        <f>HYPERLINK("http://exon.niaid.nih.gov/transcriptome/Anopheles_sialome/links/Sigp/anosin_SG5-SigP.txt","SIG")</f>
        <v>SIG</v>
      </c>
      <c r="K615" t="s">
        <v>1182</v>
      </c>
      <c r="L615">
        <v>38.286000000000001</v>
      </c>
      <c r="M615">
        <v>5.98</v>
      </c>
      <c r="N615">
        <v>35.488999999999997</v>
      </c>
      <c r="O615">
        <v>5.74</v>
      </c>
      <c r="P615" t="s">
        <v>2041</v>
      </c>
      <c r="Q615" s="3">
        <v>0</v>
      </c>
      <c r="R615" t="s">
        <v>128</v>
      </c>
      <c r="S615" t="s">
        <v>128</v>
      </c>
      <c r="T615" t="s">
        <v>128</v>
      </c>
      <c r="U615" t="s">
        <v>128</v>
      </c>
      <c r="V615" t="s">
        <v>128</v>
      </c>
      <c r="W615" s="3" t="str">
        <f>HYPERLINK("http://exon.niaid.nih.gov/transcriptome/Anopheles_sialome/links/netoglyc/anosin_SG5-netoglyc.txt","3")</f>
        <v>3</v>
      </c>
      <c r="X615">
        <v>11.6</v>
      </c>
      <c r="Y615">
        <v>6</v>
      </c>
      <c r="Z615">
        <v>3.3</v>
      </c>
      <c r="AA615" t="s">
        <v>654</v>
      </c>
      <c r="AB615" t="s">
        <v>128</v>
      </c>
      <c r="AC615" s="2" t="str">
        <f>HYPERLINK("http://exon.niaid.nih.gov/transcriptome/Anopheles_sialome/links/DIPTERA/anosin_SG5-DIPTERA.txt","AGAP004334-PA-like protein")</f>
        <v>AGAP004334-PA-like protein</v>
      </c>
      <c r="AD615" t="str">
        <f>HYPERLINK("http://www.ncbi.nlm.nih.gov/sutils/blink.cgi?pid=668465533","0.0")</f>
        <v>0.0</v>
      </c>
      <c r="AE615" t="str">
        <f>HYPERLINK("http://www.ncbi.nlm.nih.gov/protein/668465533","gi|668465533")</f>
        <v>gi|668465533</v>
      </c>
      <c r="AF615">
        <v>98</v>
      </c>
      <c r="AG615">
        <v>99</v>
      </c>
      <c r="AH615">
        <v>77</v>
      </c>
      <c r="AI615" t="s">
        <v>2277</v>
      </c>
      <c r="AJ615" s="2" t="str">
        <f>HYPERLINK("http://exon.niaid.nih.gov/transcriptome/Anopheles_sialome/links/CULICOMORPHA/anosin_SG5-CULICOMORPHA.txt","AGAP004334-PA-like protein")</f>
        <v>AGAP004334-PA-like protein</v>
      </c>
      <c r="AK615" t="str">
        <f>HYPERLINK("http://www.ncbi.nlm.nih.gov/sutils/blink.cgi?pid=668465533","0.0")</f>
        <v>0.0</v>
      </c>
      <c r="AL615" t="str">
        <f>HYPERLINK("http://www.ncbi.nlm.nih.gov/protein/668465533","gi|668465533")</f>
        <v>gi|668465533</v>
      </c>
      <c r="AM615">
        <v>98</v>
      </c>
      <c r="AN615">
        <v>99</v>
      </c>
      <c r="AO615">
        <v>77</v>
      </c>
      <c r="AP615" t="s">
        <v>2277</v>
      </c>
      <c r="AQ615" s="2" t="str">
        <f>HYPERLINK("http://exon.niaid.nih.gov/transcriptome/Anopheles_sialome/links/NR-LIGHT/anosin_SG5-NR-LIGHT.txt","AGAP004334-PA-like protein")</f>
        <v>AGAP004334-PA-like protein</v>
      </c>
      <c r="AR615" t="str">
        <f>HYPERLINK("http://www.ncbi.nlm.nih.gov/sutils/blink.cgi?pid=668465533","0.0")</f>
        <v>0.0</v>
      </c>
      <c r="AS615" t="str">
        <f>HYPERLINK("http://www.ncbi.nlm.nih.gov/protein/668465533","gi|668465533")</f>
        <v>gi|668465533</v>
      </c>
      <c r="AT615">
        <v>98</v>
      </c>
      <c r="AU615">
        <v>99</v>
      </c>
      <c r="AV615">
        <v>77</v>
      </c>
      <c r="AW615" t="s">
        <v>2277</v>
      </c>
      <c r="AX615" s="2" t="str">
        <f>HYPERLINK("http://exon.niaid.nih.gov/transcriptome/Anopheles_sialome/links/CDD/anosin_SG5-CDD.txt"," chromosome_seg")</f>
        <v xml:space="preserve"> chromosome_seg</v>
      </c>
      <c r="AY615" t="str">
        <f>HYPERLINK("http://www.ncbi.nlm.nih.gov/Structure/cdd/cddsrv.cgi?uid=TIGR02169&amp;version=v4.0","0.19")</f>
        <v>0.19</v>
      </c>
      <c r="AZ615" t="s">
        <v>3033</v>
      </c>
      <c r="BA615" s="2" t="str">
        <f>HYPERLINK("http://exon.niaid.nih.gov/transcriptome/Anopheles_sialome/links/KOG/anosin_SG5-KOG.txt","Nuclear receptor coregulator SMRT/SMRTER, contains Myb-like domains")</f>
        <v>Nuclear receptor coregulator SMRT/SMRTER, contains Myb-like domains</v>
      </c>
      <c r="BB615" t="str">
        <f>HYPERLINK("http://www.ncbi.nlm.nih.gov/Structure/cdd/cddsrv.cgi?uid=KOG1878","0.61")</f>
        <v>0.61</v>
      </c>
      <c r="BC615" t="s">
        <v>2262</v>
      </c>
      <c r="BD615" t="str">
        <f>HYPERLINK("http://exon.niaid.nih.gov/transcriptome/Anopheles_sialome/links/KOG/anosin_SG5-KOG.txt","KOG1878")</f>
        <v>KOG1878</v>
      </c>
      <c r="BE615" t="str">
        <f>HYPERLINK("http://exon.niaid.nih.gov/transcriptome/Anopheles_sialome/links/PFAM/anosin_SG5-PFAM.txt","Apolipoprotein")</f>
        <v>Apolipoprotein</v>
      </c>
      <c r="BF615" t="str">
        <f>HYPERLINK("http://pfam.sanger.ac.uk/family?acc=PF01442","0.12")</f>
        <v>0.12</v>
      </c>
      <c r="BG615" s="2" t="str">
        <f>HYPERLINK("http://exon.niaid.nih.gov/transcriptome/Anopheles_sialome/links/SMART/anosin_SG5-SMART.txt","CAP10")</f>
        <v>CAP10</v>
      </c>
      <c r="BH615" t="str">
        <f>HYPERLINK("http://smart.embl-heidelberg.de/smart/do_annotation.pl?DOMAIN=CAP10&amp;BLAST=DUMMY","0.39")</f>
        <v>0.39</v>
      </c>
      <c r="BI615" t="s">
        <v>128</v>
      </c>
      <c r="BJ615" s="2" t="s">
        <v>128</v>
      </c>
      <c r="BK615" t="s">
        <v>2040</v>
      </c>
      <c r="BL615">
        <f>HYPERLINK("http://exon.niaid.nih.gov/transcriptome/Anopheles_sialome/links/cluster-b/anopheline-sialome-cds-pep-larger-orf25-50SimCLU12.txt", 12)</f>
        <v>12</v>
      </c>
      <c r="BM615">
        <f>HYPERLINK("http://exon.niaid.nih.gov/transcriptome/Anopheles_sialome/links/cluster-b/anopheline-sialome-cds-pep-larger-orf25-50SimCLTL12.txt", 19)</f>
        <v>19</v>
      </c>
      <c r="BN615">
        <f>HYPERLINK("http://exon.niaid.nih.gov/transcriptome/Anopheles_sialome/links/cluster-b/anopheline-sialome-cds-pep-larger-orf30-50SimCLU11.txt", 11)</f>
        <v>11</v>
      </c>
      <c r="BO615">
        <f>HYPERLINK("http://exon.niaid.nih.gov/transcriptome/Anopheles_sialome/links/cluster-b/anopheline-sialome-cds-pep-larger-orf30-50SimCLTL11.txt", 19)</f>
        <v>19</v>
      </c>
      <c r="BP615">
        <f>HYPERLINK("http://exon.niaid.nih.gov/transcriptome/Anopheles_sialome/links/cluster-b/anopheline-sialome-cds-pep-larger-orf35-50SimCLU13.txt", 13)</f>
        <v>13</v>
      </c>
      <c r="BQ615">
        <f>HYPERLINK("http://exon.niaid.nih.gov/transcriptome/Anopheles_sialome/links/cluster-b/anopheline-sialome-cds-pep-larger-orf35-50SimCLTL13.txt", 19)</f>
        <v>19</v>
      </c>
      <c r="BR615">
        <f>HYPERLINK("http://exon.niaid.nih.gov/transcriptome/Anopheles_sialome/links/cluster-b/anopheline-sialome-cds-pep-larger-orf40-50SimCLU15.txt", 15)</f>
        <v>15</v>
      </c>
      <c r="BS615">
        <f>HYPERLINK("http://exon.niaid.nih.gov/transcriptome/Anopheles_sialome/links/cluster-b/anopheline-sialome-cds-pep-larger-orf40-50SimCLTL15.txt", 19)</f>
        <v>19</v>
      </c>
      <c r="BT615">
        <f>HYPERLINK("http://exon.niaid.nih.gov/transcriptome/Anopheles_sialome/links/cluster-b/anopheline-sialome-cds-pep-larger-orf45-50SimCLU15.txt", 15)</f>
        <v>15</v>
      </c>
      <c r="BU615">
        <f>HYPERLINK("http://exon.niaid.nih.gov/transcriptome/Anopheles_sialome/links/cluster-b/anopheline-sialome-cds-pep-larger-orf45-50SimCLTL15.txt", 19)</f>
        <v>19</v>
      </c>
      <c r="BV615">
        <f>HYPERLINK("http://exon.niaid.nih.gov/transcriptome/Anopheles_sialome/links/cluster-b/anopheline-sialome-cds-pep-larger-orf50-50SimCLU14.txt", 14)</f>
        <v>14</v>
      </c>
      <c r="BW615">
        <f>HYPERLINK("http://exon.niaid.nih.gov/transcriptome/Anopheles_sialome/links/cluster-b/anopheline-sialome-cds-pep-larger-orf50-50SimCLTL14.txt", 19)</f>
        <v>19</v>
      </c>
      <c r="BX615">
        <f>HYPERLINK("http://exon.niaid.nih.gov/transcriptome/Anopheles_sialome/links/cluster-b/anopheline-sialome-cds-pep-larger-orf55-50SimCLU15.txt", 15)</f>
        <v>15</v>
      </c>
      <c r="BY615">
        <f>HYPERLINK("http://exon.niaid.nih.gov/transcriptome/Anopheles_sialome/links/cluster-b/anopheline-sialome-cds-pep-larger-orf55-50SimCLTL15.txt", 19)</f>
        <v>19</v>
      </c>
      <c r="BZ615">
        <f>HYPERLINK("http://exon.niaid.nih.gov/transcriptome/Anopheles_sialome/links/cluster-b/anopheline-sialome-cds-pep-larger-orf60-50SimCLU14.txt", 14)</f>
        <v>14</v>
      </c>
      <c r="CA615">
        <f>HYPERLINK("http://exon.niaid.nih.gov/transcriptome/Anopheles_sialome/links/cluster-b/anopheline-sialome-cds-pep-larger-orf60-50SimCLTL14.txt", 19)</f>
        <v>19</v>
      </c>
      <c r="CB615">
        <f>HYPERLINK("http://exon.niaid.nih.gov/transcriptome/Anopheles_sialome/links/cluster-b/anopheline-sialome-cds-pep-larger-orf65-50SimCLU12.txt", 12)</f>
        <v>12</v>
      </c>
      <c r="CC615">
        <f>HYPERLINK("http://exon.niaid.nih.gov/transcriptome/Anopheles_sialome/links/cluster-b/anopheline-sialome-cds-pep-larger-orf65-50SimCLTL12.txt", 19)</f>
        <v>19</v>
      </c>
      <c r="CD615">
        <f>HYPERLINK("http://exon.niaid.nih.gov/transcriptome/Anopheles_sialome/links/cluster-b/anopheline-sialome-cds-pep-larger-orf70-50SimCLU12.txt", 12)</f>
        <v>12</v>
      </c>
      <c r="CE615">
        <f>HYPERLINK("http://exon.niaid.nih.gov/transcriptome/Anopheles_sialome/links/cluster-b/anopheline-sialome-cds-pep-larger-orf70-50SimCLTL12.txt", 19)</f>
        <v>19</v>
      </c>
      <c r="CF615">
        <f>HYPERLINK("http://exon.niaid.nih.gov/transcriptome/Anopheles_sialome/links/cluster-b/anopheline-sialome-cds-pep-larger-orf75-50SimCLU14.txt", 14)</f>
        <v>14</v>
      </c>
      <c r="CG615">
        <f>HYPERLINK("http://exon.niaid.nih.gov/transcriptome/Anopheles_sialome/links/cluster-b/anopheline-sialome-cds-pep-larger-orf75-50SimCLTL14.txt", 17)</f>
        <v>17</v>
      </c>
      <c r="CH615">
        <f>HYPERLINK("http://exon.niaid.nih.gov/transcriptome/Anopheles_sialome/links/cluster-b/anopheline-sialome-cds-pep-larger-orf80-50SimCLU102.txt", 102)</f>
        <v>102</v>
      </c>
      <c r="CI615">
        <f>HYPERLINK("http://exon.niaid.nih.gov/transcriptome/Anopheles_sialome/links/cluster-b/anopheline-sialome-cds-pep-larger-orf80-50SimCLTL102.txt", 2)</f>
        <v>2</v>
      </c>
      <c r="CJ615">
        <f>HYPERLINK("http://exon.niaid.nih.gov/transcriptome/Anopheles_sialome/links/cluster-b/anopheline-sialome-cds-pep-larger-orf85-50SimCLU102.txt", 102)</f>
        <v>102</v>
      </c>
      <c r="CK615">
        <f>HYPERLINK("http://exon.niaid.nih.gov/transcriptome/Anopheles_sialome/links/cluster-b/anopheline-sialome-cds-pep-larger-orf85-50SimCLTL102.txt", 2)</f>
        <v>2</v>
      </c>
      <c r="CL615">
        <v>405</v>
      </c>
      <c r="CM615">
        <v>1</v>
      </c>
      <c r="CN615">
        <v>500</v>
      </c>
      <c r="CO615">
        <v>1</v>
      </c>
    </row>
    <row r="616" spans="1:93">
      <c r="A616" s="2" t="str">
        <f>HYPERLINK("http://exon.niaid.nih.gov/transcriptome/Anopheles_sialome/links/cds/anoalb_SG5-cds.txt","anoalb_SG5")</f>
        <v>anoalb_SG5</v>
      </c>
      <c r="B616">
        <v>999</v>
      </c>
      <c r="C616" t="s">
        <v>549</v>
      </c>
      <c r="D616" t="s">
        <v>4</v>
      </c>
      <c r="E616" t="s">
        <v>5</v>
      </c>
      <c r="F616" t="s">
        <v>1</v>
      </c>
      <c r="G616" t="str">
        <f>HYPERLINK("http://exon.niaid.nih.gov/transcriptome/Anopheles_sialome/links/pep/anoalb_SG5-pep.txt","anoalb_SG5")</f>
        <v>anoalb_SG5</v>
      </c>
      <c r="H616">
        <v>332</v>
      </c>
      <c r="I616">
        <v>2</v>
      </c>
      <c r="J616" s="3" t="str">
        <f>HYPERLINK("http://exon.niaid.nih.gov/transcriptome/Anopheles_sialome/links/Sigp/anoalb_SG5-SigP.txt","SIG")</f>
        <v>SIG</v>
      </c>
      <c r="K616" t="s">
        <v>715</v>
      </c>
      <c r="L616">
        <v>37.99</v>
      </c>
      <c r="M616">
        <v>5.23</v>
      </c>
      <c r="N616">
        <v>35.337000000000003</v>
      </c>
      <c r="O616">
        <v>5.0999999999999996</v>
      </c>
      <c r="P616" t="s">
        <v>2043</v>
      </c>
      <c r="Q616" s="3">
        <v>0</v>
      </c>
      <c r="R616" t="s">
        <v>128</v>
      </c>
      <c r="S616" t="s">
        <v>128</v>
      </c>
      <c r="T616" t="s">
        <v>128</v>
      </c>
      <c r="U616" t="s">
        <v>128</v>
      </c>
      <c r="V616" t="s">
        <v>128</v>
      </c>
      <c r="W616" s="3" t="str">
        <f>HYPERLINK("http://exon.niaid.nih.gov/transcriptome/Anopheles_sialome/links/netoglyc/anoalb_SG5-netoglyc.txt","2")</f>
        <v>2</v>
      </c>
      <c r="X616">
        <v>9.3000000000000007</v>
      </c>
      <c r="Y616">
        <v>4.8</v>
      </c>
      <c r="Z616">
        <v>4.2</v>
      </c>
      <c r="AA616" t="s">
        <v>654</v>
      </c>
      <c r="AB616" t="s">
        <v>128</v>
      </c>
      <c r="AC616" s="2" t="str">
        <f>HYPERLINK("http://exon.niaid.nih.gov/transcriptome/Anopheles_sialome/links/DIPTERA/anoalb_SG5-DIPTERA.txt","conserved secreted mosquito protein")</f>
        <v>conserved secreted mosquito protein</v>
      </c>
      <c r="AD616" t="str">
        <f>HYPERLINK("http://www.ncbi.nlm.nih.gov/sutils/blink.cgi?pid=208657685","1E-138")</f>
        <v>1E-138</v>
      </c>
      <c r="AE616" t="str">
        <f>HYPERLINK("http://www.ncbi.nlm.nih.gov/protein/208657685","gi|208657685")</f>
        <v>gi|208657685</v>
      </c>
      <c r="AF616">
        <v>76</v>
      </c>
      <c r="AG616">
        <v>84</v>
      </c>
      <c r="AH616">
        <v>100</v>
      </c>
      <c r="AI616" t="s">
        <v>2283</v>
      </c>
      <c r="AJ616" s="2" t="str">
        <f>HYPERLINK("http://exon.niaid.nih.gov/transcriptome/Anopheles_sialome/links/CULICOMORPHA/anoalb_SG5-CULICOMORPHA.txt","conserved secreted mosquito protein")</f>
        <v>conserved secreted mosquito protein</v>
      </c>
      <c r="AK616" t="str">
        <f>HYPERLINK("http://www.ncbi.nlm.nih.gov/sutils/blink.cgi?pid=208657685","1E-138")</f>
        <v>1E-138</v>
      </c>
      <c r="AL616" t="str">
        <f>HYPERLINK("http://www.ncbi.nlm.nih.gov/protein/208657685","gi|208657685")</f>
        <v>gi|208657685</v>
      </c>
      <c r="AM616">
        <v>76</v>
      </c>
      <c r="AN616">
        <v>84</v>
      </c>
      <c r="AO616">
        <v>100</v>
      </c>
      <c r="AP616" t="s">
        <v>2283</v>
      </c>
      <c r="AQ616" s="2" t="str">
        <f>HYPERLINK("http://exon.niaid.nih.gov/transcriptome/Anopheles_sialome/links/NR-LIGHT/anoalb_SG5-NR-LIGHT.txt","AGAP004334-PA-like protein")</f>
        <v>AGAP004334-PA-like protein</v>
      </c>
      <c r="AR616" t="str">
        <f>HYPERLINK("http://www.ncbi.nlm.nih.gov/sutils/blink.cgi?pid=668465533","4E-098")</f>
        <v>4E-098</v>
      </c>
      <c r="AS616" t="str">
        <f>HYPERLINK("http://www.ncbi.nlm.nih.gov/protein/668465533","gi|668465533")</f>
        <v>gi|668465533</v>
      </c>
      <c r="AT616">
        <v>54</v>
      </c>
      <c r="AU616">
        <v>72</v>
      </c>
      <c r="AV616">
        <v>76</v>
      </c>
      <c r="AW616" t="s">
        <v>2277</v>
      </c>
      <c r="AX616" s="2" t="str">
        <f>HYPERLINK("http://exon.niaid.nih.gov/transcriptome/Anopheles_sialome/links/CDD/anoalb_SG5-CDD.txt","conserved_hypot")</f>
        <v>conserved_hypot</v>
      </c>
      <c r="AY616" t="str">
        <f>HYPERLINK("http://www.ncbi.nlm.nih.gov/Structure/cdd/cddsrv.cgi?uid=TIGR02302&amp;version=v4.0","0.21")</f>
        <v>0.21</v>
      </c>
      <c r="AZ616" t="s">
        <v>3034</v>
      </c>
      <c r="BA616" s="2" t="str">
        <f>HYPERLINK("http://exon.niaid.nih.gov/transcriptome/Anopheles_sialome/links/KOG/anoalb_SG5-KOG.txt","Integral membrane protein")</f>
        <v>Integral membrane protein</v>
      </c>
      <c r="BB616" t="str">
        <f>HYPERLINK("http://www.ncbi.nlm.nih.gov/Structure/cdd/cddsrv.cgi?uid=KOG2296","0.089")</f>
        <v>0.089</v>
      </c>
      <c r="BC616" t="s">
        <v>2310</v>
      </c>
      <c r="BD616" t="str">
        <f>HYPERLINK("http://exon.niaid.nih.gov/transcriptome/Anopheles_sialome/links/KOG/anoalb_SG5-KOG.txt","KOG2296")</f>
        <v>KOG2296</v>
      </c>
      <c r="BE616" t="str">
        <f>HYPERLINK("http://exon.niaid.nih.gov/transcriptome/Anopheles_sialome/links/PFAM/anoalb_SG5-PFAM.txt","DUF3375")</f>
        <v>DUF3375</v>
      </c>
      <c r="BF616" t="str">
        <f>HYPERLINK("http://pfam.sanger.ac.uk/family?acc=PF11855","0.30")</f>
        <v>0.30</v>
      </c>
      <c r="BG616" s="2" t="str">
        <f>HYPERLINK("http://exon.niaid.nih.gov/transcriptome/Anopheles_sialome/links/SMART/anoalb_SG5-SMART.txt","PUR")</f>
        <v>PUR</v>
      </c>
      <c r="BH616" t="str">
        <f>HYPERLINK("http://smart.embl-heidelberg.de/smart/do_annotation.pl?DOMAIN=PUR&amp;BLAST=DUMMY","0.57")</f>
        <v>0.57</v>
      </c>
      <c r="BI616" t="str">
        <f>HYPERLINK("http://exon.niaid.nih.gov/transcriptome/Anopheles_sialome/links/TICK-BLOCKS/anoalb_SG5-TICK-BLOCKS.txt","gSG5_protein_family |")</f>
        <v>gSG5_protein_family |</v>
      </c>
      <c r="BJ616" s="2" t="s">
        <v>3017</v>
      </c>
      <c r="BK616" t="s">
        <v>2042</v>
      </c>
      <c r="BL616">
        <f>HYPERLINK("http://exon.niaid.nih.gov/transcriptome/Anopheles_sialome/links/cluster-b/anopheline-sialome-cds-pep-larger-orf25-50SimCLU12.txt", 12)</f>
        <v>12</v>
      </c>
      <c r="BM616">
        <f>HYPERLINK("http://exon.niaid.nih.gov/transcriptome/Anopheles_sialome/links/cluster-b/anopheline-sialome-cds-pep-larger-orf25-50SimCLTL12.txt", 19)</f>
        <v>19</v>
      </c>
      <c r="BN616">
        <f>HYPERLINK("http://exon.niaid.nih.gov/transcriptome/Anopheles_sialome/links/cluster-b/anopheline-sialome-cds-pep-larger-orf30-50SimCLU11.txt", 11)</f>
        <v>11</v>
      </c>
      <c r="BO616">
        <f>HYPERLINK("http://exon.niaid.nih.gov/transcriptome/Anopheles_sialome/links/cluster-b/anopheline-sialome-cds-pep-larger-orf30-50SimCLTL11.txt", 19)</f>
        <v>19</v>
      </c>
      <c r="BP616">
        <f>HYPERLINK("http://exon.niaid.nih.gov/transcriptome/Anopheles_sialome/links/cluster-b/anopheline-sialome-cds-pep-larger-orf35-50SimCLU13.txt", 13)</f>
        <v>13</v>
      </c>
      <c r="BQ616">
        <f>HYPERLINK("http://exon.niaid.nih.gov/transcriptome/Anopheles_sialome/links/cluster-b/anopheline-sialome-cds-pep-larger-orf35-50SimCLTL13.txt", 19)</f>
        <v>19</v>
      </c>
      <c r="BR616">
        <f>HYPERLINK("http://exon.niaid.nih.gov/transcriptome/Anopheles_sialome/links/cluster-b/anopheline-sialome-cds-pep-larger-orf40-50SimCLU15.txt", 15)</f>
        <v>15</v>
      </c>
      <c r="BS616">
        <f>HYPERLINK("http://exon.niaid.nih.gov/transcriptome/Anopheles_sialome/links/cluster-b/anopheline-sialome-cds-pep-larger-orf40-50SimCLTL15.txt", 19)</f>
        <v>19</v>
      </c>
      <c r="BT616">
        <f>HYPERLINK("http://exon.niaid.nih.gov/transcriptome/Anopheles_sialome/links/cluster-b/anopheline-sialome-cds-pep-larger-orf45-50SimCLU15.txt", 15)</f>
        <v>15</v>
      </c>
      <c r="BU616">
        <f>HYPERLINK("http://exon.niaid.nih.gov/transcriptome/Anopheles_sialome/links/cluster-b/anopheline-sialome-cds-pep-larger-orf45-50SimCLTL15.txt", 19)</f>
        <v>19</v>
      </c>
      <c r="BV616">
        <f>HYPERLINK("http://exon.niaid.nih.gov/transcriptome/Anopheles_sialome/links/cluster-b/anopheline-sialome-cds-pep-larger-orf50-50SimCLU14.txt", 14)</f>
        <v>14</v>
      </c>
      <c r="BW616">
        <f>HYPERLINK("http://exon.niaid.nih.gov/transcriptome/Anopheles_sialome/links/cluster-b/anopheline-sialome-cds-pep-larger-orf50-50SimCLTL14.txt", 19)</f>
        <v>19</v>
      </c>
      <c r="BX616">
        <f>HYPERLINK("http://exon.niaid.nih.gov/transcriptome/Anopheles_sialome/links/cluster-b/anopheline-sialome-cds-pep-larger-orf55-50SimCLU15.txt", 15)</f>
        <v>15</v>
      </c>
      <c r="BY616">
        <f>HYPERLINK("http://exon.niaid.nih.gov/transcriptome/Anopheles_sialome/links/cluster-b/anopheline-sialome-cds-pep-larger-orf55-50SimCLTL15.txt", 19)</f>
        <v>19</v>
      </c>
      <c r="BZ616">
        <f>HYPERLINK("http://exon.niaid.nih.gov/transcriptome/Anopheles_sialome/links/cluster-b/anopheline-sialome-cds-pep-larger-orf60-50SimCLU14.txt", 14)</f>
        <v>14</v>
      </c>
      <c r="CA616">
        <f>HYPERLINK("http://exon.niaid.nih.gov/transcriptome/Anopheles_sialome/links/cluster-b/anopheline-sialome-cds-pep-larger-orf60-50SimCLTL14.txt", 19)</f>
        <v>19</v>
      </c>
      <c r="CB616">
        <f>HYPERLINK("http://exon.niaid.nih.gov/transcriptome/Anopheles_sialome/links/cluster-b/anopheline-sialome-cds-pep-larger-orf65-50SimCLU12.txt", 12)</f>
        <v>12</v>
      </c>
      <c r="CC616">
        <f>HYPERLINK("http://exon.niaid.nih.gov/transcriptome/Anopheles_sialome/links/cluster-b/anopheline-sialome-cds-pep-larger-orf65-50SimCLTL12.txt", 19)</f>
        <v>19</v>
      </c>
      <c r="CD616">
        <f>HYPERLINK("http://exon.niaid.nih.gov/transcriptome/Anopheles_sialome/links/cluster-b/anopheline-sialome-cds-pep-larger-orf70-50SimCLU12.txt", 12)</f>
        <v>12</v>
      </c>
      <c r="CE616">
        <f>HYPERLINK("http://exon.niaid.nih.gov/transcriptome/Anopheles_sialome/links/cluster-b/anopheline-sialome-cds-pep-larger-orf70-50SimCLTL12.txt", 19)</f>
        <v>19</v>
      </c>
      <c r="CF616">
        <f>HYPERLINK("http://exon.niaid.nih.gov/transcriptome/Anopheles_sialome/links/cluster-b/anopheline-sialome-cds-pep-larger-orf75-50SimCLU86.txt", 86)</f>
        <v>86</v>
      </c>
      <c r="CG616">
        <f>HYPERLINK("http://exon.niaid.nih.gov/transcriptome/Anopheles_sialome/links/cluster-b/anopheline-sialome-cds-pep-larger-orf75-50SimCLTL86.txt", 2)</f>
        <v>2</v>
      </c>
      <c r="CH616">
        <f>HYPERLINK("http://exon.niaid.nih.gov/transcriptome/Anopheles_sialome/links/cluster-b/anopheline-sialome-cds-pep-larger-orf80-50SimCLU103.txt", 103)</f>
        <v>103</v>
      </c>
      <c r="CI616">
        <f>HYPERLINK("http://exon.niaid.nih.gov/transcriptome/Anopheles_sialome/links/cluster-b/anopheline-sialome-cds-pep-larger-orf80-50SimCLTL103.txt", 2)</f>
        <v>2</v>
      </c>
      <c r="CJ616">
        <f>HYPERLINK("http://exon.niaid.nih.gov/transcriptome/Anopheles_sialome/links/cluster-b/anopheline-sialome-cds-pep-larger-orf85-50SimCLU103.txt", 103)</f>
        <v>103</v>
      </c>
      <c r="CK616">
        <f>HYPERLINK("http://exon.niaid.nih.gov/transcriptome/Anopheles_sialome/links/cluster-b/anopheline-sialome-cds-pep-larger-orf85-50SimCLTL103.txt", 2)</f>
        <v>2</v>
      </c>
      <c r="CL616">
        <v>406</v>
      </c>
      <c r="CM616">
        <v>1</v>
      </c>
      <c r="CN616">
        <v>501</v>
      </c>
      <c r="CO616">
        <v>1</v>
      </c>
    </row>
    <row r="617" spans="1:93">
      <c r="A617" s="2" t="str">
        <f>HYPERLINK("http://exon.niaid.nih.gov/transcriptome/Anopheles_sialome/links/cds/anodar_SG5-cds.txt","anodar_SG5")</f>
        <v>anodar_SG5</v>
      </c>
      <c r="B617">
        <v>1002</v>
      </c>
      <c r="C617" t="s">
        <v>4</v>
      </c>
      <c r="D617" s="8" t="s">
        <v>3178</v>
      </c>
      <c r="E617" t="s">
        <v>5</v>
      </c>
      <c r="F617" t="s">
        <v>1</v>
      </c>
      <c r="G617" t="str">
        <f>HYPERLINK("http://exon.niaid.nih.gov/transcriptome/Anopheles_sialome/links/pep/anodar_SG5-pep.txt","anodar_SG5")</f>
        <v>anodar_SG5</v>
      </c>
      <c r="H617">
        <v>333</v>
      </c>
      <c r="I617">
        <v>1</v>
      </c>
      <c r="J617" s="3" t="str">
        <f>HYPERLINK("http://exon.niaid.nih.gov/transcriptome/Anopheles_sialome/links/Sigp/anodar_SG5-SigP.txt","SIG")</f>
        <v>SIG</v>
      </c>
      <c r="K617" t="s">
        <v>787</v>
      </c>
      <c r="L617">
        <v>38.203000000000003</v>
      </c>
      <c r="M617">
        <v>5.37</v>
      </c>
      <c r="N617">
        <v>35.436999999999998</v>
      </c>
      <c r="O617">
        <v>5.15</v>
      </c>
      <c r="P617" t="s">
        <v>2045</v>
      </c>
      <c r="Q617" s="3" t="str">
        <f>HYPERLINK("http://exon.niaid.nih.gov/transcriptome/Anopheles_sialome/links/tmhmm/anodar_SG5-tmhmm.txt","1")</f>
        <v>1</v>
      </c>
      <c r="R617">
        <v>5.0999999999999996</v>
      </c>
      <c r="S617">
        <v>92.8</v>
      </c>
      <c r="T617">
        <v>2.1</v>
      </c>
      <c r="U617" t="s">
        <v>128</v>
      </c>
      <c r="V617">
        <v>309</v>
      </c>
      <c r="W617" s="3" t="str">
        <f>HYPERLINK("http://exon.niaid.nih.gov/transcriptome/Anopheles_sialome/links/netoglyc/anodar_SG5-netoglyc.txt","1")</f>
        <v>1</v>
      </c>
      <c r="X617">
        <v>9.3000000000000007</v>
      </c>
      <c r="Y617">
        <v>5.7</v>
      </c>
      <c r="Z617">
        <v>4.2</v>
      </c>
      <c r="AA617" t="s">
        <v>654</v>
      </c>
      <c r="AB617" t="s">
        <v>128</v>
      </c>
      <c r="AC617" s="2" t="str">
        <f>HYPERLINK("http://exon.niaid.nih.gov/transcriptome/Anopheles_sialome/links/DIPTERA/anodar_SG5-DIPTERA.txt","conserved secreted mosquito protein")</f>
        <v>conserved secreted mosquito protein</v>
      </c>
      <c r="AD617" t="str">
        <f>HYPERLINK("http://www.ncbi.nlm.nih.gov/sutils/blink.cgi?pid=208657685","1E-175")</f>
        <v>1E-175</v>
      </c>
      <c r="AE617" t="str">
        <f>HYPERLINK("http://www.ncbi.nlm.nih.gov/protein/208657685","gi|208657685")</f>
        <v>gi|208657685</v>
      </c>
      <c r="AF617">
        <v>92</v>
      </c>
      <c r="AG617">
        <v>94</v>
      </c>
      <c r="AH617">
        <v>101</v>
      </c>
      <c r="AI617" t="s">
        <v>2283</v>
      </c>
      <c r="AJ617" s="2" t="str">
        <f>HYPERLINK("http://exon.niaid.nih.gov/transcriptome/Anopheles_sialome/links/CULICOMORPHA/anodar_SG5-CULICOMORPHA.txt","conserved secreted mosquito protein")</f>
        <v>conserved secreted mosquito protein</v>
      </c>
      <c r="AK617" t="str">
        <f>HYPERLINK("http://www.ncbi.nlm.nih.gov/sutils/blink.cgi?pid=208657685","1E-176")</f>
        <v>1E-176</v>
      </c>
      <c r="AL617" t="str">
        <f>HYPERLINK("http://www.ncbi.nlm.nih.gov/protein/208657685","gi|208657685")</f>
        <v>gi|208657685</v>
      </c>
      <c r="AM617">
        <v>92</v>
      </c>
      <c r="AN617">
        <v>94</v>
      </c>
      <c r="AO617">
        <v>101</v>
      </c>
      <c r="AP617" t="s">
        <v>2283</v>
      </c>
      <c r="AQ617" s="2" t="str">
        <f>HYPERLINK("http://exon.niaid.nih.gov/transcriptome/Anopheles_sialome/links/NR-LIGHT/anodar_SG5-NR-LIGHT.txt","AGAP004334-PA-like protein")</f>
        <v>AGAP004334-PA-like protein</v>
      </c>
      <c r="AR617" t="str">
        <f>HYPERLINK("http://www.ncbi.nlm.nih.gov/sutils/blink.cgi?pid=668465533","2E-095")</f>
        <v>2E-095</v>
      </c>
      <c r="AS617" t="str">
        <f>HYPERLINK("http://www.ncbi.nlm.nih.gov/protein/668465533","gi|668465533")</f>
        <v>gi|668465533</v>
      </c>
      <c r="AT617">
        <v>53</v>
      </c>
      <c r="AU617">
        <v>71</v>
      </c>
      <c r="AV617">
        <v>75</v>
      </c>
      <c r="AW617" t="s">
        <v>2277</v>
      </c>
      <c r="AX617" s="2" t="str">
        <f>HYPERLINK("http://exon.niaid.nih.gov/transcriptome/Anopheles_sialome/links/CDD/anodar_SG5-CDD.txt"," chromosome_seg")</f>
        <v xml:space="preserve"> chromosome_seg</v>
      </c>
      <c r="AY617" t="str">
        <f>HYPERLINK("http://www.ncbi.nlm.nih.gov/Structure/cdd/cddsrv.cgi?uid=TIGR02169&amp;version=v4.0","0.14")</f>
        <v>0.14</v>
      </c>
      <c r="AZ617" t="s">
        <v>3035</v>
      </c>
      <c r="BA617" s="2" t="str">
        <f>HYPERLINK("http://exon.niaid.nih.gov/transcriptome/Anopheles_sialome/links/KOG/anodar_SG5-KOG.txt","Structural maintenance of chromosome protein 4 (chromosome condensation complex Condensin, subunit C)")</f>
        <v>Structural maintenance of chromosome protein 4 (chromosome condensation complex Condensin, subunit C)</v>
      </c>
      <c r="BB617" t="str">
        <f>HYPERLINK("http://www.ncbi.nlm.nih.gov/Structure/cdd/cddsrv.cgi?uid=KOG0996","0.53")</f>
        <v>0.53</v>
      </c>
      <c r="BC617" t="s">
        <v>2476</v>
      </c>
      <c r="BD617" t="str">
        <f>HYPERLINK("http://exon.niaid.nih.gov/transcriptome/Anopheles_sialome/links/KOG/anodar_SG5-KOG.txt","KOG0996")</f>
        <v>KOG0996</v>
      </c>
      <c r="BE617" t="str">
        <f>HYPERLINK("http://exon.niaid.nih.gov/transcriptome/Anopheles_sialome/links/PFAM/anodar_SG5-PFAM.txt","Mitofilin")</f>
        <v>Mitofilin</v>
      </c>
      <c r="BF617" t="str">
        <f>HYPERLINK("http://pfam.sanger.ac.uk/family?acc=PF09731","0.040")</f>
        <v>0.040</v>
      </c>
      <c r="BG617" s="2" t="str">
        <f>HYPERLINK("http://exon.niaid.nih.gov/transcriptome/Anopheles_sialome/links/SMART/anodar_SG5-SMART.txt","PUR")</f>
        <v>PUR</v>
      </c>
      <c r="BH617" t="str">
        <f>HYPERLINK("http://smart.embl-heidelberg.de/smart/do_annotation.pl?DOMAIN=PUR&amp;BLAST=DUMMY","1.3")</f>
        <v>1.3</v>
      </c>
      <c r="BI617" t="str">
        <f>HYPERLINK("http://exon.niaid.nih.gov/transcriptome/Anopheles_sialome/links/TICK-BLOCKS/anodar_SG5-TICK-BLOCKS.txt","gSG5_protein_family |")</f>
        <v>gSG5_protein_family |</v>
      </c>
      <c r="BJ617" s="2" t="s">
        <v>3017</v>
      </c>
      <c r="BK617" t="s">
        <v>2044</v>
      </c>
      <c r="BL617">
        <f>HYPERLINK("http://exon.niaid.nih.gov/transcriptome/Anopheles_sialome/links/cluster-b/anopheline-sialome-cds-pep-larger-orf25-50SimCLU12.txt", 12)</f>
        <v>12</v>
      </c>
      <c r="BM617">
        <f>HYPERLINK("http://exon.niaid.nih.gov/transcriptome/Anopheles_sialome/links/cluster-b/anopheline-sialome-cds-pep-larger-orf25-50SimCLTL12.txt", 19)</f>
        <v>19</v>
      </c>
      <c r="BN617">
        <f>HYPERLINK("http://exon.niaid.nih.gov/transcriptome/Anopheles_sialome/links/cluster-b/anopheline-sialome-cds-pep-larger-orf30-50SimCLU11.txt", 11)</f>
        <v>11</v>
      </c>
      <c r="BO617">
        <f>HYPERLINK("http://exon.niaid.nih.gov/transcriptome/Anopheles_sialome/links/cluster-b/anopheline-sialome-cds-pep-larger-orf30-50SimCLTL11.txt", 19)</f>
        <v>19</v>
      </c>
      <c r="BP617">
        <f>HYPERLINK("http://exon.niaid.nih.gov/transcriptome/Anopheles_sialome/links/cluster-b/anopheline-sialome-cds-pep-larger-orf35-50SimCLU13.txt", 13)</f>
        <v>13</v>
      </c>
      <c r="BQ617">
        <f>HYPERLINK("http://exon.niaid.nih.gov/transcriptome/Anopheles_sialome/links/cluster-b/anopheline-sialome-cds-pep-larger-orf35-50SimCLTL13.txt", 19)</f>
        <v>19</v>
      </c>
      <c r="BR617">
        <f>HYPERLINK("http://exon.niaid.nih.gov/transcriptome/Anopheles_sialome/links/cluster-b/anopheline-sialome-cds-pep-larger-orf40-50SimCLU15.txt", 15)</f>
        <v>15</v>
      </c>
      <c r="BS617">
        <f>HYPERLINK("http://exon.niaid.nih.gov/transcriptome/Anopheles_sialome/links/cluster-b/anopheline-sialome-cds-pep-larger-orf40-50SimCLTL15.txt", 19)</f>
        <v>19</v>
      </c>
      <c r="BT617">
        <f>HYPERLINK("http://exon.niaid.nih.gov/transcriptome/Anopheles_sialome/links/cluster-b/anopheline-sialome-cds-pep-larger-orf45-50SimCLU15.txt", 15)</f>
        <v>15</v>
      </c>
      <c r="BU617">
        <f>HYPERLINK("http://exon.niaid.nih.gov/transcriptome/Anopheles_sialome/links/cluster-b/anopheline-sialome-cds-pep-larger-orf45-50SimCLTL15.txt", 19)</f>
        <v>19</v>
      </c>
      <c r="BV617">
        <f>HYPERLINK("http://exon.niaid.nih.gov/transcriptome/Anopheles_sialome/links/cluster-b/anopheline-sialome-cds-pep-larger-orf50-50SimCLU14.txt", 14)</f>
        <v>14</v>
      </c>
      <c r="BW617">
        <f>HYPERLINK("http://exon.niaid.nih.gov/transcriptome/Anopheles_sialome/links/cluster-b/anopheline-sialome-cds-pep-larger-orf50-50SimCLTL14.txt", 19)</f>
        <v>19</v>
      </c>
      <c r="BX617">
        <f>HYPERLINK("http://exon.niaid.nih.gov/transcriptome/Anopheles_sialome/links/cluster-b/anopheline-sialome-cds-pep-larger-orf55-50SimCLU15.txt", 15)</f>
        <v>15</v>
      </c>
      <c r="BY617">
        <f>HYPERLINK("http://exon.niaid.nih.gov/transcriptome/Anopheles_sialome/links/cluster-b/anopheline-sialome-cds-pep-larger-orf55-50SimCLTL15.txt", 19)</f>
        <v>19</v>
      </c>
      <c r="BZ617">
        <f>HYPERLINK("http://exon.niaid.nih.gov/transcriptome/Anopheles_sialome/links/cluster-b/anopheline-sialome-cds-pep-larger-orf60-50SimCLU14.txt", 14)</f>
        <v>14</v>
      </c>
      <c r="CA617">
        <f>HYPERLINK("http://exon.niaid.nih.gov/transcriptome/Anopheles_sialome/links/cluster-b/anopheline-sialome-cds-pep-larger-orf60-50SimCLTL14.txt", 19)</f>
        <v>19</v>
      </c>
      <c r="CB617">
        <f>HYPERLINK("http://exon.niaid.nih.gov/transcriptome/Anopheles_sialome/links/cluster-b/anopheline-sialome-cds-pep-larger-orf65-50SimCLU12.txt", 12)</f>
        <v>12</v>
      </c>
      <c r="CC617">
        <f>HYPERLINK("http://exon.niaid.nih.gov/transcriptome/Anopheles_sialome/links/cluster-b/anopheline-sialome-cds-pep-larger-orf65-50SimCLTL12.txt", 19)</f>
        <v>19</v>
      </c>
      <c r="CD617">
        <f>HYPERLINK("http://exon.niaid.nih.gov/transcriptome/Anopheles_sialome/links/cluster-b/anopheline-sialome-cds-pep-larger-orf70-50SimCLU12.txt", 12)</f>
        <v>12</v>
      </c>
      <c r="CE617">
        <f>HYPERLINK("http://exon.niaid.nih.gov/transcriptome/Anopheles_sialome/links/cluster-b/anopheline-sialome-cds-pep-larger-orf70-50SimCLTL12.txt", 19)</f>
        <v>19</v>
      </c>
      <c r="CF617">
        <f>HYPERLINK("http://exon.niaid.nih.gov/transcriptome/Anopheles_sialome/links/cluster-b/anopheline-sialome-cds-pep-larger-orf75-50SimCLU86.txt", 86)</f>
        <v>86</v>
      </c>
      <c r="CG617">
        <f>HYPERLINK("http://exon.niaid.nih.gov/transcriptome/Anopheles_sialome/links/cluster-b/anopheline-sialome-cds-pep-larger-orf75-50SimCLTL86.txt", 2)</f>
        <v>2</v>
      </c>
      <c r="CH617">
        <f>HYPERLINK("http://exon.niaid.nih.gov/transcriptome/Anopheles_sialome/links/cluster-b/anopheline-sialome-cds-pep-larger-orf80-50SimCLU103.txt", 103)</f>
        <v>103</v>
      </c>
      <c r="CI617">
        <f>HYPERLINK("http://exon.niaid.nih.gov/transcriptome/Anopheles_sialome/links/cluster-b/anopheline-sialome-cds-pep-larger-orf80-50SimCLTL103.txt", 2)</f>
        <v>2</v>
      </c>
      <c r="CJ617">
        <f>HYPERLINK("http://exon.niaid.nih.gov/transcriptome/Anopheles_sialome/links/cluster-b/anopheline-sialome-cds-pep-larger-orf85-50SimCLU103.txt", 103)</f>
        <v>103</v>
      </c>
      <c r="CK617">
        <f>HYPERLINK("http://exon.niaid.nih.gov/transcriptome/Anopheles_sialome/links/cluster-b/anopheline-sialome-cds-pep-larger-orf85-50SimCLTL103.txt", 2)</f>
        <v>2</v>
      </c>
      <c r="CL617">
        <v>407</v>
      </c>
      <c r="CM617">
        <v>1</v>
      </c>
      <c r="CN617">
        <v>502</v>
      </c>
      <c r="CO617">
        <v>1</v>
      </c>
    </row>
    <row r="618" spans="1:93">
      <c r="A618" s="14" t="s">
        <v>3158</v>
      </c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13"/>
      <c r="BB618" s="13"/>
      <c r="BC618" s="13"/>
      <c r="BD618" s="13"/>
      <c r="BE618" s="13"/>
      <c r="BF618" s="13"/>
      <c r="BG618" s="13"/>
      <c r="BH618" s="13"/>
      <c r="BI618" s="13"/>
      <c r="BJ618" s="13"/>
      <c r="BK618" s="13"/>
      <c r="BL618" s="13"/>
      <c r="BM618" s="13"/>
      <c r="BN618" s="13"/>
      <c r="BO618" s="13"/>
      <c r="BP618" s="13"/>
      <c r="BQ618" s="13"/>
      <c r="BR618" s="13"/>
      <c r="BS618" s="13"/>
      <c r="BT618" s="13"/>
      <c r="BU618" s="13"/>
      <c r="BV618" s="13"/>
      <c r="BW618" s="13"/>
      <c r="BX618" s="13"/>
      <c r="BY618" s="13"/>
      <c r="BZ618" s="13"/>
      <c r="CA618" s="13"/>
      <c r="CB618" s="13"/>
      <c r="CC618" s="13"/>
      <c r="CD618" s="13"/>
      <c r="CE618" s="13"/>
      <c r="CF618" s="13"/>
      <c r="CG618" s="13"/>
      <c r="CH618" s="13"/>
      <c r="CI618" s="13"/>
      <c r="CJ618" s="13"/>
      <c r="CK618" s="13"/>
      <c r="CL618" s="13"/>
      <c r="CM618" s="13"/>
      <c r="CN618" s="13"/>
      <c r="CO618" s="13"/>
    </row>
    <row r="619" spans="1:93">
      <c r="A619" s="2" t="str">
        <f>HYPERLINK("http://exon.niaid.nih.gov/transcriptome/Anopheles_sialome/links/cds/anoga_SG8-cds.txt","anoga_SG8")</f>
        <v>anoga_SG8</v>
      </c>
      <c r="B619">
        <v>675</v>
      </c>
      <c r="C619" t="s">
        <v>595</v>
      </c>
      <c r="D619" t="s">
        <v>7</v>
      </c>
      <c r="E619" t="s">
        <v>5</v>
      </c>
      <c r="F619" t="s">
        <v>1</v>
      </c>
      <c r="G619" t="str">
        <f>HYPERLINK("http://exon.niaid.nih.gov/transcriptome/Anopheles_sialome/links/pep/anoga_SG8-pep.txt","anoga_SG8")</f>
        <v>anoga_SG8</v>
      </c>
      <c r="H619">
        <v>224</v>
      </c>
      <c r="I619">
        <v>1</v>
      </c>
      <c r="J619" s="3" t="str">
        <f>HYPERLINK("http://exon.niaid.nih.gov/transcriptome/Anopheles_sialome/links/Sigp/anoga_SG8-SigP.txt","SIG")</f>
        <v>SIG</v>
      </c>
      <c r="K619" t="s">
        <v>715</v>
      </c>
      <c r="L619">
        <v>25.425999999999998</v>
      </c>
      <c r="M619">
        <v>10.09</v>
      </c>
      <c r="N619">
        <v>22.824000000000002</v>
      </c>
      <c r="O619">
        <v>9.8800000000000008</v>
      </c>
      <c r="P619" t="s">
        <v>2151</v>
      </c>
      <c r="Q619" s="3">
        <v>0</v>
      </c>
      <c r="R619" t="s">
        <v>128</v>
      </c>
      <c r="S619" t="s">
        <v>128</v>
      </c>
      <c r="T619" t="s">
        <v>128</v>
      </c>
      <c r="U619" t="s">
        <v>128</v>
      </c>
      <c r="V619" t="s">
        <v>128</v>
      </c>
      <c r="W619" s="3" t="str">
        <f>HYPERLINK("http://exon.niaid.nih.gov/transcriptome/Anopheles_sialome/links/netoglyc/anoga_SG8-netoglyc.txt","0")</f>
        <v>0</v>
      </c>
      <c r="X619">
        <v>13.8</v>
      </c>
      <c r="Y619">
        <v>3.6</v>
      </c>
      <c r="Z619">
        <v>4.9000000000000004</v>
      </c>
      <c r="AA619" t="s">
        <v>654</v>
      </c>
      <c r="AB619" t="s">
        <v>128</v>
      </c>
      <c r="AC619" s="2" t="str">
        <f>HYPERLINK("http://exon.niaid.nih.gov/transcriptome/Anopheles_sialome/links/DIPTERA/anoga_SG8-DIPTERA.txt","gSG8 protein, partial")</f>
        <v>gSG8 protein, partial</v>
      </c>
      <c r="AD619" t="str">
        <f>HYPERLINK("http://www.ncbi.nlm.nih.gov/sutils/blink.cgi?pid=13537674","6E-067")</f>
        <v>6E-067</v>
      </c>
      <c r="AE619" t="str">
        <f t="shared" ref="AE619:AE624" si="208">HYPERLINK("http://www.ncbi.nlm.nih.gov/protein/13537674","gi|13537674")</f>
        <v>gi|13537674</v>
      </c>
      <c r="AF619">
        <v>100</v>
      </c>
      <c r="AG619">
        <v>100</v>
      </c>
      <c r="AH619">
        <v>100</v>
      </c>
      <c r="AI619" t="s">
        <v>2254</v>
      </c>
      <c r="AJ619" s="2" t="str">
        <f>HYPERLINK("http://exon.niaid.nih.gov/transcriptome/Anopheles_sialome/links/CULICOMORPHA/anoga_SG8-CULICOMORPHA.txt","gSG8 protein, partial")</f>
        <v>gSG8 protein, partial</v>
      </c>
      <c r="AK619" t="str">
        <f>HYPERLINK("http://www.ncbi.nlm.nih.gov/sutils/blink.cgi?pid=13537674","1E-067")</f>
        <v>1E-067</v>
      </c>
      <c r="AL619" t="str">
        <f t="shared" ref="AL619:AL624" si="209">HYPERLINK("http://www.ncbi.nlm.nih.gov/protein/13537674","gi|13537674")</f>
        <v>gi|13537674</v>
      </c>
      <c r="AM619">
        <v>100</v>
      </c>
      <c r="AN619">
        <v>100</v>
      </c>
      <c r="AO619">
        <v>100</v>
      </c>
      <c r="AP619" t="s">
        <v>2254</v>
      </c>
      <c r="AQ619" s="2" t="str">
        <f>HYPERLINK("http://exon.niaid.nih.gov/transcriptome/Anopheles_sialome/links/NR-LIGHT/anoga_SG8-NR-LIGHT.txt","AGAP010647-PA")</f>
        <v>AGAP010647-PA</v>
      </c>
      <c r="AR619" t="str">
        <f>HYPERLINK("http://www.ncbi.nlm.nih.gov/sutils/blink.cgi?pid=58381624","2E-066")</f>
        <v>2E-066</v>
      </c>
      <c r="AS619" t="str">
        <f t="shared" ref="AS619:AS624" si="210">HYPERLINK("http://www.ncbi.nlm.nih.gov/protein/58381624","gi|58381624")</f>
        <v>gi|58381624</v>
      </c>
      <c r="AT619">
        <v>100</v>
      </c>
      <c r="AU619">
        <v>100</v>
      </c>
      <c r="AV619">
        <v>100</v>
      </c>
      <c r="AW619" t="s">
        <v>2285</v>
      </c>
      <c r="AX619" s="2" t="str">
        <f>HYPERLINK("http://exon.niaid.nih.gov/transcriptome/Anopheles_sialome/links/CDD/anoga_SG8-CDD.txt","Gal-3-0_sulfotr")</f>
        <v>Gal-3-0_sulfotr</v>
      </c>
      <c r="AY619" t="str">
        <f>HYPERLINK("http://www.ncbi.nlm.nih.gov/Structure/cdd/cddsrv.cgi?uid=pfam06990&amp;version=v4.0","1.3")</f>
        <v>1.3</v>
      </c>
      <c r="AZ619" t="s">
        <v>3095</v>
      </c>
      <c r="BA619" s="2" t="str">
        <f>HYPERLINK("http://exon.niaid.nih.gov/transcriptome/Anopheles_sialome/links/KOG/anoga_SG8-KOG.txt","Trypsin")</f>
        <v>Trypsin</v>
      </c>
      <c r="BB619" t="str">
        <f>HYPERLINK("http://www.ncbi.nlm.nih.gov/Structure/cdd/cddsrv.cgi?uid=KOG3627","0.10")</f>
        <v>0.10</v>
      </c>
      <c r="BC619" t="s">
        <v>2287</v>
      </c>
      <c r="BD619" t="str">
        <f>HYPERLINK("http://exon.niaid.nih.gov/transcriptome/Anopheles_sialome/links/KOG/anoga_SG8-KOG.txt","KOG3627")</f>
        <v>KOG3627</v>
      </c>
      <c r="BE619" t="str">
        <f>HYPERLINK("http://exon.niaid.nih.gov/transcriptome/Anopheles_sialome/links/PFAM/anoga_SG8-PFAM.txt","Gal-3-0_sulfotr")</f>
        <v>Gal-3-0_sulfotr</v>
      </c>
      <c r="BF619" t="str">
        <f>HYPERLINK("http://pfam.sanger.ac.uk/family?acc=PF06990","0.28")</f>
        <v>0.28</v>
      </c>
      <c r="BG619" s="2" t="str">
        <f>HYPERLINK("http://exon.niaid.nih.gov/transcriptome/Anopheles_sialome/links/SMART/anoga_SG8-SMART.txt","HTH_ASNC")</f>
        <v>HTH_ASNC</v>
      </c>
      <c r="BH619" t="str">
        <f>HYPERLINK("http://smart.embl-heidelberg.de/smart/do_annotation.pl?DOMAIN=HTH_ASNC&amp;BLAST=DUMMY","0.99")</f>
        <v>0.99</v>
      </c>
      <c r="BI619" t="str">
        <f>HYPERLINK("http://exon.niaid.nih.gov/transcriptome/Anopheles_sialome/links/TICK-BLOCKS/anoga_SG8-TICK-BLOCKS.txt","G8_salivary_protein |")</f>
        <v>G8_salivary_protein |</v>
      </c>
      <c r="BJ619" s="2" t="s">
        <v>3096</v>
      </c>
      <c r="BK619" t="s">
        <v>2150</v>
      </c>
      <c r="BL619">
        <f>HYPERLINK("http://exon.niaid.nih.gov/transcriptome/Anopheles_sialome/links/cluster-b/anopheline-sialome-cds-pep-larger-orf25-50SimCLU13.txt", 13)</f>
        <v>13</v>
      </c>
      <c r="BM619">
        <f>HYPERLINK("http://exon.niaid.nih.gov/transcriptome/Anopheles_sialome/links/cluster-b/anopheline-sialome-cds-pep-larger-orf25-50SimCLTL13.txt", 19)</f>
        <v>19</v>
      </c>
      <c r="BN619">
        <f>HYPERLINK("http://exon.niaid.nih.gov/transcriptome/Anopheles_sialome/links/cluster-b/anopheline-sialome-cds-pep-larger-orf30-50SimCLU12.txt", 12)</f>
        <v>12</v>
      </c>
      <c r="BO619">
        <f>HYPERLINK("http://exon.niaid.nih.gov/transcriptome/Anopheles_sialome/links/cluster-b/anopheline-sialome-cds-pep-larger-orf30-50SimCLTL12.txt", 19)</f>
        <v>19</v>
      </c>
      <c r="BP619">
        <f>HYPERLINK("http://exon.niaid.nih.gov/transcriptome/Anopheles_sialome/links/cluster-b/anopheline-sialome-cds-pep-larger-orf35-50SimCLU14.txt", 14)</f>
        <v>14</v>
      </c>
      <c r="BQ619">
        <f>HYPERLINK("http://exon.niaid.nih.gov/transcriptome/Anopheles_sialome/links/cluster-b/anopheline-sialome-cds-pep-larger-orf35-50SimCLTL14.txt", 19)</f>
        <v>19</v>
      </c>
      <c r="BR619">
        <f>HYPERLINK("http://exon.niaid.nih.gov/transcriptome/Anopheles_sialome/links/cluster-b/anopheline-sialome-cds-pep-larger-orf40-50SimCLU16.txt", 16)</f>
        <v>16</v>
      </c>
      <c r="BS619">
        <f>HYPERLINK("http://exon.niaid.nih.gov/transcriptome/Anopheles_sialome/links/cluster-b/anopheline-sialome-cds-pep-larger-orf40-50SimCLTL16.txt", 19)</f>
        <v>19</v>
      </c>
      <c r="BT619">
        <f>HYPERLINK("http://exon.niaid.nih.gov/transcriptome/Anopheles_sialome/links/cluster-b/anopheline-sialome-cds-pep-larger-orf45-50SimCLU16.txt", 16)</f>
        <v>16</v>
      </c>
      <c r="BU619">
        <f>HYPERLINK("http://exon.niaid.nih.gov/transcriptome/Anopheles_sialome/links/cluster-b/anopheline-sialome-cds-pep-larger-orf45-50SimCLTL16.txt", 19)</f>
        <v>19</v>
      </c>
      <c r="BV619">
        <f>HYPERLINK("http://exon.niaid.nih.gov/transcriptome/Anopheles_sialome/links/cluster-b/anopheline-sialome-cds-pep-larger-orf50-50SimCLU15.txt", 15)</f>
        <v>15</v>
      </c>
      <c r="BW619">
        <f>HYPERLINK("http://exon.niaid.nih.gov/transcriptome/Anopheles_sialome/links/cluster-b/anopheline-sialome-cds-pep-larger-orf50-50SimCLTL15.txt", 19)</f>
        <v>19</v>
      </c>
      <c r="BX619">
        <f>HYPERLINK("http://exon.niaid.nih.gov/transcriptome/Anopheles_sialome/links/cluster-b/anopheline-sialome-cds-pep-larger-orf55-50SimCLU16.txt", 16)</f>
        <v>16</v>
      </c>
      <c r="BY619">
        <f>HYPERLINK("http://exon.niaid.nih.gov/transcriptome/Anopheles_sialome/links/cluster-b/anopheline-sialome-cds-pep-larger-orf55-50SimCLTL16.txt", 19)</f>
        <v>19</v>
      </c>
      <c r="BZ619">
        <f>HYPERLINK("http://exon.niaid.nih.gov/transcriptome/Anopheles_sialome/links/cluster-b/anopheline-sialome-cds-pep-larger-orf60-50SimCLU15.txt", 15)</f>
        <v>15</v>
      </c>
      <c r="CA619">
        <f>HYPERLINK("http://exon.niaid.nih.gov/transcriptome/Anopheles_sialome/links/cluster-b/anopheline-sialome-cds-pep-larger-orf60-50SimCLTL15.txt", 19)</f>
        <v>19</v>
      </c>
      <c r="CB619">
        <f>HYPERLINK("http://exon.niaid.nih.gov/transcriptome/Anopheles_sialome/links/cluster-b/anopheline-sialome-cds-pep-larger-orf65-50SimCLU21.txt", 21)</f>
        <v>21</v>
      </c>
      <c r="CC619">
        <f>HYPERLINK("http://exon.niaid.nih.gov/transcriptome/Anopheles_sialome/links/cluster-b/anopheline-sialome-cds-pep-larger-orf65-50SimCLTL21.txt", 17)</f>
        <v>17</v>
      </c>
      <c r="CD619">
        <f>HYPERLINK("http://exon.niaid.nih.gov/transcriptome/Anopheles_sialome/links/cluster-b/anopheline-sialome-cds-pep-larger-orf70-50SimCLU27.txt", 27)</f>
        <v>27</v>
      </c>
      <c r="CE619">
        <f>HYPERLINK("http://exon.niaid.nih.gov/transcriptome/Anopheles_sialome/links/cluster-b/anopheline-sialome-cds-pep-larger-orf70-50SimCLTL27.txt", 15)</f>
        <v>15</v>
      </c>
      <c r="CF619">
        <f>HYPERLINK("http://exon.niaid.nih.gov/transcriptome/Anopheles_sialome/links/cluster-b/anopheline-sialome-cds-pep-larger-orf75-50SimCLU27.txt", 27)</f>
        <v>27</v>
      </c>
      <c r="CG619">
        <f>HYPERLINK("http://exon.niaid.nih.gov/transcriptome/Anopheles_sialome/links/cluster-b/anopheline-sialome-cds-pep-larger-orf75-50SimCLTL27.txt", 13)</f>
        <v>13</v>
      </c>
      <c r="CH619">
        <f>HYPERLINK("http://exon.niaid.nih.gov/transcriptome/Anopheles_sialome/links/cluster-b/anopheline-sialome-cds-pep-larger-orf80-50SimCLU29.txt", 29)</f>
        <v>29</v>
      </c>
      <c r="CI619">
        <f>HYPERLINK("http://exon.niaid.nih.gov/transcriptome/Anopheles_sialome/links/cluster-b/anopheline-sialome-cds-pep-larger-orf80-50SimCLTL29.txt", 8)</f>
        <v>8</v>
      </c>
      <c r="CJ619">
        <f>HYPERLINK("http://exon.niaid.nih.gov/transcriptome/Anopheles_sialome/links/cluster-b/anopheline-sialome-cds-pep-larger-orf85-50SimCLU25.txt", 25)</f>
        <v>25</v>
      </c>
      <c r="CK619">
        <f>HYPERLINK("http://exon.niaid.nih.gov/transcriptome/Anopheles_sialome/links/cluster-b/anopheline-sialome-cds-pep-larger-orf85-50SimCLTL25.txt", 7)</f>
        <v>7</v>
      </c>
      <c r="CL619">
        <f>HYPERLINK("http://exon.niaid.nih.gov/transcriptome/Anopheles_sialome/links/cluster-b/anopheline-sialome-cds-pep-larger-orf90-50SimCLU38.txt", 38)</f>
        <v>38</v>
      </c>
      <c r="CM619">
        <f>HYPERLINK("http://exon.niaid.nih.gov/transcriptome/Anopheles_sialome/links/cluster-b/anopheline-sialome-cds-pep-larger-orf90-50SimCLTL38.txt", 6)</f>
        <v>6</v>
      </c>
      <c r="CN619">
        <f>HYPERLINK("http://exon.niaid.nih.gov/transcriptome/Anopheles_sialome/links/cluster-b/anopheline-sialome-cds-pep-larger-orf95-50SimCLU30.txt", 30)</f>
        <v>30</v>
      </c>
      <c r="CO619">
        <f>HYPERLINK("http://exon.niaid.nih.gov/transcriptome/Anopheles_sialome/links/cluster-b/anopheline-sialome-cds-pep-larger-orf95-50SimCLTL30.txt", 6)</f>
        <v>6</v>
      </c>
    </row>
    <row r="620" spans="1:93">
      <c r="A620" s="2" t="str">
        <f>HYPERLINK("http://exon.niaid.nih.gov/transcriptome/Anopheles_sialome/links/cds/anocol_SG8-cds.txt","anocol_SG8")</f>
        <v>anocol_SG8</v>
      </c>
      <c r="B620">
        <v>675</v>
      </c>
      <c r="C620" t="s">
        <v>596</v>
      </c>
      <c r="D620" t="s">
        <v>4</v>
      </c>
      <c r="E620" t="s">
        <v>5</v>
      </c>
      <c r="F620" t="s">
        <v>1</v>
      </c>
      <c r="G620" t="str">
        <f>HYPERLINK("http://exon.niaid.nih.gov/transcriptome/Anopheles_sialome/links/pep/anocol_SG8-pep.txt","anocol_SG8")</f>
        <v>anocol_SG8</v>
      </c>
      <c r="H620">
        <v>224</v>
      </c>
      <c r="I620">
        <v>1</v>
      </c>
      <c r="J620" s="3" t="str">
        <f>HYPERLINK("http://exon.niaid.nih.gov/transcriptome/Anopheles_sialome/links/Sigp/anocol_SG8-SigP.txt","SIG")</f>
        <v>SIG</v>
      </c>
      <c r="K620" t="s">
        <v>715</v>
      </c>
      <c r="L620">
        <v>25.405999999999999</v>
      </c>
      <c r="M620">
        <v>10.09</v>
      </c>
      <c r="N620">
        <v>22.795999999999999</v>
      </c>
      <c r="O620">
        <v>9.8800000000000008</v>
      </c>
      <c r="P620" t="s">
        <v>2151</v>
      </c>
      <c r="Q620" s="3">
        <v>0</v>
      </c>
      <c r="R620" t="s">
        <v>128</v>
      </c>
      <c r="S620" t="s">
        <v>128</v>
      </c>
      <c r="T620" t="s">
        <v>128</v>
      </c>
      <c r="U620" t="s">
        <v>128</v>
      </c>
      <c r="V620" t="s">
        <v>128</v>
      </c>
      <c r="W620" s="3" t="str">
        <f>HYPERLINK("http://exon.niaid.nih.gov/transcriptome/Anopheles_sialome/links/netoglyc/anocol_SG8-netoglyc.txt","0")</f>
        <v>0</v>
      </c>
      <c r="X620">
        <v>13.8</v>
      </c>
      <c r="Y620">
        <v>3.6</v>
      </c>
      <c r="Z620">
        <v>4.9000000000000004</v>
      </c>
      <c r="AA620" t="s">
        <v>654</v>
      </c>
      <c r="AB620" t="s">
        <v>128</v>
      </c>
      <c r="AC620" s="2" t="str">
        <f>HYPERLINK("http://exon.niaid.nih.gov/transcriptome/Anopheles_sialome/links/DIPTERA/anocol_SG8-DIPTERA.txt","gSG8 protein, partial")</f>
        <v>gSG8 protein, partial</v>
      </c>
      <c r="AD620" t="str">
        <f>HYPERLINK("http://www.ncbi.nlm.nih.gov/sutils/blink.cgi?pid=13537674","6E-067")</f>
        <v>6E-067</v>
      </c>
      <c r="AE620" t="str">
        <f t="shared" si="208"/>
        <v>gi|13537674</v>
      </c>
      <c r="AF620">
        <v>100</v>
      </c>
      <c r="AG620">
        <v>100</v>
      </c>
      <c r="AH620">
        <v>100</v>
      </c>
      <c r="AI620" t="s">
        <v>2254</v>
      </c>
      <c r="AJ620" s="2" t="str">
        <f>HYPERLINK("http://exon.niaid.nih.gov/transcriptome/Anopheles_sialome/links/CULICOMORPHA/anocol_SG8-CULICOMORPHA.txt","gSG8 protein, partial")</f>
        <v>gSG8 protein, partial</v>
      </c>
      <c r="AK620" t="str">
        <f>HYPERLINK("http://www.ncbi.nlm.nih.gov/sutils/blink.cgi?pid=13537674","1E-067")</f>
        <v>1E-067</v>
      </c>
      <c r="AL620" t="str">
        <f t="shared" si="209"/>
        <v>gi|13537674</v>
      </c>
      <c r="AM620">
        <v>100</v>
      </c>
      <c r="AN620">
        <v>100</v>
      </c>
      <c r="AO620">
        <v>100</v>
      </c>
      <c r="AP620" t="s">
        <v>2254</v>
      </c>
      <c r="AQ620" s="2" t="str">
        <f>HYPERLINK("http://exon.niaid.nih.gov/transcriptome/Anopheles_sialome/links/NR-LIGHT/anocol_SG8-NR-LIGHT.txt","AGAP010647-PA")</f>
        <v>AGAP010647-PA</v>
      </c>
      <c r="AR620" t="str">
        <f>HYPERLINK("http://www.ncbi.nlm.nih.gov/sutils/blink.cgi?pid=58381624","2E-066")</f>
        <v>2E-066</v>
      </c>
      <c r="AS620" t="str">
        <f t="shared" si="210"/>
        <v>gi|58381624</v>
      </c>
      <c r="AT620">
        <v>100</v>
      </c>
      <c r="AU620">
        <v>100</v>
      </c>
      <c r="AV620">
        <v>100</v>
      </c>
      <c r="AW620" t="s">
        <v>2285</v>
      </c>
      <c r="AX620" s="2" t="str">
        <f>HYPERLINK("http://exon.niaid.nih.gov/transcriptome/Anopheles_sialome/links/CDD/anocol_SG8-CDD.txt","Gal-3-0_sulfotr")</f>
        <v>Gal-3-0_sulfotr</v>
      </c>
      <c r="AY620" t="str">
        <f>HYPERLINK("http://www.ncbi.nlm.nih.gov/Structure/cdd/cddsrv.cgi?uid=pfam06990&amp;version=v4.0","1.4")</f>
        <v>1.4</v>
      </c>
      <c r="AZ620" t="s">
        <v>3097</v>
      </c>
      <c r="BA620" s="2" t="str">
        <f>HYPERLINK("http://exon.niaid.nih.gov/transcriptome/Anopheles_sialome/links/KOG/anocol_SG8-KOG.txt","Trypsin")</f>
        <v>Trypsin</v>
      </c>
      <c r="BB620" t="str">
        <f>HYPERLINK("http://www.ncbi.nlm.nih.gov/Structure/cdd/cddsrv.cgi?uid=KOG3627","0.100")</f>
        <v>0.100</v>
      </c>
      <c r="BC620" t="s">
        <v>2287</v>
      </c>
      <c r="BD620" t="str">
        <f>HYPERLINK("http://exon.niaid.nih.gov/transcriptome/Anopheles_sialome/links/KOG/anocol_SG8-KOG.txt","KOG3627")</f>
        <v>KOG3627</v>
      </c>
      <c r="BE620" t="str">
        <f>HYPERLINK("http://exon.niaid.nih.gov/transcriptome/Anopheles_sialome/links/PFAM/anocol_SG8-PFAM.txt","Gal-3-0_sulfotr")</f>
        <v>Gal-3-0_sulfotr</v>
      </c>
      <c r="BF620" t="str">
        <f>HYPERLINK("http://pfam.sanger.ac.uk/family?acc=PF06990","0.29")</f>
        <v>0.29</v>
      </c>
      <c r="BG620" s="2" t="str">
        <f>HYPERLINK("http://exon.niaid.nih.gov/transcriptome/Anopheles_sialome/links/SMART/anocol_SG8-SMART.txt","HTH_ASNC")</f>
        <v>HTH_ASNC</v>
      </c>
      <c r="BH620" t="str">
        <f>HYPERLINK("http://smart.embl-heidelberg.de/smart/do_annotation.pl?DOMAIN=HTH_ASNC&amp;BLAST=DUMMY","0.95")</f>
        <v>0.95</v>
      </c>
      <c r="BI620" t="str">
        <f>HYPERLINK("http://exon.niaid.nih.gov/transcriptome/Anopheles_sialome/links/TICK-BLOCKS/anocol_SG8-TICK-BLOCKS.txt","G8_salivary_protein |")</f>
        <v>G8_salivary_protein |</v>
      </c>
      <c r="BJ620" s="2" t="s">
        <v>3096</v>
      </c>
      <c r="BK620" t="s">
        <v>2152</v>
      </c>
      <c r="BL620">
        <f>HYPERLINK("http://exon.niaid.nih.gov/transcriptome/Anopheles_sialome/links/cluster-b/anopheline-sialome-cds-pep-larger-orf25-50SimCLU13.txt", 13)</f>
        <v>13</v>
      </c>
      <c r="BM620">
        <f>HYPERLINK("http://exon.niaid.nih.gov/transcriptome/Anopheles_sialome/links/cluster-b/anopheline-sialome-cds-pep-larger-orf25-50SimCLTL13.txt", 19)</f>
        <v>19</v>
      </c>
      <c r="BN620">
        <f>HYPERLINK("http://exon.niaid.nih.gov/transcriptome/Anopheles_sialome/links/cluster-b/anopheline-sialome-cds-pep-larger-orf30-50SimCLU12.txt", 12)</f>
        <v>12</v>
      </c>
      <c r="BO620">
        <f>HYPERLINK("http://exon.niaid.nih.gov/transcriptome/Anopheles_sialome/links/cluster-b/anopheline-sialome-cds-pep-larger-orf30-50SimCLTL12.txt", 19)</f>
        <v>19</v>
      </c>
      <c r="BP620">
        <f>HYPERLINK("http://exon.niaid.nih.gov/transcriptome/Anopheles_sialome/links/cluster-b/anopheline-sialome-cds-pep-larger-orf35-50SimCLU14.txt", 14)</f>
        <v>14</v>
      </c>
      <c r="BQ620">
        <f>HYPERLINK("http://exon.niaid.nih.gov/transcriptome/Anopheles_sialome/links/cluster-b/anopheline-sialome-cds-pep-larger-orf35-50SimCLTL14.txt", 19)</f>
        <v>19</v>
      </c>
      <c r="BR620">
        <f>HYPERLINK("http://exon.niaid.nih.gov/transcriptome/Anopheles_sialome/links/cluster-b/anopheline-sialome-cds-pep-larger-orf40-50SimCLU16.txt", 16)</f>
        <v>16</v>
      </c>
      <c r="BS620">
        <f>HYPERLINK("http://exon.niaid.nih.gov/transcriptome/Anopheles_sialome/links/cluster-b/anopheline-sialome-cds-pep-larger-orf40-50SimCLTL16.txt", 19)</f>
        <v>19</v>
      </c>
      <c r="BT620">
        <f>HYPERLINK("http://exon.niaid.nih.gov/transcriptome/Anopheles_sialome/links/cluster-b/anopheline-sialome-cds-pep-larger-orf45-50SimCLU16.txt", 16)</f>
        <v>16</v>
      </c>
      <c r="BU620">
        <f>HYPERLINK("http://exon.niaid.nih.gov/transcriptome/Anopheles_sialome/links/cluster-b/anopheline-sialome-cds-pep-larger-orf45-50SimCLTL16.txt", 19)</f>
        <v>19</v>
      </c>
      <c r="BV620">
        <f>HYPERLINK("http://exon.niaid.nih.gov/transcriptome/Anopheles_sialome/links/cluster-b/anopheline-sialome-cds-pep-larger-orf50-50SimCLU15.txt", 15)</f>
        <v>15</v>
      </c>
      <c r="BW620">
        <f>HYPERLINK("http://exon.niaid.nih.gov/transcriptome/Anopheles_sialome/links/cluster-b/anopheline-sialome-cds-pep-larger-orf50-50SimCLTL15.txt", 19)</f>
        <v>19</v>
      </c>
      <c r="BX620">
        <f>HYPERLINK("http://exon.niaid.nih.gov/transcriptome/Anopheles_sialome/links/cluster-b/anopheline-sialome-cds-pep-larger-orf55-50SimCLU16.txt", 16)</f>
        <v>16</v>
      </c>
      <c r="BY620">
        <f>HYPERLINK("http://exon.niaid.nih.gov/transcriptome/Anopheles_sialome/links/cluster-b/anopheline-sialome-cds-pep-larger-orf55-50SimCLTL16.txt", 19)</f>
        <v>19</v>
      </c>
      <c r="BZ620">
        <f>HYPERLINK("http://exon.niaid.nih.gov/transcriptome/Anopheles_sialome/links/cluster-b/anopheline-sialome-cds-pep-larger-orf60-50SimCLU15.txt", 15)</f>
        <v>15</v>
      </c>
      <c r="CA620">
        <f>HYPERLINK("http://exon.niaid.nih.gov/transcriptome/Anopheles_sialome/links/cluster-b/anopheline-sialome-cds-pep-larger-orf60-50SimCLTL15.txt", 19)</f>
        <v>19</v>
      </c>
      <c r="CB620">
        <f>HYPERLINK("http://exon.niaid.nih.gov/transcriptome/Anopheles_sialome/links/cluster-b/anopheline-sialome-cds-pep-larger-orf65-50SimCLU21.txt", 21)</f>
        <v>21</v>
      </c>
      <c r="CC620">
        <f>HYPERLINK("http://exon.niaid.nih.gov/transcriptome/Anopheles_sialome/links/cluster-b/anopheline-sialome-cds-pep-larger-orf65-50SimCLTL21.txt", 17)</f>
        <v>17</v>
      </c>
      <c r="CD620">
        <f>HYPERLINK("http://exon.niaid.nih.gov/transcriptome/Anopheles_sialome/links/cluster-b/anopheline-sialome-cds-pep-larger-orf70-50SimCLU27.txt", 27)</f>
        <v>27</v>
      </c>
      <c r="CE620">
        <f>HYPERLINK("http://exon.niaid.nih.gov/transcriptome/Anopheles_sialome/links/cluster-b/anopheline-sialome-cds-pep-larger-orf70-50SimCLTL27.txt", 15)</f>
        <v>15</v>
      </c>
      <c r="CF620">
        <f>HYPERLINK("http://exon.niaid.nih.gov/transcriptome/Anopheles_sialome/links/cluster-b/anopheline-sialome-cds-pep-larger-orf75-50SimCLU27.txt", 27)</f>
        <v>27</v>
      </c>
      <c r="CG620">
        <f>HYPERLINK("http://exon.niaid.nih.gov/transcriptome/Anopheles_sialome/links/cluster-b/anopheline-sialome-cds-pep-larger-orf75-50SimCLTL27.txt", 13)</f>
        <v>13</v>
      </c>
      <c r="CH620">
        <f>HYPERLINK("http://exon.niaid.nih.gov/transcriptome/Anopheles_sialome/links/cluster-b/anopheline-sialome-cds-pep-larger-orf80-50SimCLU29.txt", 29)</f>
        <v>29</v>
      </c>
      <c r="CI620">
        <f>HYPERLINK("http://exon.niaid.nih.gov/transcriptome/Anopheles_sialome/links/cluster-b/anopheline-sialome-cds-pep-larger-orf80-50SimCLTL29.txt", 8)</f>
        <v>8</v>
      </c>
      <c r="CJ620">
        <f>HYPERLINK("http://exon.niaid.nih.gov/transcriptome/Anopheles_sialome/links/cluster-b/anopheline-sialome-cds-pep-larger-orf85-50SimCLU25.txt", 25)</f>
        <v>25</v>
      </c>
      <c r="CK620">
        <f>HYPERLINK("http://exon.niaid.nih.gov/transcriptome/Anopheles_sialome/links/cluster-b/anopheline-sialome-cds-pep-larger-orf85-50SimCLTL25.txt", 7)</f>
        <v>7</v>
      </c>
      <c r="CL620">
        <f>HYPERLINK("http://exon.niaid.nih.gov/transcriptome/Anopheles_sialome/links/cluster-b/anopheline-sialome-cds-pep-larger-orf90-50SimCLU38.txt", 38)</f>
        <v>38</v>
      </c>
      <c r="CM620">
        <f>HYPERLINK("http://exon.niaid.nih.gov/transcriptome/Anopheles_sialome/links/cluster-b/anopheline-sialome-cds-pep-larger-orf90-50SimCLTL38.txt", 6)</f>
        <v>6</v>
      </c>
      <c r="CN620">
        <f>HYPERLINK("http://exon.niaid.nih.gov/transcriptome/Anopheles_sialome/links/cluster-b/anopheline-sialome-cds-pep-larger-orf95-50SimCLU30.txt", 30)</f>
        <v>30</v>
      </c>
      <c r="CO620">
        <f>HYPERLINK("http://exon.niaid.nih.gov/transcriptome/Anopheles_sialome/links/cluster-b/anopheline-sialome-cds-pep-larger-orf95-50SimCLTL30.txt", 6)</f>
        <v>6</v>
      </c>
    </row>
    <row r="621" spans="1:93">
      <c r="A621" s="2" t="str">
        <f>HYPERLINK("http://exon.niaid.nih.gov/transcriptome/Anopheles_sialome/links/cds/anoara_SG8-cds.txt","anoara_SG8")</f>
        <v>anoara_SG8</v>
      </c>
      <c r="B621">
        <v>675</v>
      </c>
      <c r="C621" t="s">
        <v>597</v>
      </c>
      <c r="D621" t="s">
        <v>7</v>
      </c>
      <c r="E621" t="s">
        <v>5</v>
      </c>
      <c r="F621" t="s">
        <v>1</v>
      </c>
      <c r="G621" t="str">
        <f>HYPERLINK("http://exon.niaid.nih.gov/transcriptome/Anopheles_sialome/links/pep/anoara_SG8-pep.txt","anoara_SG8")</f>
        <v>anoara_SG8</v>
      </c>
      <c r="H621">
        <v>224</v>
      </c>
      <c r="I621">
        <v>1</v>
      </c>
      <c r="J621" s="3" t="str">
        <f>HYPERLINK("http://exon.niaid.nih.gov/transcriptome/Anopheles_sialome/links/Sigp/anoara_SG8-SigP.txt","SIG")</f>
        <v>SIG</v>
      </c>
      <c r="K621" t="s">
        <v>715</v>
      </c>
      <c r="L621">
        <v>25.472999999999999</v>
      </c>
      <c r="M621">
        <v>10.14</v>
      </c>
      <c r="N621">
        <v>22.853000000000002</v>
      </c>
      <c r="O621">
        <v>10.039999999999999</v>
      </c>
      <c r="P621" t="s">
        <v>2154</v>
      </c>
      <c r="Q621" s="3">
        <v>0</v>
      </c>
      <c r="R621" t="s">
        <v>128</v>
      </c>
      <c r="S621" t="s">
        <v>128</v>
      </c>
      <c r="T621" t="s">
        <v>128</v>
      </c>
      <c r="U621" t="s">
        <v>128</v>
      </c>
      <c r="V621" t="s">
        <v>128</v>
      </c>
      <c r="W621" s="3" t="str">
        <f>HYPERLINK("http://exon.niaid.nih.gov/transcriptome/Anopheles_sialome/links/netoglyc/anoara_SG8-netoglyc.txt","0")</f>
        <v>0</v>
      </c>
      <c r="X621">
        <v>14.3</v>
      </c>
      <c r="Y621">
        <v>3.6</v>
      </c>
      <c r="Z621">
        <v>4.9000000000000004</v>
      </c>
      <c r="AA621" t="s">
        <v>654</v>
      </c>
      <c r="AB621" t="s">
        <v>128</v>
      </c>
      <c r="AC621" s="2" t="str">
        <f>HYPERLINK("http://exon.niaid.nih.gov/transcriptome/Anopheles_sialome/links/DIPTERA/anoara_SG8-DIPTERA.txt","gSG8 protein, partial")</f>
        <v>gSG8 protein, partial</v>
      </c>
      <c r="AD621" t="str">
        <f>HYPERLINK("http://www.ncbi.nlm.nih.gov/sutils/blink.cgi?pid=13537674","4E-065")</f>
        <v>4E-065</v>
      </c>
      <c r="AE621" t="str">
        <f t="shared" si="208"/>
        <v>gi|13537674</v>
      </c>
      <c r="AF621">
        <v>97</v>
      </c>
      <c r="AG621">
        <v>98</v>
      </c>
      <c r="AH621">
        <v>100</v>
      </c>
      <c r="AI621" t="s">
        <v>2254</v>
      </c>
      <c r="AJ621" s="2" t="str">
        <f>HYPERLINK("http://exon.niaid.nih.gov/transcriptome/Anopheles_sialome/links/CULICOMORPHA/anoara_SG8-CULICOMORPHA.txt","gSG8 protein, partial")</f>
        <v>gSG8 protein, partial</v>
      </c>
      <c r="AK621" t="str">
        <f>HYPERLINK("http://www.ncbi.nlm.nih.gov/sutils/blink.cgi?pid=13537674","8E-066")</f>
        <v>8E-066</v>
      </c>
      <c r="AL621" t="str">
        <f t="shared" si="209"/>
        <v>gi|13537674</v>
      </c>
      <c r="AM621">
        <v>97</v>
      </c>
      <c r="AN621">
        <v>98</v>
      </c>
      <c r="AO621">
        <v>100</v>
      </c>
      <c r="AP621" t="s">
        <v>2254</v>
      </c>
      <c r="AQ621" s="2" t="str">
        <f>HYPERLINK("http://exon.niaid.nih.gov/transcriptome/Anopheles_sialome/links/NR-LIGHT/anoara_SG8-NR-LIGHT.txt","AGAP010647-PA")</f>
        <v>AGAP010647-PA</v>
      </c>
      <c r="AR621" t="str">
        <f>HYPERLINK("http://www.ncbi.nlm.nih.gov/sutils/blink.cgi?pid=58381624","1E-064")</f>
        <v>1E-064</v>
      </c>
      <c r="AS621" t="str">
        <f t="shared" si="210"/>
        <v>gi|58381624</v>
      </c>
      <c r="AT621">
        <v>97</v>
      </c>
      <c r="AU621">
        <v>98</v>
      </c>
      <c r="AV621">
        <v>100</v>
      </c>
      <c r="AW621" t="s">
        <v>2285</v>
      </c>
      <c r="AX621" s="2" t="str">
        <f>HYPERLINK("http://exon.niaid.nih.gov/transcriptome/Anopheles_sialome/links/CDD/anoara_SG8-CDD.txt","Gal-3-0_sulfotr")</f>
        <v>Gal-3-0_sulfotr</v>
      </c>
      <c r="AY621" t="str">
        <f>HYPERLINK("http://www.ncbi.nlm.nih.gov/Structure/cdd/cddsrv.cgi?uid=pfam06990&amp;version=v4.0","3.1")</f>
        <v>3.1</v>
      </c>
      <c r="AZ621" t="s">
        <v>3098</v>
      </c>
      <c r="BA621" s="2" t="str">
        <f>HYPERLINK("http://exon.niaid.nih.gov/transcriptome/Anopheles_sialome/links/KOG/anoara_SG8-KOG.txt","Trypsin")</f>
        <v>Trypsin</v>
      </c>
      <c r="BB621" t="str">
        <f>HYPERLINK("http://www.ncbi.nlm.nih.gov/Structure/cdd/cddsrv.cgi?uid=KOG3627","0.30")</f>
        <v>0.30</v>
      </c>
      <c r="BC621" t="s">
        <v>2287</v>
      </c>
      <c r="BD621" t="str">
        <f>HYPERLINK("http://exon.niaid.nih.gov/transcriptome/Anopheles_sialome/links/KOG/anoara_SG8-KOG.txt","KOG3627")</f>
        <v>KOG3627</v>
      </c>
      <c r="BE621" t="str">
        <f>HYPERLINK("http://exon.niaid.nih.gov/transcriptome/Anopheles_sialome/links/PFAM/anoara_SG8-PFAM.txt","Gal-3-0_sulfotr")</f>
        <v>Gal-3-0_sulfotr</v>
      </c>
      <c r="BF621" t="str">
        <f>HYPERLINK("http://pfam.sanger.ac.uk/family?acc=PF06990","0.65")</f>
        <v>0.65</v>
      </c>
      <c r="BG621" s="2" t="str">
        <f>HYPERLINK("http://exon.niaid.nih.gov/transcriptome/Anopheles_sialome/links/SMART/anoara_SG8-SMART.txt","HTH_ASNC")</f>
        <v>HTH_ASNC</v>
      </c>
      <c r="BH621" t="str">
        <f>HYPERLINK("http://smart.embl-heidelberg.de/smart/do_annotation.pl?DOMAIN=HTH_ASNC&amp;BLAST=DUMMY","0.90")</f>
        <v>0.90</v>
      </c>
      <c r="BI621" t="str">
        <f>HYPERLINK("http://exon.niaid.nih.gov/transcriptome/Anopheles_sialome/links/TICK-BLOCKS/anoara_SG8-TICK-BLOCKS.txt","G8_salivary_protein |")</f>
        <v>G8_salivary_protein |</v>
      </c>
      <c r="BJ621" s="2" t="s">
        <v>3096</v>
      </c>
      <c r="BK621" t="s">
        <v>2153</v>
      </c>
      <c r="BL621">
        <f>HYPERLINK("http://exon.niaid.nih.gov/transcriptome/Anopheles_sialome/links/cluster-b/anopheline-sialome-cds-pep-larger-orf25-50SimCLU13.txt", 13)</f>
        <v>13</v>
      </c>
      <c r="BM621">
        <f>HYPERLINK("http://exon.niaid.nih.gov/transcriptome/Anopheles_sialome/links/cluster-b/anopheline-sialome-cds-pep-larger-orf25-50SimCLTL13.txt", 19)</f>
        <v>19</v>
      </c>
      <c r="BN621">
        <f>HYPERLINK("http://exon.niaid.nih.gov/transcriptome/Anopheles_sialome/links/cluster-b/anopheline-sialome-cds-pep-larger-orf30-50SimCLU12.txt", 12)</f>
        <v>12</v>
      </c>
      <c r="BO621">
        <f>HYPERLINK("http://exon.niaid.nih.gov/transcriptome/Anopheles_sialome/links/cluster-b/anopheline-sialome-cds-pep-larger-orf30-50SimCLTL12.txt", 19)</f>
        <v>19</v>
      </c>
      <c r="BP621">
        <f>HYPERLINK("http://exon.niaid.nih.gov/transcriptome/Anopheles_sialome/links/cluster-b/anopheline-sialome-cds-pep-larger-orf35-50SimCLU14.txt", 14)</f>
        <v>14</v>
      </c>
      <c r="BQ621">
        <f>HYPERLINK("http://exon.niaid.nih.gov/transcriptome/Anopheles_sialome/links/cluster-b/anopheline-sialome-cds-pep-larger-orf35-50SimCLTL14.txt", 19)</f>
        <v>19</v>
      </c>
      <c r="BR621">
        <f>HYPERLINK("http://exon.niaid.nih.gov/transcriptome/Anopheles_sialome/links/cluster-b/anopheline-sialome-cds-pep-larger-orf40-50SimCLU16.txt", 16)</f>
        <v>16</v>
      </c>
      <c r="BS621">
        <f>HYPERLINK("http://exon.niaid.nih.gov/transcriptome/Anopheles_sialome/links/cluster-b/anopheline-sialome-cds-pep-larger-orf40-50SimCLTL16.txt", 19)</f>
        <v>19</v>
      </c>
      <c r="BT621">
        <f>HYPERLINK("http://exon.niaid.nih.gov/transcriptome/Anopheles_sialome/links/cluster-b/anopheline-sialome-cds-pep-larger-orf45-50SimCLU16.txt", 16)</f>
        <v>16</v>
      </c>
      <c r="BU621">
        <f>HYPERLINK("http://exon.niaid.nih.gov/transcriptome/Anopheles_sialome/links/cluster-b/anopheline-sialome-cds-pep-larger-orf45-50SimCLTL16.txt", 19)</f>
        <v>19</v>
      </c>
      <c r="BV621">
        <f>HYPERLINK("http://exon.niaid.nih.gov/transcriptome/Anopheles_sialome/links/cluster-b/anopheline-sialome-cds-pep-larger-orf50-50SimCLU15.txt", 15)</f>
        <v>15</v>
      </c>
      <c r="BW621">
        <f>HYPERLINK("http://exon.niaid.nih.gov/transcriptome/Anopheles_sialome/links/cluster-b/anopheline-sialome-cds-pep-larger-orf50-50SimCLTL15.txt", 19)</f>
        <v>19</v>
      </c>
      <c r="BX621">
        <f>HYPERLINK("http://exon.niaid.nih.gov/transcriptome/Anopheles_sialome/links/cluster-b/anopheline-sialome-cds-pep-larger-orf55-50SimCLU16.txt", 16)</f>
        <v>16</v>
      </c>
      <c r="BY621">
        <f>HYPERLINK("http://exon.niaid.nih.gov/transcriptome/Anopheles_sialome/links/cluster-b/anopheline-sialome-cds-pep-larger-orf55-50SimCLTL16.txt", 19)</f>
        <v>19</v>
      </c>
      <c r="BZ621">
        <f>HYPERLINK("http://exon.niaid.nih.gov/transcriptome/Anopheles_sialome/links/cluster-b/anopheline-sialome-cds-pep-larger-orf60-50SimCLU15.txt", 15)</f>
        <v>15</v>
      </c>
      <c r="CA621">
        <f>HYPERLINK("http://exon.niaid.nih.gov/transcriptome/Anopheles_sialome/links/cluster-b/anopheline-sialome-cds-pep-larger-orf60-50SimCLTL15.txt", 19)</f>
        <v>19</v>
      </c>
      <c r="CB621">
        <f>HYPERLINK("http://exon.niaid.nih.gov/transcriptome/Anopheles_sialome/links/cluster-b/anopheline-sialome-cds-pep-larger-orf65-50SimCLU21.txt", 21)</f>
        <v>21</v>
      </c>
      <c r="CC621">
        <f>HYPERLINK("http://exon.niaid.nih.gov/transcriptome/Anopheles_sialome/links/cluster-b/anopheline-sialome-cds-pep-larger-orf65-50SimCLTL21.txt", 17)</f>
        <v>17</v>
      </c>
      <c r="CD621">
        <f>HYPERLINK("http://exon.niaid.nih.gov/transcriptome/Anopheles_sialome/links/cluster-b/anopheline-sialome-cds-pep-larger-orf70-50SimCLU27.txt", 27)</f>
        <v>27</v>
      </c>
      <c r="CE621">
        <f>HYPERLINK("http://exon.niaid.nih.gov/transcriptome/Anopheles_sialome/links/cluster-b/anopheline-sialome-cds-pep-larger-orf70-50SimCLTL27.txt", 15)</f>
        <v>15</v>
      </c>
      <c r="CF621">
        <f>HYPERLINK("http://exon.niaid.nih.gov/transcriptome/Anopheles_sialome/links/cluster-b/anopheline-sialome-cds-pep-larger-orf75-50SimCLU27.txt", 27)</f>
        <v>27</v>
      </c>
      <c r="CG621">
        <f>HYPERLINK("http://exon.niaid.nih.gov/transcriptome/Anopheles_sialome/links/cluster-b/anopheline-sialome-cds-pep-larger-orf75-50SimCLTL27.txt", 13)</f>
        <v>13</v>
      </c>
      <c r="CH621">
        <f>HYPERLINK("http://exon.niaid.nih.gov/transcriptome/Anopheles_sialome/links/cluster-b/anopheline-sialome-cds-pep-larger-orf80-50SimCLU29.txt", 29)</f>
        <v>29</v>
      </c>
      <c r="CI621">
        <f>HYPERLINK("http://exon.niaid.nih.gov/transcriptome/Anopheles_sialome/links/cluster-b/anopheline-sialome-cds-pep-larger-orf80-50SimCLTL29.txt", 8)</f>
        <v>8</v>
      </c>
      <c r="CJ621">
        <f>HYPERLINK("http://exon.niaid.nih.gov/transcriptome/Anopheles_sialome/links/cluster-b/anopheline-sialome-cds-pep-larger-orf85-50SimCLU25.txt", 25)</f>
        <v>25</v>
      </c>
      <c r="CK621">
        <f>HYPERLINK("http://exon.niaid.nih.gov/transcriptome/Anopheles_sialome/links/cluster-b/anopheline-sialome-cds-pep-larger-orf85-50SimCLTL25.txt", 7)</f>
        <v>7</v>
      </c>
      <c r="CL621">
        <f>HYPERLINK("http://exon.niaid.nih.gov/transcriptome/Anopheles_sialome/links/cluster-b/anopheline-sialome-cds-pep-larger-orf90-50SimCLU38.txt", 38)</f>
        <v>38</v>
      </c>
      <c r="CM621">
        <f>HYPERLINK("http://exon.niaid.nih.gov/transcriptome/Anopheles_sialome/links/cluster-b/anopheline-sialome-cds-pep-larger-orf90-50SimCLTL38.txt", 6)</f>
        <v>6</v>
      </c>
      <c r="CN621">
        <f>HYPERLINK("http://exon.niaid.nih.gov/transcriptome/Anopheles_sialome/links/cluster-b/anopheline-sialome-cds-pep-larger-orf95-50SimCLU30.txt", 30)</f>
        <v>30</v>
      </c>
      <c r="CO621">
        <f>HYPERLINK("http://exon.niaid.nih.gov/transcriptome/Anopheles_sialome/links/cluster-b/anopheline-sialome-cds-pep-larger-orf95-50SimCLTL30.txt", 6)</f>
        <v>6</v>
      </c>
    </row>
    <row r="622" spans="1:93">
      <c r="A622" s="2" t="str">
        <f>HYPERLINK("http://exon.niaid.nih.gov/transcriptome/Anopheles_sialome/links/cds/anoqua_SG8-cds.txt","anoqua_SG8")</f>
        <v>anoqua_SG8</v>
      </c>
      <c r="B622">
        <v>675</v>
      </c>
      <c r="C622" t="s">
        <v>598</v>
      </c>
      <c r="D622" t="s">
        <v>7</v>
      </c>
      <c r="E622" t="s">
        <v>5</v>
      </c>
      <c r="F622" t="s">
        <v>1</v>
      </c>
      <c r="G622" t="str">
        <f>HYPERLINK("http://exon.niaid.nih.gov/transcriptome/Anopheles_sialome/links/pep/anoqua_SG8-pep.txt","anoqua_SG8")</f>
        <v>anoqua_SG8</v>
      </c>
      <c r="H622">
        <v>224</v>
      </c>
      <c r="I622">
        <v>1</v>
      </c>
      <c r="J622" s="3" t="str">
        <f>HYPERLINK("http://exon.niaid.nih.gov/transcriptome/Anopheles_sialome/links/Sigp/anoqua_SG8-SigP.txt","SIG")</f>
        <v>SIG</v>
      </c>
      <c r="K622" t="s">
        <v>715</v>
      </c>
      <c r="L622">
        <v>25.472000000000001</v>
      </c>
      <c r="M622">
        <v>10.09</v>
      </c>
      <c r="N622">
        <v>22.895</v>
      </c>
      <c r="O622">
        <v>9.8800000000000008</v>
      </c>
      <c r="P622" t="s">
        <v>2156</v>
      </c>
      <c r="Q622" s="3">
        <v>0</v>
      </c>
      <c r="R622" t="s">
        <v>128</v>
      </c>
      <c r="S622" t="s">
        <v>128</v>
      </c>
      <c r="T622" t="s">
        <v>128</v>
      </c>
      <c r="U622" t="s">
        <v>128</v>
      </c>
      <c r="V622" t="s">
        <v>128</v>
      </c>
      <c r="W622" s="3" t="str">
        <f>HYPERLINK("http://exon.niaid.nih.gov/transcriptome/Anopheles_sialome/links/netoglyc/anoqua_SG8-netoglyc.txt","0")</f>
        <v>0</v>
      </c>
      <c r="X622">
        <v>14.7</v>
      </c>
      <c r="Y622">
        <v>3.6</v>
      </c>
      <c r="Z622">
        <v>5.4</v>
      </c>
      <c r="AA622" t="s">
        <v>654</v>
      </c>
      <c r="AB622" t="s">
        <v>128</v>
      </c>
      <c r="AC622" s="2" t="str">
        <f>HYPERLINK("http://exon.niaid.nih.gov/transcriptome/Anopheles_sialome/links/DIPTERA/anoqua_SG8-DIPTERA.txt","gSG8 protein, partial")</f>
        <v>gSG8 protein, partial</v>
      </c>
      <c r="AD622" t="str">
        <f>HYPERLINK("http://www.ncbi.nlm.nih.gov/sutils/blink.cgi?pid=13537674","9E-066")</f>
        <v>9E-066</v>
      </c>
      <c r="AE622" t="str">
        <f t="shared" si="208"/>
        <v>gi|13537674</v>
      </c>
      <c r="AF622">
        <v>98</v>
      </c>
      <c r="AG622">
        <v>98</v>
      </c>
      <c r="AH622">
        <v>100</v>
      </c>
      <c r="AI622" t="s">
        <v>2254</v>
      </c>
      <c r="AJ622" s="2" t="str">
        <f>HYPERLINK("http://exon.niaid.nih.gov/transcriptome/Anopheles_sialome/links/CULICOMORPHA/anoqua_SG8-CULICOMORPHA.txt","gSG8 protein, partial")</f>
        <v>gSG8 protein, partial</v>
      </c>
      <c r="AK622" t="str">
        <f>HYPERLINK("http://www.ncbi.nlm.nih.gov/sutils/blink.cgi?pid=13537674","2E-066")</f>
        <v>2E-066</v>
      </c>
      <c r="AL622" t="str">
        <f t="shared" si="209"/>
        <v>gi|13537674</v>
      </c>
      <c r="AM622">
        <v>98</v>
      </c>
      <c r="AN622">
        <v>98</v>
      </c>
      <c r="AO622">
        <v>100</v>
      </c>
      <c r="AP622" t="s">
        <v>2254</v>
      </c>
      <c r="AQ622" s="2" t="str">
        <f>HYPERLINK("http://exon.niaid.nih.gov/transcriptome/Anopheles_sialome/links/NR-LIGHT/anoqua_SG8-NR-LIGHT.txt","AGAP010647-PA")</f>
        <v>AGAP010647-PA</v>
      </c>
      <c r="AR622" t="str">
        <f>HYPERLINK("http://www.ncbi.nlm.nih.gov/sutils/blink.cgi?pid=58381624","2E-065")</f>
        <v>2E-065</v>
      </c>
      <c r="AS622" t="str">
        <f t="shared" si="210"/>
        <v>gi|58381624</v>
      </c>
      <c r="AT622">
        <v>98</v>
      </c>
      <c r="AU622">
        <v>98</v>
      </c>
      <c r="AV622">
        <v>100</v>
      </c>
      <c r="AW622" t="s">
        <v>2285</v>
      </c>
      <c r="AX622" s="2" t="str">
        <f>HYPERLINK("http://exon.niaid.nih.gov/transcriptome/Anopheles_sialome/links/CDD/anoqua_SG8-CDD.txt","Gal-3-0_sulfotr")</f>
        <v>Gal-3-0_sulfotr</v>
      </c>
      <c r="AY622" t="str">
        <f>HYPERLINK("http://www.ncbi.nlm.nih.gov/Structure/cdd/cddsrv.cgi?uid=pfam06990&amp;version=v4.0","3.2")</f>
        <v>3.2</v>
      </c>
      <c r="AZ622" t="s">
        <v>3099</v>
      </c>
      <c r="BA622" s="2" t="str">
        <f>HYPERLINK("http://exon.niaid.nih.gov/transcriptome/Anopheles_sialome/links/KOG/anoqua_SG8-KOG.txt","Putative transcription factor 5qNCA, contains JmjC domain")</f>
        <v>Putative transcription factor 5qNCA, contains JmjC domain</v>
      </c>
      <c r="BB622" t="str">
        <f>HYPERLINK("http://www.ncbi.nlm.nih.gov/Structure/cdd/cddsrv.cgi?uid=KOG1356","0.052")</f>
        <v>0.052</v>
      </c>
      <c r="BC622" t="s">
        <v>2262</v>
      </c>
      <c r="BD622" t="str">
        <f>HYPERLINK("http://exon.niaid.nih.gov/transcriptome/Anopheles_sialome/links/KOG/anoqua_SG8-KOG.txt","KOG1356")</f>
        <v>KOG1356</v>
      </c>
      <c r="BE622" t="str">
        <f>HYPERLINK("http://exon.niaid.nih.gov/transcriptome/Anopheles_sialome/links/PFAM/anoqua_SG8-PFAM.txt","Gal-3-0_sulfotr")</f>
        <v>Gal-3-0_sulfotr</v>
      </c>
      <c r="BF622" t="str">
        <f>HYPERLINK("http://pfam.sanger.ac.uk/family?acc=PF06990","0.67")</f>
        <v>0.67</v>
      </c>
      <c r="BG622" s="2" t="str">
        <f>HYPERLINK("http://exon.niaid.nih.gov/transcriptome/Anopheles_sialome/links/SMART/anoqua_SG8-SMART.txt","HTH_ASNC")</f>
        <v>HTH_ASNC</v>
      </c>
      <c r="BH622" t="str">
        <f>HYPERLINK("http://smart.embl-heidelberg.de/smart/do_annotation.pl?DOMAIN=HTH_ASNC&amp;BLAST=DUMMY","1.0")</f>
        <v>1.0</v>
      </c>
      <c r="BI622" t="str">
        <f>HYPERLINK("http://exon.niaid.nih.gov/transcriptome/Anopheles_sialome/links/TICK-BLOCKS/anoqua_SG8-TICK-BLOCKS.txt","G8_salivary_protein |")</f>
        <v>G8_salivary_protein |</v>
      </c>
      <c r="BJ622" s="2" t="s">
        <v>3096</v>
      </c>
      <c r="BK622" t="s">
        <v>2155</v>
      </c>
      <c r="BL622">
        <f>HYPERLINK("http://exon.niaid.nih.gov/transcriptome/Anopheles_sialome/links/cluster-b/anopheline-sialome-cds-pep-larger-orf25-50SimCLU13.txt", 13)</f>
        <v>13</v>
      </c>
      <c r="BM622">
        <f>HYPERLINK("http://exon.niaid.nih.gov/transcriptome/Anopheles_sialome/links/cluster-b/anopheline-sialome-cds-pep-larger-orf25-50SimCLTL13.txt", 19)</f>
        <v>19</v>
      </c>
      <c r="BN622">
        <f>HYPERLINK("http://exon.niaid.nih.gov/transcriptome/Anopheles_sialome/links/cluster-b/anopheline-sialome-cds-pep-larger-orf30-50SimCLU12.txt", 12)</f>
        <v>12</v>
      </c>
      <c r="BO622">
        <f>HYPERLINK("http://exon.niaid.nih.gov/transcriptome/Anopheles_sialome/links/cluster-b/anopheline-sialome-cds-pep-larger-orf30-50SimCLTL12.txt", 19)</f>
        <v>19</v>
      </c>
      <c r="BP622">
        <f>HYPERLINK("http://exon.niaid.nih.gov/transcriptome/Anopheles_sialome/links/cluster-b/anopheline-sialome-cds-pep-larger-orf35-50SimCLU14.txt", 14)</f>
        <v>14</v>
      </c>
      <c r="BQ622">
        <f>HYPERLINK("http://exon.niaid.nih.gov/transcriptome/Anopheles_sialome/links/cluster-b/anopheline-sialome-cds-pep-larger-orf35-50SimCLTL14.txt", 19)</f>
        <v>19</v>
      </c>
      <c r="BR622">
        <f>HYPERLINK("http://exon.niaid.nih.gov/transcriptome/Anopheles_sialome/links/cluster-b/anopheline-sialome-cds-pep-larger-orf40-50SimCLU16.txt", 16)</f>
        <v>16</v>
      </c>
      <c r="BS622">
        <f>HYPERLINK("http://exon.niaid.nih.gov/transcriptome/Anopheles_sialome/links/cluster-b/anopheline-sialome-cds-pep-larger-orf40-50SimCLTL16.txt", 19)</f>
        <v>19</v>
      </c>
      <c r="BT622">
        <f>HYPERLINK("http://exon.niaid.nih.gov/transcriptome/Anopheles_sialome/links/cluster-b/anopheline-sialome-cds-pep-larger-orf45-50SimCLU16.txt", 16)</f>
        <v>16</v>
      </c>
      <c r="BU622">
        <f>HYPERLINK("http://exon.niaid.nih.gov/transcriptome/Anopheles_sialome/links/cluster-b/anopheline-sialome-cds-pep-larger-orf45-50SimCLTL16.txt", 19)</f>
        <v>19</v>
      </c>
      <c r="BV622">
        <f>HYPERLINK("http://exon.niaid.nih.gov/transcriptome/Anopheles_sialome/links/cluster-b/anopheline-sialome-cds-pep-larger-orf50-50SimCLU15.txt", 15)</f>
        <v>15</v>
      </c>
      <c r="BW622">
        <f>HYPERLINK("http://exon.niaid.nih.gov/transcriptome/Anopheles_sialome/links/cluster-b/anopheline-sialome-cds-pep-larger-orf50-50SimCLTL15.txt", 19)</f>
        <v>19</v>
      </c>
      <c r="BX622">
        <f>HYPERLINK("http://exon.niaid.nih.gov/transcriptome/Anopheles_sialome/links/cluster-b/anopheline-sialome-cds-pep-larger-orf55-50SimCLU16.txt", 16)</f>
        <v>16</v>
      </c>
      <c r="BY622">
        <f>HYPERLINK("http://exon.niaid.nih.gov/transcriptome/Anopheles_sialome/links/cluster-b/anopheline-sialome-cds-pep-larger-orf55-50SimCLTL16.txt", 19)</f>
        <v>19</v>
      </c>
      <c r="BZ622">
        <f>HYPERLINK("http://exon.niaid.nih.gov/transcriptome/Anopheles_sialome/links/cluster-b/anopheline-sialome-cds-pep-larger-orf60-50SimCLU15.txt", 15)</f>
        <v>15</v>
      </c>
      <c r="CA622">
        <f>HYPERLINK("http://exon.niaid.nih.gov/transcriptome/Anopheles_sialome/links/cluster-b/anopheline-sialome-cds-pep-larger-orf60-50SimCLTL15.txt", 19)</f>
        <v>19</v>
      </c>
      <c r="CB622">
        <f>HYPERLINK("http://exon.niaid.nih.gov/transcriptome/Anopheles_sialome/links/cluster-b/anopheline-sialome-cds-pep-larger-orf65-50SimCLU21.txt", 21)</f>
        <v>21</v>
      </c>
      <c r="CC622">
        <f>HYPERLINK("http://exon.niaid.nih.gov/transcriptome/Anopheles_sialome/links/cluster-b/anopheline-sialome-cds-pep-larger-orf65-50SimCLTL21.txt", 17)</f>
        <v>17</v>
      </c>
      <c r="CD622">
        <f>HYPERLINK("http://exon.niaid.nih.gov/transcriptome/Anopheles_sialome/links/cluster-b/anopheline-sialome-cds-pep-larger-orf70-50SimCLU27.txt", 27)</f>
        <v>27</v>
      </c>
      <c r="CE622">
        <f>HYPERLINK("http://exon.niaid.nih.gov/transcriptome/Anopheles_sialome/links/cluster-b/anopheline-sialome-cds-pep-larger-orf70-50SimCLTL27.txt", 15)</f>
        <v>15</v>
      </c>
      <c r="CF622">
        <f>HYPERLINK("http://exon.niaid.nih.gov/transcriptome/Anopheles_sialome/links/cluster-b/anopheline-sialome-cds-pep-larger-orf75-50SimCLU27.txt", 27)</f>
        <v>27</v>
      </c>
      <c r="CG622">
        <f>HYPERLINK("http://exon.niaid.nih.gov/transcriptome/Anopheles_sialome/links/cluster-b/anopheline-sialome-cds-pep-larger-orf75-50SimCLTL27.txt", 13)</f>
        <v>13</v>
      </c>
      <c r="CH622">
        <f>HYPERLINK("http://exon.niaid.nih.gov/transcriptome/Anopheles_sialome/links/cluster-b/anopheline-sialome-cds-pep-larger-orf80-50SimCLU29.txt", 29)</f>
        <v>29</v>
      </c>
      <c r="CI622">
        <f>HYPERLINK("http://exon.niaid.nih.gov/transcriptome/Anopheles_sialome/links/cluster-b/anopheline-sialome-cds-pep-larger-orf80-50SimCLTL29.txt", 8)</f>
        <v>8</v>
      </c>
      <c r="CJ622">
        <f>HYPERLINK("http://exon.niaid.nih.gov/transcriptome/Anopheles_sialome/links/cluster-b/anopheline-sialome-cds-pep-larger-orf85-50SimCLU25.txt", 25)</f>
        <v>25</v>
      </c>
      <c r="CK622">
        <f>HYPERLINK("http://exon.niaid.nih.gov/transcriptome/Anopheles_sialome/links/cluster-b/anopheline-sialome-cds-pep-larger-orf85-50SimCLTL25.txt", 7)</f>
        <v>7</v>
      </c>
      <c r="CL622">
        <f>HYPERLINK("http://exon.niaid.nih.gov/transcriptome/Anopheles_sialome/links/cluster-b/anopheline-sialome-cds-pep-larger-orf90-50SimCLU38.txt", 38)</f>
        <v>38</v>
      </c>
      <c r="CM622">
        <f>HYPERLINK("http://exon.niaid.nih.gov/transcriptome/Anopheles_sialome/links/cluster-b/anopheline-sialome-cds-pep-larger-orf90-50SimCLTL38.txt", 6)</f>
        <v>6</v>
      </c>
      <c r="CN622">
        <f>HYPERLINK("http://exon.niaid.nih.gov/transcriptome/Anopheles_sialome/links/cluster-b/anopheline-sialome-cds-pep-larger-orf95-50SimCLU30.txt", 30)</f>
        <v>30</v>
      </c>
      <c r="CO622">
        <f>HYPERLINK("http://exon.niaid.nih.gov/transcriptome/Anopheles_sialome/links/cluster-b/anopheline-sialome-cds-pep-larger-orf95-50SimCLTL30.txt", 6)</f>
        <v>6</v>
      </c>
    </row>
    <row r="623" spans="1:93">
      <c r="A623" s="2" t="str">
        <f>HYPERLINK("http://exon.niaid.nih.gov/transcriptome/Anopheles_sialome/links/cds/anomer_SG8-cds.txt","anomer_SG8")</f>
        <v>anomer_SG8</v>
      </c>
      <c r="B623">
        <v>675</v>
      </c>
      <c r="C623" t="s">
        <v>599</v>
      </c>
      <c r="D623" t="s">
        <v>4</v>
      </c>
      <c r="E623" t="s">
        <v>5</v>
      </c>
      <c r="F623" t="s">
        <v>1</v>
      </c>
      <c r="G623" t="str">
        <f>HYPERLINK("http://exon.niaid.nih.gov/transcriptome/Anopheles_sialome/links/pep/anomer_SG8-pep.txt","anomer_SG8")</f>
        <v>anomer_SG8</v>
      </c>
      <c r="H623">
        <v>224</v>
      </c>
      <c r="I623">
        <v>1</v>
      </c>
      <c r="J623" s="3" t="str">
        <f>HYPERLINK("http://exon.niaid.nih.gov/transcriptome/Anopheles_sialome/links/Sigp/anomer_SG8-SigP.txt","SIG")</f>
        <v>SIG</v>
      </c>
      <c r="K623" t="s">
        <v>715</v>
      </c>
      <c r="L623">
        <v>25.527999999999999</v>
      </c>
      <c r="M623">
        <v>10.14</v>
      </c>
      <c r="N623">
        <v>22.917000000000002</v>
      </c>
      <c r="O623">
        <v>9.94</v>
      </c>
      <c r="P623" t="s">
        <v>2158</v>
      </c>
      <c r="Q623" s="3">
        <v>0</v>
      </c>
      <c r="R623" t="s">
        <v>128</v>
      </c>
      <c r="S623" t="s">
        <v>128</v>
      </c>
      <c r="T623" t="s">
        <v>128</v>
      </c>
      <c r="U623" t="s">
        <v>128</v>
      </c>
      <c r="V623" t="s">
        <v>128</v>
      </c>
      <c r="W623" s="3" t="str">
        <f>HYPERLINK("http://exon.niaid.nih.gov/transcriptome/Anopheles_sialome/links/netoglyc/anomer_SG8-netoglyc.txt","0")</f>
        <v>0</v>
      </c>
      <c r="X623">
        <v>14.7</v>
      </c>
      <c r="Y623">
        <v>3.6</v>
      </c>
      <c r="Z623">
        <v>5.4</v>
      </c>
      <c r="AA623" t="s">
        <v>654</v>
      </c>
      <c r="AB623" t="s">
        <v>128</v>
      </c>
      <c r="AC623" s="2" t="str">
        <f>HYPERLINK("http://exon.niaid.nih.gov/transcriptome/Anopheles_sialome/links/DIPTERA/anomer_SG8-DIPTERA.txt","gSG8 protein, partial")</f>
        <v>gSG8 protein, partial</v>
      </c>
      <c r="AD623" t="str">
        <f>HYPERLINK("http://www.ncbi.nlm.nih.gov/sutils/blink.cgi?pid=13537674","4E-065")</f>
        <v>4E-065</v>
      </c>
      <c r="AE623" t="str">
        <f t="shared" si="208"/>
        <v>gi|13537674</v>
      </c>
      <c r="AF623">
        <v>97</v>
      </c>
      <c r="AG623">
        <v>98</v>
      </c>
      <c r="AH623">
        <v>100</v>
      </c>
      <c r="AI623" t="s">
        <v>2254</v>
      </c>
      <c r="AJ623" s="2" t="str">
        <f>HYPERLINK("http://exon.niaid.nih.gov/transcriptome/Anopheles_sialome/links/CULICOMORPHA/anomer_SG8-CULICOMORPHA.txt","gSG8 protein, partial")</f>
        <v>gSG8 protein, partial</v>
      </c>
      <c r="AK623" t="str">
        <f>HYPERLINK("http://www.ncbi.nlm.nih.gov/sutils/blink.cgi?pid=13537674","8E-066")</f>
        <v>8E-066</v>
      </c>
      <c r="AL623" t="str">
        <f t="shared" si="209"/>
        <v>gi|13537674</v>
      </c>
      <c r="AM623">
        <v>97</v>
      </c>
      <c r="AN623">
        <v>98</v>
      </c>
      <c r="AO623">
        <v>100</v>
      </c>
      <c r="AP623" t="s">
        <v>2254</v>
      </c>
      <c r="AQ623" s="2" t="str">
        <f>HYPERLINK("http://exon.niaid.nih.gov/transcriptome/Anopheles_sialome/links/NR-LIGHT/anomer_SG8-NR-LIGHT.txt","AGAP010647-PA")</f>
        <v>AGAP010647-PA</v>
      </c>
      <c r="AR623" t="str">
        <f>HYPERLINK("http://www.ncbi.nlm.nih.gov/sutils/blink.cgi?pid=58381624","1E-064")</f>
        <v>1E-064</v>
      </c>
      <c r="AS623" t="str">
        <f t="shared" si="210"/>
        <v>gi|58381624</v>
      </c>
      <c r="AT623">
        <v>97</v>
      </c>
      <c r="AU623">
        <v>98</v>
      </c>
      <c r="AV623">
        <v>100</v>
      </c>
      <c r="AW623" t="s">
        <v>2285</v>
      </c>
      <c r="AX623" s="2" t="str">
        <f>HYPERLINK("http://exon.niaid.nih.gov/transcriptome/Anopheles_sialome/links/CDD/anomer_SG8-CDD.txt","PRK02654")</f>
        <v>PRK02654</v>
      </c>
      <c r="AY623" t="str">
        <f>HYPERLINK("http://www.ncbi.nlm.nih.gov/Structure/cdd/cddsrv.cgi?uid=PRK02654&amp;version=v4.0","1.8")</f>
        <v>1.8</v>
      </c>
      <c r="AZ623" t="s">
        <v>3100</v>
      </c>
      <c r="BA623" s="2" t="str">
        <f>HYPERLINK("http://exon.niaid.nih.gov/transcriptome/Anopheles_sialome/links/KOG/anomer_SG8-KOG.txt","Trypsin")</f>
        <v>Trypsin</v>
      </c>
      <c r="BB623" t="str">
        <f>HYPERLINK("http://www.ncbi.nlm.nih.gov/Structure/cdd/cddsrv.cgi?uid=KOG3627","0.059")</f>
        <v>0.059</v>
      </c>
      <c r="BC623" t="s">
        <v>2287</v>
      </c>
      <c r="BD623" t="str">
        <f>HYPERLINK("http://exon.niaid.nih.gov/transcriptome/Anopheles_sialome/links/KOG/anomer_SG8-KOG.txt","KOG3627")</f>
        <v>KOG3627</v>
      </c>
      <c r="BE623" t="str">
        <f>HYPERLINK("http://exon.niaid.nih.gov/transcriptome/Anopheles_sialome/links/PFAM/anomer_SG8-PFAM.txt","Sds3")</f>
        <v>Sds3</v>
      </c>
      <c r="BF623" t="str">
        <f>HYPERLINK("http://pfam.sanger.ac.uk/family?acc=PF08598","1.2")</f>
        <v>1.2</v>
      </c>
      <c r="BG623" s="2" t="str">
        <f>HYPERLINK("http://exon.niaid.nih.gov/transcriptome/Anopheles_sialome/links/SMART/anomer_SG8-SMART.txt","HTH_ASNC")</f>
        <v>HTH_ASNC</v>
      </c>
      <c r="BH623" t="str">
        <f>HYPERLINK("http://smart.embl-heidelberg.de/smart/do_annotation.pl?DOMAIN=HTH_ASNC&amp;BLAST=DUMMY","0.92")</f>
        <v>0.92</v>
      </c>
      <c r="BI623" t="str">
        <f>HYPERLINK("http://exon.niaid.nih.gov/transcriptome/Anopheles_sialome/links/TICK-BLOCKS/anomer_SG8-TICK-BLOCKS.txt","G8_salivary_protein |")</f>
        <v>G8_salivary_protein |</v>
      </c>
      <c r="BJ623" s="2" t="s">
        <v>3096</v>
      </c>
      <c r="BK623" t="s">
        <v>2157</v>
      </c>
      <c r="BL623">
        <f>HYPERLINK("http://exon.niaid.nih.gov/transcriptome/Anopheles_sialome/links/cluster-b/anopheline-sialome-cds-pep-larger-orf25-50SimCLU13.txt", 13)</f>
        <v>13</v>
      </c>
      <c r="BM623">
        <f>HYPERLINK("http://exon.niaid.nih.gov/transcriptome/Anopheles_sialome/links/cluster-b/anopheline-sialome-cds-pep-larger-orf25-50SimCLTL13.txt", 19)</f>
        <v>19</v>
      </c>
      <c r="BN623">
        <f>HYPERLINK("http://exon.niaid.nih.gov/transcriptome/Anopheles_sialome/links/cluster-b/anopheline-sialome-cds-pep-larger-orf30-50SimCLU12.txt", 12)</f>
        <v>12</v>
      </c>
      <c r="BO623">
        <f>HYPERLINK("http://exon.niaid.nih.gov/transcriptome/Anopheles_sialome/links/cluster-b/anopheline-sialome-cds-pep-larger-orf30-50SimCLTL12.txt", 19)</f>
        <v>19</v>
      </c>
      <c r="BP623">
        <f>HYPERLINK("http://exon.niaid.nih.gov/transcriptome/Anopheles_sialome/links/cluster-b/anopheline-sialome-cds-pep-larger-orf35-50SimCLU14.txt", 14)</f>
        <v>14</v>
      </c>
      <c r="BQ623">
        <f>HYPERLINK("http://exon.niaid.nih.gov/transcriptome/Anopheles_sialome/links/cluster-b/anopheline-sialome-cds-pep-larger-orf35-50SimCLTL14.txt", 19)</f>
        <v>19</v>
      </c>
      <c r="BR623">
        <f>HYPERLINK("http://exon.niaid.nih.gov/transcriptome/Anopheles_sialome/links/cluster-b/anopheline-sialome-cds-pep-larger-orf40-50SimCLU16.txt", 16)</f>
        <v>16</v>
      </c>
      <c r="BS623">
        <f>HYPERLINK("http://exon.niaid.nih.gov/transcriptome/Anopheles_sialome/links/cluster-b/anopheline-sialome-cds-pep-larger-orf40-50SimCLTL16.txt", 19)</f>
        <v>19</v>
      </c>
      <c r="BT623">
        <f>HYPERLINK("http://exon.niaid.nih.gov/transcriptome/Anopheles_sialome/links/cluster-b/anopheline-sialome-cds-pep-larger-orf45-50SimCLU16.txt", 16)</f>
        <v>16</v>
      </c>
      <c r="BU623">
        <f>HYPERLINK("http://exon.niaid.nih.gov/transcriptome/Anopheles_sialome/links/cluster-b/anopheline-sialome-cds-pep-larger-orf45-50SimCLTL16.txt", 19)</f>
        <v>19</v>
      </c>
      <c r="BV623">
        <f>HYPERLINK("http://exon.niaid.nih.gov/transcriptome/Anopheles_sialome/links/cluster-b/anopheline-sialome-cds-pep-larger-orf50-50SimCLU15.txt", 15)</f>
        <v>15</v>
      </c>
      <c r="BW623">
        <f>HYPERLINK("http://exon.niaid.nih.gov/transcriptome/Anopheles_sialome/links/cluster-b/anopheline-sialome-cds-pep-larger-orf50-50SimCLTL15.txt", 19)</f>
        <v>19</v>
      </c>
      <c r="BX623">
        <f>HYPERLINK("http://exon.niaid.nih.gov/transcriptome/Anopheles_sialome/links/cluster-b/anopheline-sialome-cds-pep-larger-orf55-50SimCLU16.txt", 16)</f>
        <v>16</v>
      </c>
      <c r="BY623">
        <f>HYPERLINK("http://exon.niaid.nih.gov/transcriptome/Anopheles_sialome/links/cluster-b/anopheline-sialome-cds-pep-larger-orf55-50SimCLTL16.txt", 19)</f>
        <v>19</v>
      </c>
      <c r="BZ623">
        <f>HYPERLINK("http://exon.niaid.nih.gov/transcriptome/Anopheles_sialome/links/cluster-b/anopheline-sialome-cds-pep-larger-orf60-50SimCLU15.txt", 15)</f>
        <v>15</v>
      </c>
      <c r="CA623">
        <f>HYPERLINK("http://exon.niaid.nih.gov/transcriptome/Anopheles_sialome/links/cluster-b/anopheline-sialome-cds-pep-larger-orf60-50SimCLTL15.txt", 19)</f>
        <v>19</v>
      </c>
      <c r="CB623">
        <f>HYPERLINK("http://exon.niaid.nih.gov/transcriptome/Anopheles_sialome/links/cluster-b/anopheline-sialome-cds-pep-larger-orf65-50SimCLU21.txt", 21)</f>
        <v>21</v>
      </c>
      <c r="CC623">
        <f>HYPERLINK("http://exon.niaid.nih.gov/transcriptome/Anopheles_sialome/links/cluster-b/anopheline-sialome-cds-pep-larger-orf65-50SimCLTL21.txt", 17)</f>
        <v>17</v>
      </c>
      <c r="CD623">
        <f>HYPERLINK("http://exon.niaid.nih.gov/transcriptome/Anopheles_sialome/links/cluster-b/anopheline-sialome-cds-pep-larger-orf70-50SimCLU27.txt", 27)</f>
        <v>27</v>
      </c>
      <c r="CE623">
        <f>HYPERLINK("http://exon.niaid.nih.gov/transcriptome/Anopheles_sialome/links/cluster-b/anopheline-sialome-cds-pep-larger-orf70-50SimCLTL27.txt", 15)</f>
        <v>15</v>
      </c>
      <c r="CF623">
        <f>HYPERLINK("http://exon.niaid.nih.gov/transcriptome/Anopheles_sialome/links/cluster-b/anopheline-sialome-cds-pep-larger-orf75-50SimCLU27.txt", 27)</f>
        <v>27</v>
      </c>
      <c r="CG623">
        <f>HYPERLINK("http://exon.niaid.nih.gov/transcriptome/Anopheles_sialome/links/cluster-b/anopheline-sialome-cds-pep-larger-orf75-50SimCLTL27.txt", 13)</f>
        <v>13</v>
      </c>
      <c r="CH623">
        <f>HYPERLINK("http://exon.niaid.nih.gov/transcriptome/Anopheles_sialome/links/cluster-b/anopheline-sialome-cds-pep-larger-orf80-50SimCLU29.txt", 29)</f>
        <v>29</v>
      </c>
      <c r="CI623">
        <f>HYPERLINK("http://exon.niaid.nih.gov/transcriptome/Anopheles_sialome/links/cluster-b/anopheline-sialome-cds-pep-larger-orf80-50SimCLTL29.txt", 8)</f>
        <v>8</v>
      </c>
      <c r="CJ623">
        <f>HYPERLINK("http://exon.niaid.nih.gov/transcriptome/Anopheles_sialome/links/cluster-b/anopheline-sialome-cds-pep-larger-orf85-50SimCLU25.txt", 25)</f>
        <v>25</v>
      </c>
      <c r="CK623">
        <f>HYPERLINK("http://exon.niaid.nih.gov/transcriptome/Anopheles_sialome/links/cluster-b/anopheline-sialome-cds-pep-larger-orf85-50SimCLTL25.txt", 7)</f>
        <v>7</v>
      </c>
      <c r="CL623">
        <f>HYPERLINK("http://exon.niaid.nih.gov/transcriptome/Anopheles_sialome/links/cluster-b/anopheline-sialome-cds-pep-larger-orf90-50SimCLU38.txt", 38)</f>
        <v>38</v>
      </c>
      <c r="CM623">
        <f>HYPERLINK("http://exon.niaid.nih.gov/transcriptome/Anopheles_sialome/links/cluster-b/anopheline-sialome-cds-pep-larger-orf90-50SimCLTL38.txt", 6)</f>
        <v>6</v>
      </c>
      <c r="CN623">
        <f>HYPERLINK("http://exon.niaid.nih.gov/transcriptome/Anopheles_sialome/links/cluster-b/anopheline-sialome-cds-pep-larger-orf95-50SimCLU30.txt", 30)</f>
        <v>30</v>
      </c>
      <c r="CO623">
        <f>HYPERLINK("http://exon.niaid.nih.gov/transcriptome/Anopheles_sialome/links/cluster-b/anopheline-sialome-cds-pep-larger-orf95-50SimCLTL30.txt", 6)</f>
        <v>6</v>
      </c>
    </row>
    <row r="624" spans="1:93">
      <c r="A624" s="2" t="str">
        <f>HYPERLINK("http://exon.niaid.nih.gov/transcriptome/Anopheles_sialome/links/cds/anomel_SG8-cds.txt","anomel_SG8")</f>
        <v>anomel_SG8</v>
      </c>
      <c r="B624">
        <v>693</v>
      </c>
      <c r="C624" t="s">
        <v>600</v>
      </c>
      <c r="D624" t="s">
        <v>7</v>
      </c>
      <c r="E624" t="s">
        <v>5</v>
      </c>
      <c r="F624" t="s">
        <v>1</v>
      </c>
      <c r="G624" t="str">
        <f>HYPERLINK("http://exon.niaid.nih.gov/transcriptome/Anopheles_sialome/links/pep/anomel_SG8-pep.txt","anomel_SG8")</f>
        <v>anomel_SG8</v>
      </c>
      <c r="H624">
        <v>230</v>
      </c>
      <c r="I624">
        <v>1</v>
      </c>
      <c r="J624" s="3" t="str">
        <f>HYPERLINK("http://exon.niaid.nih.gov/transcriptome/Anopheles_sialome/links/Sigp/anomel_SG8-SigP.txt","SIG")</f>
        <v>SIG</v>
      </c>
      <c r="K624" t="s">
        <v>715</v>
      </c>
      <c r="L624">
        <v>26.064</v>
      </c>
      <c r="M624">
        <v>10.039999999999999</v>
      </c>
      <c r="N624">
        <v>23.501999999999999</v>
      </c>
      <c r="O624">
        <v>9.84</v>
      </c>
      <c r="P624" t="s">
        <v>2160</v>
      </c>
      <c r="Q624" s="3">
        <v>0</v>
      </c>
      <c r="R624" t="s">
        <v>128</v>
      </c>
      <c r="S624" t="s">
        <v>128</v>
      </c>
      <c r="T624" t="s">
        <v>128</v>
      </c>
      <c r="U624" t="s">
        <v>128</v>
      </c>
      <c r="V624" t="s">
        <v>128</v>
      </c>
      <c r="W624" s="3" t="str">
        <f>HYPERLINK("http://exon.niaid.nih.gov/transcriptome/Anopheles_sialome/links/netoglyc/anomel_SG8-netoglyc.txt","0")</f>
        <v>0</v>
      </c>
      <c r="X624">
        <v>13.9</v>
      </c>
      <c r="Y624">
        <v>3.5</v>
      </c>
      <c r="Z624">
        <v>5.2</v>
      </c>
      <c r="AA624" t="s">
        <v>654</v>
      </c>
      <c r="AB624" t="s">
        <v>128</v>
      </c>
      <c r="AC624" s="2" t="str">
        <f>HYPERLINK("http://exon.niaid.nih.gov/transcriptome/Anopheles_sialome/links/DIPTERA/anomel_SG8-DIPTERA.txt","gSG8 protein, partial")</f>
        <v>gSG8 protein, partial</v>
      </c>
      <c r="AD624" t="str">
        <f>HYPERLINK("http://www.ncbi.nlm.nih.gov/sutils/blink.cgi?pid=13537674","8E-065")</f>
        <v>8E-065</v>
      </c>
      <c r="AE624" t="str">
        <f t="shared" si="208"/>
        <v>gi|13537674</v>
      </c>
      <c r="AF624">
        <v>96</v>
      </c>
      <c r="AG624">
        <v>97</v>
      </c>
      <c r="AH624">
        <v>100</v>
      </c>
      <c r="AI624" t="s">
        <v>2254</v>
      </c>
      <c r="AJ624" s="2" t="str">
        <f>HYPERLINK("http://exon.niaid.nih.gov/transcriptome/Anopheles_sialome/links/CULICOMORPHA/anomel_SG8-CULICOMORPHA.txt","gSG8 protein, partial")</f>
        <v>gSG8 protein, partial</v>
      </c>
      <c r="AK624" t="str">
        <f>HYPERLINK("http://www.ncbi.nlm.nih.gov/sutils/blink.cgi?pid=13537674","1E-065")</f>
        <v>1E-065</v>
      </c>
      <c r="AL624" t="str">
        <f t="shared" si="209"/>
        <v>gi|13537674</v>
      </c>
      <c r="AM624">
        <v>96</v>
      </c>
      <c r="AN624">
        <v>97</v>
      </c>
      <c r="AO624">
        <v>100</v>
      </c>
      <c r="AP624" t="s">
        <v>2254</v>
      </c>
      <c r="AQ624" s="2" t="str">
        <f>HYPERLINK("http://exon.niaid.nih.gov/transcriptome/Anopheles_sialome/links/NR-LIGHT/anomel_SG8-NR-LIGHT.txt","AGAP010647-PA")</f>
        <v>AGAP010647-PA</v>
      </c>
      <c r="AR624" t="str">
        <f>HYPERLINK("http://www.ncbi.nlm.nih.gov/sutils/blink.cgi?pid=58381624","2E-064")</f>
        <v>2E-064</v>
      </c>
      <c r="AS624" t="str">
        <f t="shared" si="210"/>
        <v>gi|58381624</v>
      </c>
      <c r="AT624">
        <v>96</v>
      </c>
      <c r="AU624">
        <v>97</v>
      </c>
      <c r="AV624">
        <v>100</v>
      </c>
      <c r="AW624" t="s">
        <v>2285</v>
      </c>
      <c r="AX624" s="2" t="str">
        <f>HYPERLINK("http://exon.niaid.nih.gov/transcriptome/Anopheles_sialome/links/CDD/anomel_SG8-CDD.txt","PRK10070")</f>
        <v>PRK10070</v>
      </c>
      <c r="AY624" t="str">
        <f>HYPERLINK("http://www.ncbi.nlm.nih.gov/Structure/cdd/cddsrv.cgi?uid=PRK10070&amp;version=v4.0","2.2")</f>
        <v>2.2</v>
      </c>
      <c r="AZ624" t="s">
        <v>3101</v>
      </c>
      <c r="BA624" s="2" t="str">
        <f>HYPERLINK("http://exon.niaid.nih.gov/transcriptome/Anopheles_sialome/links/KOG/anomel_SG8-KOG.txt","Putative transcription factor 5qNCA, contains JmjC domain")</f>
        <v>Putative transcription factor 5qNCA, contains JmjC domain</v>
      </c>
      <c r="BB624" t="str">
        <f>HYPERLINK("http://www.ncbi.nlm.nih.gov/Structure/cdd/cddsrv.cgi?uid=KOG1356","0.064")</f>
        <v>0.064</v>
      </c>
      <c r="BC624" t="s">
        <v>2262</v>
      </c>
      <c r="BD624" t="str">
        <f>HYPERLINK("http://exon.niaid.nih.gov/transcriptome/Anopheles_sialome/links/KOG/anomel_SG8-KOG.txt","KOG1356")</f>
        <v>KOG1356</v>
      </c>
      <c r="BE624" t="str">
        <f>HYPERLINK("http://exon.niaid.nih.gov/transcriptome/Anopheles_sialome/links/PFAM/anomel_SG8-PFAM.txt","Sds3")</f>
        <v>Sds3</v>
      </c>
      <c r="BF624" t="str">
        <f>HYPERLINK("http://pfam.sanger.ac.uk/family?acc=PF08598","2.1")</f>
        <v>2.1</v>
      </c>
      <c r="BG624" s="2" t="str">
        <f>HYPERLINK("http://exon.niaid.nih.gov/transcriptome/Anopheles_sialome/links/SMART/anomel_SG8-SMART.txt","RINGv")</f>
        <v>RINGv</v>
      </c>
      <c r="BH624" t="str">
        <f>HYPERLINK("http://smart.embl-heidelberg.de/smart/do_annotation.pl?DOMAIN=RINGv&amp;BLAST=DUMMY","2.7")</f>
        <v>2.7</v>
      </c>
      <c r="BI624" t="str">
        <f>HYPERLINK("http://exon.niaid.nih.gov/transcriptome/Anopheles_sialome/links/TICK-BLOCKS/anomel_SG8-TICK-BLOCKS.txt","G8_salivary_protein |")</f>
        <v>G8_salivary_protein |</v>
      </c>
      <c r="BJ624" s="2" t="s">
        <v>3096</v>
      </c>
      <c r="BK624" t="s">
        <v>2159</v>
      </c>
      <c r="BL624">
        <f>HYPERLINK("http://exon.niaid.nih.gov/transcriptome/Anopheles_sialome/links/cluster-b/anopheline-sialome-cds-pep-larger-orf25-50SimCLU13.txt", 13)</f>
        <v>13</v>
      </c>
      <c r="BM624">
        <f>HYPERLINK("http://exon.niaid.nih.gov/transcriptome/Anopheles_sialome/links/cluster-b/anopheline-sialome-cds-pep-larger-orf25-50SimCLTL13.txt", 19)</f>
        <v>19</v>
      </c>
      <c r="BN624">
        <f>HYPERLINK("http://exon.niaid.nih.gov/transcriptome/Anopheles_sialome/links/cluster-b/anopheline-sialome-cds-pep-larger-orf30-50SimCLU12.txt", 12)</f>
        <v>12</v>
      </c>
      <c r="BO624">
        <f>HYPERLINK("http://exon.niaid.nih.gov/transcriptome/Anopheles_sialome/links/cluster-b/anopheline-sialome-cds-pep-larger-orf30-50SimCLTL12.txt", 19)</f>
        <v>19</v>
      </c>
      <c r="BP624">
        <f>HYPERLINK("http://exon.niaid.nih.gov/transcriptome/Anopheles_sialome/links/cluster-b/anopheline-sialome-cds-pep-larger-orf35-50SimCLU14.txt", 14)</f>
        <v>14</v>
      </c>
      <c r="BQ624">
        <f>HYPERLINK("http://exon.niaid.nih.gov/transcriptome/Anopheles_sialome/links/cluster-b/anopheline-sialome-cds-pep-larger-orf35-50SimCLTL14.txt", 19)</f>
        <v>19</v>
      </c>
      <c r="BR624">
        <f>HYPERLINK("http://exon.niaid.nih.gov/transcriptome/Anopheles_sialome/links/cluster-b/anopheline-sialome-cds-pep-larger-orf40-50SimCLU16.txt", 16)</f>
        <v>16</v>
      </c>
      <c r="BS624">
        <f>HYPERLINK("http://exon.niaid.nih.gov/transcriptome/Anopheles_sialome/links/cluster-b/anopheline-sialome-cds-pep-larger-orf40-50SimCLTL16.txt", 19)</f>
        <v>19</v>
      </c>
      <c r="BT624">
        <f>HYPERLINK("http://exon.niaid.nih.gov/transcriptome/Anopheles_sialome/links/cluster-b/anopheline-sialome-cds-pep-larger-orf45-50SimCLU16.txt", 16)</f>
        <v>16</v>
      </c>
      <c r="BU624">
        <f>HYPERLINK("http://exon.niaid.nih.gov/transcriptome/Anopheles_sialome/links/cluster-b/anopheline-sialome-cds-pep-larger-orf45-50SimCLTL16.txt", 19)</f>
        <v>19</v>
      </c>
      <c r="BV624">
        <f>HYPERLINK("http://exon.niaid.nih.gov/transcriptome/Anopheles_sialome/links/cluster-b/anopheline-sialome-cds-pep-larger-orf50-50SimCLU15.txt", 15)</f>
        <v>15</v>
      </c>
      <c r="BW624">
        <f>HYPERLINK("http://exon.niaid.nih.gov/transcriptome/Anopheles_sialome/links/cluster-b/anopheline-sialome-cds-pep-larger-orf50-50SimCLTL15.txt", 19)</f>
        <v>19</v>
      </c>
      <c r="BX624">
        <f>HYPERLINK("http://exon.niaid.nih.gov/transcriptome/Anopheles_sialome/links/cluster-b/anopheline-sialome-cds-pep-larger-orf55-50SimCLU16.txt", 16)</f>
        <v>16</v>
      </c>
      <c r="BY624">
        <f>HYPERLINK("http://exon.niaid.nih.gov/transcriptome/Anopheles_sialome/links/cluster-b/anopheline-sialome-cds-pep-larger-orf55-50SimCLTL16.txt", 19)</f>
        <v>19</v>
      </c>
      <c r="BZ624">
        <f>HYPERLINK("http://exon.niaid.nih.gov/transcriptome/Anopheles_sialome/links/cluster-b/anopheline-sialome-cds-pep-larger-orf60-50SimCLU15.txt", 15)</f>
        <v>15</v>
      </c>
      <c r="CA624">
        <f>HYPERLINK("http://exon.niaid.nih.gov/transcriptome/Anopheles_sialome/links/cluster-b/anopheline-sialome-cds-pep-larger-orf60-50SimCLTL15.txt", 19)</f>
        <v>19</v>
      </c>
      <c r="CB624">
        <f>HYPERLINK("http://exon.niaid.nih.gov/transcriptome/Anopheles_sialome/links/cluster-b/anopheline-sialome-cds-pep-larger-orf65-50SimCLU21.txt", 21)</f>
        <v>21</v>
      </c>
      <c r="CC624">
        <f>HYPERLINK("http://exon.niaid.nih.gov/transcriptome/Anopheles_sialome/links/cluster-b/anopheline-sialome-cds-pep-larger-orf65-50SimCLTL21.txt", 17)</f>
        <v>17</v>
      </c>
      <c r="CD624">
        <f>HYPERLINK("http://exon.niaid.nih.gov/transcriptome/Anopheles_sialome/links/cluster-b/anopheline-sialome-cds-pep-larger-orf70-50SimCLU27.txt", 27)</f>
        <v>27</v>
      </c>
      <c r="CE624">
        <f>HYPERLINK("http://exon.niaid.nih.gov/transcriptome/Anopheles_sialome/links/cluster-b/anopheline-sialome-cds-pep-larger-orf70-50SimCLTL27.txt", 15)</f>
        <v>15</v>
      </c>
      <c r="CF624">
        <f>HYPERLINK("http://exon.niaid.nih.gov/transcriptome/Anopheles_sialome/links/cluster-b/anopheline-sialome-cds-pep-larger-orf75-50SimCLU27.txt", 27)</f>
        <v>27</v>
      </c>
      <c r="CG624">
        <f>HYPERLINK("http://exon.niaid.nih.gov/transcriptome/Anopheles_sialome/links/cluster-b/anopheline-sialome-cds-pep-larger-orf75-50SimCLTL27.txt", 13)</f>
        <v>13</v>
      </c>
      <c r="CH624">
        <f>HYPERLINK("http://exon.niaid.nih.gov/transcriptome/Anopheles_sialome/links/cluster-b/anopheline-sialome-cds-pep-larger-orf80-50SimCLU29.txt", 29)</f>
        <v>29</v>
      </c>
      <c r="CI624">
        <f>HYPERLINK("http://exon.niaid.nih.gov/transcriptome/Anopheles_sialome/links/cluster-b/anopheline-sialome-cds-pep-larger-orf80-50SimCLTL29.txt", 8)</f>
        <v>8</v>
      </c>
      <c r="CJ624">
        <f>HYPERLINK("http://exon.niaid.nih.gov/transcriptome/Anopheles_sialome/links/cluster-b/anopheline-sialome-cds-pep-larger-orf85-50SimCLU25.txt", 25)</f>
        <v>25</v>
      </c>
      <c r="CK624">
        <f>HYPERLINK("http://exon.niaid.nih.gov/transcriptome/Anopheles_sialome/links/cluster-b/anopheline-sialome-cds-pep-larger-orf85-50SimCLTL25.txt", 7)</f>
        <v>7</v>
      </c>
      <c r="CL624">
        <f>HYPERLINK("http://exon.niaid.nih.gov/transcriptome/Anopheles_sialome/links/cluster-b/anopheline-sialome-cds-pep-larger-orf90-50SimCLU38.txt", 38)</f>
        <v>38</v>
      </c>
      <c r="CM624">
        <f>HYPERLINK("http://exon.niaid.nih.gov/transcriptome/Anopheles_sialome/links/cluster-b/anopheline-sialome-cds-pep-larger-orf90-50SimCLTL38.txt", 6)</f>
        <v>6</v>
      </c>
      <c r="CN624">
        <f>HYPERLINK("http://exon.niaid.nih.gov/transcriptome/Anopheles_sialome/links/cluster-b/anopheline-sialome-cds-pep-larger-orf95-50SimCLU30.txt", 30)</f>
        <v>30</v>
      </c>
      <c r="CO624">
        <f>HYPERLINK("http://exon.niaid.nih.gov/transcriptome/Anopheles_sialome/links/cluster-b/anopheline-sialome-cds-pep-larger-orf95-50SimCLTL30.txt", 6)</f>
        <v>6</v>
      </c>
    </row>
    <row r="625" spans="1:93">
      <c r="A625" s="2" t="str">
        <f>HYPERLINK("http://exon.niaid.nih.gov/transcriptome/Anopheles_sialome/links/cds/anochris_SG8-cds.txt","anochris_SG8")</f>
        <v>anochris_SG8</v>
      </c>
      <c r="B625">
        <v>687</v>
      </c>
      <c r="C625" t="s">
        <v>4</v>
      </c>
      <c r="D625" s="8" t="s">
        <v>3178</v>
      </c>
      <c r="E625" t="s">
        <v>5</v>
      </c>
      <c r="F625" t="s">
        <v>1</v>
      </c>
      <c r="G625" t="str">
        <f>HYPERLINK("http://exon.niaid.nih.gov/transcriptome/Anopheles_sialome/links/pep/anochris_SG8-pep.txt","anochris_SG8")</f>
        <v>anochris_SG8</v>
      </c>
      <c r="H625">
        <v>228</v>
      </c>
      <c r="I625">
        <v>1</v>
      </c>
      <c r="J625" s="3" t="str">
        <f>HYPERLINK("http://exon.niaid.nih.gov/transcriptome/Anopheles_sialome/links/Sigp/anochris_SG8-SigP.txt","SIG")</f>
        <v>SIG</v>
      </c>
      <c r="K625" t="s">
        <v>834</v>
      </c>
      <c r="L625">
        <v>25.943999999999999</v>
      </c>
      <c r="M625">
        <v>10.38</v>
      </c>
      <c r="N625">
        <v>23.096</v>
      </c>
      <c r="O625">
        <v>10.28</v>
      </c>
      <c r="P625" t="s">
        <v>2162</v>
      </c>
      <c r="Q625" s="3" t="str">
        <f>HYPERLINK("http://exon.niaid.nih.gov/transcriptome/Anopheles_sialome/links/tmhmm/anochris_SG8-tmhmm.txt","1")</f>
        <v>1</v>
      </c>
      <c r="R625">
        <v>9.6</v>
      </c>
      <c r="S625">
        <v>88.2</v>
      </c>
      <c r="T625">
        <v>2.2000000000000002</v>
      </c>
      <c r="U625" t="s">
        <v>128</v>
      </c>
      <c r="V625">
        <v>201</v>
      </c>
      <c r="W625" s="3" t="str">
        <f>HYPERLINK("http://exon.niaid.nih.gov/transcriptome/Anopheles_sialome/links/netoglyc/anochris_SG8-netoglyc.txt","0")</f>
        <v>0</v>
      </c>
      <c r="X625">
        <v>13.2</v>
      </c>
      <c r="Y625">
        <v>4.8</v>
      </c>
      <c r="Z625">
        <v>5.3</v>
      </c>
      <c r="AA625" t="s">
        <v>654</v>
      </c>
      <c r="AB625" t="s">
        <v>128</v>
      </c>
      <c r="AC625" s="2" t="str">
        <f>HYPERLINK("http://exon.niaid.nih.gov/transcriptome/Anopheles_sialome/links/DIPTERA/anochris_SG8-DIPTERA.txt","hypothetical protein AND_001407")</f>
        <v>hypothetical protein AND_001407</v>
      </c>
      <c r="AD625" t="str">
        <f>HYPERLINK("http://www.ncbi.nlm.nih.gov/sutils/blink.cgi?pid=568258725","4E-054")</f>
        <v>4E-054</v>
      </c>
      <c r="AE625" t="str">
        <f>HYPERLINK("http://www.ncbi.nlm.nih.gov/protein/568258725","gi|568258725")</f>
        <v>gi|568258725</v>
      </c>
      <c r="AF625">
        <v>49</v>
      </c>
      <c r="AG625">
        <v>65</v>
      </c>
      <c r="AH625">
        <v>97</v>
      </c>
      <c r="AI625" t="s">
        <v>2283</v>
      </c>
      <c r="AJ625" s="2" t="str">
        <f>HYPERLINK("http://exon.niaid.nih.gov/transcriptome/Anopheles_sialome/links/CULICOMORPHA/anochris_SG8-CULICOMORPHA.txt","hypothetical protein AND_001407")</f>
        <v>hypothetical protein AND_001407</v>
      </c>
      <c r="AK625" t="str">
        <f>HYPERLINK("http://www.ncbi.nlm.nih.gov/sutils/blink.cgi?pid=568258725","6E-055")</f>
        <v>6E-055</v>
      </c>
      <c r="AL625" t="str">
        <f>HYPERLINK("http://www.ncbi.nlm.nih.gov/protein/568258725","gi|568258725")</f>
        <v>gi|568258725</v>
      </c>
      <c r="AM625">
        <v>49</v>
      </c>
      <c r="AN625">
        <v>65</v>
      </c>
      <c r="AO625">
        <v>97</v>
      </c>
      <c r="AP625" t="s">
        <v>2283</v>
      </c>
      <c r="AQ625" s="2" t="str">
        <f>HYPERLINK("http://exon.niaid.nih.gov/transcriptome/Anopheles_sialome/links/NR-LIGHT/anochris_SG8-NR-LIGHT.txt","hypothetical protein AND_001407")</f>
        <v>hypothetical protein AND_001407</v>
      </c>
      <c r="AR625" t="str">
        <f>HYPERLINK("http://www.ncbi.nlm.nih.gov/sutils/blink.cgi?pid=568258725","9E-054")</f>
        <v>9E-054</v>
      </c>
      <c r="AS625" t="str">
        <f>HYPERLINK("http://www.ncbi.nlm.nih.gov/protein/568258725","gi|568258725")</f>
        <v>gi|568258725</v>
      </c>
      <c r="AT625">
        <v>49</v>
      </c>
      <c r="AU625">
        <v>65</v>
      </c>
      <c r="AV625">
        <v>97</v>
      </c>
      <c r="AW625" t="s">
        <v>2283</v>
      </c>
      <c r="AX625" s="2" t="str">
        <f>HYPERLINK("http://exon.niaid.nih.gov/transcriptome/Anopheles_sialome/links/CDD/anochris_SG8-CDD.txt","hflB")</f>
        <v>hflB</v>
      </c>
      <c r="AY625" t="str">
        <f>HYPERLINK("http://www.ncbi.nlm.nih.gov/Structure/cdd/cddsrv.cgi?uid=PRK10733&amp;version=v4.0","0.44")</f>
        <v>0.44</v>
      </c>
      <c r="AZ625" t="s">
        <v>3102</v>
      </c>
      <c r="BA625" s="2" t="str">
        <f>HYPERLINK("http://exon.niaid.nih.gov/transcriptome/Anopheles_sialome/links/KOG/anochris_SG8-KOG.txt","Trypsin")</f>
        <v>Trypsin</v>
      </c>
      <c r="BB625" t="str">
        <f>HYPERLINK("http://www.ncbi.nlm.nih.gov/Structure/cdd/cddsrv.cgi?uid=KOG3627","0.34")</f>
        <v>0.34</v>
      </c>
      <c r="BC625" t="s">
        <v>2287</v>
      </c>
      <c r="BD625" t="str">
        <f>HYPERLINK("http://exon.niaid.nih.gov/transcriptome/Anopheles_sialome/links/KOG/anochris_SG8-KOG.txt","KOG3627")</f>
        <v>KOG3627</v>
      </c>
      <c r="BE625" t="str">
        <f>HYPERLINK("http://exon.niaid.nih.gov/transcriptome/Anopheles_sialome/links/PFAM/anochris_SG8-PFAM.txt","Gal-3-0_sulfotr")</f>
        <v>Gal-3-0_sulfotr</v>
      </c>
      <c r="BF625" t="str">
        <f>HYPERLINK("http://pfam.sanger.ac.uk/family?acc=PF06990","0.13")</f>
        <v>0.13</v>
      </c>
      <c r="BG625" s="2" t="str">
        <f>HYPERLINK("http://exon.niaid.nih.gov/transcriptome/Anopheles_sialome/links/SMART/anochris_SG8-SMART.txt","AP2")</f>
        <v>AP2</v>
      </c>
      <c r="BH625" t="str">
        <f>HYPERLINK("http://smart.embl-heidelberg.de/smart/do_annotation.pl?DOMAIN=AP2&amp;BLAST=DUMMY","1.0")</f>
        <v>1.0</v>
      </c>
      <c r="BI625" t="str">
        <f>HYPERLINK("http://exon.niaid.nih.gov/transcriptome/Anopheles_sialome/links/TICK-BLOCKS/anochris_SG8-TICK-BLOCKS.txt","G8_salivary_protein |")</f>
        <v>G8_salivary_protein |</v>
      </c>
      <c r="BJ625" s="2" t="s">
        <v>3096</v>
      </c>
      <c r="BK625" t="s">
        <v>2161</v>
      </c>
      <c r="BL625">
        <f>HYPERLINK("http://exon.niaid.nih.gov/transcriptome/Anopheles_sialome/links/cluster-b/anopheline-sialome-cds-pep-larger-orf25-50SimCLU13.txt", 13)</f>
        <v>13</v>
      </c>
      <c r="BM625">
        <f>HYPERLINK("http://exon.niaid.nih.gov/transcriptome/Anopheles_sialome/links/cluster-b/anopheline-sialome-cds-pep-larger-orf25-50SimCLTL13.txt", 19)</f>
        <v>19</v>
      </c>
      <c r="BN625">
        <f>HYPERLINK("http://exon.niaid.nih.gov/transcriptome/Anopheles_sialome/links/cluster-b/anopheline-sialome-cds-pep-larger-orf30-50SimCLU12.txt", 12)</f>
        <v>12</v>
      </c>
      <c r="BO625">
        <f>HYPERLINK("http://exon.niaid.nih.gov/transcriptome/Anopheles_sialome/links/cluster-b/anopheline-sialome-cds-pep-larger-orf30-50SimCLTL12.txt", 19)</f>
        <v>19</v>
      </c>
      <c r="BP625">
        <f>HYPERLINK("http://exon.niaid.nih.gov/transcriptome/Anopheles_sialome/links/cluster-b/anopheline-sialome-cds-pep-larger-orf35-50SimCLU14.txt", 14)</f>
        <v>14</v>
      </c>
      <c r="BQ625">
        <f>HYPERLINK("http://exon.niaid.nih.gov/transcriptome/Anopheles_sialome/links/cluster-b/anopheline-sialome-cds-pep-larger-orf35-50SimCLTL14.txt", 19)</f>
        <v>19</v>
      </c>
      <c r="BR625">
        <f>HYPERLINK("http://exon.niaid.nih.gov/transcriptome/Anopheles_sialome/links/cluster-b/anopheline-sialome-cds-pep-larger-orf40-50SimCLU16.txt", 16)</f>
        <v>16</v>
      </c>
      <c r="BS625">
        <f>HYPERLINK("http://exon.niaid.nih.gov/transcriptome/Anopheles_sialome/links/cluster-b/anopheline-sialome-cds-pep-larger-orf40-50SimCLTL16.txt", 19)</f>
        <v>19</v>
      </c>
      <c r="BT625">
        <f>HYPERLINK("http://exon.niaid.nih.gov/transcriptome/Anopheles_sialome/links/cluster-b/anopheline-sialome-cds-pep-larger-orf45-50SimCLU16.txt", 16)</f>
        <v>16</v>
      </c>
      <c r="BU625">
        <f>HYPERLINK("http://exon.niaid.nih.gov/transcriptome/Anopheles_sialome/links/cluster-b/anopheline-sialome-cds-pep-larger-orf45-50SimCLTL16.txt", 19)</f>
        <v>19</v>
      </c>
      <c r="BV625">
        <f>HYPERLINK("http://exon.niaid.nih.gov/transcriptome/Anopheles_sialome/links/cluster-b/anopheline-sialome-cds-pep-larger-orf50-50SimCLU15.txt", 15)</f>
        <v>15</v>
      </c>
      <c r="BW625">
        <f>HYPERLINK("http://exon.niaid.nih.gov/transcriptome/Anopheles_sialome/links/cluster-b/anopheline-sialome-cds-pep-larger-orf50-50SimCLTL15.txt", 19)</f>
        <v>19</v>
      </c>
      <c r="BX625">
        <f>HYPERLINK("http://exon.niaid.nih.gov/transcriptome/Anopheles_sialome/links/cluster-b/anopheline-sialome-cds-pep-larger-orf55-50SimCLU16.txt", 16)</f>
        <v>16</v>
      </c>
      <c r="BY625">
        <f>HYPERLINK("http://exon.niaid.nih.gov/transcriptome/Anopheles_sialome/links/cluster-b/anopheline-sialome-cds-pep-larger-orf55-50SimCLTL16.txt", 19)</f>
        <v>19</v>
      </c>
      <c r="BZ625">
        <f>HYPERLINK("http://exon.niaid.nih.gov/transcriptome/Anopheles_sialome/links/cluster-b/anopheline-sialome-cds-pep-larger-orf60-50SimCLU15.txt", 15)</f>
        <v>15</v>
      </c>
      <c r="CA625">
        <f>HYPERLINK("http://exon.niaid.nih.gov/transcriptome/Anopheles_sialome/links/cluster-b/anopheline-sialome-cds-pep-larger-orf60-50SimCLTL15.txt", 19)</f>
        <v>19</v>
      </c>
      <c r="CB625">
        <f>HYPERLINK("http://exon.niaid.nih.gov/transcriptome/Anopheles_sialome/links/cluster-b/anopheline-sialome-cds-pep-larger-orf65-50SimCLU21.txt", 21)</f>
        <v>21</v>
      </c>
      <c r="CC625">
        <f>HYPERLINK("http://exon.niaid.nih.gov/transcriptome/Anopheles_sialome/links/cluster-b/anopheline-sialome-cds-pep-larger-orf65-50SimCLTL21.txt", 17)</f>
        <v>17</v>
      </c>
      <c r="CD625">
        <f>HYPERLINK("http://exon.niaid.nih.gov/transcriptome/Anopheles_sialome/links/cluster-b/anopheline-sialome-cds-pep-larger-orf70-50SimCLU27.txt", 27)</f>
        <v>27</v>
      </c>
      <c r="CE625">
        <f>HYPERLINK("http://exon.niaid.nih.gov/transcriptome/Anopheles_sialome/links/cluster-b/anopheline-sialome-cds-pep-larger-orf70-50SimCLTL27.txt", 15)</f>
        <v>15</v>
      </c>
      <c r="CF625">
        <f>HYPERLINK("http://exon.niaid.nih.gov/transcriptome/Anopheles_sialome/links/cluster-b/anopheline-sialome-cds-pep-larger-orf75-50SimCLU27.txt", 27)</f>
        <v>27</v>
      </c>
      <c r="CG625">
        <f>HYPERLINK("http://exon.niaid.nih.gov/transcriptome/Anopheles_sialome/links/cluster-b/anopheline-sialome-cds-pep-larger-orf75-50SimCLTL27.txt", 13)</f>
        <v>13</v>
      </c>
      <c r="CH625">
        <f>HYPERLINK("http://exon.niaid.nih.gov/transcriptome/Anopheles_sialome/links/cluster-b/anopheline-sialome-cds-pep-larger-orf80-50SimCLU29.txt", 29)</f>
        <v>29</v>
      </c>
      <c r="CI625">
        <f>HYPERLINK("http://exon.niaid.nih.gov/transcriptome/Anopheles_sialome/links/cluster-b/anopheline-sialome-cds-pep-larger-orf80-50SimCLTL29.txt", 8)</f>
        <v>8</v>
      </c>
      <c r="CJ625">
        <f>HYPERLINK("http://exon.niaid.nih.gov/transcriptome/Anopheles_sialome/links/cluster-b/anopheline-sialome-cds-pep-larger-orf85-50SimCLU25.txt", 25)</f>
        <v>25</v>
      </c>
      <c r="CK625">
        <f>HYPERLINK("http://exon.niaid.nih.gov/transcriptome/Anopheles_sialome/links/cluster-b/anopheline-sialome-cds-pep-larger-orf85-50SimCLTL25.txt", 7)</f>
        <v>7</v>
      </c>
      <c r="CL625">
        <v>429</v>
      </c>
      <c r="CM625">
        <v>1</v>
      </c>
      <c r="CN625">
        <v>537</v>
      </c>
      <c r="CO625">
        <v>1</v>
      </c>
    </row>
    <row r="626" spans="1:93">
      <c r="A626" s="2" t="str">
        <f>HYPERLINK("http://exon.niaid.nih.gov/transcriptome/Anopheles_sialome/links/cds/anoepi_SG8-cds.txt","anoepi_SG8")</f>
        <v>anoepi_SG8</v>
      </c>
      <c r="B626">
        <v>693</v>
      </c>
      <c r="C626" t="s">
        <v>601</v>
      </c>
      <c r="D626" t="s">
        <v>7</v>
      </c>
      <c r="E626" t="s">
        <v>5</v>
      </c>
      <c r="F626" t="s">
        <v>1</v>
      </c>
      <c r="G626" t="str">
        <f>HYPERLINK("http://exon.niaid.nih.gov/transcriptome/Anopheles_sialome/links/pep/anoepi_SG8-pep.txt","anoepi_SG8")</f>
        <v>anoepi_SG8</v>
      </c>
      <c r="H626">
        <v>230</v>
      </c>
      <c r="I626">
        <v>2</v>
      </c>
      <c r="J626" s="3" t="str">
        <f>HYPERLINK("http://exon.niaid.nih.gov/transcriptome/Anopheles_sialome/links/Sigp/anoepi_SG8-SigP.txt","SIG")</f>
        <v>SIG</v>
      </c>
      <c r="K626" t="s">
        <v>949</v>
      </c>
      <c r="L626">
        <v>26.021999999999998</v>
      </c>
      <c r="M626">
        <v>10.76</v>
      </c>
      <c r="N626">
        <v>23.061</v>
      </c>
      <c r="O626">
        <v>10.62</v>
      </c>
      <c r="P626" t="s">
        <v>2164</v>
      </c>
      <c r="Q626" s="3" t="str">
        <f>HYPERLINK("http://exon.niaid.nih.gov/transcriptome/Anopheles_sialome/links/tmhmm/anoepi_SG8-tmhmm.txt","1")</f>
        <v>1</v>
      </c>
      <c r="R626">
        <v>9.6</v>
      </c>
      <c r="S626">
        <v>88.3</v>
      </c>
      <c r="T626">
        <v>2.2000000000000002</v>
      </c>
      <c r="U626" t="s">
        <v>128</v>
      </c>
      <c r="V626">
        <v>203</v>
      </c>
      <c r="W626" s="3" t="str">
        <f>HYPERLINK("http://exon.niaid.nih.gov/transcriptome/Anopheles_sialome/links/netoglyc/anoepi_SG8-netoglyc.txt","0")</f>
        <v>0</v>
      </c>
      <c r="X626">
        <v>16.100000000000001</v>
      </c>
      <c r="Y626">
        <v>5.7</v>
      </c>
      <c r="Z626">
        <v>3.9</v>
      </c>
      <c r="AA626" t="s">
        <v>654</v>
      </c>
      <c r="AB626" t="s">
        <v>128</v>
      </c>
      <c r="AC626" s="2" t="str">
        <f>HYPERLINK("http://exon.niaid.nih.gov/transcriptome/Anopheles_sialome/links/DIPTERA/anoepi_SG8-DIPTERA.txt","hypothetical protein AND_001407")</f>
        <v>hypothetical protein AND_001407</v>
      </c>
      <c r="AD626" t="str">
        <f>HYPERLINK("http://www.ncbi.nlm.nih.gov/sutils/blink.cgi?pid=568258725","5E-053")</f>
        <v>5E-053</v>
      </c>
      <c r="AE626" t="str">
        <f t="shared" ref="AE626:AE631" si="211">HYPERLINK("http://www.ncbi.nlm.nih.gov/protein/568258725","gi|568258725")</f>
        <v>gi|568258725</v>
      </c>
      <c r="AF626">
        <v>52</v>
      </c>
      <c r="AG626">
        <v>66</v>
      </c>
      <c r="AH626">
        <v>93</v>
      </c>
      <c r="AI626" t="s">
        <v>2283</v>
      </c>
      <c r="AJ626" s="2" t="str">
        <f>HYPERLINK("http://exon.niaid.nih.gov/transcriptome/Anopheles_sialome/links/CULICOMORPHA/anoepi_SG8-CULICOMORPHA.txt","hypothetical protein AND_001407")</f>
        <v>hypothetical protein AND_001407</v>
      </c>
      <c r="AK626" t="str">
        <f>HYPERLINK("http://www.ncbi.nlm.nih.gov/sutils/blink.cgi?pid=568258725","9E-054")</f>
        <v>9E-054</v>
      </c>
      <c r="AL626" t="str">
        <f t="shared" ref="AL626:AL631" si="212">HYPERLINK("http://www.ncbi.nlm.nih.gov/protein/568258725","gi|568258725")</f>
        <v>gi|568258725</v>
      </c>
      <c r="AM626">
        <v>52</v>
      </c>
      <c r="AN626">
        <v>66</v>
      </c>
      <c r="AO626">
        <v>93</v>
      </c>
      <c r="AP626" t="s">
        <v>2283</v>
      </c>
      <c r="AQ626" s="2" t="str">
        <f>HYPERLINK("http://exon.niaid.nih.gov/transcriptome/Anopheles_sialome/links/NR-LIGHT/anoepi_SG8-NR-LIGHT.txt","hypothetical protein AND_001407")</f>
        <v>hypothetical protein AND_001407</v>
      </c>
      <c r="AR626" t="str">
        <f>HYPERLINK("http://www.ncbi.nlm.nih.gov/sutils/blink.cgi?pid=568258725","1E-052")</f>
        <v>1E-052</v>
      </c>
      <c r="AS626" t="str">
        <f t="shared" ref="AS626:AS631" si="213">HYPERLINK("http://www.ncbi.nlm.nih.gov/protein/568258725","gi|568258725")</f>
        <v>gi|568258725</v>
      </c>
      <c r="AT626">
        <v>52</v>
      </c>
      <c r="AU626">
        <v>66</v>
      </c>
      <c r="AV626">
        <v>93</v>
      </c>
      <c r="AW626" t="s">
        <v>2283</v>
      </c>
      <c r="AX626" s="2" t="str">
        <f>HYPERLINK("http://exon.niaid.nih.gov/transcriptome/Anopheles_sialome/links/CDD/anoepi_SG8-CDD.txt","Gal-3-0_sulfotr")</f>
        <v>Gal-3-0_sulfotr</v>
      </c>
      <c r="AY626" t="str">
        <f>HYPERLINK("http://www.ncbi.nlm.nih.gov/Structure/cdd/cddsrv.cgi?uid=pfam06990&amp;version=v4.0","0.22")</f>
        <v>0.22</v>
      </c>
      <c r="AZ626" t="s">
        <v>3103</v>
      </c>
      <c r="BA626" s="2" t="str">
        <f>HYPERLINK("http://exon.niaid.nih.gov/transcriptome/Anopheles_sialome/links/KOG/anoepi_SG8-KOG.txt","Trypsin")</f>
        <v>Trypsin</v>
      </c>
      <c r="BB626" t="str">
        <f>HYPERLINK("http://www.ncbi.nlm.nih.gov/Structure/cdd/cddsrv.cgi?uid=KOG3627","0.35")</f>
        <v>0.35</v>
      </c>
      <c r="BC626" t="s">
        <v>2287</v>
      </c>
      <c r="BD626" t="str">
        <f>HYPERLINK("http://exon.niaid.nih.gov/transcriptome/Anopheles_sialome/links/KOG/anoepi_SG8-KOG.txt","KOG3627")</f>
        <v>KOG3627</v>
      </c>
      <c r="BE626" t="str">
        <f>HYPERLINK("http://exon.niaid.nih.gov/transcriptome/Anopheles_sialome/links/PFAM/anoepi_SG8-PFAM.txt","Gal-3-0_sulfotr")</f>
        <v>Gal-3-0_sulfotr</v>
      </c>
      <c r="BF626" t="str">
        <f>HYPERLINK("http://pfam.sanger.ac.uk/family?acc=PF06990","0.046")</f>
        <v>0.046</v>
      </c>
      <c r="BG626" s="2" t="str">
        <f>HYPERLINK("http://exon.niaid.nih.gov/transcriptome/Anopheles_sialome/links/SMART/anoepi_SG8-SMART.txt","Spc7")</f>
        <v>Spc7</v>
      </c>
      <c r="BH626" t="str">
        <f>HYPERLINK("http://smart.embl-heidelberg.de/smart/do_annotation.pl?DOMAIN=Spc7&amp;BLAST=DUMMY","0.032")</f>
        <v>0.032</v>
      </c>
      <c r="BI626" t="str">
        <f>HYPERLINK("http://exon.niaid.nih.gov/transcriptome/Anopheles_sialome/links/TICK-BLOCKS/anoepi_SG8-TICK-BLOCKS.txt","G8_salivary_protein |")</f>
        <v>G8_salivary_protein |</v>
      </c>
      <c r="BJ626" s="2" t="s">
        <v>3096</v>
      </c>
      <c r="BK626" t="s">
        <v>2163</v>
      </c>
      <c r="BL626">
        <f>HYPERLINK("http://exon.niaid.nih.gov/transcriptome/Anopheles_sialome/links/cluster-b/anopheline-sialome-cds-pep-larger-orf25-50SimCLU13.txt", 13)</f>
        <v>13</v>
      </c>
      <c r="BM626">
        <f>HYPERLINK("http://exon.niaid.nih.gov/transcriptome/Anopheles_sialome/links/cluster-b/anopheline-sialome-cds-pep-larger-orf25-50SimCLTL13.txt", 19)</f>
        <v>19</v>
      </c>
      <c r="BN626">
        <f>HYPERLINK("http://exon.niaid.nih.gov/transcriptome/Anopheles_sialome/links/cluster-b/anopheline-sialome-cds-pep-larger-orf30-50SimCLU12.txt", 12)</f>
        <v>12</v>
      </c>
      <c r="BO626">
        <f>HYPERLINK("http://exon.niaid.nih.gov/transcriptome/Anopheles_sialome/links/cluster-b/anopheline-sialome-cds-pep-larger-orf30-50SimCLTL12.txt", 19)</f>
        <v>19</v>
      </c>
      <c r="BP626">
        <f>HYPERLINK("http://exon.niaid.nih.gov/transcriptome/Anopheles_sialome/links/cluster-b/anopheline-sialome-cds-pep-larger-orf35-50SimCLU14.txt", 14)</f>
        <v>14</v>
      </c>
      <c r="BQ626">
        <f>HYPERLINK("http://exon.niaid.nih.gov/transcriptome/Anopheles_sialome/links/cluster-b/anopheline-sialome-cds-pep-larger-orf35-50SimCLTL14.txt", 19)</f>
        <v>19</v>
      </c>
      <c r="BR626">
        <f>HYPERLINK("http://exon.niaid.nih.gov/transcriptome/Anopheles_sialome/links/cluster-b/anopheline-sialome-cds-pep-larger-orf40-50SimCLU16.txt", 16)</f>
        <v>16</v>
      </c>
      <c r="BS626">
        <f>HYPERLINK("http://exon.niaid.nih.gov/transcriptome/Anopheles_sialome/links/cluster-b/anopheline-sialome-cds-pep-larger-orf40-50SimCLTL16.txt", 19)</f>
        <v>19</v>
      </c>
      <c r="BT626">
        <f>HYPERLINK("http://exon.niaid.nih.gov/transcriptome/Anopheles_sialome/links/cluster-b/anopheline-sialome-cds-pep-larger-orf45-50SimCLU16.txt", 16)</f>
        <v>16</v>
      </c>
      <c r="BU626">
        <f>HYPERLINK("http://exon.niaid.nih.gov/transcriptome/Anopheles_sialome/links/cluster-b/anopheline-sialome-cds-pep-larger-orf45-50SimCLTL16.txt", 19)</f>
        <v>19</v>
      </c>
      <c r="BV626">
        <f>HYPERLINK("http://exon.niaid.nih.gov/transcriptome/Anopheles_sialome/links/cluster-b/anopheline-sialome-cds-pep-larger-orf50-50SimCLU15.txt", 15)</f>
        <v>15</v>
      </c>
      <c r="BW626">
        <f>HYPERLINK("http://exon.niaid.nih.gov/transcriptome/Anopheles_sialome/links/cluster-b/anopheline-sialome-cds-pep-larger-orf50-50SimCLTL15.txt", 19)</f>
        <v>19</v>
      </c>
      <c r="BX626">
        <f>HYPERLINK("http://exon.niaid.nih.gov/transcriptome/Anopheles_sialome/links/cluster-b/anopheline-sialome-cds-pep-larger-orf55-50SimCLU16.txt", 16)</f>
        <v>16</v>
      </c>
      <c r="BY626">
        <f>HYPERLINK("http://exon.niaid.nih.gov/transcriptome/Anopheles_sialome/links/cluster-b/anopheline-sialome-cds-pep-larger-orf55-50SimCLTL16.txt", 19)</f>
        <v>19</v>
      </c>
      <c r="BZ626">
        <f>HYPERLINK("http://exon.niaid.nih.gov/transcriptome/Anopheles_sialome/links/cluster-b/anopheline-sialome-cds-pep-larger-orf60-50SimCLU15.txt", 15)</f>
        <v>15</v>
      </c>
      <c r="CA626">
        <f>HYPERLINK("http://exon.niaid.nih.gov/transcriptome/Anopheles_sialome/links/cluster-b/anopheline-sialome-cds-pep-larger-orf60-50SimCLTL15.txt", 19)</f>
        <v>19</v>
      </c>
      <c r="CB626">
        <f>HYPERLINK("http://exon.niaid.nih.gov/transcriptome/Anopheles_sialome/links/cluster-b/anopheline-sialome-cds-pep-larger-orf65-50SimCLU21.txt", 21)</f>
        <v>21</v>
      </c>
      <c r="CC626">
        <f>HYPERLINK("http://exon.niaid.nih.gov/transcriptome/Anopheles_sialome/links/cluster-b/anopheline-sialome-cds-pep-larger-orf65-50SimCLTL21.txt", 17)</f>
        <v>17</v>
      </c>
      <c r="CD626">
        <f>HYPERLINK("http://exon.niaid.nih.gov/transcriptome/Anopheles_sialome/links/cluster-b/anopheline-sialome-cds-pep-larger-orf70-50SimCLU27.txt", 27)</f>
        <v>27</v>
      </c>
      <c r="CE626">
        <f>HYPERLINK("http://exon.niaid.nih.gov/transcriptome/Anopheles_sialome/links/cluster-b/anopheline-sialome-cds-pep-larger-orf70-50SimCLTL27.txt", 15)</f>
        <v>15</v>
      </c>
      <c r="CF626">
        <f>HYPERLINK("http://exon.niaid.nih.gov/transcriptome/Anopheles_sialome/links/cluster-b/anopheline-sialome-cds-pep-larger-orf75-50SimCLU27.txt", 27)</f>
        <v>27</v>
      </c>
      <c r="CG626">
        <f>HYPERLINK("http://exon.niaid.nih.gov/transcriptome/Anopheles_sialome/links/cluster-b/anopheline-sialome-cds-pep-larger-orf75-50SimCLTL27.txt", 13)</f>
        <v>13</v>
      </c>
      <c r="CH626">
        <f>HYPERLINK("http://exon.niaid.nih.gov/transcriptome/Anopheles_sialome/links/cluster-b/anopheline-sialome-cds-pep-larger-orf80-50SimCLU29.txt", 29)</f>
        <v>29</v>
      </c>
      <c r="CI626">
        <f>HYPERLINK("http://exon.niaid.nih.gov/transcriptome/Anopheles_sialome/links/cluster-b/anopheline-sialome-cds-pep-larger-orf80-50SimCLTL29.txt", 8)</f>
        <v>8</v>
      </c>
      <c r="CJ626">
        <v>329</v>
      </c>
      <c r="CK626">
        <v>1</v>
      </c>
      <c r="CL626">
        <v>430</v>
      </c>
      <c r="CM626">
        <v>1</v>
      </c>
      <c r="CN626">
        <v>538</v>
      </c>
      <c r="CO626">
        <v>1</v>
      </c>
    </row>
    <row r="627" spans="1:93">
      <c r="A627" s="2" t="str">
        <f>HYPERLINK("http://exon.niaid.nih.gov/transcriptome/Anopheles_sialome/links/cds/anofun_SG8-cds.txt","anofun_SG8")</f>
        <v>anofun_SG8</v>
      </c>
      <c r="B627">
        <v>669</v>
      </c>
      <c r="C627" t="s">
        <v>602</v>
      </c>
      <c r="D627" t="s">
        <v>7</v>
      </c>
      <c r="E627" t="s">
        <v>5</v>
      </c>
      <c r="F627" t="s">
        <v>1</v>
      </c>
      <c r="G627" t="str">
        <f>HYPERLINK("http://exon.niaid.nih.gov/transcriptome/Anopheles_sialome/links/pep/anofun_SG8-pep.txt","anofun_SG8")</f>
        <v>anofun_SG8</v>
      </c>
      <c r="H627">
        <v>222</v>
      </c>
      <c r="I627">
        <v>0</v>
      </c>
      <c r="J627" s="3" t="str">
        <f>HYPERLINK("http://exon.niaid.nih.gov/transcriptome/Anopheles_sialome/links/Sigp/anofun_SG8-SigP.txt","SIG")</f>
        <v>SIG</v>
      </c>
      <c r="K627" t="s">
        <v>708</v>
      </c>
      <c r="L627">
        <v>25.18</v>
      </c>
      <c r="M627">
        <v>10.25</v>
      </c>
      <c r="N627">
        <v>22.66</v>
      </c>
      <c r="O627">
        <v>10.14</v>
      </c>
      <c r="P627" t="s">
        <v>2166</v>
      </c>
      <c r="Q627" s="3" t="str">
        <f>HYPERLINK("http://exon.niaid.nih.gov/transcriptome/Anopheles_sialome/links/tmhmm/anofun_SG8-tmhmm.txt","1")</f>
        <v>1</v>
      </c>
      <c r="R627">
        <v>9.9</v>
      </c>
      <c r="S627">
        <v>1.8</v>
      </c>
      <c r="T627">
        <v>88.3</v>
      </c>
      <c r="U627" t="s">
        <v>128</v>
      </c>
      <c r="V627">
        <v>196</v>
      </c>
      <c r="W627" s="3" t="str">
        <f>HYPERLINK("http://exon.niaid.nih.gov/transcriptome/Anopheles_sialome/links/netoglyc/anofun_SG8-netoglyc.txt","0")</f>
        <v>0</v>
      </c>
      <c r="X627">
        <v>13.5</v>
      </c>
      <c r="Y627">
        <v>2.2999999999999998</v>
      </c>
      <c r="Z627">
        <v>5</v>
      </c>
      <c r="AA627" t="s">
        <v>654</v>
      </c>
      <c r="AB627" t="s">
        <v>128</v>
      </c>
      <c r="AC627" s="2" t="str">
        <f>HYPERLINK("http://exon.niaid.nih.gov/transcriptome/Anopheles_sialome/links/DIPTERA/anofun_SG8-DIPTERA.txt","hypothetical protein AND_001407")</f>
        <v>hypothetical protein AND_001407</v>
      </c>
      <c r="AD627" t="str">
        <f>HYPERLINK("http://www.ncbi.nlm.nih.gov/sutils/blink.cgi?pid=568258725","2E-053")</f>
        <v>2E-053</v>
      </c>
      <c r="AE627" t="str">
        <f t="shared" si="211"/>
        <v>gi|568258725</v>
      </c>
      <c r="AF627">
        <v>51</v>
      </c>
      <c r="AG627">
        <v>68</v>
      </c>
      <c r="AH627">
        <v>93</v>
      </c>
      <c r="AI627" t="s">
        <v>2283</v>
      </c>
      <c r="AJ627" s="2" t="str">
        <f>HYPERLINK("http://exon.niaid.nih.gov/transcriptome/Anopheles_sialome/links/CULICOMORPHA/anofun_SG8-CULICOMORPHA.txt","hypothetical protein AND_001407")</f>
        <v>hypothetical protein AND_001407</v>
      </c>
      <c r="AK627" t="str">
        <f>HYPERLINK("http://www.ncbi.nlm.nih.gov/sutils/blink.cgi?pid=568258725","4E-054")</f>
        <v>4E-054</v>
      </c>
      <c r="AL627" t="str">
        <f t="shared" si="212"/>
        <v>gi|568258725</v>
      </c>
      <c r="AM627">
        <v>51</v>
      </c>
      <c r="AN627">
        <v>68</v>
      </c>
      <c r="AO627">
        <v>93</v>
      </c>
      <c r="AP627" t="s">
        <v>2283</v>
      </c>
      <c r="AQ627" s="2" t="str">
        <f>HYPERLINK("http://exon.niaid.nih.gov/transcriptome/Anopheles_sialome/links/NR-LIGHT/anofun_SG8-NR-LIGHT.txt","hypothetical protein AND_001407")</f>
        <v>hypothetical protein AND_001407</v>
      </c>
      <c r="AR627" t="str">
        <f>HYPERLINK("http://www.ncbi.nlm.nih.gov/sutils/blink.cgi?pid=568258725","5E-053")</f>
        <v>5E-053</v>
      </c>
      <c r="AS627" t="str">
        <f t="shared" si="213"/>
        <v>gi|568258725</v>
      </c>
      <c r="AT627">
        <v>51</v>
      </c>
      <c r="AU627">
        <v>68</v>
      </c>
      <c r="AV627">
        <v>93</v>
      </c>
      <c r="AW627" t="s">
        <v>2283</v>
      </c>
      <c r="AX627" s="2" t="str">
        <f>HYPERLINK("http://exon.niaid.nih.gov/transcriptome/Anopheles_sialome/links/CDD/anofun_SG8-CDD.txt","GT_2_like_e")</f>
        <v>GT_2_like_e</v>
      </c>
      <c r="AY627" t="str">
        <f>HYPERLINK("http://www.ncbi.nlm.nih.gov/Structure/cdd/cddsrv.cgi?uid=cd04192&amp;version=v4.0","0.33")</f>
        <v>0.33</v>
      </c>
      <c r="AZ627" t="s">
        <v>3104</v>
      </c>
      <c r="BA627" s="2" t="str">
        <f>HYPERLINK("http://exon.niaid.nih.gov/transcriptome/Anopheles_sialome/links/KOG/anofun_SG8-KOG.txt","Netrin transmembrane receptor unc-5")</f>
        <v>Netrin transmembrane receptor unc-5</v>
      </c>
      <c r="BB627" t="str">
        <f>HYPERLINK("http://www.ncbi.nlm.nih.gov/Structure/cdd/cddsrv.cgi?uid=KOG1480","1.7")</f>
        <v>1.7</v>
      </c>
      <c r="BC627" t="s">
        <v>2292</v>
      </c>
      <c r="BD627" t="str">
        <f>HYPERLINK("http://exon.niaid.nih.gov/transcriptome/Anopheles_sialome/links/KOG/anofun_SG8-KOG.txt","KOG1480")</f>
        <v>KOG1480</v>
      </c>
      <c r="BE627" t="str">
        <f>HYPERLINK("http://exon.niaid.nih.gov/transcriptome/Anopheles_sialome/links/PFAM/anofun_SG8-PFAM.txt","Fucose_iso_C")</f>
        <v>Fucose_iso_C</v>
      </c>
      <c r="BF627" t="str">
        <f>HYPERLINK("http://pfam.sanger.ac.uk/family?acc=PF02952","0.62")</f>
        <v>0.62</v>
      </c>
      <c r="BG627" s="2" t="str">
        <f>HYPERLINK("http://exon.niaid.nih.gov/transcriptome/Anopheles_sialome/links/SMART/anofun_SG8-SMART.txt","DM11")</f>
        <v>DM11</v>
      </c>
      <c r="BH627" t="str">
        <f>HYPERLINK("http://smart.embl-heidelberg.de/smart/do_annotation.pl?DOMAIN=DM11&amp;BLAST=DUMMY","0.46")</f>
        <v>0.46</v>
      </c>
      <c r="BI627" t="str">
        <f>HYPERLINK("http://exon.niaid.nih.gov/transcriptome/Anopheles_sialome/links/TICK-BLOCKS/anofun_SG8-TICK-BLOCKS.txt","G8_salivary_protein |")</f>
        <v>G8_salivary_protein |</v>
      </c>
      <c r="BJ627" s="2" t="s">
        <v>3096</v>
      </c>
      <c r="BK627" t="s">
        <v>2165</v>
      </c>
      <c r="BL627">
        <f>HYPERLINK("http://exon.niaid.nih.gov/transcriptome/Anopheles_sialome/links/cluster-b/anopheline-sialome-cds-pep-larger-orf25-50SimCLU13.txt", 13)</f>
        <v>13</v>
      </c>
      <c r="BM627">
        <f>HYPERLINK("http://exon.niaid.nih.gov/transcriptome/Anopheles_sialome/links/cluster-b/anopheline-sialome-cds-pep-larger-orf25-50SimCLTL13.txt", 19)</f>
        <v>19</v>
      </c>
      <c r="BN627">
        <f>HYPERLINK("http://exon.niaid.nih.gov/transcriptome/Anopheles_sialome/links/cluster-b/anopheline-sialome-cds-pep-larger-orf30-50SimCLU12.txt", 12)</f>
        <v>12</v>
      </c>
      <c r="BO627">
        <f>HYPERLINK("http://exon.niaid.nih.gov/transcriptome/Anopheles_sialome/links/cluster-b/anopheline-sialome-cds-pep-larger-orf30-50SimCLTL12.txt", 19)</f>
        <v>19</v>
      </c>
      <c r="BP627">
        <f>HYPERLINK("http://exon.niaid.nih.gov/transcriptome/Anopheles_sialome/links/cluster-b/anopheline-sialome-cds-pep-larger-orf35-50SimCLU14.txt", 14)</f>
        <v>14</v>
      </c>
      <c r="BQ627">
        <f>HYPERLINK("http://exon.niaid.nih.gov/transcriptome/Anopheles_sialome/links/cluster-b/anopheline-sialome-cds-pep-larger-orf35-50SimCLTL14.txt", 19)</f>
        <v>19</v>
      </c>
      <c r="BR627">
        <f>HYPERLINK("http://exon.niaid.nih.gov/transcriptome/Anopheles_sialome/links/cluster-b/anopheline-sialome-cds-pep-larger-orf40-50SimCLU16.txt", 16)</f>
        <v>16</v>
      </c>
      <c r="BS627">
        <f>HYPERLINK("http://exon.niaid.nih.gov/transcriptome/Anopheles_sialome/links/cluster-b/anopheline-sialome-cds-pep-larger-orf40-50SimCLTL16.txt", 19)</f>
        <v>19</v>
      </c>
      <c r="BT627">
        <f>HYPERLINK("http://exon.niaid.nih.gov/transcriptome/Anopheles_sialome/links/cluster-b/anopheline-sialome-cds-pep-larger-orf45-50SimCLU16.txt", 16)</f>
        <v>16</v>
      </c>
      <c r="BU627">
        <f>HYPERLINK("http://exon.niaid.nih.gov/transcriptome/Anopheles_sialome/links/cluster-b/anopheline-sialome-cds-pep-larger-orf45-50SimCLTL16.txt", 19)</f>
        <v>19</v>
      </c>
      <c r="BV627">
        <f>HYPERLINK("http://exon.niaid.nih.gov/transcriptome/Anopheles_sialome/links/cluster-b/anopheline-sialome-cds-pep-larger-orf50-50SimCLU15.txt", 15)</f>
        <v>15</v>
      </c>
      <c r="BW627">
        <f>HYPERLINK("http://exon.niaid.nih.gov/transcriptome/Anopheles_sialome/links/cluster-b/anopheline-sialome-cds-pep-larger-orf50-50SimCLTL15.txt", 19)</f>
        <v>19</v>
      </c>
      <c r="BX627">
        <f>HYPERLINK("http://exon.niaid.nih.gov/transcriptome/Anopheles_sialome/links/cluster-b/anopheline-sialome-cds-pep-larger-orf55-50SimCLU16.txt", 16)</f>
        <v>16</v>
      </c>
      <c r="BY627">
        <f>HYPERLINK("http://exon.niaid.nih.gov/transcriptome/Anopheles_sialome/links/cluster-b/anopheline-sialome-cds-pep-larger-orf55-50SimCLTL16.txt", 19)</f>
        <v>19</v>
      </c>
      <c r="BZ627">
        <f>HYPERLINK("http://exon.niaid.nih.gov/transcriptome/Anopheles_sialome/links/cluster-b/anopheline-sialome-cds-pep-larger-orf60-50SimCLU15.txt", 15)</f>
        <v>15</v>
      </c>
      <c r="CA627">
        <f>HYPERLINK("http://exon.niaid.nih.gov/transcriptome/Anopheles_sialome/links/cluster-b/anopheline-sialome-cds-pep-larger-orf60-50SimCLTL15.txt", 19)</f>
        <v>19</v>
      </c>
      <c r="CB627">
        <f>HYPERLINK("http://exon.niaid.nih.gov/transcriptome/Anopheles_sialome/links/cluster-b/anopheline-sialome-cds-pep-larger-orf65-50SimCLU21.txt", 21)</f>
        <v>21</v>
      </c>
      <c r="CC627">
        <f>HYPERLINK("http://exon.niaid.nih.gov/transcriptome/Anopheles_sialome/links/cluster-b/anopheline-sialome-cds-pep-larger-orf65-50SimCLTL21.txt", 17)</f>
        <v>17</v>
      </c>
      <c r="CD627">
        <f>HYPERLINK("http://exon.niaid.nih.gov/transcriptome/Anopheles_sialome/links/cluster-b/anopheline-sialome-cds-pep-larger-orf70-50SimCLU27.txt", 27)</f>
        <v>27</v>
      </c>
      <c r="CE627">
        <f>HYPERLINK("http://exon.niaid.nih.gov/transcriptome/Anopheles_sialome/links/cluster-b/anopheline-sialome-cds-pep-larger-orf70-50SimCLTL27.txt", 15)</f>
        <v>15</v>
      </c>
      <c r="CF627">
        <f>HYPERLINK("http://exon.niaid.nih.gov/transcriptome/Anopheles_sialome/links/cluster-b/anopheline-sialome-cds-pep-larger-orf75-50SimCLU27.txt", 27)</f>
        <v>27</v>
      </c>
      <c r="CG627">
        <f>HYPERLINK("http://exon.niaid.nih.gov/transcriptome/Anopheles_sialome/links/cluster-b/anopheline-sialome-cds-pep-larger-orf75-50SimCLTL27.txt", 13)</f>
        <v>13</v>
      </c>
      <c r="CH627">
        <f>HYPERLINK("http://exon.niaid.nih.gov/transcriptome/Anopheles_sialome/links/cluster-b/anopheline-sialome-cds-pep-larger-orf80-50SimCLU51.txt", 51)</f>
        <v>51</v>
      </c>
      <c r="CI627">
        <f>HYPERLINK("http://exon.niaid.nih.gov/transcriptome/Anopheles_sialome/links/cluster-b/anopheline-sialome-cds-pep-larger-orf80-50SimCLTL51.txt", 5)</f>
        <v>5</v>
      </c>
      <c r="CJ627">
        <f>HYPERLINK("http://exon.niaid.nih.gov/transcriptome/Anopheles_sialome/links/cluster-b/anopheline-sialome-cds-pep-larger-orf85-50SimCLU55.txt", 55)</f>
        <v>55</v>
      </c>
      <c r="CK627">
        <f>HYPERLINK("http://exon.niaid.nih.gov/transcriptome/Anopheles_sialome/links/cluster-b/anopheline-sialome-cds-pep-larger-orf85-50SimCLTL55.txt", 3)</f>
        <v>3</v>
      </c>
      <c r="CL627">
        <f>HYPERLINK("http://exon.niaid.nih.gov/transcriptome/Anopheles_sialome/links/cluster-b/anopheline-sialome-cds-pep-larger-orf90-50SimCLU59.txt", 59)</f>
        <v>59</v>
      </c>
      <c r="CM627">
        <f>HYPERLINK("http://exon.niaid.nih.gov/transcriptome/Anopheles_sialome/links/cluster-b/anopheline-sialome-cds-pep-larger-orf90-50SimCLTL59.txt", 3)</f>
        <v>3</v>
      </c>
      <c r="CN627">
        <v>539</v>
      </c>
      <c r="CO627">
        <v>1</v>
      </c>
    </row>
    <row r="628" spans="1:93">
      <c r="A628" s="2" t="str">
        <f>HYPERLINK("http://exon.niaid.nih.gov/transcriptome/Anopheles_sialome/links/cds/anomin_SG8-cds.txt","anomin_SG8")</f>
        <v>anomin_SG8</v>
      </c>
      <c r="B628">
        <v>669</v>
      </c>
      <c r="C628" t="s">
        <v>603</v>
      </c>
      <c r="D628" t="s">
        <v>7</v>
      </c>
      <c r="E628" t="s">
        <v>5</v>
      </c>
      <c r="F628" t="s">
        <v>1</v>
      </c>
      <c r="G628" t="str">
        <f>HYPERLINK("http://exon.niaid.nih.gov/transcriptome/Anopheles_sialome/links/pep/anomin_SG8-pep.txt","anomin_SG8")</f>
        <v>anomin_SG8</v>
      </c>
      <c r="H628">
        <v>222</v>
      </c>
      <c r="I628">
        <v>0</v>
      </c>
      <c r="J628" s="3" t="str">
        <f>HYPERLINK("http://exon.niaid.nih.gov/transcriptome/Anopheles_sialome/links/Sigp/anomin_SG8-SigP.txt","SIG")</f>
        <v>SIG</v>
      </c>
      <c r="K628" t="s">
        <v>695</v>
      </c>
      <c r="L628">
        <v>25.224</v>
      </c>
      <c r="M628">
        <v>10.29</v>
      </c>
      <c r="N628">
        <v>22.805</v>
      </c>
      <c r="O628">
        <v>10.18</v>
      </c>
      <c r="P628" t="s">
        <v>2168</v>
      </c>
      <c r="Q628" s="3">
        <v>0</v>
      </c>
      <c r="R628" t="s">
        <v>128</v>
      </c>
      <c r="S628" t="s">
        <v>128</v>
      </c>
      <c r="T628" t="s">
        <v>128</v>
      </c>
      <c r="U628" t="s">
        <v>128</v>
      </c>
      <c r="V628" t="s">
        <v>128</v>
      </c>
      <c r="W628" s="3" t="str">
        <f>HYPERLINK("http://exon.niaid.nih.gov/transcriptome/Anopheles_sialome/links/netoglyc/anomin_SG8-netoglyc.txt","0")</f>
        <v>0</v>
      </c>
      <c r="X628">
        <v>14.4</v>
      </c>
      <c r="Y628">
        <v>2.2999999999999998</v>
      </c>
      <c r="Z628">
        <v>4.5</v>
      </c>
      <c r="AA628" t="s">
        <v>654</v>
      </c>
      <c r="AB628" t="s">
        <v>128</v>
      </c>
      <c r="AC628" s="2" t="str">
        <f>HYPERLINK("http://exon.niaid.nih.gov/transcriptome/Anopheles_sialome/links/DIPTERA/anomin_SG8-DIPTERA.txt","hypothetical protein AND_001407")</f>
        <v>hypothetical protein AND_001407</v>
      </c>
      <c r="AD628" t="str">
        <f>HYPERLINK("http://www.ncbi.nlm.nih.gov/sutils/blink.cgi?pid=568258725","3E-053")</f>
        <v>3E-053</v>
      </c>
      <c r="AE628" t="str">
        <f>HYPERLINK("http://www.ncbi.nlm.nih.gov/protein/568258725","gi|568258725")</f>
        <v>gi|568258725</v>
      </c>
      <c r="AF628">
        <v>50</v>
      </c>
      <c r="AG628">
        <v>69</v>
      </c>
      <c r="AH628">
        <v>94</v>
      </c>
      <c r="AI628" t="s">
        <v>2283</v>
      </c>
      <c r="AJ628" s="2" t="str">
        <f>HYPERLINK("http://exon.niaid.nih.gov/transcriptome/Anopheles_sialome/links/CULICOMORPHA/anomin_SG8-CULICOMORPHA.txt","hypothetical protein AND_001407")</f>
        <v>hypothetical protein AND_001407</v>
      </c>
      <c r="AK628" t="str">
        <f>HYPERLINK("http://www.ncbi.nlm.nih.gov/sutils/blink.cgi?pid=568258725","5E-054")</f>
        <v>5E-054</v>
      </c>
      <c r="AL628" t="str">
        <f>HYPERLINK("http://www.ncbi.nlm.nih.gov/protein/568258725","gi|568258725")</f>
        <v>gi|568258725</v>
      </c>
      <c r="AM628">
        <v>50</v>
      </c>
      <c r="AN628">
        <v>69</v>
      </c>
      <c r="AO628">
        <v>94</v>
      </c>
      <c r="AP628" t="s">
        <v>2283</v>
      </c>
      <c r="AQ628" s="2" t="str">
        <f>HYPERLINK("http://exon.niaid.nih.gov/transcriptome/Anopheles_sialome/links/NR-LIGHT/anomin_SG8-NR-LIGHT.txt","hypothetical protein AND_001407")</f>
        <v>hypothetical protein AND_001407</v>
      </c>
      <c r="AR628" t="str">
        <f>HYPERLINK("http://www.ncbi.nlm.nih.gov/sutils/blink.cgi?pid=568258725","7E-053")</f>
        <v>7E-053</v>
      </c>
      <c r="AS628" t="str">
        <f>HYPERLINK("http://www.ncbi.nlm.nih.gov/protein/568258725","gi|568258725")</f>
        <v>gi|568258725</v>
      </c>
      <c r="AT628">
        <v>50</v>
      </c>
      <c r="AU628">
        <v>69</v>
      </c>
      <c r="AV628">
        <v>94</v>
      </c>
      <c r="AW628" t="s">
        <v>2283</v>
      </c>
      <c r="AX628" s="2" t="str">
        <f>HYPERLINK("http://exon.niaid.nih.gov/transcriptome/Anopheles_sialome/links/CDD/anomin_SG8-CDD.txt","Neur")</f>
        <v>Neur</v>
      </c>
      <c r="AY628" t="str">
        <f>HYPERLINK("http://www.ncbi.nlm.nih.gov/Structure/cdd/cddsrv.cgi?uid=pfam00064&amp;version=v4.0","0.99")</f>
        <v>0.99</v>
      </c>
      <c r="AZ628" t="s">
        <v>3105</v>
      </c>
      <c r="BA628" s="2" t="str">
        <f>HYPERLINK("http://exon.niaid.nih.gov/transcriptome/Anopheles_sialome/links/KOG/anomin_SG8-KOG.txt","Trypsin")</f>
        <v>Trypsin</v>
      </c>
      <c r="BB628" t="str">
        <f>HYPERLINK("http://www.ncbi.nlm.nih.gov/Structure/cdd/cddsrv.cgi?uid=KOG3627","0.27")</f>
        <v>0.27</v>
      </c>
      <c r="BC628" t="s">
        <v>2287</v>
      </c>
      <c r="BD628" t="str">
        <f>HYPERLINK("http://exon.niaid.nih.gov/transcriptome/Anopheles_sialome/links/KOG/anomin_SG8-KOG.txt","KOG3627")</f>
        <v>KOG3627</v>
      </c>
      <c r="BE628" t="str">
        <f>HYPERLINK("http://exon.niaid.nih.gov/transcriptome/Anopheles_sialome/links/PFAM/anomin_SG8-PFAM.txt","Neur")</f>
        <v>Neur</v>
      </c>
      <c r="BF628" t="str">
        <f>HYPERLINK("http://pfam.sanger.ac.uk/family?acc=PF00064","0.21")</f>
        <v>0.21</v>
      </c>
      <c r="BG628" s="2" t="str">
        <f>HYPERLINK("http://exon.niaid.nih.gov/transcriptome/Anopheles_sialome/links/SMART/anomin_SG8-SMART.txt","DM11")</f>
        <v>DM11</v>
      </c>
      <c r="BH628" t="str">
        <f>HYPERLINK("http://smart.embl-heidelberg.de/smart/do_annotation.pl?DOMAIN=DM11&amp;BLAST=DUMMY","0.41")</f>
        <v>0.41</v>
      </c>
      <c r="BI628" t="str">
        <f>HYPERLINK("http://exon.niaid.nih.gov/transcriptome/Anopheles_sialome/links/TICK-BLOCKS/anomin_SG8-TICK-BLOCKS.txt","G8_salivary_protein |")</f>
        <v>G8_salivary_protein |</v>
      </c>
      <c r="BJ628" s="2" t="s">
        <v>3096</v>
      </c>
      <c r="BK628" t="s">
        <v>2167</v>
      </c>
      <c r="BL628">
        <f>HYPERLINK("http://exon.niaid.nih.gov/transcriptome/Anopheles_sialome/links/cluster-b/anopheline-sialome-cds-pep-larger-orf25-50SimCLU13.txt", 13)</f>
        <v>13</v>
      </c>
      <c r="BM628">
        <f>HYPERLINK("http://exon.niaid.nih.gov/transcriptome/Anopheles_sialome/links/cluster-b/anopheline-sialome-cds-pep-larger-orf25-50SimCLTL13.txt", 19)</f>
        <v>19</v>
      </c>
      <c r="BN628">
        <f>HYPERLINK("http://exon.niaid.nih.gov/transcriptome/Anopheles_sialome/links/cluster-b/anopheline-sialome-cds-pep-larger-orf30-50SimCLU12.txt", 12)</f>
        <v>12</v>
      </c>
      <c r="BO628">
        <f>HYPERLINK("http://exon.niaid.nih.gov/transcriptome/Anopheles_sialome/links/cluster-b/anopheline-sialome-cds-pep-larger-orf30-50SimCLTL12.txt", 19)</f>
        <v>19</v>
      </c>
      <c r="BP628">
        <f>HYPERLINK("http://exon.niaid.nih.gov/transcriptome/Anopheles_sialome/links/cluster-b/anopheline-sialome-cds-pep-larger-orf35-50SimCLU14.txt", 14)</f>
        <v>14</v>
      </c>
      <c r="BQ628">
        <f>HYPERLINK("http://exon.niaid.nih.gov/transcriptome/Anopheles_sialome/links/cluster-b/anopheline-sialome-cds-pep-larger-orf35-50SimCLTL14.txt", 19)</f>
        <v>19</v>
      </c>
      <c r="BR628">
        <f>HYPERLINK("http://exon.niaid.nih.gov/transcriptome/Anopheles_sialome/links/cluster-b/anopheline-sialome-cds-pep-larger-orf40-50SimCLU16.txt", 16)</f>
        <v>16</v>
      </c>
      <c r="BS628">
        <f>HYPERLINK("http://exon.niaid.nih.gov/transcriptome/Anopheles_sialome/links/cluster-b/anopheline-sialome-cds-pep-larger-orf40-50SimCLTL16.txt", 19)</f>
        <v>19</v>
      </c>
      <c r="BT628">
        <f>HYPERLINK("http://exon.niaid.nih.gov/transcriptome/Anopheles_sialome/links/cluster-b/anopheline-sialome-cds-pep-larger-orf45-50SimCLU16.txt", 16)</f>
        <v>16</v>
      </c>
      <c r="BU628">
        <f>HYPERLINK("http://exon.niaid.nih.gov/transcriptome/Anopheles_sialome/links/cluster-b/anopheline-sialome-cds-pep-larger-orf45-50SimCLTL16.txt", 19)</f>
        <v>19</v>
      </c>
      <c r="BV628">
        <f>HYPERLINK("http://exon.niaid.nih.gov/transcriptome/Anopheles_sialome/links/cluster-b/anopheline-sialome-cds-pep-larger-orf50-50SimCLU15.txt", 15)</f>
        <v>15</v>
      </c>
      <c r="BW628">
        <f>HYPERLINK("http://exon.niaid.nih.gov/transcriptome/Anopheles_sialome/links/cluster-b/anopheline-sialome-cds-pep-larger-orf50-50SimCLTL15.txt", 19)</f>
        <v>19</v>
      </c>
      <c r="BX628">
        <f>HYPERLINK("http://exon.niaid.nih.gov/transcriptome/Anopheles_sialome/links/cluster-b/anopheline-sialome-cds-pep-larger-orf55-50SimCLU16.txt", 16)</f>
        <v>16</v>
      </c>
      <c r="BY628">
        <f>HYPERLINK("http://exon.niaid.nih.gov/transcriptome/Anopheles_sialome/links/cluster-b/anopheline-sialome-cds-pep-larger-orf55-50SimCLTL16.txt", 19)</f>
        <v>19</v>
      </c>
      <c r="BZ628">
        <f>HYPERLINK("http://exon.niaid.nih.gov/transcriptome/Anopheles_sialome/links/cluster-b/anopheline-sialome-cds-pep-larger-orf60-50SimCLU15.txt", 15)</f>
        <v>15</v>
      </c>
      <c r="CA628">
        <f>HYPERLINK("http://exon.niaid.nih.gov/transcriptome/Anopheles_sialome/links/cluster-b/anopheline-sialome-cds-pep-larger-orf60-50SimCLTL15.txt", 19)</f>
        <v>19</v>
      </c>
      <c r="CB628">
        <f>HYPERLINK("http://exon.niaid.nih.gov/transcriptome/Anopheles_sialome/links/cluster-b/anopheline-sialome-cds-pep-larger-orf65-50SimCLU21.txt", 21)</f>
        <v>21</v>
      </c>
      <c r="CC628">
        <f>HYPERLINK("http://exon.niaid.nih.gov/transcriptome/Anopheles_sialome/links/cluster-b/anopheline-sialome-cds-pep-larger-orf65-50SimCLTL21.txt", 17)</f>
        <v>17</v>
      </c>
      <c r="CD628">
        <f>HYPERLINK("http://exon.niaid.nih.gov/transcriptome/Anopheles_sialome/links/cluster-b/anopheline-sialome-cds-pep-larger-orf70-50SimCLU27.txt", 27)</f>
        <v>27</v>
      </c>
      <c r="CE628">
        <f>HYPERLINK("http://exon.niaid.nih.gov/transcriptome/Anopheles_sialome/links/cluster-b/anopheline-sialome-cds-pep-larger-orf70-50SimCLTL27.txt", 15)</f>
        <v>15</v>
      </c>
      <c r="CF628">
        <f>HYPERLINK("http://exon.niaid.nih.gov/transcriptome/Anopheles_sialome/links/cluster-b/anopheline-sialome-cds-pep-larger-orf75-50SimCLU27.txt", 27)</f>
        <v>27</v>
      </c>
      <c r="CG628">
        <f>HYPERLINK("http://exon.niaid.nih.gov/transcriptome/Anopheles_sialome/links/cluster-b/anopheline-sialome-cds-pep-larger-orf75-50SimCLTL27.txt", 13)</f>
        <v>13</v>
      </c>
      <c r="CH628">
        <f>HYPERLINK("http://exon.niaid.nih.gov/transcriptome/Anopheles_sialome/links/cluster-b/anopheline-sialome-cds-pep-larger-orf80-50SimCLU51.txt", 51)</f>
        <v>51</v>
      </c>
      <c r="CI628">
        <f>HYPERLINK("http://exon.niaid.nih.gov/transcriptome/Anopheles_sialome/links/cluster-b/anopheline-sialome-cds-pep-larger-orf80-50SimCLTL51.txt", 5)</f>
        <v>5</v>
      </c>
      <c r="CJ628">
        <f>HYPERLINK("http://exon.niaid.nih.gov/transcriptome/Anopheles_sialome/links/cluster-b/anopheline-sialome-cds-pep-larger-orf85-50SimCLU55.txt", 55)</f>
        <v>55</v>
      </c>
      <c r="CK628">
        <f>HYPERLINK("http://exon.niaid.nih.gov/transcriptome/Anopheles_sialome/links/cluster-b/anopheline-sialome-cds-pep-larger-orf85-50SimCLTL55.txt", 3)</f>
        <v>3</v>
      </c>
      <c r="CL628">
        <f>HYPERLINK("http://exon.niaid.nih.gov/transcriptome/Anopheles_sialome/links/cluster-b/anopheline-sialome-cds-pep-larger-orf90-50SimCLU59.txt", 59)</f>
        <v>59</v>
      </c>
      <c r="CM628">
        <f>HYPERLINK("http://exon.niaid.nih.gov/transcriptome/Anopheles_sialome/links/cluster-b/anopheline-sialome-cds-pep-larger-orf90-50SimCLTL59.txt", 3)</f>
        <v>3</v>
      </c>
      <c r="CN628">
        <v>540</v>
      </c>
      <c r="CO628">
        <v>1</v>
      </c>
    </row>
    <row r="629" spans="1:93">
      <c r="A629" s="2" t="str">
        <f>HYPERLINK("http://exon.niaid.nih.gov/transcriptome/Anopheles_sialome/links/cds/anocul_SG8-cds.txt","anocul_SG8")</f>
        <v>anocul_SG8</v>
      </c>
      <c r="B629">
        <v>657</v>
      </c>
      <c r="C629" t="s">
        <v>604</v>
      </c>
      <c r="D629" t="s">
        <v>7</v>
      </c>
      <c r="E629" t="s">
        <v>5</v>
      </c>
      <c r="F629" t="s">
        <v>1</v>
      </c>
      <c r="G629" t="str">
        <f>HYPERLINK("http://exon.niaid.nih.gov/transcriptome/Anopheles_sialome/links/pep/anocul_SG8-pep.txt","anocul_SG8")</f>
        <v>anocul_SG8</v>
      </c>
      <c r="H629">
        <v>218</v>
      </c>
      <c r="I629">
        <v>0</v>
      </c>
      <c r="J629" s="3" t="str">
        <f>HYPERLINK("http://exon.niaid.nih.gov/transcriptome/Anopheles_sialome/links/Sigp/anocul_SG8-SigP.txt","SIG")</f>
        <v>SIG</v>
      </c>
      <c r="K629" t="s">
        <v>708</v>
      </c>
      <c r="L629">
        <v>24.88</v>
      </c>
      <c r="M629">
        <v>9.82</v>
      </c>
      <c r="N629">
        <v>22.457000000000001</v>
      </c>
      <c r="O629">
        <v>9.82</v>
      </c>
      <c r="P629" t="s">
        <v>2170</v>
      </c>
      <c r="Q629" s="3">
        <v>0</v>
      </c>
      <c r="R629" t="s">
        <v>128</v>
      </c>
      <c r="S629" t="s">
        <v>128</v>
      </c>
      <c r="T629" t="s">
        <v>128</v>
      </c>
      <c r="U629" t="s">
        <v>128</v>
      </c>
      <c r="V629" t="s">
        <v>128</v>
      </c>
      <c r="W629" s="3" t="str">
        <f>HYPERLINK("http://exon.niaid.nih.gov/transcriptome/Anopheles_sialome/links/netoglyc/anocul_SG8-netoglyc.txt","0")</f>
        <v>0</v>
      </c>
      <c r="X629">
        <v>16.100000000000001</v>
      </c>
      <c r="Y629">
        <v>1.4</v>
      </c>
      <c r="Z629">
        <v>3.7</v>
      </c>
      <c r="AA629" t="s">
        <v>654</v>
      </c>
      <c r="AB629" t="s">
        <v>128</v>
      </c>
      <c r="AC629" s="2" t="str">
        <f>HYPERLINK("http://exon.niaid.nih.gov/transcriptome/Anopheles_sialome/links/DIPTERA/anocul_SG8-DIPTERA.txt","hypothetical protein AND_001407")</f>
        <v>hypothetical protein AND_001407</v>
      </c>
      <c r="AD629" t="str">
        <f>HYPERLINK("http://www.ncbi.nlm.nih.gov/sutils/blink.cgi?pid=568258725","2E-053")</f>
        <v>2E-053</v>
      </c>
      <c r="AE629" t="str">
        <f t="shared" si="211"/>
        <v>gi|568258725</v>
      </c>
      <c r="AF629">
        <v>52</v>
      </c>
      <c r="AG629">
        <v>71</v>
      </c>
      <c r="AH629">
        <v>92</v>
      </c>
      <c r="AI629" t="s">
        <v>2283</v>
      </c>
      <c r="AJ629" s="2" t="str">
        <f>HYPERLINK("http://exon.niaid.nih.gov/transcriptome/Anopheles_sialome/links/CULICOMORPHA/anocul_SG8-CULICOMORPHA.txt","hypothetical protein AND_001407")</f>
        <v>hypothetical protein AND_001407</v>
      </c>
      <c r="AK629" t="str">
        <f>HYPERLINK("http://www.ncbi.nlm.nih.gov/sutils/blink.cgi?pid=568258725","4E-054")</f>
        <v>4E-054</v>
      </c>
      <c r="AL629" t="str">
        <f t="shared" si="212"/>
        <v>gi|568258725</v>
      </c>
      <c r="AM629">
        <v>52</v>
      </c>
      <c r="AN629">
        <v>71</v>
      </c>
      <c r="AO629">
        <v>92</v>
      </c>
      <c r="AP629" t="s">
        <v>2283</v>
      </c>
      <c r="AQ629" s="2" t="str">
        <f>HYPERLINK("http://exon.niaid.nih.gov/transcriptome/Anopheles_sialome/links/NR-LIGHT/anocul_SG8-NR-LIGHT.txt","hypothetical protein AND_001407")</f>
        <v>hypothetical protein AND_001407</v>
      </c>
      <c r="AR629" t="str">
        <f>HYPERLINK("http://www.ncbi.nlm.nih.gov/sutils/blink.cgi?pid=568258725","5E-053")</f>
        <v>5E-053</v>
      </c>
      <c r="AS629" t="str">
        <f t="shared" si="213"/>
        <v>gi|568258725</v>
      </c>
      <c r="AT629">
        <v>52</v>
      </c>
      <c r="AU629">
        <v>71</v>
      </c>
      <c r="AV629">
        <v>92</v>
      </c>
      <c r="AW629" t="s">
        <v>2283</v>
      </c>
      <c r="AX629" s="2" t="str">
        <f>HYPERLINK("http://exon.niaid.nih.gov/transcriptome/Anopheles_sialome/links/CDD/anocul_SG8-CDD.txt","PepN")</f>
        <v>PepN</v>
      </c>
      <c r="AY629" t="str">
        <f>HYPERLINK("http://www.ncbi.nlm.nih.gov/Structure/cdd/cddsrv.cgi?uid=COG0308&amp;version=v4.0","0.070")</f>
        <v>0.070</v>
      </c>
      <c r="AZ629" t="s">
        <v>3106</v>
      </c>
      <c r="BA629" s="2" t="str">
        <f>HYPERLINK("http://exon.niaid.nih.gov/transcriptome/Anopheles_sialome/links/KOG/anocul_SG8-KOG.txt","Trypsin")</f>
        <v>Trypsin</v>
      </c>
      <c r="BB629" t="str">
        <f>HYPERLINK("http://www.ncbi.nlm.nih.gov/Structure/cdd/cddsrv.cgi?uid=KOG3627","0.77")</f>
        <v>0.77</v>
      </c>
      <c r="BC629" t="s">
        <v>2287</v>
      </c>
      <c r="BD629" t="str">
        <f>HYPERLINK("http://exon.niaid.nih.gov/transcriptome/Anopheles_sialome/links/KOG/anocul_SG8-KOG.txt","KOG3627")</f>
        <v>KOG3627</v>
      </c>
      <c r="BE629" t="str">
        <f>HYPERLINK("http://exon.niaid.nih.gov/transcriptome/Anopheles_sialome/links/PFAM/anocul_SG8-PFAM.txt","NDUF_B8")</f>
        <v>NDUF_B8</v>
      </c>
      <c r="BF629" t="str">
        <f>HYPERLINK("http://pfam.sanger.ac.uk/family?acc=PF05821","0.067")</f>
        <v>0.067</v>
      </c>
      <c r="BG629" s="2" t="str">
        <f>HYPERLINK("http://exon.niaid.nih.gov/transcriptome/Anopheles_sialome/links/SMART/anocul_SG8-SMART.txt","UBA_e1_C")</f>
        <v>UBA_e1_C</v>
      </c>
      <c r="BH629" t="str">
        <f>HYPERLINK("http://smart.embl-heidelberg.de/smart/do_annotation.pl?DOMAIN=UBA_e1_C&amp;BLAST=DUMMY","0.27")</f>
        <v>0.27</v>
      </c>
      <c r="BI629" t="str">
        <f>HYPERLINK("http://exon.niaid.nih.gov/transcriptome/Anopheles_sialome/links/TICK-BLOCKS/anocul_SG8-TICK-BLOCKS.txt","G8_salivary_protein |")</f>
        <v>G8_salivary_protein |</v>
      </c>
      <c r="BJ629" s="2" t="s">
        <v>3096</v>
      </c>
      <c r="BK629" t="s">
        <v>2169</v>
      </c>
      <c r="BL629">
        <f>HYPERLINK("http://exon.niaid.nih.gov/transcriptome/Anopheles_sialome/links/cluster-b/anopheline-sialome-cds-pep-larger-orf25-50SimCLU13.txt", 13)</f>
        <v>13</v>
      </c>
      <c r="BM629">
        <f>HYPERLINK("http://exon.niaid.nih.gov/transcriptome/Anopheles_sialome/links/cluster-b/anopheline-sialome-cds-pep-larger-orf25-50SimCLTL13.txt", 19)</f>
        <v>19</v>
      </c>
      <c r="BN629">
        <f>HYPERLINK("http://exon.niaid.nih.gov/transcriptome/Anopheles_sialome/links/cluster-b/anopheline-sialome-cds-pep-larger-orf30-50SimCLU12.txt", 12)</f>
        <v>12</v>
      </c>
      <c r="BO629">
        <f>HYPERLINK("http://exon.niaid.nih.gov/transcriptome/Anopheles_sialome/links/cluster-b/anopheline-sialome-cds-pep-larger-orf30-50SimCLTL12.txt", 19)</f>
        <v>19</v>
      </c>
      <c r="BP629">
        <f>HYPERLINK("http://exon.niaid.nih.gov/transcriptome/Anopheles_sialome/links/cluster-b/anopheline-sialome-cds-pep-larger-orf35-50SimCLU14.txt", 14)</f>
        <v>14</v>
      </c>
      <c r="BQ629">
        <f>HYPERLINK("http://exon.niaid.nih.gov/transcriptome/Anopheles_sialome/links/cluster-b/anopheline-sialome-cds-pep-larger-orf35-50SimCLTL14.txt", 19)</f>
        <v>19</v>
      </c>
      <c r="BR629">
        <f>HYPERLINK("http://exon.niaid.nih.gov/transcriptome/Anopheles_sialome/links/cluster-b/anopheline-sialome-cds-pep-larger-orf40-50SimCLU16.txt", 16)</f>
        <v>16</v>
      </c>
      <c r="BS629">
        <f>HYPERLINK("http://exon.niaid.nih.gov/transcriptome/Anopheles_sialome/links/cluster-b/anopheline-sialome-cds-pep-larger-orf40-50SimCLTL16.txt", 19)</f>
        <v>19</v>
      </c>
      <c r="BT629">
        <f>HYPERLINK("http://exon.niaid.nih.gov/transcriptome/Anopheles_sialome/links/cluster-b/anopheline-sialome-cds-pep-larger-orf45-50SimCLU16.txt", 16)</f>
        <v>16</v>
      </c>
      <c r="BU629">
        <f>HYPERLINK("http://exon.niaid.nih.gov/transcriptome/Anopheles_sialome/links/cluster-b/anopheline-sialome-cds-pep-larger-orf45-50SimCLTL16.txt", 19)</f>
        <v>19</v>
      </c>
      <c r="BV629">
        <f>HYPERLINK("http://exon.niaid.nih.gov/transcriptome/Anopheles_sialome/links/cluster-b/anopheline-sialome-cds-pep-larger-orf50-50SimCLU15.txt", 15)</f>
        <v>15</v>
      </c>
      <c r="BW629">
        <f>HYPERLINK("http://exon.niaid.nih.gov/transcriptome/Anopheles_sialome/links/cluster-b/anopheline-sialome-cds-pep-larger-orf50-50SimCLTL15.txt", 19)</f>
        <v>19</v>
      </c>
      <c r="BX629">
        <f>HYPERLINK("http://exon.niaid.nih.gov/transcriptome/Anopheles_sialome/links/cluster-b/anopheline-sialome-cds-pep-larger-orf55-50SimCLU16.txt", 16)</f>
        <v>16</v>
      </c>
      <c r="BY629">
        <f>HYPERLINK("http://exon.niaid.nih.gov/transcriptome/Anopheles_sialome/links/cluster-b/anopheline-sialome-cds-pep-larger-orf55-50SimCLTL16.txt", 19)</f>
        <v>19</v>
      </c>
      <c r="BZ629">
        <f>HYPERLINK("http://exon.niaid.nih.gov/transcriptome/Anopheles_sialome/links/cluster-b/anopheline-sialome-cds-pep-larger-orf60-50SimCLU15.txt", 15)</f>
        <v>15</v>
      </c>
      <c r="CA629">
        <f>HYPERLINK("http://exon.niaid.nih.gov/transcriptome/Anopheles_sialome/links/cluster-b/anopheline-sialome-cds-pep-larger-orf60-50SimCLTL15.txt", 19)</f>
        <v>19</v>
      </c>
      <c r="CB629">
        <f>HYPERLINK("http://exon.niaid.nih.gov/transcriptome/Anopheles_sialome/links/cluster-b/anopheline-sialome-cds-pep-larger-orf65-50SimCLU21.txt", 21)</f>
        <v>21</v>
      </c>
      <c r="CC629">
        <f>HYPERLINK("http://exon.niaid.nih.gov/transcriptome/Anopheles_sialome/links/cluster-b/anopheline-sialome-cds-pep-larger-orf65-50SimCLTL21.txt", 17)</f>
        <v>17</v>
      </c>
      <c r="CD629">
        <f>HYPERLINK("http://exon.niaid.nih.gov/transcriptome/Anopheles_sialome/links/cluster-b/anopheline-sialome-cds-pep-larger-orf70-50SimCLU27.txt", 27)</f>
        <v>27</v>
      </c>
      <c r="CE629">
        <f>HYPERLINK("http://exon.niaid.nih.gov/transcriptome/Anopheles_sialome/links/cluster-b/anopheline-sialome-cds-pep-larger-orf70-50SimCLTL27.txt", 15)</f>
        <v>15</v>
      </c>
      <c r="CF629">
        <f>HYPERLINK("http://exon.niaid.nih.gov/transcriptome/Anopheles_sialome/links/cluster-b/anopheline-sialome-cds-pep-larger-orf75-50SimCLU27.txt", 27)</f>
        <v>27</v>
      </c>
      <c r="CG629">
        <f>HYPERLINK("http://exon.niaid.nih.gov/transcriptome/Anopheles_sialome/links/cluster-b/anopheline-sialome-cds-pep-larger-orf75-50SimCLTL27.txt", 13)</f>
        <v>13</v>
      </c>
      <c r="CH629">
        <f>HYPERLINK("http://exon.niaid.nih.gov/transcriptome/Anopheles_sialome/links/cluster-b/anopheline-sialome-cds-pep-larger-orf80-50SimCLU51.txt", 51)</f>
        <v>51</v>
      </c>
      <c r="CI629">
        <f>HYPERLINK("http://exon.niaid.nih.gov/transcriptome/Anopheles_sialome/links/cluster-b/anopheline-sialome-cds-pep-larger-orf80-50SimCLTL51.txt", 5)</f>
        <v>5</v>
      </c>
      <c r="CJ629">
        <f>HYPERLINK("http://exon.niaid.nih.gov/transcriptome/Anopheles_sialome/links/cluster-b/anopheline-sialome-cds-pep-larger-orf85-50SimCLU55.txt", 55)</f>
        <v>55</v>
      </c>
      <c r="CK629">
        <f>HYPERLINK("http://exon.niaid.nih.gov/transcriptome/Anopheles_sialome/links/cluster-b/anopheline-sialome-cds-pep-larger-orf85-50SimCLTL55.txt", 3)</f>
        <v>3</v>
      </c>
      <c r="CL629">
        <f>HYPERLINK("http://exon.niaid.nih.gov/transcriptome/Anopheles_sialome/links/cluster-b/anopheline-sialome-cds-pep-larger-orf90-50SimCLU59.txt", 59)</f>
        <v>59</v>
      </c>
      <c r="CM629">
        <f>HYPERLINK("http://exon.niaid.nih.gov/transcriptome/Anopheles_sialome/links/cluster-b/anopheline-sialome-cds-pep-larger-orf90-50SimCLTL59.txt", 3)</f>
        <v>3</v>
      </c>
      <c r="CN629">
        <v>541</v>
      </c>
      <c r="CO629">
        <v>1</v>
      </c>
    </row>
    <row r="630" spans="1:93">
      <c r="A630" s="2" t="str">
        <f>HYPERLINK("http://exon.niaid.nih.gov/transcriptome/Anopheles_sialome/links/cds/anofar_SG8-cds.txt","anofar_SG8")</f>
        <v>anofar_SG8</v>
      </c>
      <c r="B630">
        <v>666</v>
      </c>
      <c r="C630" t="s">
        <v>605</v>
      </c>
      <c r="D630" t="s">
        <v>4</v>
      </c>
      <c r="E630" t="s">
        <v>5</v>
      </c>
      <c r="F630" t="s">
        <v>1</v>
      </c>
      <c r="G630" t="str">
        <f>HYPERLINK("http://exon.niaid.nih.gov/transcriptome/Anopheles_sialome/links/pep/anofar_SG8-pep.txt","anofar_SG8")</f>
        <v>anofar_SG8</v>
      </c>
      <c r="H630">
        <v>221</v>
      </c>
      <c r="I630">
        <v>0</v>
      </c>
      <c r="J630" s="3" t="str">
        <f>HYPERLINK("http://exon.niaid.nih.gov/transcriptome/Anopheles_sialome/links/Sigp/anofar_SG8-SigP.txt","SIG")</f>
        <v>SIG</v>
      </c>
      <c r="K630" t="s">
        <v>715</v>
      </c>
      <c r="L630">
        <v>24.594999999999999</v>
      </c>
      <c r="M630">
        <v>10.36</v>
      </c>
      <c r="N630">
        <v>22.245000000000001</v>
      </c>
      <c r="O630">
        <v>10.47</v>
      </c>
      <c r="P630" t="s">
        <v>2172</v>
      </c>
      <c r="Q630" s="3">
        <v>0</v>
      </c>
      <c r="R630" t="s">
        <v>128</v>
      </c>
      <c r="S630" t="s">
        <v>128</v>
      </c>
      <c r="T630" t="s">
        <v>128</v>
      </c>
      <c r="U630" t="s">
        <v>128</v>
      </c>
      <c r="V630" t="s">
        <v>128</v>
      </c>
      <c r="W630" s="3" t="str">
        <f>HYPERLINK("http://exon.niaid.nih.gov/transcriptome/Anopheles_sialome/links/netoglyc/anofar_SG8-netoglyc.txt","0")</f>
        <v>0</v>
      </c>
      <c r="X630">
        <v>10.9</v>
      </c>
      <c r="Y630">
        <v>6.3</v>
      </c>
      <c r="Z630">
        <v>7.2</v>
      </c>
      <c r="AA630" t="s">
        <v>654</v>
      </c>
      <c r="AB630" t="s">
        <v>128</v>
      </c>
      <c r="AC630" s="2" t="str">
        <f>HYPERLINK("http://exon.niaid.nih.gov/transcriptome/Anopheles_sialome/links/DIPTERA/anofar_SG8-DIPTERA.txt","hypothetical protein AND_001407")</f>
        <v>hypothetical protein AND_001407</v>
      </c>
      <c r="AD630" t="str">
        <f>HYPERLINK("http://www.ncbi.nlm.nih.gov/sutils/blink.cgi?pid=568258725","5E-047")</f>
        <v>5E-047</v>
      </c>
      <c r="AE630" t="str">
        <f t="shared" si="211"/>
        <v>gi|568258725</v>
      </c>
      <c r="AF630">
        <v>49</v>
      </c>
      <c r="AG630">
        <v>65</v>
      </c>
      <c r="AH630">
        <v>94</v>
      </c>
      <c r="AI630" t="s">
        <v>2283</v>
      </c>
      <c r="AJ630" s="2" t="str">
        <f>HYPERLINK("http://exon.niaid.nih.gov/transcriptome/Anopheles_sialome/links/CULICOMORPHA/anofar_SG8-CULICOMORPHA.txt","hypothetical protein AND_001407")</f>
        <v>hypothetical protein AND_001407</v>
      </c>
      <c r="AK630" t="str">
        <f>HYPERLINK("http://www.ncbi.nlm.nih.gov/sutils/blink.cgi?pid=568258725","9E-048")</f>
        <v>9E-048</v>
      </c>
      <c r="AL630" t="str">
        <f t="shared" si="212"/>
        <v>gi|568258725</v>
      </c>
      <c r="AM630">
        <v>49</v>
      </c>
      <c r="AN630">
        <v>65</v>
      </c>
      <c r="AO630">
        <v>94</v>
      </c>
      <c r="AP630" t="s">
        <v>2283</v>
      </c>
      <c r="AQ630" s="2" t="str">
        <f>HYPERLINK("http://exon.niaid.nih.gov/transcriptome/Anopheles_sialome/links/NR-LIGHT/anofar_SG8-NR-LIGHT.txt","hypothetical protein AND_001407")</f>
        <v>hypothetical protein AND_001407</v>
      </c>
      <c r="AR630" t="str">
        <f>HYPERLINK("http://www.ncbi.nlm.nih.gov/sutils/blink.cgi?pid=568258725","1E-046")</f>
        <v>1E-046</v>
      </c>
      <c r="AS630" t="str">
        <f t="shared" si="213"/>
        <v>gi|568258725</v>
      </c>
      <c r="AT630">
        <v>49</v>
      </c>
      <c r="AU630">
        <v>65</v>
      </c>
      <c r="AV630">
        <v>94</v>
      </c>
      <c r="AW630" t="s">
        <v>2283</v>
      </c>
      <c r="AX630" s="2" t="str">
        <f>HYPERLINK("http://exon.niaid.nih.gov/transcriptome/Anopheles_sialome/links/CDD/anofar_SG8-CDD.txt","PRK10695")</f>
        <v>PRK10695</v>
      </c>
      <c r="AY630" t="str">
        <f>HYPERLINK("http://www.ncbi.nlm.nih.gov/Structure/cdd/cddsrv.cgi?uid=PRK10695&amp;version=v4.0","1.0")</f>
        <v>1.0</v>
      </c>
      <c r="AZ630" t="s">
        <v>3107</v>
      </c>
      <c r="BA630" s="2" t="str">
        <f>HYPERLINK("http://exon.niaid.nih.gov/transcriptome/Anopheles_sialome/links/KOG/anofar_SG8-KOG.txt","Helix loop helix transcription factor")</f>
        <v>Helix loop helix transcription factor</v>
      </c>
      <c r="BB630" t="str">
        <f>HYPERLINK("http://www.ncbi.nlm.nih.gov/Structure/cdd/cddsrv.cgi?uid=KOG3910","0.024")</f>
        <v>0.024</v>
      </c>
      <c r="BC630" t="s">
        <v>2262</v>
      </c>
      <c r="BD630" t="str">
        <f>HYPERLINK("http://exon.niaid.nih.gov/transcriptome/Anopheles_sialome/links/KOG/anofar_SG8-KOG.txt","KOG3910")</f>
        <v>KOG3910</v>
      </c>
      <c r="BE630" t="str">
        <f>HYPERLINK("http://exon.niaid.nih.gov/transcriptome/Anopheles_sialome/links/PFAM/anofar_SG8-PFAM.txt","FbpA")</f>
        <v>FbpA</v>
      </c>
      <c r="BF630" t="str">
        <f>HYPERLINK("http://pfam.sanger.ac.uk/family?acc=PF05833","0.47")</f>
        <v>0.47</v>
      </c>
      <c r="BG630" s="2" t="str">
        <f>HYPERLINK("http://exon.niaid.nih.gov/transcriptome/Anopheles_sialome/links/SMART/anofar_SG8-SMART.txt","SynN")</f>
        <v>SynN</v>
      </c>
      <c r="BH630" t="str">
        <f>HYPERLINK("http://smart.embl-heidelberg.de/smart/do_annotation.pl?DOMAIN=SynN&amp;BLAST=DUMMY","0.029")</f>
        <v>0.029</v>
      </c>
      <c r="BI630" t="s">
        <v>128</v>
      </c>
      <c r="BJ630" s="2" t="s">
        <v>128</v>
      </c>
      <c r="BK630" t="s">
        <v>2171</v>
      </c>
      <c r="BL630">
        <f>HYPERLINK("http://exon.niaid.nih.gov/transcriptome/Anopheles_sialome/links/cluster-b/anopheline-sialome-cds-pep-larger-orf25-50SimCLU13.txt", 13)</f>
        <v>13</v>
      </c>
      <c r="BM630">
        <f>HYPERLINK("http://exon.niaid.nih.gov/transcriptome/Anopheles_sialome/links/cluster-b/anopheline-sialome-cds-pep-larger-orf25-50SimCLTL13.txt", 19)</f>
        <v>19</v>
      </c>
      <c r="BN630">
        <f>HYPERLINK("http://exon.niaid.nih.gov/transcriptome/Anopheles_sialome/links/cluster-b/anopheline-sialome-cds-pep-larger-orf30-50SimCLU12.txt", 12)</f>
        <v>12</v>
      </c>
      <c r="BO630">
        <f>HYPERLINK("http://exon.niaid.nih.gov/transcriptome/Anopheles_sialome/links/cluster-b/anopheline-sialome-cds-pep-larger-orf30-50SimCLTL12.txt", 19)</f>
        <v>19</v>
      </c>
      <c r="BP630">
        <f>HYPERLINK("http://exon.niaid.nih.gov/transcriptome/Anopheles_sialome/links/cluster-b/anopheline-sialome-cds-pep-larger-orf35-50SimCLU14.txt", 14)</f>
        <v>14</v>
      </c>
      <c r="BQ630">
        <f>HYPERLINK("http://exon.niaid.nih.gov/transcriptome/Anopheles_sialome/links/cluster-b/anopheline-sialome-cds-pep-larger-orf35-50SimCLTL14.txt", 19)</f>
        <v>19</v>
      </c>
      <c r="BR630">
        <f>HYPERLINK("http://exon.niaid.nih.gov/transcriptome/Anopheles_sialome/links/cluster-b/anopheline-sialome-cds-pep-larger-orf40-50SimCLU16.txt", 16)</f>
        <v>16</v>
      </c>
      <c r="BS630">
        <f>HYPERLINK("http://exon.niaid.nih.gov/transcriptome/Anopheles_sialome/links/cluster-b/anopheline-sialome-cds-pep-larger-orf40-50SimCLTL16.txt", 19)</f>
        <v>19</v>
      </c>
      <c r="BT630">
        <f>HYPERLINK("http://exon.niaid.nih.gov/transcriptome/Anopheles_sialome/links/cluster-b/anopheline-sialome-cds-pep-larger-orf45-50SimCLU16.txt", 16)</f>
        <v>16</v>
      </c>
      <c r="BU630">
        <f>HYPERLINK("http://exon.niaid.nih.gov/transcriptome/Anopheles_sialome/links/cluster-b/anopheline-sialome-cds-pep-larger-orf45-50SimCLTL16.txt", 19)</f>
        <v>19</v>
      </c>
      <c r="BV630">
        <f>HYPERLINK("http://exon.niaid.nih.gov/transcriptome/Anopheles_sialome/links/cluster-b/anopheline-sialome-cds-pep-larger-orf50-50SimCLU15.txt", 15)</f>
        <v>15</v>
      </c>
      <c r="BW630">
        <f>HYPERLINK("http://exon.niaid.nih.gov/transcriptome/Anopheles_sialome/links/cluster-b/anopheline-sialome-cds-pep-larger-orf50-50SimCLTL15.txt", 19)</f>
        <v>19</v>
      </c>
      <c r="BX630">
        <f>HYPERLINK("http://exon.niaid.nih.gov/transcriptome/Anopheles_sialome/links/cluster-b/anopheline-sialome-cds-pep-larger-orf55-50SimCLU16.txt", 16)</f>
        <v>16</v>
      </c>
      <c r="BY630">
        <f>HYPERLINK("http://exon.niaid.nih.gov/transcriptome/Anopheles_sialome/links/cluster-b/anopheline-sialome-cds-pep-larger-orf55-50SimCLTL16.txt", 19)</f>
        <v>19</v>
      </c>
      <c r="BZ630">
        <f>HYPERLINK("http://exon.niaid.nih.gov/transcriptome/Anopheles_sialome/links/cluster-b/anopheline-sialome-cds-pep-larger-orf60-50SimCLU15.txt", 15)</f>
        <v>15</v>
      </c>
      <c r="CA630">
        <f>HYPERLINK("http://exon.niaid.nih.gov/transcriptome/Anopheles_sialome/links/cluster-b/anopheline-sialome-cds-pep-larger-orf60-50SimCLTL15.txt", 19)</f>
        <v>19</v>
      </c>
      <c r="CB630">
        <f>HYPERLINK("http://exon.niaid.nih.gov/transcriptome/Anopheles_sialome/links/cluster-b/anopheline-sialome-cds-pep-larger-orf65-50SimCLU21.txt", 21)</f>
        <v>21</v>
      </c>
      <c r="CC630">
        <f>HYPERLINK("http://exon.niaid.nih.gov/transcriptome/Anopheles_sialome/links/cluster-b/anopheline-sialome-cds-pep-larger-orf65-50SimCLTL21.txt", 17)</f>
        <v>17</v>
      </c>
      <c r="CD630">
        <f>HYPERLINK("http://exon.niaid.nih.gov/transcriptome/Anopheles_sialome/links/cluster-b/anopheline-sialome-cds-pep-larger-orf70-50SimCLU27.txt", 27)</f>
        <v>27</v>
      </c>
      <c r="CE630">
        <f>HYPERLINK("http://exon.niaid.nih.gov/transcriptome/Anopheles_sialome/links/cluster-b/anopheline-sialome-cds-pep-larger-orf70-50SimCLTL27.txt", 15)</f>
        <v>15</v>
      </c>
      <c r="CF630">
        <f>HYPERLINK("http://exon.niaid.nih.gov/transcriptome/Anopheles_sialome/links/cluster-b/anopheline-sialome-cds-pep-larger-orf75-50SimCLU88.txt", 88)</f>
        <v>88</v>
      </c>
      <c r="CG630">
        <f>HYPERLINK("http://exon.niaid.nih.gov/transcriptome/Anopheles_sialome/links/cluster-b/anopheline-sialome-cds-pep-larger-orf75-50SimCLTL88.txt", 2)</f>
        <v>2</v>
      </c>
      <c r="CH630">
        <f>HYPERLINK("http://exon.niaid.nih.gov/transcriptome/Anopheles_sialome/links/cluster-b/anopheline-sialome-cds-pep-larger-orf80-50SimCLU108.txt", 108)</f>
        <v>108</v>
      </c>
      <c r="CI630">
        <f>HYPERLINK("http://exon.niaid.nih.gov/transcriptome/Anopheles_sialome/links/cluster-b/anopheline-sialome-cds-pep-larger-orf80-50SimCLTL108.txt", 2)</f>
        <v>2</v>
      </c>
      <c r="CJ630">
        <v>332</v>
      </c>
      <c r="CK630">
        <v>1</v>
      </c>
      <c r="CL630">
        <v>433</v>
      </c>
      <c r="CM630">
        <v>1</v>
      </c>
      <c r="CN630">
        <v>544</v>
      </c>
      <c r="CO630">
        <v>1</v>
      </c>
    </row>
    <row r="631" spans="1:93">
      <c r="A631" s="2" t="str">
        <f>HYPERLINK("http://exon.niaid.nih.gov/transcriptome/Anopheles_sialome/links/cds/anodir_SG8-cds.txt","anodir_SG8")</f>
        <v>anodir_SG8</v>
      </c>
      <c r="B631">
        <v>657</v>
      </c>
      <c r="C631" t="s">
        <v>606</v>
      </c>
      <c r="D631" t="s">
        <v>7</v>
      </c>
      <c r="E631" t="s">
        <v>5</v>
      </c>
      <c r="F631" t="s">
        <v>1</v>
      </c>
      <c r="G631" t="str">
        <f>HYPERLINK("http://exon.niaid.nih.gov/transcriptome/Anopheles_sialome/links/pep/anodir_SG8-pep.txt","anodir_SG8")</f>
        <v>anodir_SG8</v>
      </c>
      <c r="H631">
        <v>218</v>
      </c>
      <c r="I631">
        <v>1</v>
      </c>
      <c r="J631" s="3" t="str">
        <f>HYPERLINK("http://exon.niaid.nih.gov/transcriptome/Anopheles_sialome/links/Sigp/anodir_SG8-SigP.txt","SIG")</f>
        <v>SIG</v>
      </c>
      <c r="K631" t="s">
        <v>708</v>
      </c>
      <c r="L631">
        <v>24.297000000000001</v>
      </c>
      <c r="M631">
        <v>10.79</v>
      </c>
      <c r="N631">
        <v>22.044</v>
      </c>
      <c r="O631">
        <v>10.94</v>
      </c>
      <c r="P631" t="s">
        <v>853</v>
      </c>
      <c r="Q631" s="3">
        <v>0</v>
      </c>
      <c r="R631" t="s">
        <v>128</v>
      </c>
      <c r="S631" t="s">
        <v>128</v>
      </c>
      <c r="T631" t="s">
        <v>128</v>
      </c>
      <c r="U631" t="s">
        <v>128</v>
      </c>
      <c r="V631" t="s">
        <v>128</v>
      </c>
      <c r="W631" s="3" t="str">
        <f>HYPERLINK("http://exon.niaid.nih.gov/transcriptome/Anopheles_sialome/links/netoglyc/anodir_SG8-netoglyc.txt","0")</f>
        <v>0</v>
      </c>
      <c r="X631">
        <v>10.6</v>
      </c>
      <c r="Y631">
        <v>4.5999999999999996</v>
      </c>
      <c r="Z631">
        <v>5.5</v>
      </c>
      <c r="AA631" t="s">
        <v>654</v>
      </c>
      <c r="AB631" t="s">
        <v>128</v>
      </c>
      <c r="AC631" s="2" t="str">
        <f>HYPERLINK("http://exon.niaid.nih.gov/transcriptome/Anopheles_sialome/links/DIPTERA/anodir_SG8-DIPTERA.txt","hypothetical protein AND_001407")</f>
        <v>hypothetical protein AND_001407</v>
      </c>
      <c r="AD631" t="str">
        <f>HYPERLINK("http://www.ncbi.nlm.nih.gov/sutils/blink.cgi?pid=568258725","1E-046")</f>
        <v>1E-046</v>
      </c>
      <c r="AE631" t="str">
        <f t="shared" si="211"/>
        <v>gi|568258725</v>
      </c>
      <c r="AF631">
        <v>46</v>
      </c>
      <c r="AG631">
        <v>63</v>
      </c>
      <c r="AH631">
        <v>92</v>
      </c>
      <c r="AI631" t="s">
        <v>2283</v>
      </c>
      <c r="AJ631" s="2" t="str">
        <f>HYPERLINK("http://exon.niaid.nih.gov/transcriptome/Anopheles_sialome/links/CULICOMORPHA/anodir_SG8-CULICOMORPHA.txt","hypothetical protein AND_001407")</f>
        <v>hypothetical protein AND_001407</v>
      </c>
      <c r="AK631" t="str">
        <f>HYPERLINK("http://www.ncbi.nlm.nih.gov/sutils/blink.cgi?pid=568258725","3E-047")</f>
        <v>3E-047</v>
      </c>
      <c r="AL631" t="str">
        <f t="shared" si="212"/>
        <v>gi|568258725</v>
      </c>
      <c r="AM631">
        <v>46</v>
      </c>
      <c r="AN631">
        <v>63</v>
      </c>
      <c r="AO631">
        <v>92</v>
      </c>
      <c r="AP631" t="s">
        <v>2283</v>
      </c>
      <c r="AQ631" s="2" t="str">
        <f>HYPERLINK("http://exon.niaid.nih.gov/transcriptome/Anopheles_sialome/links/NR-LIGHT/anodir_SG8-NR-LIGHT.txt","hypothetical protein AND_001407")</f>
        <v>hypothetical protein AND_001407</v>
      </c>
      <c r="AR631" t="str">
        <f>HYPERLINK("http://www.ncbi.nlm.nih.gov/sutils/blink.cgi?pid=568258725","4E-046")</f>
        <v>4E-046</v>
      </c>
      <c r="AS631" t="str">
        <f t="shared" si="213"/>
        <v>gi|568258725</v>
      </c>
      <c r="AT631">
        <v>46</v>
      </c>
      <c r="AU631">
        <v>63</v>
      </c>
      <c r="AV631">
        <v>92</v>
      </c>
      <c r="AW631" t="s">
        <v>2283</v>
      </c>
      <c r="AX631" s="2" t="str">
        <f>HYPERLINK("http://exon.niaid.nih.gov/transcriptome/Anopheles_sialome/links/CDD/anodir_SG8-CDD.txt","Taspase1_like")</f>
        <v>Taspase1_like</v>
      </c>
      <c r="AY631" t="str">
        <f>HYPERLINK("http://www.ncbi.nlm.nih.gov/Structure/cdd/cddsrv.cgi?uid=cd04514&amp;version=v4.0","1.7")</f>
        <v>1.7</v>
      </c>
      <c r="AZ631" t="s">
        <v>3108</v>
      </c>
      <c r="BA631" s="2" t="str">
        <f>HYPERLINK("http://exon.niaid.nih.gov/transcriptome/Anopheles_sialome/links/KOG/anodir_SG8-KOG.txt","Mitochondrial/chloroplast ribosomal protein L2")</f>
        <v>Mitochondrial/chloroplast ribosomal protein L2</v>
      </c>
      <c r="BB631" t="str">
        <f>HYPERLINK("http://www.ncbi.nlm.nih.gov/Structure/cdd/cddsrv.cgi?uid=KOG0438","0.67")</f>
        <v>0.67</v>
      </c>
      <c r="BC631" t="s">
        <v>2260</v>
      </c>
      <c r="BD631" t="str">
        <f>HYPERLINK("http://exon.niaid.nih.gov/transcriptome/Anopheles_sialome/links/KOG/anodir_SG8-KOG.txt","KOG0438")</f>
        <v>KOG0438</v>
      </c>
      <c r="BE631" t="str">
        <f>HYPERLINK("http://exon.niaid.nih.gov/transcriptome/Anopheles_sialome/links/PFAM/anodir_SG8-PFAM.txt","DUF4618")</f>
        <v>DUF4618</v>
      </c>
      <c r="BF631" t="str">
        <f>HYPERLINK("http://pfam.sanger.ac.uk/family?acc=PF15397","0.61")</f>
        <v>0.61</v>
      </c>
      <c r="BG631" s="2" t="str">
        <f>HYPERLINK("http://exon.niaid.nih.gov/transcriptome/Anopheles_sialome/links/SMART/anodir_SG8-SMART.txt","DAGKa")</f>
        <v>DAGKa</v>
      </c>
      <c r="BH631" t="str">
        <f>HYPERLINK("http://smart.embl-heidelberg.de/smart/do_annotation.pl?DOMAIN=DAGKa&amp;BLAST=DUMMY","1.4")</f>
        <v>1.4</v>
      </c>
      <c r="BI631" t="s">
        <v>128</v>
      </c>
      <c r="BJ631" s="2" t="s">
        <v>128</v>
      </c>
      <c r="BK631" t="s">
        <v>2173</v>
      </c>
      <c r="BL631">
        <f>HYPERLINK("http://exon.niaid.nih.gov/transcriptome/Anopheles_sialome/links/cluster-b/anopheline-sialome-cds-pep-larger-orf25-50SimCLU13.txt", 13)</f>
        <v>13</v>
      </c>
      <c r="BM631">
        <f>HYPERLINK("http://exon.niaid.nih.gov/transcriptome/Anopheles_sialome/links/cluster-b/anopheline-sialome-cds-pep-larger-orf25-50SimCLTL13.txt", 19)</f>
        <v>19</v>
      </c>
      <c r="BN631">
        <f>HYPERLINK("http://exon.niaid.nih.gov/transcriptome/Anopheles_sialome/links/cluster-b/anopheline-sialome-cds-pep-larger-orf30-50SimCLU12.txt", 12)</f>
        <v>12</v>
      </c>
      <c r="BO631">
        <f>HYPERLINK("http://exon.niaid.nih.gov/transcriptome/Anopheles_sialome/links/cluster-b/anopheline-sialome-cds-pep-larger-orf30-50SimCLTL12.txt", 19)</f>
        <v>19</v>
      </c>
      <c r="BP631">
        <f>HYPERLINK("http://exon.niaid.nih.gov/transcriptome/Anopheles_sialome/links/cluster-b/anopheline-sialome-cds-pep-larger-orf35-50SimCLU14.txt", 14)</f>
        <v>14</v>
      </c>
      <c r="BQ631">
        <f>HYPERLINK("http://exon.niaid.nih.gov/transcriptome/Anopheles_sialome/links/cluster-b/anopheline-sialome-cds-pep-larger-orf35-50SimCLTL14.txt", 19)</f>
        <v>19</v>
      </c>
      <c r="BR631">
        <f>HYPERLINK("http://exon.niaid.nih.gov/transcriptome/Anopheles_sialome/links/cluster-b/anopheline-sialome-cds-pep-larger-orf40-50SimCLU16.txt", 16)</f>
        <v>16</v>
      </c>
      <c r="BS631">
        <f>HYPERLINK("http://exon.niaid.nih.gov/transcriptome/Anopheles_sialome/links/cluster-b/anopheline-sialome-cds-pep-larger-orf40-50SimCLTL16.txt", 19)</f>
        <v>19</v>
      </c>
      <c r="BT631">
        <f>HYPERLINK("http://exon.niaid.nih.gov/transcriptome/Anopheles_sialome/links/cluster-b/anopheline-sialome-cds-pep-larger-orf45-50SimCLU16.txt", 16)</f>
        <v>16</v>
      </c>
      <c r="BU631">
        <f>HYPERLINK("http://exon.niaid.nih.gov/transcriptome/Anopheles_sialome/links/cluster-b/anopheline-sialome-cds-pep-larger-orf45-50SimCLTL16.txt", 19)</f>
        <v>19</v>
      </c>
      <c r="BV631">
        <f>HYPERLINK("http://exon.niaid.nih.gov/transcriptome/Anopheles_sialome/links/cluster-b/anopheline-sialome-cds-pep-larger-orf50-50SimCLU15.txt", 15)</f>
        <v>15</v>
      </c>
      <c r="BW631">
        <f>HYPERLINK("http://exon.niaid.nih.gov/transcriptome/Anopheles_sialome/links/cluster-b/anopheline-sialome-cds-pep-larger-orf50-50SimCLTL15.txt", 19)</f>
        <v>19</v>
      </c>
      <c r="BX631">
        <f>HYPERLINK("http://exon.niaid.nih.gov/transcriptome/Anopheles_sialome/links/cluster-b/anopheline-sialome-cds-pep-larger-orf55-50SimCLU16.txt", 16)</f>
        <v>16</v>
      </c>
      <c r="BY631">
        <f>HYPERLINK("http://exon.niaid.nih.gov/transcriptome/Anopheles_sialome/links/cluster-b/anopheline-sialome-cds-pep-larger-orf55-50SimCLTL16.txt", 19)</f>
        <v>19</v>
      </c>
      <c r="BZ631">
        <f>HYPERLINK("http://exon.niaid.nih.gov/transcriptome/Anopheles_sialome/links/cluster-b/anopheline-sialome-cds-pep-larger-orf60-50SimCLU15.txt", 15)</f>
        <v>15</v>
      </c>
      <c r="CA631">
        <f>HYPERLINK("http://exon.niaid.nih.gov/transcriptome/Anopheles_sialome/links/cluster-b/anopheline-sialome-cds-pep-larger-orf60-50SimCLTL15.txt", 19)</f>
        <v>19</v>
      </c>
      <c r="CB631">
        <f>HYPERLINK("http://exon.niaid.nih.gov/transcriptome/Anopheles_sialome/links/cluster-b/anopheline-sialome-cds-pep-larger-orf65-50SimCLU21.txt", 21)</f>
        <v>21</v>
      </c>
      <c r="CC631">
        <f>HYPERLINK("http://exon.niaid.nih.gov/transcriptome/Anopheles_sialome/links/cluster-b/anopheline-sialome-cds-pep-larger-orf65-50SimCLTL21.txt", 17)</f>
        <v>17</v>
      </c>
      <c r="CD631">
        <f>HYPERLINK("http://exon.niaid.nih.gov/transcriptome/Anopheles_sialome/links/cluster-b/anopheline-sialome-cds-pep-larger-orf70-50SimCLU27.txt", 27)</f>
        <v>27</v>
      </c>
      <c r="CE631">
        <f>HYPERLINK("http://exon.niaid.nih.gov/transcriptome/Anopheles_sialome/links/cluster-b/anopheline-sialome-cds-pep-larger-orf70-50SimCLTL27.txt", 15)</f>
        <v>15</v>
      </c>
      <c r="CF631">
        <f>HYPERLINK("http://exon.niaid.nih.gov/transcriptome/Anopheles_sialome/links/cluster-b/anopheline-sialome-cds-pep-larger-orf75-50SimCLU88.txt", 88)</f>
        <v>88</v>
      </c>
      <c r="CG631">
        <f>HYPERLINK("http://exon.niaid.nih.gov/transcriptome/Anopheles_sialome/links/cluster-b/anopheline-sialome-cds-pep-larger-orf75-50SimCLTL88.txt", 2)</f>
        <v>2</v>
      </c>
      <c r="CH631">
        <f>HYPERLINK("http://exon.niaid.nih.gov/transcriptome/Anopheles_sialome/links/cluster-b/anopheline-sialome-cds-pep-larger-orf80-50SimCLU108.txt", 108)</f>
        <v>108</v>
      </c>
      <c r="CI631">
        <f>HYPERLINK("http://exon.niaid.nih.gov/transcriptome/Anopheles_sialome/links/cluster-b/anopheline-sialome-cds-pep-larger-orf80-50SimCLTL108.txt", 2)</f>
        <v>2</v>
      </c>
      <c r="CJ631">
        <v>333</v>
      </c>
      <c r="CK631">
        <v>1</v>
      </c>
      <c r="CL631">
        <v>434</v>
      </c>
      <c r="CM631">
        <v>1</v>
      </c>
      <c r="CN631">
        <v>545</v>
      </c>
      <c r="CO631">
        <v>1</v>
      </c>
    </row>
    <row r="632" spans="1:93">
      <c r="A632" s="2" t="str">
        <f>HYPERLINK("http://exon.niaid.nih.gov/transcriptome/Anopheles_sialome/links/cds/anoatro_SG8-cds.txt","anoatro_SG8")</f>
        <v>anoatro_SG8</v>
      </c>
      <c r="B632">
        <v>729</v>
      </c>
      <c r="C632" t="s">
        <v>607</v>
      </c>
      <c r="D632" t="s">
        <v>4</v>
      </c>
      <c r="E632" t="s">
        <v>5</v>
      </c>
      <c r="F632" t="s">
        <v>1</v>
      </c>
      <c r="G632" t="str">
        <f>HYPERLINK("http://exon.niaid.nih.gov/transcriptome/Anopheles_sialome/links/pep/anoatro_SG8-pep.txt","anoatro_SG8")</f>
        <v>anoatro_SG8</v>
      </c>
      <c r="H632">
        <v>242</v>
      </c>
      <c r="I632">
        <v>0</v>
      </c>
      <c r="J632" s="3" t="str">
        <f>HYPERLINK("http://exon.niaid.nih.gov/transcriptome/Anopheles_sialome/links/Sigp/anoatro_SG8-SigP.txt","SIG")</f>
        <v>SIG</v>
      </c>
      <c r="K632" t="s">
        <v>1206</v>
      </c>
      <c r="L632">
        <v>27.096</v>
      </c>
      <c r="M632">
        <v>10.46</v>
      </c>
      <c r="N632">
        <v>23.82</v>
      </c>
      <c r="O632">
        <v>10.18</v>
      </c>
      <c r="P632" t="s">
        <v>2175</v>
      </c>
      <c r="Q632" s="3">
        <v>0</v>
      </c>
      <c r="R632" t="s">
        <v>128</v>
      </c>
      <c r="S632" t="s">
        <v>128</v>
      </c>
      <c r="T632" t="s">
        <v>128</v>
      </c>
      <c r="U632" t="s">
        <v>128</v>
      </c>
      <c r="V632" t="s">
        <v>128</v>
      </c>
      <c r="W632" s="3" t="str">
        <f>HYPERLINK("http://exon.niaid.nih.gov/transcriptome/Anopheles_sialome/links/netoglyc/anoatro_SG8-netoglyc.txt","3")</f>
        <v>3</v>
      </c>
      <c r="X632">
        <v>14</v>
      </c>
      <c r="Y632">
        <v>6.6</v>
      </c>
      <c r="Z632">
        <v>5.4</v>
      </c>
      <c r="AA632" t="s">
        <v>654</v>
      </c>
      <c r="AB632" t="s">
        <v>128</v>
      </c>
      <c r="AC632" s="2" t="str">
        <f>HYPERLINK("http://exon.niaid.nih.gov/transcriptome/Anopheles_sialome/links/DIPTERA/anoatro_SG8-DIPTERA.txt","hypothetical protein AND_001407")</f>
        <v>hypothetical protein AND_001407</v>
      </c>
      <c r="AD632" t="str">
        <f>HYPERLINK("http://www.ncbi.nlm.nih.gov/sutils/blink.cgi?pid=568258725","2E-055")</f>
        <v>2E-055</v>
      </c>
      <c r="AE632" t="str">
        <f>HYPERLINK("http://www.ncbi.nlm.nih.gov/protein/568258725","gi|568258725")</f>
        <v>gi|568258725</v>
      </c>
      <c r="AF632">
        <v>57</v>
      </c>
      <c r="AG632">
        <v>69</v>
      </c>
      <c r="AH632">
        <v>88</v>
      </c>
      <c r="AI632" t="s">
        <v>2283</v>
      </c>
      <c r="AJ632" s="2" t="str">
        <f>HYPERLINK("http://exon.niaid.nih.gov/transcriptome/Anopheles_sialome/links/CULICOMORPHA/anoatro_SG8-CULICOMORPHA.txt","hypothetical protein AND_001407")</f>
        <v>hypothetical protein AND_001407</v>
      </c>
      <c r="AK632" t="str">
        <f>HYPERLINK("http://www.ncbi.nlm.nih.gov/sutils/blink.cgi?pid=568258725","4E-056")</f>
        <v>4E-056</v>
      </c>
      <c r="AL632" t="str">
        <f>HYPERLINK("http://www.ncbi.nlm.nih.gov/protein/568258725","gi|568258725")</f>
        <v>gi|568258725</v>
      </c>
      <c r="AM632">
        <v>57</v>
      </c>
      <c r="AN632">
        <v>69</v>
      </c>
      <c r="AO632">
        <v>88</v>
      </c>
      <c r="AP632" t="s">
        <v>2283</v>
      </c>
      <c r="AQ632" s="2" t="str">
        <f>HYPERLINK("http://exon.niaid.nih.gov/transcriptome/Anopheles_sialome/links/NR-LIGHT/anoatro_SG8-NR-LIGHT.txt","hypothetical protein AND_001407")</f>
        <v>hypothetical protein AND_001407</v>
      </c>
      <c r="AR632" t="str">
        <f>HYPERLINK("http://www.ncbi.nlm.nih.gov/sutils/blink.cgi?pid=568258725","5E-055")</f>
        <v>5E-055</v>
      </c>
      <c r="AS632" t="str">
        <f>HYPERLINK("http://www.ncbi.nlm.nih.gov/protein/568258725","gi|568258725")</f>
        <v>gi|568258725</v>
      </c>
      <c r="AT632">
        <v>57</v>
      </c>
      <c r="AU632">
        <v>69</v>
      </c>
      <c r="AV632">
        <v>88</v>
      </c>
      <c r="AW632" t="s">
        <v>2283</v>
      </c>
      <c r="AX632" s="2" t="str">
        <f>HYPERLINK("http://exon.niaid.nih.gov/transcriptome/Anopheles_sialome/links/CDD/anoatro_SG8-CDD.txt","PRK13767")</f>
        <v>PRK13767</v>
      </c>
      <c r="AY632" t="str">
        <f>HYPERLINK("http://www.ncbi.nlm.nih.gov/Structure/cdd/cddsrv.cgi?uid=PRK13767&amp;version=v4.0","0.17")</f>
        <v>0.17</v>
      </c>
      <c r="AZ632" t="s">
        <v>3109</v>
      </c>
      <c r="BA632" s="2" t="str">
        <f>HYPERLINK("http://exon.niaid.nih.gov/transcriptome/Anopheles_sialome/links/KOG/anoatro_SG8-KOG.txt","mRNA splicing factor ATP-dependent RNA helicase")</f>
        <v>mRNA splicing factor ATP-dependent RNA helicase</v>
      </c>
      <c r="BB632" t="str">
        <f>HYPERLINK("http://www.ncbi.nlm.nih.gov/Structure/cdd/cddsrv.cgi?uid=KOG0924","2.0")</f>
        <v>2.0</v>
      </c>
      <c r="BC632" t="s">
        <v>2464</v>
      </c>
      <c r="BD632" t="str">
        <f>HYPERLINK("http://exon.niaid.nih.gov/transcriptome/Anopheles_sialome/links/KOG/anoatro_SG8-KOG.txt","KOG0924")</f>
        <v>KOG0924</v>
      </c>
      <c r="BE632" t="str">
        <f>HYPERLINK("http://exon.niaid.nih.gov/transcriptome/Anopheles_sialome/links/PFAM/anoatro_SG8-PFAM.txt","AAA_16")</f>
        <v>AAA_16</v>
      </c>
      <c r="BF632" t="str">
        <f>HYPERLINK("http://pfam.sanger.ac.uk/family?acc=PF13191","0.038")</f>
        <v>0.038</v>
      </c>
      <c r="BG632" s="2" t="str">
        <f>HYPERLINK("http://exon.niaid.nih.gov/transcriptome/Anopheles_sialome/links/SMART/anoatro_SG8-SMART.txt","ML")</f>
        <v>ML</v>
      </c>
      <c r="BH632" t="str">
        <f>HYPERLINK("http://smart.embl-heidelberg.de/smart/do_annotation.pl?DOMAIN=ML&amp;BLAST=DUMMY","0.42")</f>
        <v>0.42</v>
      </c>
      <c r="BI632" t="s">
        <v>128</v>
      </c>
      <c r="BJ632" s="2" t="s">
        <v>128</v>
      </c>
      <c r="BK632" t="s">
        <v>2174</v>
      </c>
      <c r="BL632">
        <f>HYPERLINK("http://exon.niaid.nih.gov/transcriptome/Anopheles_sialome/links/cluster-b/anopheline-sialome-cds-pep-larger-orf25-50SimCLU13.txt", 13)</f>
        <v>13</v>
      </c>
      <c r="BM632">
        <f>HYPERLINK("http://exon.niaid.nih.gov/transcriptome/Anopheles_sialome/links/cluster-b/anopheline-sialome-cds-pep-larger-orf25-50SimCLTL13.txt", 19)</f>
        <v>19</v>
      </c>
      <c r="BN632">
        <f>HYPERLINK("http://exon.niaid.nih.gov/transcriptome/Anopheles_sialome/links/cluster-b/anopheline-sialome-cds-pep-larger-orf30-50SimCLU12.txt", 12)</f>
        <v>12</v>
      </c>
      <c r="BO632">
        <f>HYPERLINK("http://exon.niaid.nih.gov/transcriptome/Anopheles_sialome/links/cluster-b/anopheline-sialome-cds-pep-larger-orf30-50SimCLTL12.txt", 19)</f>
        <v>19</v>
      </c>
      <c r="BP632">
        <f>HYPERLINK("http://exon.niaid.nih.gov/transcriptome/Anopheles_sialome/links/cluster-b/anopheline-sialome-cds-pep-larger-orf35-50SimCLU14.txt", 14)</f>
        <v>14</v>
      </c>
      <c r="BQ632">
        <f>HYPERLINK("http://exon.niaid.nih.gov/transcriptome/Anopheles_sialome/links/cluster-b/anopheline-sialome-cds-pep-larger-orf35-50SimCLTL14.txt", 19)</f>
        <v>19</v>
      </c>
      <c r="BR632">
        <f>HYPERLINK("http://exon.niaid.nih.gov/transcriptome/Anopheles_sialome/links/cluster-b/anopheline-sialome-cds-pep-larger-orf40-50SimCLU16.txt", 16)</f>
        <v>16</v>
      </c>
      <c r="BS632">
        <f>HYPERLINK("http://exon.niaid.nih.gov/transcriptome/Anopheles_sialome/links/cluster-b/anopheline-sialome-cds-pep-larger-orf40-50SimCLTL16.txt", 19)</f>
        <v>19</v>
      </c>
      <c r="BT632">
        <f>HYPERLINK("http://exon.niaid.nih.gov/transcriptome/Anopheles_sialome/links/cluster-b/anopheline-sialome-cds-pep-larger-orf45-50SimCLU16.txt", 16)</f>
        <v>16</v>
      </c>
      <c r="BU632">
        <f>HYPERLINK("http://exon.niaid.nih.gov/transcriptome/Anopheles_sialome/links/cluster-b/anopheline-sialome-cds-pep-larger-orf45-50SimCLTL16.txt", 19)</f>
        <v>19</v>
      </c>
      <c r="BV632">
        <f>HYPERLINK("http://exon.niaid.nih.gov/transcriptome/Anopheles_sialome/links/cluster-b/anopheline-sialome-cds-pep-larger-orf50-50SimCLU15.txt", 15)</f>
        <v>15</v>
      </c>
      <c r="BW632">
        <f>HYPERLINK("http://exon.niaid.nih.gov/transcriptome/Anopheles_sialome/links/cluster-b/anopheline-sialome-cds-pep-larger-orf50-50SimCLTL15.txt", 19)</f>
        <v>19</v>
      </c>
      <c r="BX632">
        <f>HYPERLINK("http://exon.niaid.nih.gov/transcriptome/Anopheles_sialome/links/cluster-b/anopheline-sialome-cds-pep-larger-orf55-50SimCLU16.txt", 16)</f>
        <v>16</v>
      </c>
      <c r="BY632">
        <f>HYPERLINK("http://exon.niaid.nih.gov/transcriptome/Anopheles_sialome/links/cluster-b/anopheline-sialome-cds-pep-larger-orf55-50SimCLTL16.txt", 19)</f>
        <v>19</v>
      </c>
      <c r="BZ632">
        <f>HYPERLINK("http://exon.niaid.nih.gov/transcriptome/Anopheles_sialome/links/cluster-b/anopheline-sialome-cds-pep-larger-orf60-50SimCLU15.txt", 15)</f>
        <v>15</v>
      </c>
      <c r="CA632">
        <f>HYPERLINK("http://exon.niaid.nih.gov/transcriptome/Anopheles_sialome/links/cluster-b/anopheline-sialome-cds-pep-larger-orf60-50SimCLTL15.txt", 19)</f>
        <v>19</v>
      </c>
      <c r="CB632">
        <f>HYPERLINK("http://exon.niaid.nih.gov/transcriptome/Anopheles_sialome/links/cluster-b/anopheline-sialome-cds-pep-larger-orf65-50SimCLU62.txt", 62)</f>
        <v>62</v>
      </c>
      <c r="CC632">
        <f>HYPERLINK("http://exon.niaid.nih.gov/transcriptome/Anopheles_sialome/links/cluster-b/anopheline-sialome-cds-pep-larger-orf65-50SimCLTL62.txt", 2)</f>
        <v>2</v>
      </c>
      <c r="CD632">
        <f>HYPERLINK("http://exon.niaid.nih.gov/transcriptome/Anopheles_sialome/links/cluster-b/anopheline-sialome-cds-pep-larger-orf70-50SimCLU71.txt", 71)</f>
        <v>71</v>
      </c>
      <c r="CE632">
        <f>HYPERLINK("http://exon.niaid.nih.gov/transcriptome/Anopheles_sialome/links/cluster-b/anopheline-sialome-cds-pep-larger-orf70-50SimCLTL71.txt", 2)</f>
        <v>2</v>
      </c>
      <c r="CF632">
        <f>HYPERLINK("http://exon.niaid.nih.gov/transcriptome/Anopheles_sialome/links/cluster-b/anopheline-sialome-cds-pep-larger-orf75-50SimCLU89.txt", 89)</f>
        <v>89</v>
      </c>
      <c r="CG632">
        <f>HYPERLINK("http://exon.niaid.nih.gov/transcriptome/Anopheles_sialome/links/cluster-b/anopheline-sialome-cds-pep-larger-orf75-50SimCLTL89.txt", 2)</f>
        <v>2</v>
      </c>
      <c r="CH632">
        <v>243</v>
      </c>
      <c r="CI632">
        <v>1</v>
      </c>
      <c r="CJ632">
        <v>334</v>
      </c>
      <c r="CK632">
        <v>1</v>
      </c>
      <c r="CL632">
        <v>435</v>
      </c>
      <c r="CM632">
        <v>1</v>
      </c>
      <c r="CN632">
        <v>546</v>
      </c>
      <c r="CO632">
        <v>1</v>
      </c>
    </row>
    <row r="633" spans="1:93">
      <c r="A633" s="2" t="str">
        <f>HYPERLINK("http://exon.niaid.nih.gov/transcriptome/Anopheles_sialome/links/cds/anosin_SG8-cds.txt","anosin_SG8")</f>
        <v>anosin_SG8</v>
      </c>
      <c r="B633">
        <v>729</v>
      </c>
      <c r="C633" t="s">
        <v>608</v>
      </c>
      <c r="D633" t="s">
        <v>7</v>
      </c>
      <c r="E633" t="s">
        <v>5</v>
      </c>
      <c r="F633" t="s">
        <v>1</v>
      </c>
      <c r="G633" t="str">
        <f>HYPERLINK("http://exon.niaid.nih.gov/transcriptome/Anopheles_sialome/links/pep/anosin_SG8-pep.txt","anosin_SG8")</f>
        <v>anosin_SG8</v>
      </c>
      <c r="H633">
        <v>242</v>
      </c>
      <c r="I633">
        <v>0</v>
      </c>
      <c r="J633" s="3" t="str">
        <f>HYPERLINK("http://exon.niaid.nih.gov/transcriptome/Anopheles_sialome/links/Sigp/anosin_SG8-SigP.txt","SIG")</f>
        <v>SIG</v>
      </c>
      <c r="K633" t="s">
        <v>1206</v>
      </c>
      <c r="L633">
        <v>27.283000000000001</v>
      </c>
      <c r="M633">
        <v>10.43</v>
      </c>
      <c r="N633">
        <v>23.908999999999999</v>
      </c>
      <c r="O633">
        <v>10.039999999999999</v>
      </c>
      <c r="P633" t="s">
        <v>2177</v>
      </c>
      <c r="Q633" s="3">
        <v>0</v>
      </c>
      <c r="R633" t="s">
        <v>128</v>
      </c>
      <c r="S633" t="s">
        <v>128</v>
      </c>
      <c r="T633" t="s">
        <v>128</v>
      </c>
      <c r="U633" t="s">
        <v>128</v>
      </c>
      <c r="V633" t="s">
        <v>128</v>
      </c>
      <c r="W633" s="3" t="str">
        <f>HYPERLINK("http://exon.niaid.nih.gov/transcriptome/Anopheles_sialome/links/netoglyc/anosin_SG8-netoglyc.txt","1")</f>
        <v>1</v>
      </c>
      <c r="X633">
        <v>13.6</v>
      </c>
      <c r="Y633">
        <v>5.4</v>
      </c>
      <c r="Z633">
        <v>5.4</v>
      </c>
      <c r="AA633" t="s">
        <v>654</v>
      </c>
      <c r="AB633" t="s">
        <v>2178</v>
      </c>
      <c r="AC633" s="2" t="str">
        <f>HYPERLINK("http://exon.niaid.nih.gov/transcriptome/Anopheles_sialome/links/DIPTERA/anosin_SG8-DIPTERA.txt","hypothetical protein AND_001407")</f>
        <v>hypothetical protein AND_001407</v>
      </c>
      <c r="AD633" t="str">
        <f>HYPERLINK("http://www.ncbi.nlm.nih.gov/sutils/blink.cgi?pid=568258725","1E-051")</f>
        <v>1E-051</v>
      </c>
      <c r="AE633" t="str">
        <f>HYPERLINK("http://www.ncbi.nlm.nih.gov/protein/568258725","gi|568258725")</f>
        <v>gi|568258725</v>
      </c>
      <c r="AF633">
        <v>51</v>
      </c>
      <c r="AG633">
        <v>62</v>
      </c>
      <c r="AH633">
        <v>98</v>
      </c>
      <c r="AI633" t="s">
        <v>2283</v>
      </c>
      <c r="AJ633" s="2" t="str">
        <f>HYPERLINK("http://exon.niaid.nih.gov/transcriptome/Anopheles_sialome/links/CULICOMORPHA/anosin_SG8-CULICOMORPHA.txt","hypothetical protein AND_001407")</f>
        <v>hypothetical protein AND_001407</v>
      </c>
      <c r="AK633" t="str">
        <f>HYPERLINK("http://www.ncbi.nlm.nih.gov/sutils/blink.cgi?pid=568258725","2E-052")</f>
        <v>2E-052</v>
      </c>
      <c r="AL633" t="str">
        <f>HYPERLINK("http://www.ncbi.nlm.nih.gov/protein/568258725","gi|568258725")</f>
        <v>gi|568258725</v>
      </c>
      <c r="AM633">
        <v>51</v>
      </c>
      <c r="AN633">
        <v>62</v>
      </c>
      <c r="AO633">
        <v>98</v>
      </c>
      <c r="AP633" t="s">
        <v>2283</v>
      </c>
      <c r="AQ633" s="2" t="str">
        <f>HYPERLINK("http://exon.niaid.nih.gov/transcriptome/Anopheles_sialome/links/NR-LIGHT/anosin_SG8-NR-LIGHT.txt","hypothetical protein AND_001407")</f>
        <v>hypothetical protein AND_001407</v>
      </c>
      <c r="AR633" t="str">
        <f>HYPERLINK("http://www.ncbi.nlm.nih.gov/sutils/blink.cgi?pid=568258725","3E-051")</f>
        <v>3E-051</v>
      </c>
      <c r="AS633" t="str">
        <f>HYPERLINK("http://www.ncbi.nlm.nih.gov/protein/568258725","gi|568258725")</f>
        <v>gi|568258725</v>
      </c>
      <c r="AT633">
        <v>51</v>
      </c>
      <c r="AU633">
        <v>62</v>
      </c>
      <c r="AV633">
        <v>98</v>
      </c>
      <c r="AW633" t="s">
        <v>2283</v>
      </c>
      <c r="AX633" s="2" t="str">
        <f>HYPERLINK("http://exon.niaid.nih.gov/transcriptome/Anopheles_sialome/links/CDD/anosin_SG8-CDD.txt","AAA_16")</f>
        <v>AAA_16</v>
      </c>
      <c r="AY633" t="str">
        <f>HYPERLINK("http://www.ncbi.nlm.nih.gov/Structure/cdd/cddsrv.cgi?uid=pfam13191&amp;version=v4.0","3.8")</f>
        <v>3.8</v>
      </c>
      <c r="AZ633" t="s">
        <v>3110</v>
      </c>
      <c r="BA633" s="2" t="str">
        <f>HYPERLINK("http://exon.niaid.nih.gov/transcriptome/Anopheles_sialome/links/KOG/anosin_SG8-KOG.txt","Mitotic checkpoint protein PRCC")</f>
        <v>Mitotic checkpoint protein PRCC</v>
      </c>
      <c r="BB633" t="str">
        <f>HYPERLINK("http://www.ncbi.nlm.nih.gov/Structure/cdd/cddsrv.cgi?uid=KOG3903","0.20")</f>
        <v>0.20</v>
      </c>
      <c r="BC633" t="s">
        <v>2256</v>
      </c>
      <c r="BD633" t="str">
        <f>HYPERLINK("http://exon.niaid.nih.gov/transcriptome/Anopheles_sialome/links/KOG/anosin_SG8-KOG.txt","KOG3903")</f>
        <v>KOG3903</v>
      </c>
      <c r="BE633" t="str">
        <f>HYPERLINK("http://exon.niaid.nih.gov/transcriptome/Anopheles_sialome/links/PFAM/anosin_SG8-PFAM.txt","AAA_16")</f>
        <v>AAA_16</v>
      </c>
      <c r="BF633" t="str">
        <f>HYPERLINK("http://pfam.sanger.ac.uk/family?acc=PF13191","0.77")</f>
        <v>0.77</v>
      </c>
      <c r="BG633" s="2" t="str">
        <f>HYPERLINK("http://exon.niaid.nih.gov/transcriptome/Anopheles_sialome/links/SMART/anosin_SG8-SMART.txt","AAA_PrkA")</f>
        <v>AAA_PrkA</v>
      </c>
      <c r="BH633">
        <v>0.13</v>
      </c>
      <c r="BI633" t="str">
        <f>HYPERLINK("http://exon.niaid.nih.gov/transcriptome/Anopheles_sialome/links/TICK-BLOCKS/anosin_SG8-TICK-BLOCKS.txt","G8_salivary_protein |")</f>
        <v>G8_salivary_protein |</v>
      </c>
      <c r="BJ633" s="2" t="s">
        <v>3096</v>
      </c>
      <c r="BK633" t="s">
        <v>2176</v>
      </c>
      <c r="BL633">
        <f>HYPERLINK("http://exon.niaid.nih.gov/transcriptome/Anopheles_sialome/links/cluster-b/anopheline-sialome-cds-pep-larger-orf25-50SimCLU13.txt", 13)</f>
        <v>13</v>
      </c>
      <c r="BM633">
        <f>HYPERLINK("http://exon.niaid.nih.gov/transcriptome/Anopheles_sialome/links/cluster-b/anopheline-sialome-cds-pep-larger-orf25-50SimCLTL13.txt", 19)</f>
        <v>19</v>
      </c>
      <c r="BN633">
        <f>HYPERLINK("http://exon.niaid.nih.gov/transcriptome/Anopheles_sialome/links/cluster-b/anopheline-sialome-cds-pep-larger-orf30-50SimCLU12.txt", 12)</f>
        <v>12</v>
      </c>
      <c r="BO633">
        <f>HYPERLINK("http://exon.niaid.nih.gov/transcriptome/Anopheles_sialome/links/cluster-b/anopheline-sialome-cds-pep-larger-orf30-50SimCLTL12.txt", 19)</f>
        <v>19</v>
      </c>
      <c r="BP633">
        <f>HYPERLINK("http://exon.niaid.nih.gov/transcriptome/Anopheles_sialome/links/cluster-b/anopheline-sialome-cds-pep-larger-orf35-50SimCLU14.txt", 14)</f>
        <v>14</v>
      </c>
      <c r="BQ633">
        <f>HYPERLINK("http://exon.niaid.nih.gov/transcriptome/Anopheles_sialome/links/cluster-b/anopheline-sialome-cds-pep-larger-orf35-50SimCLTL14.txt", 19)</f>
        <v>19</v>
      </c>
      <c r="BR633">
        <f>HYPERLINK("http://exon.niaid.nih.gov/transcriptome/Anopheles_sialome/links/cluster-b/anopheline-sialome-cds-pep-larger-orf40-50SimCLU16.txt", 16)</f>
        <v>16</v>
      </c>
      <c r="BS633">
        <f>HYPERLINK("http://exon.niaid.nih.gov/transcriptome/Anopheles_sialome/links/cluster-b/anopheline-sialome-cds-pep-larger-orf40-50SimCLTL16.txt", 19)</f>
        <v>19</v>
      </c>
      <c r="BT633">
        <f>HYPERLINK("http://exon.niaid.nih.gov/transcriptome/Anopheles_sialome/links/cluster-b/anopheline-sialome-cds-pep-larger-orf45-50SimCLU16.txt", 16)</f>
        <v>16</v>
      </c>
      <c r="BU633">
        <f>HYPERLINK("http://exon.niaid.nih.gov/transcriptome/Anopheles_sialome/links/cluster-b/anopheline-sialome-cds-pep-larger-orf45-50SimCLTL16.txt", 19)</f>
        <v>19</v>
      </c>
      <c r="BV633">
        <f>HYPERLINK("http://exon.niaid.nih.gov/transcriptome/Anopheles_sialome/links/cluster-b/anopheline-sialome-cds-pep-larger-orf50-50SimCLU15.txt", 15)</f>
        <v>15</v>
      </c>
      <c r="BW633">
        <f>HYPERLINK("http://exon.niaid.nih.gov/transcriptome/Anopheles_sialome/links/cluster-b/anopheline-sialome-cds-pep-larger-orf50-50SimCLTL15.txt", 19)</f>
        <v>19</v>
      </c>
      <c r="BX633">
        <f>HYPERLINK("http://exon.niaid.nih.gov/transcriptome/Anopheles_sialome/links/cluster-b/anopheline-sialome-cds-pep-larger-orf55-50SimCLU16.txt", 16)</f>
        <v>16</v>
      </c>
      <c r="BY633">
        <f>HYPERLINK("http://exon.niaid.nih.gov/transcriptome/Anopheles_sialome/links/cluster-b/anopheline-sialome-cds-pep-larger-orf55-50SimCLTL16.txt", 19)</f>
        <v>19</v>
      </c>
      <c r="BZ633">
        <f>HYPERLINK("http://exon.niaid.nih.gov/transcriptome/Anopheles_sialome/links/cluster-b/anopheline-sialome-cds-pep-larger-orf60-50SimCLU15.txt", 15)</f>
        <v>15</v>
      </c>
      <c r="CA633">
        <f>HYPERLINK("http://exon.niaid.nih.gov/transcriptome/Anopheles_sialome/links/cluster-b/anopheline-sialome-cds-pep-larger-orf60-50SimCLTL15.txt", 19)</f>
        <v>19</v>
      </c>
      <c r="CB633">
        <f>HYPERLINK("http://exon.niaid.nih.gov/transcriptome/Anopheles_sialome/links/cluster-b/anopheline-sialome-cds-pep-larger-orf65-50SimCLU62.txt", 62)</f>
        <v>62</v>
      </c>
      <c r="CC633">
        <f>HYPERLINK("http://exon.niaid.nih.gov/transcriptome/Anopheles_sialome/links/cluster-b/anopheline-sialome-cds-pep-larger-orf65-50SimCLTL62.txt", 2)</f>
        <v>2</v>
      </c>
      <c r="CD633">
        <f>HYPERLINK("http://exon.niaid.nih.gov/transcriptome/Anopheles_sialome/links/cluster-b/anopheline-sialome-cds-pep-larger-orf70-50SimCLU71.txt", 71)</f>
        <v>71</v>
      </c>
      <c r="CE633">
        <f>HYPERLINK("http://exon.niaid.nih.gov/transcriptome/Anopheles_sialome/links/cluster-b/anopheline-sialome-cds-pep-larger-orf70-50SimCLTL71.txt", 2)</f>
        <v>2</v>
      </c>
      <c r="CF633">
        <f>HYPERLINK("http://exon.niaid.nih.gov/transcriptome/Anopheles_sialome/links/cluster-b/anopheline-sialome-cds-pep-larger-orf75-50SimCLU89.txt", 89)</f>
        <v>89</v>
      </c>
      <c r="CG633">
        <f>HYPERLINK("http://exon.niaid.nih.gov/transcriptome/Anopheles_sialome/links/cluster-b/anopheline-sialome-cds-pep-larger-orf75-50SimCLTL89.txt", 2)</f>
        <v>2</v>
      </c>
      <c r="CH633">
        <v>244</v>
      </c>
      <c r="CI633">
        <v>1</v>
      </c>
      <c r="CJ633">
        <v>335</v>
      </c>
      <c r="CK633">
        <v>1</v>
      </c>
      <c r="CL633">
        <v>436</v>
      </c>
      <c r="CM633">
        <v>1</v>
      </c>
      <c r="CN633">
        <v>547</v>
      </c>
      <c r="CO633">
        <v>1</v>
      </c>
    </row>
    <row r="634" spans="1:93">
      <c r="A634" s="2" t="str">
        <f>HYPERLINK("http://exon.niaid.nih.gov/transcriptome/Anopheles_sialome/links/cds/anoalb_SG8-cds.txt","anoalb_SG8")</f>
        <v>anoalb_SG8</v>
      </c>
      <c r="B634">
        <v>726</v>
      </c>
      <c r="C634" t="s">
        <v>609</v>
      </c>
      <c r="D634" t="s">
        <v>7</v>
      </c>
      <c r="E634" t="s">
        <v>5</v>
      </c>
      <c r="F634" t="s">
        <v>1</v>
      </c>
      <c r="G634" t="str">
        <f>HYPERLINK("http://exon.niaid.nih.gov/transcriptome/Anopheles_sialome/links/pep/anoalb_SG8-pep.txt","anoalb_SG8")</f>
        <v>anoalb_SG8</v>
      </c>
      <c r="H634">
        <v>241</v>
      </c>
      <c r="I634">
        <v>0</v>
      </c>
      <c r="J634" s="3" t="str">
        <f>HYPERLINK("http://exon.niaid.nih.gov/transcriptome/Anopheles_sialome/links/Sigp/anoalb_SG8-SigP.txt","SIG")</f>
        <v>SIG</v>
      </c>
      <c r="K634" t="s">
        <v>1199</v>
      </c>
      <c r="L634">
        <v>27.460999999999999</v>
      </c>
      <c r="M634">
        <v>10.63</v>
      </c>
      <c r="N634">
        <v>24.402000000000001</v>
      </c>
      <c r="O634">
        <v>10.64</v>
      </c>
      <c r="P634" t="s">
        <v>2180</v>
      </c>
      <c r="Q634" s="3" t="str">
        <f>HYPERLINK("http://exon.niaid.nih.gov/transcriptome/Anopheles_sialome/links/tmhmm/anoalb_SG8-tmhmm.txt","1")</f>
        <v>1</v>
      </c>
      <c r="R634">
        <v>7.9</v>
      </c>
      <c r="S634">
        <v>89.2</v>
      </c>
      <c r="T634">
        <v>2.9</v>
      </c>
      <c r="U634" t="s">
        <v>128</v>
      </c>
      <c r="V634">
        <v>215</v>
      </c>
      <c r="W634" s="3" t="str">
        <f>HYPERLINK("http://exon.niaid.nih.gov/transcriptome/Anopheles_sialome/links/netoglyc/anoalb_SG8-netoglyc.txt","0")</f>
        <v>0</v>
      </c>
      <c r="X634">
        <v>11.6</v>
      </c>
      <c r="Y634">
        <v>4.5999999999999996</v>
      </c>
      <c r="Z634">
        <v>4.5999999999999996</v>
      </c>
      <c r="AA634" t="s">
        <v>654</v>
      </c>
      <c r="AB634" t="s">
        <v>128</v>
      </c>
      <c r="AC634" s="2" t="str">
        <f>HYPERLINK("http://exon.niaid.nih.gov/transcriptome/Anopheles_sialome/links/DIPTERA/anoalb_SG8-DIPTERA.txt","hypothetical protein AND_001407")</f>
        <v>hypothetical protein AND_001407</v>
      </c>
      <c r="AD634" t="str">
        <f>HYPERLINK("http://www.ncbi.nlm.nih.gov/sutils/blink.cgi?pid=568258725","1E-107")</f>
        <v>1E-107</v>
      </c>
      <c r="AE634" t="str">
        <f>HYPERLINK("http://www.ncbi.nlm.nih.gov/protein/568258725","gi|568258725")</f>
        <v>gi|568258725</v>
      </c>
      <c r="AF634">
        <v>81</v>
      </c>
      <c r="AG634">
        <v>88</v>
      </c>
      <c r="AH634">
        <v>101</v>
      </c>
      <c r="AI634" t="s">
        <v>2283</v>
      </c>
      <c r="AJ634" s="2" t="str">
        <f>HYPERLINK("http://exon.niaid.nih.gov/transcriptome/Anopheles_sialome/links/CULICOMORPHA/anoalb_SG8-CULICOMORPHA.txt","hypothetical protein AND_001407")</f>
        <v>hypothetical protein AND_001407</v>
      </c>
      <c r="AK634" t="str">
        <f>HYPERLINK("http://www.ncbi.nlm.nih.gov/sutils/blink.cgi?pid=568258725","1E-108")</f>
        <v>1E-108</v>
      </c>
      <c r="AL634" t="str">
        <f>HYPERLINK("http://www.ncbi.nlm.nih.gov/protein/568258725","gi|568258725")</f>
        <v>gi|568258725</v>
      </c>
      <c r="AM634">
        <v>81</v>
      </c>
      <c r="AN634">
        <v>88</v>
      </c>
      <c r="AO634">
        <v>101</v>
      </c>
      <c r="AP634" t="s">
        <v>2283</v>
      </c>
      <c r="AQ634" s="2" t="str">
        <f>HYPERLINK("http://exon.niaid.nih.gov/transcriptome/Anopheles_sialome/links/NR-LIGHT/anoalb_SG8-NR-LIGHT.txt","hypothetical protein AND_001407")</f>
        <v>hypothetical protein AND_001407</v>
      </c>
      <c r="AR634" t="str">
        <f>HYPERLINK("http://www.ncbi.nlm.nih.gov/sutils/blink.cgi?pid=568258725","1E-107")</f>
        <v>1E-107</v>
      </c>
      <c r="AS634" t="str">
        <f>HYPERLINK("http://www.ncbi.nlm.nih.gov/protein/568258725","gi|568258725")</f>
        <v>gi|568258725</v>
      </c>
      <c r="AT634">
        <v>81</v>
      </c>
      <c r="AU634">
        <v>88</v>
      </c>
      <c r="AV634">
        <v>101</v>
      </c>
      <c r="AW634" t="s">
        <v>2283</v>
      </c>
      <c r="AX634" s="2" t="str">
        <f>HYPERLINK("http://exon.niaid.nih.gov/transcriptome/Anopheles_sialome/links/CDD/anoalb_SG8-CDD.txt","ttLC_FACS_like")</f>
        <v>ttLC_FACS_like</v>
      </c>
      <c r="AY634" t="str">
        <f>HYPERLINK("http://www.ncbi.nlm.nih.gov/Structure/cdd/cddsrv.cgi?uid=cd05915&amp;version=v4.0","0.46")</f>
        <v>0.46</v>
      </c>
      <c r="AZ634" t="s">
        <v>3111</v>
      </c>
      <c r="BA634" s="2" t="str">
        <f>HYPERLINK("http://exon.niaid.nih.gov/transcriptome/Anopheles_sialome/links/KOG/anoalb_SG8-KOG.txt","RNA polymerase II transcription initiation/nucleotide excision repair factor TFIIH, 5'-3' helicase subunit RAD3")</f>
        <v>RNA polymerase II transcription initiation/nucleotide excision repair factor TFIIH, 5'-3' helicase subunit RAD3</v>
      </c>
      <c r="BB634" t="str">
        <f>HYPERLINK("http://www.ncbi.nlm.nih.gov/Structure/cdd/cddsrv.cgi?uid=KOG1131","2.0")</f>
        <v>2.0</v>
      </c>
      <c r="BC634" t="s">
        <v>2533</v>
      </c>
      <c r="BD634" t="str">
        <f>HYPERLINK("http://exon.niaid.nih.gov/transcriptome/Anopheles_sialome/links/KOG/anoalb_SG8-KOG.txt","KOG1131")</f>
        <v>KOG1131</v>
      </c>
      <c r="BE634" t="str">
        <f>HYPERLINK("http://exon.niaid.nih.gov/transcriptome/Anopheles_sialome/links/PFAM/anoalb_SG8-PFAM.txt","Exonuc_VII_L")</f>
        <v>Exonuc_VII_L</v>
      </c>
      <c r="BF634" t="str">
        <f>HYPERLINK("http://pfam.sanger.ac.uk/family?acc=PF02601","0.57")</f>
        <v>0.57</v>
      </c>
      <c r="BG634" s="2" t="str">
        <f>HYPERLINK("http://exon.niaid.nih.gov/transcriptome/Anopheles_sialome/links/SMART/anoalb_SG8-SMART.txt","ML")</f>
        <v>ML</v>
      </c>
      <c r="BH634" t="str">
        <f>HYPERLINK("http://smart.embl-heidelberg.de/smart/do_annotation.pl?DOMAIN=ML&amp;BLAST=DUMMY","0.082")</f>
        <v>0.082</v>
      </c>
      <c r="BI634" t="str">
        <f>HYPERLINK("http://exon.niaid.nih.gov/transcriptome/Anopheles_sialome/links/TICK-BLOCKS/anoalb_SG8-TICK-BLOCKS.txt","G8_salivary_protein |")</f>
        <v>G8_salivary_protein |</v>
      </c>
      <c r="BJ634" s="2" t="s">
        <v>3096</v>
      </c>
      <c r="BK634" t="s">
        <v>2179</v>
      </c>
      <c r="BL634">
        <f>HYPERLINK("http://exon.niaid.nih.gov/transcriptome/Anopheles_sialome/links/cluster-b/anopheline-sialome-cds-pep-larger-orf25-50SimCLU13.txt", 13)</f>
        <v>13</v>
      </c>
      <c r="BM634">
        <f>HYPERLINK("http://exon.niaid.nih.gov/transcriptome/Anopheles_sialome/links/cluster-b/anopheline-sialome-cds-pep-larger-orf25-50SimCLTL13.txt", 19)</f>
        <v>19</v>
      </c>
      <c r="BN634">
        <f>HYPERLINK("http://exon.niaid.nih.gov/transcriptome/Anopheles_sialome/links/cluster-b/anopheline-sialome-cds-pep-larger-orf30-50SimCLU12.txt", 12)</f>
        <v>12</v>
      </c>
      <c r="BO634">
        <f>HYPERLINK("http://exon.niaid.nih.gov/transcriptome/Anopheles_sialome/links/cluster-b/anopheline-sialome-cds-pep-larger-orf30-50SimCLTL12.txt", 19)</f>
        <v>19</v>
      </c>
      <c r="BP634">
        <f>HYPERLINK("http://exon.niaid.nih.gov/transcriptome/Anopheles_sialome/links/cluster-b/anopheline-sialome-cds-pep-larger-orf35-50SimCLU14.txt", 14)</f>
        <v>14</v>
      </c>
      <c r="BQ634">
        <f>HYPERLINK("http://exon.niaid.nih.gov/transcriptome/Anopheles_sialome/links/cluster-b/anopheline-sialome-cds-pep-larger-orf35-50SimCLTL14.txt", 19)</f>
        <v>19</v>
      </c>
      <c r="BR634">
        <f>HYPERLINK("http://exon.niaid.nih.gov/transcriptome/Anopheles_sialome/links/cluster-b/anopheline-sialome-cds-pep-larger-orf40-50SimCLU16.txt", 16)</f>
        <v>16</v>
      </c>
      <c r="BS634">
        <f>HYPERLINK("http://exon.niaid.nih.gov/transcriptome/Anopheles_sialome/links/cluster-b/anopheline-sialome-cds-pep-larger-orf40-50SimCLTL16.txt", 19)</f>
        <v>19</v>
      </c>
      <c r="BT634">
        <f>HYPERLINK("http://exon.niaid.nih.gov/transcriptome/Anopheles_sialome/links/cluster-b/anopheline-sialome-cds-pep-larger-orf45-50SimCLU16.txt", 16)</f>
        <v>16</v>
      </c>
      <c r="BU634">
        <f>HYPERLINK("http://exon.niaid.nih.gov/transcriptome/Anopheles_sialome/links/cluster-b/anopheline-sialome-cds-pep-larger-orf45-50SimCLTL16.txt", 19)</f>
        <v>19</v>
      </c>
      <c r="BV634">
        <f>HYPERLINK("http://exon.niaid.nih.gov/transcriptome/Anopheles_sialome/links/cluster-b/anopheline-sialome-cds-pep-larger-orf50-50SimCLU15.txt", 15)</f>
        <v>15</v>
      </c>
      <c r="BW634">
        <f>HYPERLINK("http://exon.niaid.nih.gov/transcriptome/Anopheles_sialome/links/cluster-b/anopheline-sialome-cds-pep-larger-orf50-50SimCLTL15.txt", 19)</f>
        <v>19</v>
      </c>
      <c r="BX634">
        <f>HYPERLINK("http://exon.niaid.nih.gov/transcriptome/Anopheles_sialome/links/cluster-b/anopheline-sialome-cds-pep-larger-orf55-50SimCLU16.txt", 16)</f>
        <v>16</v>
      </c>
      <c r="BY634">
        <f>HYPERLINK("http://exon.niaid.nih.gov/transcriptome/Anopheles_sialome/links/cluster-b/anopheline-sialome-cds-pep-larger-orf55-50SimCLTL16.txt", 19)</f>
        <v>19</v>
      </c>
      <c r="BZ634">
        <f>HYPERLINK("http://exon.niaid.nih.gov/transcriptome/Anopheles_sialome/links/cluster-b/anopheline-sialome-cds-pep-larger-orf60-50SimCLU15.txt", 15)</f>
        <v>15</v>
      </c>
      <c r="CA634">
        <f>HYPERLINK("http://exon.niaid.nih.gov/transcriptome/Anopheles_sialome/links/cluster-b/anopheline-sialome-cds-pep-larger-orf60-50SimCLTL15.txt", 19)</f>
        <v>19</v>
      </c>
      <c r="CB634">
        <f>HYPERLINK("http://exon.niaid.nih.gov/transcriptome/Anopheles_sialome/links/cluster-b/anopheline-sialome-cds-pep-larger-orf65-50SimCLU21.txt", 21)</f>
        <v>21</v>
      </c>
      <c r="CC634">
        <f>HYPERLINK("http://exon.niaid.nih.gov/transcriptome/Anopheles_sialome/links/cluster-b/anopheline-sialome-cds-pep-larger-orf65-50SimCLTL21.txt", 17)</f>
        <v>17</v>
      </c>
      <c r="CD634">
        <f>HYPERLINK("http://exon.niaid.nih.gov/transcriptome/Anopheles_sialome/links/cluster-b/anopheline-sialome-cds-pep-larger-orf70-50SimCLU72.txt", 72)</f>
        <v>72</v>
      </c>
      <c r="CE634">
        <f>HYPERLINK("http://exon.niaid.nih.gov/transcriptome/Anopheles_sialome/links/cluster-b/anopheline-sialome-cds-pep-larger-orf70-50SimCLTL72.txt", 2)</f>
        <v>2</v>
      </c>
      <c r="CF634">
        <f>HYPERLINK("http://exon.niaid.nih.gov/transcriptome/Anopheles_sialome/links/cluster-b/anopheline-sialome-cds-pep-larger-orf75-50SimCLU90.txt", 90)</f>
        <v>90</v>
      </c>
      <c r="CG634">
        <f>HYPERLINK("http://exon.niaid.nih.gov/transcriptome/Anopheles_sialome/links/cluster-b/anopheline-sialome-cds-pep-larger-orf75-50SimCLTL90.txt", 2)</f>
        <v>2</v>
      </c>
      <c r="CH634">
        <f>HYPERLINK("http://exon.niaid.nih.gov/transcriptome/Anopheles_sialome/links/cluster-b/anopheline-sialome-cds-pep-larger-orf80-50SimCLU109.txt", 109)</f>
        <v>109</v>
      </c>
      <c r="CI634">
        <f>HYPERLINK("http://exon.niaid.nih.gov/transcriptome/Anopheles_sialome/links/cluster-b/anopheline-sialome-cds-pep-larger-orf80-50SimCLTL109.txt", 2)</f>
        <v>2</v>
      </c>
      <c r="CJ634">
        <f>HYPERLINK("http://exon.niaid.nih.gov/transcriptome/Anopheles_sialome/links/cluster-b/anopheline-sialome-cds-pep-larger-orf85-50SimCLU106.txt", 106)</f>
        <v>106</v>
      </c>
      <c r="CK634">
        <f>HYPERLINK("http://exon.niaid.nih.gov/transcriptome/Anopheles_sialome/links/cluster-b/anopheline-sialome-cds-pep-larger-orf85-50SimCLTL106.txt", 2)</f>
        <v>2</v>
      </c>
      <c r="CL634">
        <v>437</v>
      </c>
      <c r="CM634">
        <v>1</v>
      </c>
      <c r="CN634">
        <v>548</v>
      </c>
      <c r="CO634">
        <v>1</v>
      </c>
    </row>
    <row r="635" spans="1:93">
      <c r="A635" s="2" t="str">
        <f>HYPERLINK("http://exon.niaid.nih.gov/transcriptome/Anopheles_sialome/links/cds/anodar_SG8-cds.txt","anodar_SG8")</f>
        <v>anodar_SG8</v>
      </c>
      <c r="B635">
        <v>747</v>
      </c>
      <c r="C635" t="s">
        <v>610</v>
      </c>
      <c r="D635" t="s">
        <v>4</v>
      </c>
      <c r="E635" t="s">
        <v>5</v>
      </c>
      <c r="F635" t="s">
        <v>1</v>
      </c>
      <c r="G635" t="str">
        <f>HYPERLINK("http://exon.niaid.nih.gov/transcriptome/Anopheles_sialome/links/pep/anodar_SG8-pep.txt","anodar_SG8")</f>
        <v>anodar_SG8</v>
      </c>
      <c r="H635">
        <v>248</v>
      </c>
      <c r="I635">
        <v>0</v>
      </c>
      <c r="J635" s="3" t="str">
        <f>HYPERLINK("http://exon.niaid.nih.gov/transcriptome/Anopheles_sialome/links/Sigp/anodar_SG8-SigP.txt","SIG")</f>
        <v>SIG</v>
      </c>
      <c r="K635" t="s">
        <v>834</v>
      </c>
      <c r="L635">
        <v>28.198</v>
      </c>
      <c r="M635">
        <v>9.98</v>
      </c>
      <c r="N635">
        <v>25.39</v>
      </c>
      <c r="O635">
        <v>9.98</v>
      </c>
      <c r="P635" t="s">
        <v>2182</v>
      </c>
      <c r="Q635" s="3" t="str">
        <f>HYPERLINK("http://exon.niaid.nih.gov/transcriptome/Anopheles_sialome/links/tmhmm/anodar_SG8-tmhmm.txt","1")</f>
        <v>1</v>
      </c>
      <c r="R635">
        <v>8.9</v>
      </c>
      <c r="S635">
        <v>88.3</v>
      </c>
      <c r="T635">
        <v>2.8</v>
      </c>
      <c r="U635" t="s">
        <v>128</v>
      </c>
      <c r="V635">
        <v>219</v>
      </c>
      <c r="W635" s="3" t="str">
        <f>HYPERLINK("http://exon.niaid.nih.gov/transcriptome/Anopheles_sialome/links/netoglyc/anodar_SG8-netoglyc.txt","0")</f>
        <v>0</v>
      </c>
      <c r="X635">
        <v>10.9</v>
      </c>
      <c r="Y635">
        <v>6</v>
      </c>
      <c r="Z635">
        <v>4</v>
      </c>
      <c r="AA635" t="s">
        <v>654</v>
      </c>
      <c r="AB635" t="s">
        <v>128</v>
      </c>
      <c r="AC635" s="2" t="str">
        <f>HYPERLINK("http://exon.niaid.nih.gov/transcriptome/Anopheles_sialome/links/DIPTERA/anodar_SG8-DIPTERA.txt","hypothetical protein AND_001407")</f>
        <v>hypothetical protein AND_001407</v>
      </c>
      <c r="AD635" t="str">
        <f>HYPERLINK("http://www.ncbi.nlm.nih.gov/sutils/blink.cgi?pid=568258725","1E-139")</f>
        <v>1E-139</v>
      </c>
      <c r="AE635" t="str">
        <f t="shared" ref="AE635" si="214">HYPERLINK("http://www.ncbi.nlm.nih.gov/protein/568258725","gi|568258725")</f>
        <v>gi|568258725</v>
      </c>
      <c r="AF635">
        <v>100</v>
      </c>
      <c r="AG635">
        <v>100</v>
      </c>
      <c r="AH635">
        <v>100</v>
      </c>
      <c r="AI635" t="s">
        <v>2283</v>
      </c>
      <c r="AJ635" s="2" t="str">
        <f>HYPERLINK("http://exon.niaid.nih.gov/transcriptome/Anopheles_sialome/links/CULICOMORPHA/anodar_SG8-CULICOMORPHA.txt","hypothetical protein AND_001407")</f>
        <v>hypothetical protein AND_001407</v>
      </c>
      <c r="AK635" t="str">
        <f>HYPERLINK("http://www.ncbi.nlm.nih.gov/sutils/blink.cgi?pid=568258725","1E-140")</f>
        <v>1E-140</v>
      </c>
      <c r="AL635" t="str">
        <f t="shared" ref="AL635" si="215">HYPERLINK("http://www.ncbi.nlm.nih.gov/protein/568258725","gi|568258725")</f>
        <v>gi|568258725</v>
      </c>
      <c r="AM635">
        <v>100</v>
      </c>
      <c r="AN635">
        <v>100</v>
      </c>
      <c r="AO635">
        <v>100</v>
      </c>
      <c r="AP635" t="s">
        <v>2283</v>
      </c>
      <c r="AQ635" s="2" t="str">
        <f>HYPERLINK("http://exon.niaid.nih.gov/transcriptome/Anopheles_sialome/links/NR-LIGHT/anodar_SG8-NR-LIGHT.txt","hypothetical protein AND_001407")</f>
        <v>hypothetical protein AND_001407</v>
      </c>
      <c r="AR635" t="str">
        <f>HYPERLINK("http://www.ncbi.nlm.nih.gov/sutils/blink.cgi?pid=568258725","1E-139")</f>
        <v>1E-139</v>
      </c>
      <c r="AS635" t="str">
        <f t="shared" ref="AS635" si="216">HYPERLINK("http://www.ncbi.nlm.nih.gov/protein/568258725","gi|568258725")</f>
        <v>gi|568258725</v>
      </c>
      <c r="AT635">
        <v>100</v>
      </c>
      <c r="AU635">
        <v>100</v>
      </c>
      <c r="AV635">
        <v>100</v>
      </c>
      <c r="AW635" t="s">
        <v>2283</v>
      </c>
      <c r="AX635" s="2" t="str">
        <f>HYPERLINK("http://exon.niaid.nih.gov/transcriptome/Anopheles_sialome/links/CDD/anodar_SG8-CDD.txt","WecG")</f>
        <v>WecG</v>
      </c>
      <c r="AY635" t="str">
        <f>HYPERLINK("http://www.ncbi.nlm.nih.gov/Structure/cdd/cddsrv.cgi?uid=COG1922&amp;version=v4.0","2.4")</f>
        <v>2.4</v>
      </c>
      <c r="AZ635" t="s">
        <v>3112</v>
      </c>
      <c r="BA635" s="2" t="str">
        <f>HYPERLINK("http://exon.niaid.nih.gov/transcriptome/Anopheles_sialome/links/KOG/anodar_SG8-KOG.txt","RNA polymerase III, large subunit")</f>
        <v>RNA polymerase III, large subunit</v>
      </c>
      <c r="BB635" t="str">
        <f>HYPERLINK("http://www.ncbi.nlm.nih.gov/Structure/cdd/cddsrv.cgi?uid=KOG0261","6.2")</f>
        <v>6.2</v>
      </c>
      <c r="BC635" t="s">
        <v>2262</v>
      </c>
      <c r="BD635" t="str">
        <f>HYPERLINK("http://exon.niaid.nih.gov/transcriptome/Anopheles_sialome/links/KOG/anodar_SG8-KOG.txt","KOG0261")</f>
        <v>KOG0261</v>
      </c>
      <c r="BE635" t="str">
        <f>HYPERLINK("http://exon.niaid.nih.gov/transcriptome/Anopheles_sialome/links/PFAM/anodar_SG8-PFAM.txt","ResB")</f>
        <v>ResB</v>
      </c>
      <c r="BF635" t="str">
        <f>HYPERLINK("http://pfam.sanger.ac.uk/family?acc=PF05140","0.74")</f>
        <v>0.74</v>
      </c>
      <c r="BG635" s="2" t="str">
        <f>HYPERLINK("http://exon.niaid.nih.gov/transcriptome/Anopheles_sialome/links/SMART/anodar_SG8-SMART.txt","ML")</f>
        <v>ML</v>
      </c>
      <c r="BH635" t="str">
        <f>HYPERLINK("http://smart.embl-heidelberg.de/smart/do_annotation.pl?DOMAIN=ML&amp;BLAST=DUMMY","0.16")</f>
        <v>0.16</v>
      </c>
      <c r="BI635" t="str">
        <f>HYPERLINK("http://exon.niaid.nih.gov/transcriptome/Anopheles_sialome/links/TICK-BLOCKS/anodar_SG8-TICK-BLOCKS.txt","G8_salivary_protein |")</f>
        <v>G8_salivary_protein |</v>
      </c>
      <c r="BJ635" s="2" t="s">
        <v>3096</v>
      </c>
      <c r="BK635" t="s">
        <v>2181</v>
      </c>
      <c r="BL635">
        <f>HYPERLINK("http://exon.niaid.nih.gov/transcriptome/Anopheles_sialome/links/cluster-b/anopheline-sialome-cds-pep-larger-orf25-50SimCLU13.txt", 13)</f>
        <v>13</v>
      </c>
      <c r="BM635">
        <f>HYPERLINK("http://exon.niaid.nih.gov/transcriptome/Anopheles_sialome/links/cluster-b/anopheline-sialome-cds-pep-larger-orf25-50SimCLTL13.txt", 19)</f>
        <v>19</v>
      </c>
      <c r="BN635">
        <f>HYPERLINK("http://exon.niaid.nih.gov/transcriptome/Anopheles_sialome/links/cluster-b/anopheline-sialome-cds-pep-larger-orf30-50SimCLU12.txt", 12)</f>
        <v>12</v>
      </c>
      <c r="BO635">
        <f>HYPERLINK("http://exon.niaid.nih.gov/transcriptome/Anopheles_sialome/links/cluster-b/anopheline-sialome-cds-pep-larger-orf30-50SimCLTL12.txt", 19)</f>
        <v>19</v>
      </c>
      <c r="BP635">
        <f>HYPERLINK("http://exon.niaid.nih.gov/transcriptome/Anopheles_sialome/links/cluster-b/anopheline-sialome-cds-pep-larger-orf35-50SimCLU14.txt", 14)</f>
        <v>14</v>
      </c>
      <c r="BQ635">
        <f>HYPERLINK("http://exon.niaid.nih.gov/transcriptome/Anopheles_sialome/links/cluster-b/anopheline-sialome-cds-pep-larger-orf35-50SimCLTL14.txt", 19)</f>
        <v>19</v>
      </c>
      <c r="BR635">
        <f>HYPERLINK("http://exon.niaid.nih.gov/transcriptome/Anopheles_sialome/links/cluster-b/anopheline-sialome-cds-pep-larger-orf40-50SimCLU16.txt", 16)</f>
        <v>16</v>
      </c>
      <c r="BS635">
        <f>HYPERLINK("http://exon.niaid.nih.gov/transcriptome/Anopheles_sialome/links/cluster-b/anopheline-sialome-cds-pep-larger-orf40-50SimCLTL16.txt", 19)</f>
        <v>19</v>
      </c>
      <c r="BT635">
        <f>HYPERLINK("http://exon.niaid.nih.gov/transcriptome/Anopheles_sialome/links/cluster-b/anopheline-sialome-cds-pep-larger-orf45-50SimCLU16.txt", 16)</f>
        <v>16</v>
      </c>
      <c r="BU635">
        <f>HYPERLINK("http://exon.niaid.nih.gov/transcriptome/Anopheles_sialome/links/cluster-b/anopheline-sialome-cds-pep-larger-orf45-50SimCLTL16.txt", 19)</f>
        <v>19</v>
      </c>
      <c r="BV635">
        <f>HYPERLINK("http://exon.niaid.nih.gov/transcriptome/Anopheles_sialome/links/cluster-b/anopheline-sialome-cds-pep-larger-orf50-50SimCLU15.txt", 15)</f>
        <v>15</v>
      </c>
      <c r="BW635">
        <f>HYPERLINK("http://exon.niaid.nih.gov/transcriptome/Anopheles_sialome/links/cluster-b/anopheline-sialome-cds-pep-larger-orf50-50SimCLTL15.txt", 19)</f>
        <v>19</v>
      </c>
      <c r="BX635">
        <f>HYPERLINK("http://exon.niaid.nih.gov/transcriptome/Anopheles_sialome/links/cluster-b/anopheline-sialome-cds-pep-larger-orf55-50SimCLU16.txt", 16)</f>
        <v>16</v>
      </c>
      <c r="BY635">
        <f>HYPERLINK("http://exon.niaid.nih.gov/transcriptome/Anopheles_sialome/links/cluster-b/anopheline-sialome-cds-pep-larger-orf55-50SimCLTL16.txt", 19)</f>
        <v>19</v>
      </c>
      <c r="BZ635">
        <f>HYPERLINK("http://exon.niaid.nih.gov/transcriptome/Anopheles_sialome/links/cluster-b/anopheline-sialome-cds-pep-larger-orf60-50SimCLU15.txt", 15)</f>
        <v>15</v>
      </c>
      <c r="CA635">
        <f>HYPERLINK("http://exon.niaid.nih.gov/transcriptome/Anopheles_sialome/links/cluster-b/anopheline-sialome-cds-pep-larger-orf60-50SimCLTL15.txt", 19)</f>
        <v>19</v>
      </c>
      <c r="CB635">
        <f>HYPERLINK("http://exon.niaid.nih.gov/transcriptome/Anopheles_sialome/links/cluster-b/anopheline-sialome-cds-pep-larger-orf65-50SimCLU21.txt", 21)</f>
        <v>21</v>
      </c>
      <c r="CC635">
        <f>HYPERLINK("http://exon.niaid.nih.gov/transcriptome/Anopheles_sialome/links/cluster-b/anopheline-sialome-cds-pep-larger-orf65-50SimCLTL21.txt", 17)</f>
        <v>17</v>
      </c>
      <c r="CD635">
        <f>HYPERLINK("http://exon.niaid.nih.gov/transcriptome/Anopheles_sialome/links/cluster-b/anopheline-sialome-cds-pep-larger-orf70-50SimCLU72.txt", 72)</f>
        <v>72</v>
      </c>
      <c r="CE635">
        <f>HYPERLINK("http://exon.niaid.nih.gov/transcriptome/Anopheles_sialome/links/cluster-b/anopheline-sialome-cds-pep-larger-orf70-50SimCLTL72.txt", 2)</f>
        <v>2</v>
      </c>
      <c r="CF635">
        <f>HYPERLINK("http://exon.niaid.nih.gov/transcriptome/Anopheles_sialome/links/cluster-b/anopheline-sialome-cds-pep-larger-orf75-50SimCLU90.txt", 90)</f>
        <v>90</v>
      </c>
      <c r="CG635">
        <f>HYPERLINK("http://exon.niaid.nih.gov/transcriptome/Anopheles_sialome/links/cluster-b/anopheline-sialome-cds-pep-larger-orf75-50SimCLTL90.txt", 2)</f>
        <v>2</v>
      </c>
      <c r="CH635">
        <f>HYPERLINK("http://exon.niaid.nih.gov/transcriptome/Anopheles_sialome/links/cluster-b/anopheline-sialome-cds-pep-larger-orf80-50SimCLU109.txt", 109)</f>
        <v>109</v>
      </c>
      <c r="CI635">
        <f>HYPERLINK("http://exon.niaid.nih.gov/transcriptome/Anopheles_sialome/links/cluster-b/anopheline-sialome-cds-pep-larger-orf80-50SimCLTL109.txt", 2)</f>
        <v>2</v>
      </c>
      <c r="CJ635">
        <f>HYPERLINK("http://exon.niaid.nih.gov/transcriptome/Anopheles_sialome/links/cluster-b/anopheline-sialome-cds-pep-larger-orf85-50SimCLU106.txt", 106)</f>
        <v>106</v>
      </c>
      <c r="CK635">
        <f>HYPERLINK("http://exon.niaid.nih.gov/transcriptome/Anopheles_sialome/links/cluster-b/anopheline-sialome-cds-pep-larger-orf85-50SimCLTL106.txt", 2)</f>
        <v>2</v>
      </c>
      <c r="CL635">
        <v>438</v>
      </c>
      <c r="CM635">
        <v>1</v>
      </c>
      <c r="CN635">
        <v>549</v>
      </c>
      <c r="CO635">
        <v>1</v>
      </c>
    </row>
    <row r="636" spans="1:93">
      <c r="A636" s="14" t="s">
        <v>3159</v>
      </c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  <c r="BO636" s="13"/>
      <c r="BP636" s="13"/>
      <c r="BQ636" s="13"/>
      <c r="BR636" s="13"/>
      <c r="BS636" s="13"/>
      <c r="BT636" s="13"/>
      <c r="BU636" s="13"/>
      <c r="BV636" s="13"/>
      <c r="BW636" s="13"/>
      <c r="BX636" s="13"/>
      <c r="BY636" s="13"/>
      <c r="BZ636" s="13"/>
      <c r="CA636" s="13"/>
      <c r="CB636" s="13"/>
      <c r="CC636" s="13"/>
      <c r="CD636" s="13"/>
      <c r="CE636" s="13"/>
      <c r="CF636" s="13"/>
      <c r="CG636" s="13"/>
      <c r="CH636" s="13"/>
      <c r="CI636" s="13"/>
      <c r="CJ636" s="13"/>
      <c r="CK636" s="13"/>
      <c r="CL636" s="13"/>
      <c r="CM636" s="13"/>
      <c r="CN636" s="13"/>
      <c r="CO636" s="13"/>
    </row>
    <row r="637" spans="1:93">
      <c r="A637" s="2" t="str">
        <f>HYPERLINK("http://exon.niaid.nih.gov/transcriptome/Anopheles_sialome/links/cds/anoga_SG9-cds.txt","anoga_SG9")</f>
        <v>anoga_SG9</v>
      </c>
      <c r="B637">
        <v>1182</v>
      </c>
      <c r="C637" t="s">
        <v>611</v>
      </c>
      <c r="D637" t="s">
        <v>4</v>
      </c>
      <c r="E637" t="s">
        <v>5</v>
      </c>
      <c r="F637" t="s">
        <v>1</v>
      </c>
      <c r="G637" t="str">
        <f>HYPERLINK("http://exon.niaid.nih.gov/transcriptome/Anopheles_sialome/links/pep/anoga_SG9-pep.txt","anoga_SG9")</f>
        <v>anoga_SG9</v>
      </c>
      <c r="H637">
        <v>393</v>
      </c>
      <c r="I637">
        <v>0</v>
      </c>
      <c r="J637" s="3" t="str">
        <f>HYPERLINK("http://exon.niaid.nih.gov/transcriptome/Anopheles_sialome/links/Sigp/anoga_SG9-SigP.txt","SIG")</f>
        <v>SIG</v>
      </c>
      <c r="K637" t="s">
        <v>708</v>
      </c>
      <c r="L637">
        <v>42.786000000000001</v>
      </c>
      <c r="M637">
        <v>7.53</v>
      </c>
      <c r="N637">
        <v>40.131</v>
      </c>
      <c r="O637">
        <v>5.78</v>
      </c>
      <c r="P637" t="s">
        <v>2184</v>
      </c>
      <c r="Q637" s="3">
        <v>0</v>
      </c>
      <c r="R637" t="s">
        <v>128</v>
      </c>
      <c r="S637" t="s">
        <v>128</v>
      </c>
      <c r="T637" t="s">
        <v>128</v>
      </c>
      <c r="U637" t="s">
        <v>128</v>
      </c>
      <c r="V637" t="s">
        <v>128</v>
      </c>
      <c r="W637" s="3" t="str">
        <f>HYPERLINK("http://exon.niaid.nih.gov/transcriptome/Anopheles_sialome/links/netoglyc/anoga_SG9-netoglyc.txt","0")</f>
        <v>0</v>
      </c>
      <c r="X637">
        <v>16.3</v>
      </c>
      <c r="Y637">
        <v>6.6</v>
      </c>
      <c r="Z637">
        <v>4.3</v>
      </c>
      <c r="AA637" t="s">
        <v>654</v>
      </c>
      <c r="AB637" t="s">
        <v>2185</v>
      </c>
      <c r="AC637" s="2" t="str">
        <f>HYPERLINK("http://exon.niaid.nih.gov/transcriptome/Anopheles_sialome/links/DIPTERA/anoga_SG9-DIPTERA.txt","AGAP013423-PA")</f>
        <v>AGAP013423-PA</v>
      </c>
      <c r="AD637" t="str">
        <f t="shared" ref="AD637:AD642" si="217">HYPERLINK("http://www.ncbi.nlm.nih.gov/sutils/blink.cgi?pid=333469608","0.0")</f>
        <v>0.0</v>
      </c>
      <c r="AE637" t="str">
        <f t="shared" ref="AE637" si="218">HYPERLINK("http://www.ncbi.nlm.nih.gov/protein/333469608","gi|333469608")</f>
        <v>gi|333469608</v>
      </c>
      <c r="AF637">
        <v>100</v>
      </c>
      <c r="AG637">
        <v>100</v>
      </c>
      <c r="AH637">
        <v>100</v>
      </c>
      <c r="AI637" t="s">
        <v>2285</v>
      </c>
      <c r="AJ637" s="2" t="str">
        <f>HYPERLINK("http://exon.niaid.nih.gov/transcriptome/Anopheles_sialome/links/CULICOMORPHA/anoga_SG9-CULICOMORPHA.txt","AGAP013423-PA")</f>
        <v>AGAP013423-PA</v>
      </c>
      <c r="AK637" t="str">
        <f t="shared" ref="AK637:AK642" si="219">HYPERLINK("http://www.ncbi.nlm.nih.gov/sutils/blink.cgi?pid=333469608","0.0")</f>
        <v>0.0</v>
      </c>
      <c r="AL637" t="str">
        <f t="shared" ref="AL637" si="220">HYPERLINK("http://www.ncbi.nlm.nih.gov/protein/333469608","gi|333469608")</f>
        <v>gi|333469608</v>
      </c>
      <c r="AM637">
        <v>100</v>
      </c>
      <c r="AN637">
        <v>100</v>
      </c>
      <c r="AO637">
        <v>100</v>
      </c>
      <c r="AP637" t="s">
        <v>2285</v>
      </c>
      <c r="AQ637" s="2" t="str">
        <f>HYPERLINK("http://exon.niaid.nih.gov/transcriptome/Anopheles_sialome/links/NR-LIGHT/anoga_SG9-NR-LIGHT.txt","AGAP013423-PA")</f>
        <v>AGAP013423-PA</v>
      </c>
      <c r="AR637" t="str">
        <f t="shared" ref="AR637:AR642" si="221">HYPERLINK("http://www.ncbi.nlm.nih.gov/sutils/blink.cgi?pid=347971052","0.0")</f>
        <v>0.0</v>
      </c>
      <c r="AS637" t="str">
        <f t="shared" ref="AS637" si="222">HYPERLINK("http://www.ncbi.nlm.nih.gov/protein/347971052","gi|347971052")</f>
        <v>gi|347971052</v>
      </c>
      <c r="AT637">
        <v>100</v>
      </c>
      <c r="AU637">
        <v>100</v>
      </c>
      <c r="AV637">
        <v>100</v>
      </c>
      <c r="AW637" t="s">
        <v>2285</v>
      </c>
      <c r="AX637" s="2" t="str">
        <f>HYPERLINK("http://exon.niaid.nih.gov/transcriptome/Anopheles_sialome/links/CDD/anoga_SG9-CDD.txt","SEC21")</f>
        <v>SEC21</v>
      </c>
      <c r="AY637" t="str">
        <f>HYPERLINK("http://www.ncbi.nlm.nih.gov/Structure/cdd/cddsrv.cgi?uid=COG5240&amp;version=v4.0","0.65")</f>
        <v>0.65</v>
      </c>
      <c r="AZ637" t="s">
        <v>3113</v>
      </c>
      <c r="BA637" s="2" t="str">
        <f>HYPERLINK("http://exon.niaid.nih.gov/transcriptome/Anopheles_sialome/links/KOG/anoga_SG9-KOG.txt","Negative regulator of transcription")</f>
        <v>Negative regulator of transcription</v>
      </c>
      <c r="BB637" t="str">
        <f>HYPERLINK("http://www.ncbi.nlm.nih.gov/Structure/cdd/cddsrv.cgi?uid=KOG1831","0.38")</f>
        <v>0.38</v>
      </c>
      <c r="BC637" t="s">
        <v>2262</v>
      </c>
      <c r="BD637" t="str">
        <f>HYPERLINK("http://exon.niaid.nih.gov/transcriptome/Anopheles_sialome/links/KOG/anoga_SG9-KOG.txt","KOG1831")</f>
        <v>KOG1831</v>
      </c>
      <c r="BE637" t="str">
        <f>HYPERLINK("http://exon.niaid.nih.gov/transcriptome/Anopheles_sialome/links/PFAM/anoga_SG9-PFAM.txt","PEHE")</f>
        <v>PEHE</v>
      </c>
      <c r="BF637" t="str">
        <f>HYPERLINK("http://pfam.sanger.ac.uk/family?acc=PF15275","1.4")</f>
        <v>1.4</v>
      </c>
      <c r="BG637" s="2" t="str">
        <f>HYPERLINK("http://exon.niaid.nih.gov/transcriptome/Anopheles_sialome/links/SMART/anoga_SG9-SMART.txt","Plus3")</f>
        <v>Plus3</v>
      </c>
      <c r="BH637" t="str">
        <f>HYPERLINK("http://smart.embl-heidelberg.de/smart/do_annotation.pl?DOMAIN=Plus3&amp;BLAST=DUMMY","3.9")</f>
        <v>3.9</v>
      </c>
      <c r="BI637" t="s">
        <v>128</v>
      </c>
      <c r="BJ637" s="2" t="s">
        <v>128</v>
      </c>
      <c r="BK637" t="s">
        <v>2183</v>
      </c>
      <c r="BL637">
        <f>HYPERLINK("http://exon.niaid.nih.gov/transcriptome/Anopheles_sialome/links/cluster-b/anopheline-sialome-cds-pep-larger-orf25-50SimCLU8.txt", 8)</f>
        <v>8</v>
      </c>
      <c r="BM637">
        <f>HYPERLINK("http://exon.niaid.nih.gov/transcriptome/Anopheles_sialome/links/cluster-b/anopheline-sialome-cds-pep-larger-orf25-50SimCLTL8.txt", 35)</f>
        <v>35</v>
      </c>
      <c r="BN637">
        <f>HYPERLINK("http://exon.niaid.nih.gov/transcriptome/Anopheles_sialome/links/cluster-b/anopheline-sialome-cds-pep-larger-orf30-50SimCLU13.txt", 13)</f>
        <v>13</v>
      </c>
      <c r="BO637">
        <f>HYPERLINK("http://exon.niaid.nih.gov/transcriptome/Anopheles_sialome/links/cluster-b/anopheline-sialome-cds-pep-larger-orf30-50SimCLTL13.txt", 19)</f>
        <v>19</v>
      </c>
      <c r="BP637">
        <f>HYPERLINK("http://exon.niaid.nih.gov/transcriptome/Anopheles_sialome/links/cluster-b/anopheline-sialome-cds-pep-larger-orf35-50SimCLU15.txt", 15)</f>
        <v>15</v>
      </c>
      <c r="BQ637">
        <f>HYPERLINK("http://exon.niaid.nih.gov/transcriptome/Anopheles_sialome/links/cluster-b/anopheline-sialome-cds-pep-larger-orf35-50SimCLTL15.txt", 19)</f>
        <v>19</v>
      </c>
      <c r="BR637">
        <f>HYPERLINK("http://exon.niaid.nih.gov/transcriptome/Anopheles_sialome/links/cluster-b/anopheline-sialome-cds-pep-larger-orf40-50SimCLU17.txt", 17)</f>
        <v>17</v>
      </c>
      <c r="BS637">
        <f>HYPERLINK("http://exon.niaid.nih.gov/transcriptome/Anopheles_sialome/links/cluster-b/anopheline-sialome-cds-pep-larger-orf40-50SimCLTL17.txt", 19)</f>
        <v>19</v>
      </c>
      <c r="BT637">
        <f>HYPERLINK("http://exon.niaid.nih.gov/transcriptome/Anopheles_sialome/links/cluster-b/anopheline-sialome-cds-pep-larger-orf45-50SimCLU17.txt", 17)</f>
        <v>17</v>
      </c>
      <c r="BU637">
        <f>HYPERLINK("http://exon.niaid.nih.gov/transcriptome/Anopheles_sialome/links/cluster-b/anopheline-sialome-cds-pep-larger-orf45-50SimCLTL17.txt", 19)</f>
        <v>19</v>
      </c>
      <c r="BV637">
        <f>HYPERLINK("http://exon.niaid.nih.gov/transcriptome/Anopheles_sialome/links/cluster-b/anopheline-sialome-cds-pep-larger-orf50-50SimCLU16.txt", 16)</f>
        <v>16</v>
      </c>
      <c r="BW637">
        <f>HYPERLINK("http://exon.niaid.nih.gov/transcriptome/Anopheles_sialome/links/cluster-b/anopheline-sialome-cds-pep-larger-orf50-50SimCLTL16.txt", 19)</f>
        <v>19</v>
      </c>
      <c r="BX637">
        <f>HYPERLINK("http://exon.niaid.nih.gov/transcriptome/Anopheles_sialome/links/cluster-b/anopheline-sialome-cds-pep-larger-orf55-50SimCLU17.txt", 17)</f>
        <v>17</v>
      </c>
      <c r="BY637">
        <f>HYPERLINK("http://exon.niaid.nih.gov/transcriptome/Anopheles_sialome/links/cluster-b/anopheline-sialome-cds-pep-larger-orf55-50SimCLTL17.txt", 19)</f>
        <v>19</v>
      </c>
      <c r="BZ637">
        <f>HYPERLINK("http://exon.niaid.nih.gov/transcriptome/Anopheles_sialome/links/cluster-b/anopheline-sialome-cds-pep-larger-orf60-50SimCLU16.txt", 16)</f>
        <v>16</v>
      </c>
      <c r="CA637">
        <f>HYPERLINK("http://exon.niaid.nih.gov/transcriptome/Anopheles_sialome/links/cluster-b/anopheline-sialome-cds-pep-larger-orf60-50SimCLTL16.txt", 19)</f>
        <v>19</v>
      </c>
      <c r="CB637">
        <f>HYPERLINK("http://exon.niaid.nih.gov/transcriptome/Anopheles_sialome/links/cluster-b/anopheline-sialome-cds-pep-larger-orf65-50SimCLU13.txt", 13)</f>
        <v>13</v>
      </c>
      <c r="CC637">
        <f>HYPERLINK("http://exon.niaid.nih.gov/transcriptome/Anopheles_sialome/links/cluster-b/anopheline-sialome-cds-pep-larger-orf65-50SimCLTL13.txt", 19)</f>
        <v>19</v>
      </c>
      <c r="CD637">
        <f>HYPERLINK("http://exon.niaid.nih.gov/transcriptome/Anopheles_sialome/links/cluster-b/anopheline-sialome-cds-pep-larger-orf70-50SimCLU13.txt", 13)</f>
        <v>13</v>
      </c>
      <c r="CE637">
        <f>HYPERLINK("http://exon.niaid.nih.gov/transcriptome/Anopheles_sialome/links/cluster-b/anopheline-sialome-cds-pep-larger-orf70-50SimCLTL13.txt", 19)</f>
        <v>19</v>
      </c>
      <c r="CF637">
        <f>HYPERLINK("http://exon.niaid.nih.gov/transcriptome/Anopheles_sialome/links/cluster-b/anopheline-sialome-cds-pep-larger-orf75-50SimCLU15.txt", 15)</f>
        <v>15</v>
      </c>
      <c r="CG637">
        <f>HYPERLINK("http://exon.niaid.nih.gov/transcriptome/Anopheles_sialome/links/cluster-b/anopheline-sialome-cds-pep-larger-orf75-50SimCLTL15.txt", 17)</f>
        <v>17</v>
      </c>
      <c r="CH637">
        <f>HYPERLINK("http://exon.niaid.nih.gov/transcriptome/Anopheles_sialome/links/cluster-b/anopheline-sialome-cds-pep-larger-orf80-50SimCLU14.txt", 14)</f>
        <v>14</v>
      </c>
      <c r="CI637">
        <f>HYPERLINK("http://exon.niaid.nih.gov/transcriptome/Anopheles_sialome/links/cluster-b/anopheline-sialome-cds-pep-larger-orf80-50SimCLTL14.txt", 15)</f>
        <v>15</v>
      </c>
      <c r="CJ637">
        <f>HYPERLINK("http://exon.niaid.nih.gov/transcriptome/Anopheles_sialome/links/cluster-b/anopheline-sialome-cds-pep-larger-orf85-50SimCLU14.txt", 14)</f>
        <v>14</v>
      </c>
      <c r="CK637">
        <f>HYPERLINK("http://exon.niaid.nih.gov/transcriptome/Anopheles_sialome/links/cluster-b/anopheline-sialome-cds-pep-larger-orf85-50SimCLTL14.txt", 12)</f>
        <v>12</v>
      </c>
      <c r="CL637">
        <f>HYPERLINK("http://exon.niaid.nih.gov/transcriptome/Anopheles_sialome/links/cluster-b/anopheline-sialome-cds-pep-larger-orf90-50SimCLU39.txt", 39)</f>
        <v>39</v>
      </c>
      <c r="CM637">
        <f>HYPERLINK("http://exon.niaid.nih.gov/transcriptome/Anopheles_sialome/links/cluster-b/anopheline-sialome-cds-pep-larger-orf90-50SimCLTL39.txt", 6)</f>
        <v>6</v>
      </c>
      <c r="CN637">
        <f>HYPERLINK("http://exon.niaid.nih.gov/transcriptome/Anopheles_sialome/links/cluster-b/anopheline-sialome-cds-pep-larger-orf95-50SimCLU31.txt", 31)</f>
        <v>31</v>
      </c>
      <c r="CO637">
        <f>HYPERLINK("http://exon.niaid.nih.gov/transcriptome/Anopheles_sialome/links/cluster-b/anopheline-sialome-cds-pep-larger-orf95-50SimCLTL31.txt", 6)</f>
        <v>6</v>
      </c>
    </row>
    <row r="638" spans="1:93">
      <c r="A638" s="2" t="str">
        <f>HYPERLINK("http://exon.niaid.nih.gov/transcriptome/Anopheles_sialome/links/cds/anocol_SG9-cds.txt","anocol_SG9")</f>
        <v>anocol_SG9</v>
      </c>
      <c r="B638">
        <v>1182</v>
      </c>
      <c r="C638" t="s">
        <v>612</v>
      </c>
      <c r="D638" t="s">
        <v>7</v>
      </c>
      <c r="E638" t="s">
        <v>5</v>
      </c>
      <c r="F638" t="s">
        <v>1</v>
      </c>
      <c r="G638" t="str">
        <f>HYPERLINK("http://exon.niaid.nih.gov/transcriptome/Anopheles_sialome/links/pep/anocol_SG9-pep.txt","anocol_SG9")</f>
        <v>anocol_SG9</v>
      </c>
      <c r="H638">
        <v>393</v>
      </c>
      <c r="I638">
        <v>0</v>
      </c>
      <c r="J638" s="3" t="str">
        <f>HYPERLINK("http://exon.niaid.nih.gov/transcriptome/Anopheles_sialome/links/Sigp/anocol_SG9-SigP.txt","SIG")</f>
        <v>SIG</v>
      </c>
      <c r="K638" t="s">
        <v>708</v>
      </c>
      <c r="L638">
        <v>42.823999999999998</v>
      </c>
      <c r="M638">
        <v>7.51</v>
      </c>
      <c r="N638">
        <v>40.155000000000001</v>
      </c>
      <c r="O638">
        <v>5.57</v>
      </c>
      <c r="P638" t="s">
        <v>2187</v>
      </c>
      <c r="Q638" s="3">
        <v>0</v>
      </c>
      <c r="R638" t="s">
        <v>128</v>
      </c>
      <c r="S638" t="s">
        <v>128</v>
      </c>
      <c r="T638" t="s">
        <v>128</v>
      </c>
      <c r="U638" t="s">
        <v>128</v>
      </c>
      <c r="V638" t="s">
        <v>128</v>
      </c>
      <c r="W638" s="3" t="str">
        <f>HYPERLINK("http://exon.niaid.nih.gov/transcriptome/Anopheles_sialome/links/netoglyc/anocol_SG9-netoglyc.txt","0")</f>
        <v>0</v>
      </c>
      <c r="X638">
        <v>16</v>
      </c>
      <c r="Y638">
        <v>6.6</v>
      </c>
      <c r="Z638">
        <v>4.3</v>
      </c>
      <c r="AA638" t="s">
        <v>654</v>
      </c>
      <c r="AB638" t="s">
        <v>2185</v>
      </c>
      <c r="AC638" s="2" t="str">
        <f>HYPERLINK("http://exon.niaid.nih.gov/transcriptome/Anopheles_sialome/links/DIPTERA/anocol_SG9-DIPTERA.txt","AGAP013423-PA")</f>
        <v>AGAP013423-PA</v>
      </c>
      <c r="AD638" t="str">
        <f t="shared" si="217"/>
        <v>0.0</v>
      </c>
      <c r="AE638" t="str">
        <f>HYPERLINK("http://www.ncbi.nlm.nih.gov/protein/333469608","gi|333469608")</f>
        <v>gi|333469608</v>
      </c>
      <c r="AF638">
        <v>97</v>
      </c>
      <c r="AG638">
        <v>98</v>
      </c>
      <c r="AH638">
        <v>100</v>
      </c>
      <c r="AI638" t="s">
        <v>2285</v>
      </c>
      <c r="AJ638" s="2" t="str">
        <f>HYPERLINK("http://exon.niaid.nih.gov/transcriptome/Anopheles_sialome/links/CULICOMORPHA/anocol_SG9-CULICOMORPHA.txt","AGAP013423-PA")</f>
        <v>AGAP013423-PA</v>
      </c>
      <c r="AK638" t="str">
        <f t="shared" si="219"/>
        <v>0.0</v>
      </c>
      <c r="AL638" t="str">
        <f>HYPERLINK("http://www.ncbi.nlm.nih.gov/protein/333469608","gi|333469608")</f>
        <v>gi|333469608</v>
      </c>
      <c r="AM638">
        <v>97</v>
      </c>
      <c r="AN638">
        <v>98</v>
      </c>
      <c r="AO638">
        <v>100</v>
      </c>
      <c r="AP638" t="s">
        <v>2285</v>
      </c>
      <c r="AQ638" s="2" t="str">
        <f>HYPERLINK("http://exon.niaid.nih.gov/transcriptome/Anopheles_sialome/links/NR-LIGHT/anocol_SG9-NR-LIGHT.txt","AGAP013423-PA")</f>
        <v>AGAP013423-PA</v>
      </c>
      <c r="AR638" t="str">
        <f t="shared" si="221"/>
        <v>0.0</v>
      </c>
      <c r="AS638" t="str">
        <f>HYPERLINK("http://www.ncbi.nlm.nih.gov/protein/347971052","gi|347971052")</f>
        <v>gi|347971052</v>
      </c>
      <c r="AT638">
        <v>97</v>
      </c>
      <c r="AU638">
        <v>98</v>
      </c>
      <c r="AV638">
        <v>100</v>
      </c>
      <c r="AW638" t="s">
        <v>2285</v>
      </c>
      <c r="AX638" s="2" t="str">
        <f>HYPERLINK("http://exon.niaid.nih.gov/transcriptome/Anopheles_sialome/links/CDD/anocol_SG9-CDD.txt","SEC21")</f>
        <v>SEC21</v>
      </c>
      <c r="AY638" t="str">
        <f>HYPERLINK("http://www.ncbi.nlm.nih.gov/Structure/cdd/cddsrv.cgi?uid=COG5240&amp;version=v4.0","0.17")</f>
        <v>0.17</v>
      </c>
      <c r="AZ638" t="s">
        <v>3114</v>
      </c>
      <c r="BA638" s="2" t="str">
        <f>HYPERLINK("http://exon.niaid.nih.gov/transcriptome/Anopheles_sialome/links/KOG/anocol_SG9-KOG.txt","Negative regulator of transcription")</f>
        <v>Negative regulator of transcription</v>
      </c>
      <c r="BB638" t="str">
        <f>HYPERLINK("http://www.ncbi.nlm.nih.gov/Structure/cdd/cddsrv.cgi?uid=KOG1831","0.36")</f>
        <v>0.36</v>
      </c>
      <c r="BC638" t="s">
        <v>2262</v>
      </c>
      <c r="BD638" t="str">
        <f>HYPERLINK("http://exon.niaid.nih.gov/transcriptome/Anopheles_sialome/links/KOG/anocol_SG9-KOG.txt","KOG1831")</f>
        <v>KOG1831</v>
      </c>
      <c r="BE638" t="str">
        <f>HYPERLINK("http://exon.niaid.nih.gov/transcriptome/Anopheles_sialome/links/PFAM/anocol_SG9-PFAM.txt","Peptidase_M26_C")</f>
        <v>Peptidase_M26_C</v>
      </c>
      <c r="BF638" t="str">
        <f>HYPERLINK("http://pfam.sanger.ac.uk/family?acc=PF07580","0.93")</f>
        <v>0.93</v>
      </c>
      <c r="BG638" s="2" t="str">
        <f>HYPERLINK("http://exon.niaid.nih.gov/transcriptome/Anopheles_sialome/links/SMART/anocol_SG9-SMART.txt","COG6")</f>
        <v>COG6</v>
      </c>
      <c r="BH638" t="str">
        <f>HYPERLINK("http://smart.embl-heidelberg.de/smart/do_annotation.pl?DOMAIN=COG6&amp;BLAST=DUMMY","0.73")</f>
        <v>0.73</v>
      </c>
      <c r="BI638" t="s">
        <v>128</v>
      </c>
      <c r="BJ638" s="2" t="s">
        <v>128</v>
      </c>
      <c r="BK638" t="s">
        <v>2186</v>
      </c>
      <c r="BL638">
        <f>HYPERLINK("http://exon.niaid.nih.gov/transcriptome/Anopheles_sialome/links/cluster-b/anopheline-sialome-cds-pep-larger-orf25-50SimCLU8.txt", 8)</f>
        <v>8</v>
      </c>
      <c r="BM638">
        <f>HYPERLINK("http://exon.niaid.nih.gov/transcriptome/Anopheles_sialome/links/cluster-b/anopheline-sialome-cds-pep-larger-orf25-50SimCLTL8.txt", 35)</f>
        <v>35</v>
      </c>
      <c r="BN638">
        <f>HYPERLINK("http://exon.niaid.nih.gov/transcriptome/Anopheles_sialome/links/cluster-b/anopheline-sialome-cds-pep-larger-orf30-50SimCLU13.txt", 13)</f>
        <v>13</v>
      </c>
      <c r="BO638">
        <f>HYPERLINK("http://exon.niaid.nih.gov/transcriptome/Anopheles_sialome/links/cluster-b/anopheline-sialome-cds-pep-larger-orf30-50SimCLTL13.txt", 19)</f>
        <v>19</v>
      </c>
      <c r="BP638">
        <f>HYPERLINK("http://exon.niaid.nih.gov/transcriptome/Anopheles_sialome/links/cluster-b/anopheline-sialome-cds-pep-larger-orf35-50SimCLU15.txt", 15)</f>
        <v>15</v>
      </c>
      <c r="BQ638">
        <f>HYPERLINK("http://exon.niaid.nih.gov/transcriptome/Anopheles_sialome/links/cluster-b/anopheline-sialome-cds-pep-larger-orf35-50SimCLTL15.txt", 19)</f>
        <v>19</v>
      </c>
      <c r="BR638">
        <f>HYPERLINK("http://exon.niaid.nih.gov/transcriptome/Anopheles_sialome/links/cluster-b/anopheline-sialome-cds-pep-larger-orf40-50SimCLU17.txt", 17)</f>
        <v>17</v>
      </c>
      <c r="BS638">
        <f>HYPERLINK("http://exon.niaid.nih.gov/transcriptome/Anopheles_sialome/links/cluster-b/anopheline-sialome-cds-pep-larger-orf40-50SimCLTL17.txt", 19)</f>
        <v>19</v>
      </c>
      <c r="BT638">
        <f>HYPERLINK("http://exon.niaid.nih.gov/transcriptome/Anopheles_sialome/links/cluster-b/anopheline-sialome-cds-pep-larger-orf45-50SimCLU17.txt", 17)</f>
        <v>17</v>
      </c>
      <c r="BU638">
        <f>HYPERLINK("http://exon.niaid.nih.gov/transcriptome/Anopheles_sialome/links/cluster-b/anopheline-sialome-cds-pep-larger-orf45-50SimCLTL17.txt", 19)</f>
        <v>19</v>
      </c>
      <c r="BV638">
        <f>HYPERLINK("http://exon.niaid.nih.gov/transcriptome/Anopheles_sialome/links/cluster-b/anopheline-sialome-cds-pep-larger-orf50-50SimCLU16.txt", 16)</f>
        <v>16</v>
      </c>
      <c r="BW638">
        <f>HYPERLINK("http://exon.niaid.nih.gov/transcriptome/Anopheles_sialome/links/cluster-b/anopheline-sialome-cds-pep-larger-orf50-50SimCLTL16.txt", 19)</f>
        <v>19</v>
      </c>
      <c r="BX638">
        <f>HYPERLINK("http://exon.niaid.nih.gov/transcriptome/Anopheles_sialome/links/cluster-b/anopheline-sialome-cds-pep-larger-orf55-50SimCLU17.txt", 17)</f>
        <v>17</v>
      </c>
      <c r="BY638">
        <f>HYPERLINK("http://exon.niaid.nih.gov/transcriptome/Anopheles_sialome/links/cluster-b/anopheline-sialome-cds-pep-larger-orf55-50SimCLTL17.txt", 19)</f>
        <v>19</v>
      </c>
      <c r="BZ638">
        <f>HYPERLINK("http://exon.niaid.nih.gov/transcriptome/Anopheles_sialome/links/cluster-b/anopheline-sialome-cds-pep-larger-orf60-50SimCLU16.txt", 16)</f>
        <v>16</v>
      </c>
      <c r="CA638">
        <f>HYPERLINK("http://exon.niaid.nih.gov/transcriptome/Anopheles_sialome/links/cluster-b/anopheline-sialome-cds-pep-larger-orf60-50SimCLTL16.txt", 19)</f>
        <v>19</v>
      </c>
      <c r="CB638">
        <f>HYPERLINK("http://exon.niaid.nih.gov/transcriptome/Anopheles_sialome/links/cluster-b/anopheline-sialome-cds-pep-larger-orf65-50SimCLU13.txt", 13)</f>
        <v>13</v>
      </c>
      <c r="CC638">
        <f>HYPERLINK("http://exon.niaid.nih.gov/transcriptome/Anopheles_sialome/links/cluster-b/anopheline-sialome-cds-pep-larger-orf65-50SimCLTL13.txt", 19)</f>
        <v>19</v>
      </c>
      <c r="CD638">
        <f>HYPERLINK("http://exon.niaid.nih.gov/transcriptome/Anopheles_sialome/links/cluster-b/anopheline-sialome-cds-pep-larger-orf70-50SimCLU13.txt", 13)</f>
        <v>13</v>
      </c>
      <c r="CE638">
        <f>HYPERLINK("http://exon.niaid.nih.gov/transcriptome/Anopheles_sialome/links/cluster-b/anopheline-sialome-cds-pep-larger-orf70-50SimCLTL13.txt", 19)</f>
        <v>19</v>
      </c>
      <c r="CF638">
        <f>HYPERLINK("http://exon.niaid.nih.gov/transcriptome/Anopheles_sialome/links/cluster-b/anopheline-sialome-cds-pep-larger-orf75-50SimCLU15.txt", 15)</f>
        <v>15</v>
      </c>
      <c r="CG638">
        <f>HYPERLINK("http://exon.niaid.nih.gov/transcriptome/Anopheles_sialome/links/cluster-b/anopheline-sialome-cds-pep-larger-orf75-50SimCLTL15.txt", 17)</f>
        <v>17</v>
      </c>
      <c r="CH638">
        <f>HYPERLINK("http://exon.niaid.nih.gov/transcriptome/Anopheles_sialome/links/cluster-b/anopheline-sialome-cds-pep-larger-orf80-50SimCLU14.txt", 14)</f>
        <v>14</v>
      </c>
      <c r="CI638">
        <f>HYPERLINK("http://exon.niaid.nih.gov/transcriptome/Anopheles_sialome/links/cluster-b/anopheline-sialome-cds-pep-larger-orf80-50SimCLTL14.txt", 15)</f>
        <v>15</v>
      </c>
      <c r="CJ638">
        <f>HYPERLINK("http://exon.niaid.nih.gov/transcriptome/Anopheles_sialome/links/cluster-b/anopheline-sialome-cds-pep-larger-orf85-50SimCLU14.txt", 14)</f>
        <v>14</v>
      </c>
      <c r="CK638">
        <f>HYPERLINK("http://exon.niaid.nih.gov/transcriptome/Anopheles_sialome/links/cluster-b/anopheline-sialome-cds-pep-larger-orf85-50SimCLTL14.txt", 12)</f>
        <v>12</v>
      </c>
      <c r="CL638">
        <f>HYPERLINK("http://exon.niaid.nih.gov/transcriptome/Anopheles_sialome/links/cluster-b/anopheline-sialome-cds-pep-larger-orf90-50SimCLU39.txt", 39)</f>
        <v>39</v>
      </c>
      <c r="CM638">
        <f>HYPERLINK("http://exon.niaid.nih.gov/transcriptome/Anopheles_sialome/links/cluster-b/anopheline-sialome-cds-pep-larger-orf90-50SimCLTL39.txt", 6)</f>
        <v>6</v>
      </c>
      <c r="CN638">
        <f>HYPERLINK("http://exon.niaid.nih.gov/transcriptome/Anopheles_sialome/links/cluster-b/anopheline-sialome-cds-pep-larger-orf95-50SimCLU31.txt", 31)</f>
        <v>31</v>
      </c>
      <c r="CO638">
        <f>HYPERLINK("http://exon.niaid.nih.gov/transcriptome/Anopheles_sialome/links/cluster-b/anopheline-sialome-cds-pep-larger-orf95-50SimCLTL31.txt", 6)</f>
        <v>6</v>
      </c>
    </row>
    <row r="639" spans="1:93">
      <c r="A639" s="2" t="str">
        <f>HYPERLINK("http://exon.niaid.nih.gov/transcriptome/Anopheles_sialome/links/cds/anoara_SG9-cds.txt","anoara_SG9")</f>
        <v>anoara_SG9</v>
      </c>
      <c r="B639">
        <v>1179</v>
      </c>
      <c r="C639" t="s">
        <v>613</v>
      </c>
      <c r="D639" t="s">
        <v>7</v>
      </c>
      <c r="E639" t="s">
        <v>5</v>
      </c>
      <c r="F639" t="s">
        <v>1</v>
      </c>
      <c r="G639" t="str">
        <f>HYPERLINK("http://exon.niaid.nih.gov/transcriptome/Anopheles_sialome/links/pep/anoara_SG9-pep.txt","anoara_SG9")</f>
        <v>anoara_SG9</v>
      </c>
      <c r="H639">
        <v>392</v>
      </c>
      <c r="I639">
        <v>0</v>
      </c>
      <c r="J639" s="3" t="str">
        <f>HYPERLINK("http://exon.niaid.nih.gov/transcriptome/Anopheles_sialome/links/Sigp/anoara_SG9-SigP.txt","SIG")</f>
        <v>SIG</v>
      </c>
      <c r="K639" t="s">
        <v>708</v>
      </c>
      <c r="L639">
        <v>42.613</v>
      </c>
      <c r="M639">
        <v>8.1</v>
      </c>
      <c r="N639">
        <v>39.942999999999998</v>
      </c>
      <c r="O639">
        <v>5.93</v>
      </c>
      <c r="P639" t="s">
        <v>2184</v>
      </c>
      <c r="Q639" s="3">
        <v>0</v>
      </c>
      <c r="R639" t="s">
        <v>128</v>
      </c>
      <c r="S639" t="s">
        <v>128</v>
      </c>
      <c r="T639" t="s">
        <v>128</v>
      </c>
      <c r="U639" t="s">
        <v>128</v>
      </c>
      <c r="V639" t="s">
        <v>128</v>
      </c>
      <c r="W639" s="3" t="str">
        <f>HYPERLINK("http://exon.niaid.nih.gov/transcriptome/Anopheles_sialome/links/netoglyc/anoara_SG9-netoglyc.txt","0")</f>
        <v>0</v>
      </c>
      <c r="X639">
        <v>15.8</v>
      </c>
      <c r="Y639">
        <v>6.6</v>
      </c>
      <c r="Z639">
        <v>4.5999999999999996</v>
      </c>
      <c r="AA639" t="s">
        <v>654</v>
      </c>
      <c r="AB639" t="s">
        <v>2189</v>
      </c>
      <c r="AC639" s="2" t="str">
        <f>HYPERLINK("http://exon.niaid.nih.gov/transcriptome/Anopheles_sialome/links/DIPTERA/anoara_SG9-DIPTERA.txt","AGAP013423-PA")</f>
        <v>AGAP013423-PA</v>
      </c>
      <c r="AD639" t="str">
        <f t="shared" si="217"/>
        <v>0.0</v>
      </c>
      <c r="AE639" t="str">
        <f>HYPERLINK("http://www.ncbi.nlm.nih.gov/protein/333469608","gi|333469608")</f>
        <v>gi|333469608</v>
      </c>
      <c r="AF639">
        <v>97</v>
      </c>
      <c r="AG639">
        <v>98</v>
      </c>
      <c r="AH639">
        <v>100</v>
      </c>
      <c r="AI639" t="s">
        <v>2285</v>
      </c>
      <c r="AJ639" s="2" t="str">
        <f>HYPERLINK("http://exon.niaid.nih.gov/transcriptome/Anopheles_sialome/links/CULICOMORPHA/anoara_SG9-CULICOMORPHA.txt","AGAP013423-PA")</f>
        <v>AGAP013423-PA</v>
      </c>
      <c r="AK639" t="str">
        <f t="shared" si="219"/>
        <v>0.0</v>
      </c>
      <c r="AL639" t="str">
        <f>HYPERLINK("http://www.ncbi.nlm.nih.gov/protein/333469608","gi|333469608")</f>
        <v>gi|333469608</v>
      </c>
      <c r="AM639">
        <v>97</v>
      </c>
      <c r="AN639">
        <v>98</v>
      </c>
      <c r="AO639">
        <v>100</v>
      </c>
      <c r="AP639" t="s">
        <v>2285</v>
      </c>
      <c r="AQ639" s="2" t="str">
        <f>HYPERLINK("http://exon.niaid.nih.gov/transcriptome/Anopheles_sialome/links/NR-LIGHT/anoara_SG9-NR-LIGHT.txt","AGAP013423-PA")</f>
        <v>AGAP013423-PA</v>
      </c>
      <c r="AR639" t="str">
        <f t="shared" si="221"/>
        <v>0.0</v>
      </c>
      <c r="AS639" t="str">
        <f>HYPERLINK("http://www.ncbi.nlm.nih.gov/protein/347971052","gi|347971052")</f>
        <v>gi|347971052</v>
      </c>
      <c r="AT639">
        <v>97</v>
      </c>
      <c r="AU639">
        <v>98</v>
      </c>
      <c r="AV639">
        <v>100</v>
      </c>
      <c r="AW639" t="s">
        <v>2285</v>
      </c>
      <c r="AX639" s="2" t="str">
        <f>HYPERLINK("http://exon.niaid.nih.gov/transcriptome/Anopheles_sialome/links/CDD/anoara_SG9-CDD.txt","Adenylate_cycl")</f>
        <v>Adenylate_cycl</v>
      </c>
      <c r="AY639" t="str">
        <f>HYPERLINK("http://www.ncbi.nlm.nih.gov/Structure/cdd/cddsrv.cgi?uid=pfam01295&amp;version=v4.0","0.25")</f>
        <v>0.25</v>
      </c>
      <c r="AZ639" t="s">
        <v>3115</v>
      </c>
      <c r="BA639" s="2" t="str">
        <f>HYPERLINK("http://exon.niaid.nih.gov/transcriptome/Anopheles_sialome/links/KOG/anoara_SG9-KOG.txt","Predicted sugar phosphatase (HAD superfamily)")</f>
        <v>Predicted sugar phosphatase (HAD superfamily)</v>
      </c>
      <c r="BB639" t="str">
        <f>HYPERLINK("http://www.ncbi.nlm.nih.gov/Structure/cdd/cddsrv.cgi?uid=KOG3040","1.4")</f>
        <v>1.4</v>
      </c>
      <c r="BC639" t="s">
        <v>2310</v>
      </c>
      <c r="BD639" t="str">
        <f>HYPERLINK("http://exon.niaid.nih.gov/transcriptome/Anopheles_sialome/links/KOG/anoara_SG9-KOG.txt","KOG3040")</f>
        <v>KOG3040</v>
      </c>
      <c r="BE639" t="str">
        <f>HYPERLINK("http://exon.niaid.nih.gov/transcriptome/Anopheles_sialome/links/PFAM/anoara_SG9-PFAM.txt","Adenylate_cycl")</f>
        <v>Adenylate_cycl</v>
      </c>
      <c r="BF639" t="str">
        <f>HYPERLINK("http://pfam.sanger.ac.uk/family?acc=PF01295","0.050")</f>
        <v>0.050</v>
      </c>
      <c r="BG639" s="2" t="str">
        <f>HYPERLINK("http://exon.niaid.nih.gov/transcriptome/Anopheles_sialome/links/SMART/anoara_SG9-SMART.txt","Plus3")</f>
        <v>Plus3</v>
      </c>
      <c r="BH639" t="str">
        <f>HYPERLINK("http://smart.embl-heidelberg.de/smart/do_annotation.pl?DOMAIN=Plus3&amp;BLAST=DUMMY","3.8")</f>
        <v>3.8</v>
      </c>
      <c r="BI639" t="s">
        <v>128</v>
      </c>
      <c r="BJ639" s="2" t="s">
        <v>128</v>
      </c>
      <c r="BK639" t="s">
        <v>2188</v>
      </c>
      <c r="BL639">
        <f>HYPERLINK("http://exon.niaid.nih.gov/transcriptome/Anopheles_sialome/links/cluster-b/anopheline-sialome-cds-pep-larger-orf25-50SimCLU8.txt", 8)</f>
        <v>8</v>
      </c>
      <c r="BM639">
        <f>HYPERLINK("http://exon.niaid.nih.gov/transcriptome/Anopheles_sialome/links/cluster-b/anopheline-sialome-cds-pep-larger-orf25-50SimCLTL8.txt", 35)</f>
        <v>35</v>
      </c>
      <c r="BN639">
        <f>HYPERLINK("http://exon.niaid.nih.gov/transcriptome/Anopheles_sialome/links/cluster-b/anopheline-sialome-cds-pep-larger-orf30-50SimCLU13.txt", 13)</f>
        <v>13</v>
      </c>
      <c r="BO639">
        <f>HYPERLINK("http://exon.niaid.nih.gov/transcriptome/Anopheles_sialome/links/cluster-b/anopheline-sialome-cds-pep-larger-orf30-50SimCLTL13.txt", 19)</f>
        <v>19</v>
      </c>
      <c r="BP639">
        <f>HYPERLINK("http://exon.niaid.nih.gov/transcriptome/Anopheles_sialome/links/cluster-b/anopheline-sialome-cds-pep-larger-orf35-50SimCLU15.txt", 15)</f>
        <v>15</v>
      </c>
      <c r="BQ639">
        <f>HYPERLINK("http://exon.niaid.nih.gov/transcriptome/Anopheles_sialome/links/cluster-b/anopheline-sialome-cds-pep-larger-orf35-50SimCLTL15.txt", 19)</f>
        <v>19</v>
      </c>
      <c r="BR639">
        <f>HYPERLINK("http://exon.niaid.nih.gov/transcriptome/Anopheles_sialome/links/cluster-b/anopheline-sialome-cds-pep-larger-orf40-50SimCLU17.txt", 17)</f>
        <v>17</v>
      </c>
      <c r="BS639">
        <f>HYPERLINK("http://exon.niaid.nih.gov/transcriptome/Anopheles_sialome/links/cluster-b/anopheline-sialome-cds-pep-larger-orf40-50SimCLTL17.txt", 19)</f>
        <v>19</v>
      </c>
      <c r="BT639">
        <f>HYPERLINK("http://exon.niaid.nih.gov/transcriptome/Anopheles_sialome/links/cluster-b/anopheline-sialome-cds-pep-larger-orf45-50SimCLU17.txt", 17)</f>
        <v>17</v>
      </c>
      <c r="BU639">
        <f>HYPERLINK("http://exon.niaid.nih.gov/transcriptome/Anopheles_sialome/links/cluster-b/anopheline-sialome-cds-pep-larger-orf45-50SimCLTL17.txt", 19)</f>
        <v>19</v>
      </c>
      <c r="BV639">
        <f>HYPERLINK("http://exon.niaid.nih.gov/transcriptome/Anopheles_sialome/links/cluster-b/anopheline-sialome-cds-pep-larger-orf50-50SimCLU16.txt", 16)</f>
        <v>16</v>
      </c>
      <c r="BW639">
        <f>HYPERLINK("http://exon.niaid.nih.gov/transcriptome/Anopheles_sialome/links/cluster-b/anopheline-sialome-cds-pep-larger-orf50-50SimCLTL16.txt", 19)</f>
        <v>19</v>
      </c>
      <c r="BX639">
        <f>HYPERLINK("http://exon.niaid.nih.gov/transcriptome/Anopheles_sialome/links/cluster-b/anopheline-sialome-cds-pep-larger-orf55-50SimCLU17.txt", 17)</f>
        <v>17</v>
      </c>
      <c r="BY639">
        <f>HYPERLINK("http://exon.niaid.nih.gov/transcriptome/Anopheles_sialome/links/cluster-b/anopheline-sialome-cds-pep-larger-orf55-50SimCLTL17.txt", 19)</f>
        <v>19</v>
      </c>
      <c r="BZ639">
        <f>HYPERLINK("http://exon.niaid.nih.gov/transcriptome/Anopheles_sialome/links/cluster-b/anopheline-sialome-cds-pep-larger-orf60-50SimCLU16.txt", 16)</f>
        <v>16</v>
      </c>
      <c r="CA639">
        <f>HYPERLINK("http://exon.niaid.nih.gov/transcriptome/Anopheles_sialome/links/cluster-b/anopheline-sialome-cds-pep-larger-orf60-50SimCLTL16.txt", 19)</f>
        <v>19</v>
      </c>
      <c r="CB639">
        <f>HYPERLINK("http://exon.niaid.nih.gov/transcriptome/Anopheles_sialome/links/cluster-b/anopheline-sialome-cds-pep-larger-orf65-50SimCLU13.txt", 13)</f>
        <v>13</v>
      </c>
      <c r="CC639">
        <f>HYPERLINK("http://exon.niaid.nih.gov/transcriptome/Anopheles_sialome/links/cluster-b/anopheline-sialome-cds-pep-larger-orf65-50SimCLTL13.txt", 19)</f>
        <v>19</v>
      </c>
      <c r="CD639">
        <f>HYPERLINK("http://exon.niaid.nih.gov/transcriptome/Anopheles_sialome/links/cluster-b/anopheline-sialome-cds-pep-larger-orf70-50SimCLU13.txt", 13)</f>
        <v>13</v>
      </c>
      <c r="CE639">
        <f>HYPERLINK("http://exon.niaid.nih.gov/transcriptome/Anopheles_sialome/links/cluster-b/anopheline-sialome-cds-pep-larger-orf70-50SimCLTL13.txt", 19)</f>
        <v>19</v>
      </c>
      <c r="CF639">
        <f>HYPERLINK("http://exon.niaid.nih.gov/transcriptome/Anopheles_sialome/links/cluster-b/anopheline-sialome-cds-pep-larger-orf75-50SimCLU15.txt", 15)</f>
        <v>15</v>
      </c>
      <c r="CG639">
        <f>HYPERLINK("http://exon.niaid.nih.gov/transcriptome/Anopheles_sialome/links/cluster-b/anopheline-sialome-cds-pep-larger-orf75-50SimCLTL15.txt", 17)</f>
        <v>17</v>
      </c>
      <c r="CH639">
        <f>HYPERLINK("http://exon.niaid.nih.gov/transcriptome/Anopheles_sialome/links/cluster-b/anopheline-sialome-cds-pep-larger-orf80-50SimCLU14.txt", 14)</f>
        <v>14</v>
      </c>
      <c r="CI639">
        <f>HYPERLINK("http://exon.niaid.nih.gov/transcriptome/Anopheles_sialome/links/cluster-b/anopheline-sialome-cds-pep-larger-orf80-50SimCLTL14.txt", 15)</f>
        <v>15</v>
      </c>
      <c r="CJ639">
        <f>HYPERLINK("http://exon.niaid.nih.gov/transcriptome/Anopheles_sialome/links/cluster-b/anopheline-sialome-cds-pep-larger-orf85-50SimCLU14.txt", 14)</f>
        <v>14</v>
      </c>
      <c r="CK639">
        <f>HYPERLINK("http://exon.niaid.nih.gov/transcriptome/Anopheles_sialome/links/cluster-b/anopheline-sialome-cds-pep-larger-orf85-50SimCLTL14.txt", 12)</f>
        <v>12</v>
      </c>
      <c r="CL639">
        <f>HYPERLINK("http://exon.niaid.nih.gov/transcriptome/Anopheles_sialome/links/cluster-b/anopheline-sialome-cds-pep-larger-orf90-50SimCLU39.txt", 39)</f>
        <v>39</v>
      </c>
      <c r="CM639">
        <f>HYPERLINK("http://exon.niaid.nih.gov/transcriptome/Anopheles_sialome/links/cluster-b/anopheline-sialome-cds-pep-larger-orf90-50SimCLTL39.txt", 6)</f>
        <v>6</v>
      </c>
      <c r="CN639">
        <f>HYPERLINK("http://exon.niaid.nih.gov/transcriptome/Anopheles_sialome/links/cluster-b/anopheline-sialome-cds-pep-larger-orf95-50SimCLU31.txt", 31)</f>
        <v>31</v>
      </c>
      <c r="CO639">
        <f>HYPERLINK("http://exon.niaid.nih.gov/transcriptome/Anopheles_sialome/links/cluster-b/anopheline-sialome-cds-pep-larger-orf95-50SimCLTL31.txt", 6)</f>
        <v>6</v>
      </c>
    </row>
    <row r="640" spans="1:93">
      <c r="A640" s="2" t="str">
        <f>HYPERLINK("http://exon.niaid.nih.gov/transcriptome/Anopheles_sialome/links/cds/anoqua_SG9-cds.txt","anoqua_SG9")</f>
        <v>anoqua_SG9</v>
      </c>
      <c r="B640">
        <v>1182</v>
      </c>
      <c r="C640" t="s">
        <v>4</v>
      </c>
      <c r="D640" s="8" t="s">
        <v>3178</v>
      </c>
      <c r="E640" t="s">
        <v>5</v>
      </c>
      <c r="F640" t="s">
        <v>1</v>
      </c>
      <c r="G640" t="str">
        <f>HYPERLINK("http://exon.niaid.nih.gov/transcriptome/Anopheles_sialome/links/pep/anoqua_SG9-pep.txt","anoqua_SG9")</f>
        <v>anoqua_SG9</v>
      </c>
      <c r="H640">
        <v>393</v>
      </c>
      <c r="I640">
        <v>0</v>
      </c>
      <c r="J640" s="3" t="str">
        <f>HYPERLINK("http://exon.niaid.nih.gov/transcriptome/Anopheles_sialome/links/Sigp/anoqua_SG9-SigP.txt","SIG")</f>
        <v>SIG</v>
      </c>
      <c r="K640" t="s">
        <v>708</v>
      </c>
      <c r="L640">
        <v>42.674999999999997</v>
      </c>
      <c r="M640">
        <v>6.73</v>
      </c>
      <c r="N640">
        <v>40.005000000000003</v>
      </c>
      <c r="O640">
        <v>5.34</v>
      </c>
      <c r="P640" t="s">
        <v>2191</v>
      </c>
      <c r="Q640" s="3">
        <v>0</v>
      </c>
      <c r="R640" t="s">
        <v>128</v>
      </c>
      <c r="S640" t="s">
        <v>128</v>
      </c>
      <c r="T640" t="s">
        <v>128</v>
      </c>
      <c r="U640" t="s">
        <v>128</v>
      </c>
      <c r="V640" t="s">
        <v>128</v>
      </c>
      <c r="W640" s="3" t="str">
        <f>HYPERLINK("http://exon.niaid.nih.gov/transcriptome/Anopheles_sialome/links/netoglyc/anoqua_SG9-netoglyc.txt","0")</f>
        <v>0</v>
      </c>
      <c r="X640">
        <v>16.5</v>
      </c>
      <c r="Y640">
        <v>6.6</v>
      </c>
      <c r="Z640">
        <v>4.3</v>
      </c>
      <c r="AA640" t="s">
        <v>654</v>
      </c>
      <c r="AB640" t="s">
        <v>2185</v>
      </c>
      <c r="AC640" s="2" t="str">
        <f>HYPERLINK("http://exon.niaid.nih.gov/transcriptome/Anopheles_sialome/links/DIPTERA/anoqua_SG9-DIPTERA.txt","AGAP013423-PA")</f>
        <v>AGAP013423-PA</v>
      </c>
      <c r="AD640" t="str">
        <f t="shared" si="217"/>
        <v>0.0</v>
      </c>
      <c r="AE640" t="str">
        <f t="shared" ref="AE640:AE642" si="223">HYPERLINK("http://www.ncbi.nlm.nih.gov/protein/333469608","gi|333469608")</f>
        <v>gi|333469608</v>
      </c>
      <c r="AF640">
        <v>98</v>
      </c>
      <c r="AG640">
        <v>98</v>
      </c>
      <c r="AH640">
        <v>100</v>
      </c>
      <c r="AI640" t="s">
        <v>2285</v>
      </c>
      <c r="AJ640" s="2" t="str">
        <f>HYPERLINK("http://exon.niaid.nih.gov/transcriptome/Anopheles_sialome/links/CULICOMORPHA/anoqua_SG9-CULICOMORPHA.txt","AGAP013423-PA")</f>
        <v>AGAP013423-PA</v>
      </c>
      <c r="AK640" t="str">
        <f t="shared" si="219"/>
        <v>0.0</v>
      </c>
      <c r="AL640" t="str">
        <f t="shared" ref="AL640:AL642" si="224">HYPERLINK("http://www.ncbi.nlm.nih.gov/protein/333469608","gi|333469608")</f>
        <v>gi|333469608</v>
      </c>
      <c r="AM640">
        <v>98</v>
      </c>
      <c r="AN640">
        <v>98</v>
      </c>
      <c r="AO640">
        <v>100</v>
      </c>
      <c r="AP640" t="s">
        <v>2285</v>
      </c>
      <c r="AQ640" s="2" t="str">
        <f>HYPERLINK("http://exon.niaid.nih.gov/transcriptome/Anopheles_sialome/links/NR-LIGHT/anoqua_SG9-NR-LIGHT.txt","AGAP013423-PA")</f>
        <v>AGAP013423-PA</v>
      </c>
      <c r="AR640" t="str">
        <f t="shared" si="221"/>
        <v>0.0</v>
      </c>
      <c r="AS640" t="str">
        <f t="shared" ref="AS640:AS642" si="225">HYPERLINK("http://www.ncbi.nlm.nih.gov/protein/347971052","gi|347971052")</f>
        <v>gi|347971052</v>
      </c>
      <c r="AT640">
        <v>98</v>
      </c>
      <c r="AU640">
        <v>98</v>
      </c>
      <c r="AV640">
        <v>100</v>
      </c>
      <c r="AW640" t="s">
        <v>2285</v>
      </c>
      <c r="AX640" s="2" t="str">
        <f>HYPERLINK("http://exon.niaid.nih.gov/transcriptome/Anopheles_sialome/links/CDD/anoqua_SG9-CDD.txt","SEC21")</f>
        <v>SEC21</v>
      </c>
      <c r="AY640" t="str">
        <f>HYPERLINK("http://www.ncbi.nlm.nih.gov/Structure/cdd/cddsrv.cgi?uid=COG5240&amp;version=v4.0","0.55")</f>
        <v>0.55</v>
      </c>
      <c r="AZ640" t="s">
        <v>3116</v>
      </c>
      <c r="BA640" s="2" t="str">
        <f>HYPERLINK("http://exon.niaid.nih.gov/transcriptome/Anopheles_sialome/links/KOG/anoqua_SG9-KOG.txt","Enolase")</f>
        <v>Enolase</v>
      </c>
      <c r="BB640" t="str">
        <f>HYPERLINK("http://www.ncbi.nlm.nih.gov/Structure/cdd/cddsrv.cgi?uid=KOG2670","2.4")</f>
        <v>2.4</v>
      </c>
      <c r="BC640" t="s">
        <v>2308</v>
      </c>
      <c r="BD640" t="str">
        <f>HYPERLINK("http://exon.niaid.nih.gov/transcriptome/Anopheles_sialome/links/KOG/anoqua_SG9-KOG.txt","KOG2670")</f>
        <v>KOG2670</v>
      </c>
      <c r="BE640" t="str">
        <f>HYPERLINK("http://exon.niaid.nih.gov/transcriptome/Anopheles_sialome/links/PFAM/anoqua_SG9-PFAM.txt","Peptidase_M26_C")</f>
        <v>Peptidase_M26_C</v>
      </c>
      <c r="BF640" t="str">
        <f>HYPERLINK("http://pfam.sanger.ac.uk/family?acc=PF07580","0.74")</f>
        <v>0.74</v>
      </c>
      <c r="BG640" s="2" t="str">
        <f>HYPERLINK("http://exon.niaid.nih.gov/transcriptome/Anopheles_sialome/links/SMART/anoqua_SG9-SMART.txt","FYRC")</f>
        <v>FYRC</v>
      </c>
      <c r="BH640" t="str">
        <f>HYPERLINK("http://smart.embl-heidelberg.de/smart/do_annotation.pl?DOMAIN=FYRC&amp;BLAST=DUMMY","1.7")</f>
        <v>1.7</v>
      </c>
      <c r="BI640" t="s">
        <v>128</v>
      </c>
      <c r="BJ640" s="2" t="s">
        <v>128</v>
      </c>
      <c r="BK640" t="s">
        <v>2190</v>
      </c>
      <c r="BL640">
        <f>HYPERLINK("http://exon.niaid.nih.gov/transcriptome/Anopheles_sialome/links/cluster-b/anopheline-sialome-cds-pep-larger-orf25-50SimCLU8.txt", 8)</f>
        <v>8</v>
      </c>
      <c r="BM640">
        <f>HYPERLINK("http://exon.niaid.nih.gov/transcriptome/Anopheles_sialome/links/cluster-b/anopheline-sialome-cds-pep-larger-orf25-50SimCLTL8.txt", 35)</f>
        <v>35</v>
      </c>
      <c r="BN640">
        <f>HYPERLINK("http://exon.niaid.nih.gov/transcriptome/Anopheles_sialome/links/cluster-b/anopheline-sialome-cds-pep-larger-orf30-50SimCLU13.txt", 13)</f>
        <v>13</v>
      </c>
      <c r="BO640">
        <f>HYPERLINK("http://exon.niaid.nih.gov/transcriptome/Anopheles_sialome/links/cluster-b/anopheline-sialome-cds-pep-larger-orf30-50SimCLTL13.txt", 19)</f>
        <v>19</v>
      </c>
      <c r="BP640">
        <f>HYPERLINK("http://exon.niaid.nih.gov/transcriptome/Anopheles_sialome/links/cluster-b/anopheline-sialome-cds-pep-larger-orf35-50SimCLU15.txt", 15)</f>
        <v>15</v>
      </c>
      <c r="BQ640">
        <f>HYPERLINK("http://exon.niaid.nih.gov/transcriptome/Anopheles_sialome/links/cluster-b/anopheline-sialome-cds-pep-larger-orf35-50SimCLTL15.txt", 19)</f>
        <v>19</v>
      </c>
      <c r="BR640">
        <f>HYPERLINK("http://exon.niaid.nih.gov/transcriptome/Anopheles_sialome/links/cluster-b/anopheline-sialome-cds-pep-larger-orf40-50SimCLU17.txt", 17)</f>
        <v>17</v>
      </c>
      <c r="BS640">
        <f>HYPERLINK("http://exon.niaid.nih.gov/transcriptome/Anopheles_sialome/links/cluster-b/anopheline-sialome-cds-pep-larger-orf40-50SimCLTL17.txt", 19)</f>
        <v>19</v>
      </c>
      <c r="BT640">
        <f>HYPERLINK("http://exon.niaid.nih.gov/transcriptome/Anopheles_sialome/links/cluster-b/anopheline-sialome-cds-pep-larger-orf45-50SimCLU17.txt", 17)</f>
        <v>17</v>
      </c>
      <c r="BU640">
        <f>HYPERLINK("http://exon.niaid.nih.gov/transcriptome/Anopheles_sialome/links/cluster-b/anopheline-sialome-cds-pep-larger-orf45-50SimCLTL17.txt", 19)</f>
        <v>19</v>
      </c>
      <c r="BV640">
        <f>HYPERLINK("http://exon.niaid.nih.gov/transcriptome/Anopheles_sialome/links/cluster-b/anopheline-sialome-cds-pep-larger-orf50-50SimCLU16.txt", 16)</f>
        <v>16</v>
      </c>
      <c r="BW640">
        <f>HYPERLINK("http://exon.niaid.nih.gov/transcriptome/Anopheles_sialome/links/cluster-b/anopheline-sialome-cds-pep-larger-orf50-50SimCLTL16.txt", 19)</f>
        <v>19</v>
      </c>
      <c r="BX640">
        <f>HYPERLINK("http://exon.niaid.nih.gov/transcriptome/Anopheles_sialome/links/cluster-b/anopheline-sialome-cds-pep-larger-orf55-50SimCLU17.txt", 17)</f>
        <v>17</v>
      </c>
      <c r="BY640">
        <f>HYPERLINK("http://exon.niaid.nih.gov/transcriptome/Anopheles_sialome/links/cluster-b/anopheline-sialome-cds-pep-larger-orf55-50SimCLTL17.txt", 19)</f>
        <v>19</v>
      </c>
      <c r="BZ640">
        <f>HYPERLINK("http://exon.niaid.nih.gov/transcriptome/Anopheles_sialome/links/cluster-b/anopheline-sialome-cds-pep-larger-orf60-50SimCLU16.txt", 16)</f>
        <v>16</v>
      </c>
      <c r="CA640">
        <f>HYPERLINK("http://exon.niaid.nih.gov/transcriptome/Anopheles_sialome/links/cluster-b/anopheline-sialome-cds-pep-larger-orf60-50SimCLTL16.txt", 19)</f>
        <v>19</v>
      </c>
      <c r="CB640">
        <f>HYPERLINK("http://exon.niaid.nih.gov/transcriptome/Anopheles_sialome/links/cluster-b/anopheline-sialome-cds-pep-larger-orf65-50SimCLU13.txt", 13)</f>
        <v>13</v>
      </c>
      <c r="CC640">
        <f>HYPERLINK("http://exon.niaid.nih.gov/transcriptome/Anopheles_sialome/links/cluster-b/anopheline-sialome-cds-pep-larger-orf65-50SimCLTL13.txt", 19)</f>
        <v>19</v>
      </c>
      <c r="CD640">
        <f>HYPERLINK("http://exon.niaid.nih.gov/transcriptome/Anopheles_sialome/links/cluster-b/anopheline-sialome-cds-pep-larger-orf70-50SimCLU13.txt", 13)</f>
        <v>13</v>
      </c>
      <c r="CE640">
        <f>HYPERLINK("http://exon.niaid.nih.gov/transcriptome/Anopheles_sialome/links/cluster-b/anopheline-sialome-cds-pep-larger-orf70-50SimCLTL13.txt", 19)</f>
        <v>19</v>
      </c>
      <c r="CF640">
        <f>HYPERLINK("http://exon.niaid.nih.gov/transcriptome/Anopheles_sialome/links/cluster-b/anopheline-sialome-cds-pep-larger-orf75-50SimCLU15.txt", 15)</f>
        <v>15</v>
      </c>
      <c r="CG640">
        <f>HYPERLINK("http://exon.niaid.nih.gov/transcriptome/Anopheles_sialome/links/cluster-b/anopheline-sialome-cds-pep-larger-orf75-50SimCLTL15.txt", 17)</f>
        <v>17</v>
      </c>
      <c r="CH640">
        <f>HYPERLINK("http://exon.niaid.nih.gov/transcriptome/Anopheles_sialome/links/cluster-b/anopheline-sialome-cds-pep-larger-orf80-50SimCLU14.txt", 14)</f>
        <v>14</v>
      </c>
      <c r="CI640">
        <f>HYPERLINK("http://exon.niaid.nih.gov/transcriptome/Anopheles_sialome/links/cluster-b/anopheline-sialome-cds-pep-larger-orf80-50SimCLTL14.txt", 15)</f>
        <v>15</v>
      </c>
      <c r="CJ640">
        <f>HYPERLINK("http://exon.niaid.nih.gov/transcriptome/Anopheles_sialome/links/cluster-b/anopheline-sialome-cds-pep-larger-orf85-50SimCLU14.txt", 14)</f>
        <v>14</v>
      </c>
      <c r="CK640">
        <f>HYPERLINK("http://exon.niaid.nih.gov/transcriptome/Anopheles_sialome/links/cluster-b/anopheline-sialome-cds-pep-larger-orf85-50SimCLTL14.txt", 12)</f>
        <v>12</v>
      </c>
      <c r="CL640">
        <f>HYPERLINK("http://exon.niaid.nih.gov/transcriptome/Anopheles_sialome/links/cluster-b/anopheline-sialome-cds-pep-larger-orf90-50SimCLU39.txt", 39)</f>
        <v>39</v>
      </c>
      <c r="CM640">
        <f>HYPERLINK("http://exon.niaid.nih.gov/transcriptome/Anopheles_sialome/links/cluster-b/anopheline-sialome-cds-pep-larger-orf90-50SimCLTL39.txt", 6)</f>
        <v>6</v>
      </c>
      <c r="CN640">
        <f>HYPERLINK("http://exon.niaid.nih.gov/transcriptome/Anopheles_sialome/links/cluster-b/anopheline-sialome-cds-pep-larger-orf95-50SimCLU31.txt", 31)</f>
        <v>31</v>
      </c>
      <c r="CO640">
        <f>HYPERLINK("http://exon.niaid.nih.gov/transcriptome/Anopheles_sialome/links/cluster-b/anopheline-sialome-cds-pep-larger-orf95-50SimCLTL31.txt", 6)</f>
        <v>6</v>
      </c>
    </row>
    <row r="641" spans="1:93">
      <c r="A641" s="2" t="str">
        <f>HYPERLINK("http://exon.niaid.nih.gov/transcriptome/Anopheles_sialome/links/cds/anomer_SG9-cds.txt","anomer_SG9")</f>
        <v>anomer_SG9</v>
      </c>
      <c r="B641">
        <v>1179</v>
      </c>
      <c r="C641" t="s">
        <v>4</v>
      </c>
      <c r="D641" s="8" t="s">
        <v>3178</v>
      </c>
      <c r="E641" t="s">
        <v>5</v>
      </c>
      <c r="F641" t="s">
        <v>1</v>
      </c>
      <c r="G641" t="str">
        <f>HYPERLINK("http://exon.niaid.nih.gov/transcriptome/Anopheles_sialome/links/pep/anomer_SG9-pep.txt","anomer_SG9")</f>
        <v>anomer_SG9</v>
      </c>
      <c r="H641">
        <v>392</v>
      </c>
      <c r="I641">
        <v>0</v>
      </c>
      <c r="J641" s="3" t="str">
        <f>HYPERLINK("http://exon.niaid.nih.gov/transcriptome/Anopheles_sialome/links/Sigp/anomer_SG9-SigP.txt","SIG")</f>
        <v>SIG</v>
      </c>
      <c r="K641" t="s">
        <v>708</v>
      </c>
      <c r="L641">
        <v>42.572000000000003</v>
      </c>
      <c r="M641">
        <v>6.73</v>
      </c>
      <c r="N641">
        <v>39.902000000000001</v>
      </c>
      <c r="O641">
        <v>5.34</v>
      </c>
      <c r="P641" t="s">
        <v>2193</v>
      </c>
      <c r="Q641" s="3">
        <v>0</v>
      </c>
      <c r="R641" t="s">
        <v>128</v>
      </c>
      <c r="S641" t="s">
        <v>128</v>
      </c>
      <c r="T641" t="s">
        <v>128</v>
      </c>
      <c r="U641" t="s">
        <v>128</v>
      </c>
      <c r="V641" t="s">
        <v>128</v>
      </c>
      <c r="W641" s="3" t="str">
        <f>HYPERLINK("http://exon.niaid.nih.gov/transcriptome/Anopheles_sialome/links/netoglyc/anomer_SG9-netoglyc.txt","0")</f>
        <v>0</v>
      </c>
      <c r="X641">
        <v>16.100000000000001</v>
      </c>
      <c r="Y641">
        <v>6.6</v>
      </c>
      <c r="Z641">
        <v>4.3</v>
      </c>
      <c r="AA641" t="s">
        <v>654</v>
      </c>
      <c r="AB641" t="s">
        <v>2189</v>
      </c>
      <c r="AC641" s="2" t="str">
        <f>HYPERLINK("http://exon.niaid.nih.gov/transcriptome/Anopheles_sialome/links/DIPTERA/anomer_SG9-DIPTERA.txt","AGAP013423-PA")</f>
        <v>AGAP013423-PA</v>
      </c>
      <c r="AD641" t="str">
        <f t="shared" si="217"/>
        <v>0.0</v>
      </c>
      <c r="AE641" t="str">
        <f t="shared" si="223"/>
        <v>gi|333469608</v>
      </c>
      <c r="AF641">
        <v>97</v>
      </c>
      <c r="AG641">
        <v>98</v>
      </c>
      <c r="AH641">
        <v>100</v>
      </c>
      <c r="AI641" t="s">
        <v>2285</v>
      </c>
      <c r="AJ641" s="2" t="str">
        <f>HYPERLINK("http://exon.niaid.nih.gov/transcriptome/Anopheles_sialome/links/CULICOMORPHA/anomer_SG9-CULICOMORPHA.txt","AGAP013423-PA")</f>
        <v>AGAP013423-PA</v>
      </c>
      <c r="AK641" t="str">
        <f t="shared" si="219"/>
        <v>0.0</v>
      </c>
      <c r="AL641" t="str">
        <f t="shared" si="224"/>
        <v>gi|333469608</v>
      </c>
      <c r="AM641">
        <v>97</v>
      </c>
      <c r="AN641">
        <v>98</v>
      </c>
      <c r="AO641">
        <v>100</v>
      </c>
      <c r="AP641" t="s">
        <v>2285</v>
      </c>
      <c r="AQ641" s="2" t="str">
        <f>HYPERLINK("http://exon.niaid.nih.gov/transcriptome/Anopheles_sialome/links/NR-LIGHT/anomer_SG9-NR-LIGHT.txt","AGAP013423-PA")</f>
        <v>AGAP013423-PA</v>
      </c>
      <c r="AR641" t="str">
        <f t="shared" si="221"/>
        <v>0.0</v>
      </c>
      <c r="AS641" t="str">
        <f t="shared" si="225"/>
        <v>gi|347971052</v>
      </c>
      <c r="AT641">
        <v>97</v>
      </c>
      <c r="AU641">
        <v>98</v>
      </c>
      <c r="AV641">
        <v>100</v>
      </c>
      <c r="AW641" t="s">
        <v>2285</v>
      </c>
      <c r="AX641" s="2" t="str">
        <f>HYPERLINK("http://exon.niaid.nih.gov/transcriptome/Anopheles_sialome/links/CDD/anomer_SG9-CDD.txt","SEC21")</f>
        <v>SEC21</v>
      </c>
      <c r="AY641" t="str">
        <f>HYPERLINK("http://www.ncbi.nlm.nih.gov/Structure/cdd/cddsrv.cgi?uid=COG5240&amp;version=v4.0","1.1")</f>
        <v>1.1</v>
      </c>
      <c r="AZ641" t="s">
        <v>3117</v>
      </c>
      <c r="BA641" s="2" t="str">
        <f>HYPERLINK("http://exon.niaid.nih.gov/transcriptome/Anopheles_sialome/links/KOG/anomer_SG9-KOG.txt","Predicted sugar phosphatase (HAD superfamily)")</f>
        <v>Predicted sugar phosphatase (HAD superfamily)</v>
      </c>
      <c r="BB641" t="str">
        <f>HYPERLINK("http://www.ncbi.nlm.nih.gov/Structure/cdd/cddsrv.cgi?uid=KOG3040","3.4")</f>
        <v>3.4</v>
      </c>
      <c r="BC641" t="s">
        <v>2310</v>
      </c>
      <c r="BD641" t="str">
        <f>HYPERLINK("http://exon.niaid.nih.gov/transcriptome/Anopheles_sialome/links/KOG/anomer_SG9-KOG.txt","KOG3040")</f>
        <v>KOG3040</v>
      </c>
      <c r="BE641" t="str">
        <f>HYPERLINK("http://exon.niaid.nih.gov/transcriptome/Anopheles_sialome/links/PFAM/anomer_SG9-PFAM.txt","Peptidase_M26_C")</f>
        <v>Peptidase_M26_C</v>
      </c>
      <c r="BF641" t="str">
        <f>HYPERLINK("http://pfam.sanger.ac.uk/family?acc=PF07580","0.84")</f>
        <v>0.84</v>
      </c>
      <c r="BG641" s="2" t="str">
        <f>HYPERLINK("http://exon.niaid.nih.gov/transcriptome/Anopheles_sialome/links/SMART/anomer_SG9-SMART.txt","Plus3")</f>
        <v>Plus3</v>
      </c>
      <c r="BH641" t="str">
        <f>HYPERLINK("http://smart.embl-heidelberg.de/smart/do_annotation.pl?DOMAIN=Plus3&amp;BLAST=DUMMY","2.2")</f>
        <v>2.2</v>
      </c>
      <c r="BI641" t="s">
        <v>128</v>
      </c>
      <c r="BJ641" s="2" t="s">
        <v>128</v>
      </c>
      <c r="BK641" t="s">
        <v>2192</v>
      </c>
      <c r="BL641">
        <f>HYPERLINK("http://exon.niaid.nih.gov/transcriptome/Anopheles_sialome/links/cluster-b/anopheline-sialome-cds-pep-larger-orf25-50SimCLU8.txt", 8)</f>
        <v>8</v>
      </c>
      <c r="BM641">
        <f>HYPERLINK("http://exon.niaid.nih.gov/transcriptome/Anopheles_sialome/links/cluster-b/anopheline-sialome-cds-pep-larger-orf25-50SimCLTL8.txt", 35)</f>
        <v>35</v>
      </c>
      <c r="BN641">
        <f>HYPERLINK("http://exon.niaid.nih.gov/transcriptome/Anopheles_sialome/links/cluster-b/anopheline-sialome-cds-pep-larger-orf30-50SimCLU13.txt", 13)</f>
        <v>13</v>
      </c>
      <c r="BO641">
        <f>HYPERLINK("http://exon.niaid.nih.gov/transcriptome/Anopheles_sialome/links/cluster-b/anopheline-sialome-cds-pep-larger-orf30-50SimCLTL13.txt", 19)</f>
        <v>19</v>
      </c>
      <c r="BP641">
        <f>HYPERLINK("http://exon.niaid.nih.gov/transcriptome/Anopheles_sialome/links/cluster-b/anopheline-sialome-cds-pep-larger-orf35-50SimCLU15.txt", 15)</f>
        <v>15</v>
      </c>
      <c r="BQ641">
        <f>HYPERLINK("http://exon.niaid.nih.gov/transcriptome/Anopheles_sialome/links/cluster-b/anopheline-sialome-cds-pep-larger-orf35-50SimCLTL15.txt", 19)</f>
        <v>19</v>
      </c>
      <c r="BR641">
        <f>HYPERLINK("http://exon.niaid.nih.gov/transcriptome/Anopheles_sialome/links/cluster-b/anopheline-sialome-cds-pep-larger-orf40-50SimCLU17.txt", 17)</f>
        <v>17</v>
      </c>
      <c r="BS641">
        <f>HYPERLINK("http://exon.niaid.nih.gov/transcriptome/Anopheles_sialome/links/cluster-b/anopheline-sialome-cds-pep-larger-orf40-50SimCLTL17.txt", 19)</f>
        <v>19</v>
      </c>
      <c r="BT641">
        <f>HYPERLINK("http://exon.niaid.nih.gov/transcriptome/Anopheles_sialome/links/cluster-b/anopheline-sialome-cds-pep-larger-orf45-50SimCLU17.txt", 17)</f>
        <v>17</v>
      </c>
      <c r="BU641">
        <f>HYPERLINK("http://exon.niaid.nih.gov/transcriptome/Anopheles_sialome/links/cluster-b/anopheline-sialome-cds-pep-larger-orf45-50SimCLTL17.txt", 19)</f>
        <v>19</v>
      </c>
      <c r="BV641">
        <f>HYPERLINK("http://exon.niaid.nih.gov/transcriptome/Anopheles_sialome/links/cluster-b/anopheline-sialome-cds-pep-larger-orf50-50SimCLU16.txt", 16)</f>
        <v>16</v>
      </c>
      <c r="BW641">
        <f>HYPERLINK("http://exon.niaid.nih.gov/transcriptome/Anopheles_sialome/links/cluster-b/anopheline-sialome-cds-pep-larger-orf50-50SimCLTL16.txt", 19)</f>
        <v>19</v>
      </c>
      <c r="BX641">
        <f>HYPERLINK("http://exon.niaid.nih.gov/transcriptome/Anopheles_sialome/links/cluster-b/anopheline-sialome-cds-pep-larger-orf55-50SimCLU17.txt", 17)</f>
        <v>17</v>
      </c>
      <c r="BY641">
        <f>HYPERLINK("http://exon.niaid.nih.gov/transcriptome/Anopheles_sialome/links/cluster-b/anopheline-sialome-cds-pep-larger-orf55-50SimCLTL17.txt", 19)</f>
        <v>19</v>
      </c>
      <c r="BZ641">
        <f>HYPERLINK("http://exon.niaid.nih.gov/transcriptome/Anopheles_sialome/links/cluster-b/anopheline-sialome-cds-pep-larger-orf60-50SimCLU16.txt", 16)</f>
        <v>16</v>
      </c>
      <c r="CA641">
        <f>HYPERLINK("http://exon.niaid.nih.gov/transcriptome/Anopheles_sialome/links/cluster-b/anopheline-sialome-cds-pep-larger-orf60-50SimCLTL16.txt", 19)</f>
        <v>19</v>
      </c>
      <c r="CB641">
        <f>HYPERLINK("http://exon.niaid.nih.gov/transcriptome/Anopheles_sialome/links/cluster-b/anopheline-sialome-cds-pep-larger-orf65-50SimCLU13.txt", 13)</f>
        <v>13</v>
      </c>
      <c r="CC641">
        <f>HYPERLINK("http://exon.niaid.nih.gov/transcriptome/Anopheles_sialome/links/cluster-b/anopheline-sialome-cds-pep-larger-orf65-50SimCLTL13.txt", 19)</f>
        <v>19</v>
      </c>
      <c r="CD641">
        <f>HYPERLINK("http://exon.niaid.nih.gov/transcriptome/Anopheles_sialome/links/cluster-b/anopheline-sialome-cds-pep-larger-orf70-50SimCLU13.txt", 13)</f>
        <v>13</v>
      </c>
      <c r="CE641">
        <f>HYPERLINK("http://exon.niaid.nih.gov/transcriptome/Anopheles_sialome/links/cluster-b/anopheline-sialome-cds-pep-larger-orf70-50SimCLTL13.txt", 19)</f>
        <v>19</v>
      </c>
      <c r="CF641">
        <f>HYPERLINK("http://exon.niaid.nih.gov/transcriptome/Anopheles_sialome/links/cluster-b/anopheline-sialome-cds-pep-larger-orf75-50SimCLU15.txt", 15)</f>
        <v>15</v>
      </c>
      <c r="CG641">
        <f>HYPERLINK("http://exon.niaid.nih.gov/transcriptome/Anopheles_sialome/links/cluster-b/anopheline-sialome-cds-pep-larger-orf75-50SimCLTL15.txt", 17)</f>
        <v>17</v>
      </c>
      <c r="CH641">
        <f>HYPERLINK("http://exon.niaid.nih.gov/transcriptome/Anopheles_sialome/links/cluster-b/anopheline-sialome-cds-pep-larger-orf80-50SimCLU14.txt", 14)</f>
        <v>14</v>
      </c>
      <c r="CI641">
        <f>HYPERLINK("http://exon.niaid.nih.gov/transcriptome/Anopheles_sialome/links/cluster-b/anopheline-sialome-cds-pep-larger-orf80-50SimCLTL14.txt", 15)</f>
        <v>15</v>
      </c>
      <c r="CJ641">
        <f>HYPERLINK("http://exon.niaid.nih.gov/transcriptome/Anopheles_sialome/links/cluster-b/anopheline-sialome-cds-pep-larger-orf85-50SimCLU14.txt", 14)</f>
        <v>14</v>
      </c>
      <c r="CK641">
        <f>HYPERLINK("http://exon.niaid.nih.gov/transcriptome/Anopheles_sialome/links/cluster-b/anopheline-sialome-cds-pep-larger-orf85-50SimCLTL14.txt", 12)</f>
        <v>12</v>
      </c>
      <c r="CL641">
        <f>HYPERLINK("http://exon.niaid.nih.gov/transcriptome/Anopheles_sialome/links/cluster-b/anopheline-sialome-cds-pep-larger-orf90-50SimCLU39.txt", 39)</f>
        <v>39</v>
      </c>
      <c r="CM641">
        <f>HYPERLINK("http://exon.niaid.nih.gov/transcriptome/Anopheles_sialome/links/cluster-b/anopheline-sialome-cds-pep-larger-orf90-50SimCLTL39.txt", 6)</f>
        <v>6</v>
      </c>
      <c r="CN641">
        <f>HYPERLINK("http://exon.niaid.nih.gov/transcriptome/Anopheles_sialome/links/cluster-b/anopheline-sialome-cds-pep-larger-orf95-50SimCLU31.txt", 31)</f>
        <v>31</v>
      </c>
      <c r="CO641">
        <f>HYPERLINK("http://exon.niaid.nih.gov/transcriptome/Anopheles_sialome/links/cluster-b/anopheline-sialome-cds-pep-larger-orf95-50SimCLTL31.txt", 6)</f>
        <v>6</v>
      </c>
    </row>
    <row r="642" spans="1:93">
      <c r="A642" s="2" t="str">
        <f>HYPERLINK("http://exon.niaid.nih.gov/transcriptome/Anopheles_sialome/links/cds/anomel_SG9-cds.txt","anomel_SG9")</f>
        <v>anomel_SG9</v>
      </c>
      <c r="B642">
        <v>1179</v>
      </c>
      <c r="C642" t="s">
        <v>4</v>
      </c>
      <c r="D642" s="8" t="s">
        <v>3178</v>
      </c>
      <c r="E642" t="s">
        <v>5</v>
      </c>
      <c r="F642" t="s">
        <v>1</v>
      </c>
      <c r="G642" t="str">
        <f>HYPERLINK("http://exon.niaid.nih.gov/transcriptome/Anopheles_sialome/links/pep/anomel_SG9-pep.txt","anomel_SG9")</f>
        <v>anomel_SG9</v>
      </c>
      <c r="H642">
        <v>392</v>
      </c>
      <c r="I642">
        <v>0</v>
      </c>
      <c r="J642" s="3" t="str">
        <f>HYPERLINK("http://exon.niaid.nih.gov/transcriptome/Anopheles_sialome/links/Sigp/anomel_SG9-SigP.txt","SIG")</f>
        <v>SIG</v>
      </c>
      <c r="K642" t="s">
        <v>708</v>
      </c>
      <c r="L642">
        <v>42.74</v>
      </c>
      <c r="M642">
        <v>7.51</v>
      </c>
      <c r="N642">
        <v>40.07</v>
      </c>
      <c r="O642">
        <v>5.58</v>
      </c>
      <c r="P642" t="s">
        <v>2195</v>
      </c>
      <c r="Q642" s="3">
        <v>0</v>
      </c>
      <c r="R642" t="s">
        <v>128</v>
      </c>
      <c r="S642" t="s">
        <v>128</v>
      </c>
      <c r="T642" t="s">
        <v>128</v>
      </c>
      <c r="U642" t="s">
        <v>128</v>
      </c>
      <c r="V642" t="s">
        <v>128</v>
      </c>
      <c r="W642" s="3" t="str">
        <f>HYPERLINK("http://exon.niaid.nih.gov/transcriptome/Anopheles_sialome/links/netoglyc/anomel_SG9-netoglyc.txt","1")</f>
        <v>1</v>
      </c>
      <c r="X642">
        <v>16.3</v>
      </c>
      <c r="Y642">
        <v>6.6</v>
      </c>
      <c r="Z642">
        <v>4.5999999999999996</v>
      </c>
      <c r="AA642" t="s">
        <v>654</v>
      </c>
      <c r="AB642" t="s">
        <v>2189</v>
      </c>
      <c r="AC642" s="2" t="str">
        <f>HYPERLINK("http://exon.niaid.nih.gov/transcriptome/Anopheles_sialome/links/DIPTERA/anomel_SG9-DIPTERA.txt","AGAP013423-PA")</f>
        <v>AGAP013423-PA</v>
      </c>
      <c r="AD642" t="str">
        <f t="shared" si="217"/>
        <v>0.0</v>
      </c>
      <c r="AE642" t="str">
        <f t="shared" si="223"/>
        <v>gi|333469608</v>
      </c>
      <c r="AF642">
        <v>95</v>
      </c>
      <c r="AG642">
        <v>97</v>
      </c>
      <c r="AH642">
        <v>100</v>
      </c>
      <c r="AI642" t="s">
        <v>2285</v>
      </c>
      <c r="AJ642" s="2" t="str">
        <f>HYPERLINK("http://exon.niaid.nih.gov/transcriptome/Anopheles_sialome/links/CULICOMORPHA/anomel_SG9-CULICOMORPHA.txt","AGAP013423-PA")</f>
        <v>AGAP013423-PA</v>
      </c>
      <c r="AK642" t="str">
        <f t="shared" si="219"/>
        <v>0.0</v>
      </c>
      <c r="AL642" t="str">
        <f t="shared" si="224"/>
        <v>gi|333469608</v>
      </c>
      <c r="AM642">
        <v>95</v>
      </c>
      <c r="AN642">
        <v>97</v>
      </c>
      <c r="AO642">
        <v>100</v>
      </c>
      <c r="AP642" t="s">
        <v>2285</v>
      </c>
      <c r="AQ642" s="2" t="str">
        <f>HYPERLINK("http://exon.niaid.nih.gov/transcriptome/Anopheles_sialome/links/NR-LIGHT/anomel_SG9-NR-LIGHT.txt","AGAP013423-PA")</f>
        <v>AGAP013423-PA</v>
      </c>
      <c r="AR642" t="str">
        <f t="shared" si="221"/>
        <v>0.0</v>
      </c>
      <c r="AS642" t="str">
        <f t="shared" si="225"/>
        <v>gi|347971052</v>
      </c>
      <c r="AT642">
        <v>95</v>
      </c>
      <c r="AU642">
        <v>97</v>
      </c>
      <c r="AV642">
        <v>100</v>
      </c>
      <c r="AW642" t="s">
        <v>2285</v>
      </c>
      <c r="AX642" s="2" t="str">
        <f>HYPERLINK("http://exon.niaid.nih.gov/transcriptome/Anopheles_sialome/links/CDD/anomel_SG9-CDD.txt","PEHE")</f>
        <v>PEHE</v>
      </c>
      <c r="AY642" t="str">
        <f>HYPERLINK("http://www.ncbi.nlm.nih.gov/Structure/cdd/cddsrv.cgi?uid=pfam15275&amp;version=v4.0","0.88")</f>
        <v>0.88</v>
      </c>
      <c r="AZ642" t="s">
        <v>3118</v>
      </c>
      <c r="BA642" s="2" t="str">
        <f>HYPERLINK("http://exon.niaid.nih.gov/transcriptome/Anopheles_sialome/links/KOG/anomel_SG9-KOG.txt","Negative regulator of transcription")</f>
        <v>Negative regulator of transcription</v>
      </c>
      <c r="BB642" t="str">
        <f>HYPERLINK("http://www.ncbi.nlm.nih.gov/Structure/cdd/cddsrv.cgi?uid=KOG1831","0.58")</f>
        <v>0.58</v>
      </c>
      <c r="BC642" t="s">
        <v>2262</v>
      </c>
      <c r="BD642" t="str">
        <f>HYPERLINK("http://exon.niaid.nih.gov/transcriptome/Anopheles_sialome/links/KOG/anomel_SG9-KOG.txt","KOG1831")</f>
        <v>KOG1831</v>
      </c>
      <c r="BE642" t="str">
        <f>HYPERLINK("http://exon.niaid.nih.gov/transcriptome/Anopheles_sialome/links/PFAM/anomel_SG9-PFAM.txt","PEHE")</f>
        <v>PEHE</v>
      </c>
      <c r="BF642" t="str">
        <f>HYPERLINK("http://pfam.sanger.ac.uk/family?acc=PF15275","0.17")</f>
        <v>0.17</v>
      </c>
      <c r="BG642" s="2" t="str">
        <f>HYPERLINK("http://exon.niaid.nih.gov/transcriptome/Anopheles_sialome/links/SMART/anomel_SG9-SMART.txt","Plus3")</f>
        <v>Plus3</v>
      </c>
      <c r="BH642" t="str">
        <f>HYPERLINK("http://smart.embl-heidelberg.de/smart/do_annotation.pl?DOMAIN=Plus3&amp;BLAST=DUMMY","0.93")</f>
        <v>0.93</v>
      </c>
      <c r="BI642" t="s">
        <v>128</v>
      </c>
      <c r="BJ642" s="2" t="s">
        <v>128</v>
      </c>
      <c r="BK642" t="s">
        <v>2194</v>
      </c>
      <c r="BL642">
        <f>HYPERLINK("http://exon.niaid.nih.gov/transcriptome/Anopheles_sialome/links/cluster-b/anopheline-sialome-cds-pep-larger-orf25-50SimCLU8.txt", 8)</f>
        <v>8</v>
      </c>
      <c r="BM642">
        <f>HYPERLINK("http://exon.niaid.nih.gov/transcriptome/Anopheles_sialome/links/cluster-b/anopheline-sialome-cds-pep-larger-orf25-50SimCLTL8.txt", 35)</f>
        <v>35</v>
      </c>
      <c r="BN642">
        <f>HYPERLINK("http://exon.niaid.nih.gov/transcriptome/Anopheles_sialome/links/cluster-b/anopheline-sialome-cds-pep-larger-orf30-50SimCLU13.txt", 13)</f>
        <v>13</v>
      </c>
      <c r="BO642">
        <f>HYPERLINK("http://exon.niaid.nih.gov/transcriptome/Anopheles_sialome/links/cluster-b/anopheline-sialome-cds-pep-larger-orf30-50SimCLTL13.txt", 19)</f>
        <v>19</v>
      </c>
      <c r="BP642">
        <f>HYPERLINK("http://exon.niaid.nih.gov/transcriptome/Anopheles_sialome/links/cluster-b/anopheline-sialome-cds-pep-larger-orf35-50SimCLU15.txt", 15)</f>
        <v>15</v>
      </c>
      <c r="BQ642">
        <f>HYPERLINK("http://exon.niaid.nih.gov/transcriptome/Anopheles_sialome/links/cluster-b/anopheline-sialome-cds-pep-larger-orf35-50SimCLTL15.txt", 19)</f>
        <v>19</v>
      </c>
      <c r="BR642">
        <f>HYPERLINK("http://exon.niaid.nih.gov/transcriptome/Anopheles_sialome/links/cluster-b/anopheline-sialome-cds-pep-larger-orf40-50SimCLU17.txt", 17)</f>
        <v>17</v>
      </c>
      <c r="BS642">
        <f>HYPERLINK("http://exon.niaid.nih.gov/transcriptome/Anopheles_sialome/links/cluster-b/anopheline-sialome-cds-pep-larger-orf40-50SimCLTL17.txt", 19)</f>
        <v>19</v>
      </c>
      <c r="BT642">
        <f>HYPERLINK("http://exon.niaid.nih.gov/transcriptome/Anopheles_sialome/links/cluster-b/anopheline-sialome-cds-pep-larger-orf45-50SimCLU17.txt", 17)</f>
        <v>17</v>
      </c>
      <c r="BU642">
        <f>HYPERLINK("http://exon.niaid.nih.gov/transcriptome/Anopheles_sialome/links/cluster-b/anopheline-sialome-cds-pep-larger-orf45-50SimCLTL17.txt", 19)</f>
        <v>19</v>
      </c>
      <c r="BV642">
        <f>HYPERLINK("http://exon.niaid.nih.gov/transcriptome/Anopheles_sialome/links/cluster-b/anopheline-sialome-cds-pep-larger-orf50-50SimCLU16.txt", 16)</f>
        <v>16</v>
      </c>
      <c r="BW642">
        <f>HYPERLINK("http://exon.niaid.nih.gov/transcriptome/Anopheles_sialome/links/cluster-b/anopheline-sialome-cds-pep-larger-orf50-50SimCLTL16.txt", 19)</f>
        <v>19</v>
      </c>
      <c r="BX642">
        <f>HYPERLINK("http://exon.niaid.nih.gov/transcriptome/Anopheles_sialome/links/cluster-b/anopheline-sialome-cds-pep-larger-orf55-50SimCLU17.txt", 17)</f>
        <v>17</v>
      </c>
      <c r="BY642">
        <f>HYPERLINK("http://exon.niaid.nih.gov/transcriptome/Anopheles_sialome/links/cluster-b/anopheline-sialome-cds-pep-larger-orf55-50SimCLTL17.txt", 19)</f>
        <v>19</v>
      </c>
      <c r="BZ642">
        <f>HYPERLINK("http://exon.niaid.nih.gov/transcriptome/Anopheles_sialome/links/cluster-b/anopheline-sialome-cds-pep-larger-orf60-50SimCLU16.txt", 16)</f>
        <v>16</v>
      </c>
      <c r="CA642">
        <f>HYPERLINK("http://exon.niaid.nih.gov/transcriptome/Anopheles_sialome/links/cluster-b/anopheline-sialome-cds-pep-larger-orf60-50SimCLTL16.txt", 19)</f>
        <v>19</v>
      </c>
      <c r="CB642">
        <f>HYPERLINK("http://exon.niaid.nih.gov/transcriptome/Anopheles_sialome/links/cluster-b/anopheline-sialome-cds-pep-larger-orf65-50SimCLU13.txt", 13)</f>
        <v>13</v>
      </c>
      <c r="CC642">
        <f>HYPERLINK("http://exon.niaid.nih.gov/transcriptome/Anopheles_sialome/links/cluster-b/anopheline-sialome-cds-pep-larger-orf65-50SimCLTL13.txt", 19)</f>
        <v>19</v>
      </c>
      <c r="CD642">
        <f>HYPERLINK("http://exon.niaid.nih.gov/transcriptome/Anopheles_sialome/links/cluster-b/anopheline-sialome-cds-pep-larger-orf70-50SimCLU13.txt", 13)</f>
        <v>13</v>
      </c>
      <c r="CE642">
        <f>HYPERLINK("http://exon.niaid.nih.gov/transcriptome/Anopheles_sialome/links/cluster-b/anopheline-sialome-cds-pep-larger-orf70-50SimCLTL13.txt", 19)</f>
        <v>19</v>
      </c>
      <c r="CF642">
        <f>HYPERLINK("http://exon.niaid.nih.gov/transcriptome/Anopheles_sialome/links/cluster-b/anopheline-sialome-cds-pep-larger-orf75-50SimCLU15.txt", 15)</f>
        <v>15</v>
      </c>
      <c r="CG642">
        <f>HYPERLINK("http://exon.niaid.nih.gov/transcriptome/Anopheles_sialome/links/cluster-b/anopheline-sialome-cds-pep-larger-orf75-50SimCLTL15.txt", 17)</f>
        <v>17</v>
      </c>
      <c r="CH642">
        <f>HYPERLINK("http://exon.niaid.nih.gov/transcriptome/Anopheles_sialome/links/cluster-b/anopheline-sialome-cds-pep-larger-orf80-50SimCLU14.txt", 14)</f>
        <v>14</v>
      </c>
      <c r="CI642">
        <f>HYPERLINK("http://exon.niaid.nih.gov/transcriptome/Anopheles_sialome/links/cluster-b/anopheline-sialome-cds-pep-larger-orf80-50SimCLTL14.txt", 15)</f>
        <v>15</v>
      </c>
      <c r="CJ642">
        <f>HYPERLINK("http://exon.niaid.nih.gov/transcriptome/Anopheles_sialome/links/cluster-b/anopheline-sialome-cds-pep-larger-orf85-50SimCLU14.txt", 14)</f>
        <v>14</v>
      </c>
      <c r="CK642">
        <f>HYPERLINK("http://exon.niaid.nih.gov/transcriptome/Anopheles_sialome/links/cluster-b/anopheline-sialome-cds-pep-larger-orf85-50SimCLTL14.txt", 12)</f>
        <v>12</v>
      </c>
      <c r="CL642">
        <f>HYPERLINK("http://exon.niaid.nih.gov/transcriptome/Anopheles_sialome/links/cluster-b/anopheline-sialome-cds-pep-larger-orf90-50SimCLU39.txt", 39)</f>
        <v>39</v>
      </c>
      <c r="CM642">
        <f>HYPERLINK("http://exon.niaid.nih.gov/transcriptome/Anopheles_sialome/links/cluster-b/anopheline-sialome-cds-pep-larger-orf90-50SimCLTL39.txt", 6)</f>
        <v>6</v>
      </c>
      <c r="CN642">
        <f>HYPERLINK("http://exon.niaid.nih.gov/transcriptome/Anopheles_sialome/links/cluster-b/anopheline-sialome-cds-pep-larger-orf95-50SimCLU31.txt", 31)</f>
        <v>31</v>
      </c>
      <c r="CO642">
        <f>HYPERLINK("http://exon.niaid.nih.gov/transcriptome/Anopheles_sialome/links/cluster-b/anopheline-sialome-cds-pep-larger-orf95-50SimCLTL31.txt", 6)</f>
        <v>6</v>
      </c>
    </row>
    <row r="643" spans="1:93">
      <c r="A643" s="2" t="str">
        <f>HYPERLINK("http://exon.niaid.nih.gov/transcriptome/Anopheles_sialome/links/cds/anochris_SG9-cds.txt","anochris_SG9")</f>
        <v>anochris_SG9</v>
      </c>
      <c r="B643">
        <v>1203</v>
      </c>
      <c r="C643" t="s">
        <v>614</v>
      </c>
      <c r="D643" t="s">
        <v>7</v>
      </c>
      <c r="E643" t="s">
        <v>5</v>
      </c>
      <c r="F643" t="s">
        <v>1</v>
      </c>
      <c r="G643" t="str">
        <f>HYPERLINK("http://exon.niaid.nih.gov/transcriptome/Anopheles_sialome/links/pep/anochris_SG9-pep.txt","anochris_SG9")</f>
        <v>anochris_SG9</v>
      </c>
      <c r="H643">
        <v>400</v>
      </c>
      <c r="I643">
        <v>1</v>
      </c>
      <c r="J643" s="3" t="str">
        <f>HYPERLINK("http://exon.niaid.nih.gov/transcriptome/Anopheles_sialome/links/Sigp/anochris_SG9-SigP.txt","SIG")</f>
        <v>SIG</v>
      </c>
      <c r="K643" t="s">
        <v>708</v>
      </c>
      <c r="L643">
        <v>43.177</v>
      </c>
      <c r="M643">
        <v>5.99</v>
      </c>
      <c r="N643">
        <v>40.613</v>
      </c>
      <c r="O643">
        <v>5.56</v>
      </c>
      <c r="P643" t="s">
        <v>2197</v>
      </c>
      <c r="Q643" s="3">
        <v>0</v>
      </c>
      <c r="R643" t="s">
        <v>128</v>
      </c>
      <c r="S643" t="s">
        <v>128</v>
      </c>
      <c r="T643" t="s">
        <v>128</v>
      </c>
      <c r="U643" t="s">
        <v>128</v>
      </c>
      <c r="V643" t="s">
        <v>128</v>
      </c>
      <c r="W643" s="3" t="str">
        <f>HYPERLINK("http://exon.niaid.nih.gov/transcriptome/Anopheles_sialome/links/netoglyc/anochris_SG9-netoglyc.txt","3")</f>
        <v>3</v>
      </c>
      <c r="X643">
        <v>16.5</v>
      </c>
      <c r="Y643">
        <v>7</v>
      </c>
      <c r="Z643">
        <v>4.8</v>
      </c>
      <c r="AA643" t="s">
        <v>654</v>
      </c>
      <c r="AB643" t="s">
        <v>2198</v>
      </c>
      <c r="AC643" s="2" t="str">
        <f>HYPERLINK("http://exon.niaid.nih.gov/transcriptome/Anopheles_sialome/links/DIPTERA/anochris_SG9-DIPTERA.txt","AGAP013423-PA")</f>
        <v>AGAP013423-PA</v>
      </c>
      <c r="AD643" t="str">
        <f>HYPERLINK("http://www.ncbi.nlm.nih.gov/sutils/blink.cgi?pid=333469608","1E-173")</f>
        <v>1E-173</v>
      </c>
      <c r="AE643" t="str">
        <f>HYPERLINK("http://www.ncbi.nlm.nih.gov/protein/333469608","gi|333469608")</f>
        <v>gi|333469608</v>
      </c>
      <c r="AF643">
        <v>78</v>
      </c>
      <c r="AG643">
        <v>86</v>
      </c>
      <c r="AH643">
        <v>102</v>
      </c>
      <c r="AI643" t="s">
        <v>2285</v>
      </c>
      <c r="AJ643" s="2" t="str">
        <f>HYPERLINK("http://exon.niaid.nih.gov/transcriptome/Anopheles_sialome/links/CULICOMORPHA/anochris_SG9-CULICOMORPHA.txt","AGAP013423-PA")</f>
        <v>AGAP013423-PA</v>
      </c>
      <c r="AK643" t="str">
        <f>HYPERLINK("http://www.ncbi.nlm.nih.gov/sutils/blink.cgi?pid=333469608","1E-173")</f>
        <v>1E-173</v>
      </c>
      <c r="AL643" t="str">
        <f>HYPERLINK("http://www.ncbi.nlm.nih.gov/protein/333469608","gi|333469608")</f>
        <v>gi|333469608</v>
      </c>
      <c r="AM643">
        <v>78</v>
      </c>
      <c r="AN643">
        <v>86</v>
      </c>
      <c r="AO643">
        <v>102</v>
      </c>
      <c r="AP643" t="s">
        <v>2285</v>
      </c>
      <c r="AQ643" s="2" t="str">
        <f>HYPERLINK("http://exon.niaid.nih.gov/transcriptome/Anopheles_sialome/links/NR-LIGHT/anochris_SG9-NR-LIGHT.txt","AGAP013423-PA")</f>
        <v>AGAP013423-PA</v>
      </c>
      <c r="AR643" t="str">
        <f>HYPERLINK("http://www.ncbi.nlm.nih.gov/sutils/blink.cgi?pid=347971052","1E-172")</f>
        <v>1E-172</v>
      </c>
      <c r="AS643" t="str">
        <f>HYPERLINK("http://www.ncbi.nlm.nih.gov/protein/347971052","gi|347971052")</f>
        <v>gi|347971052</v>
      </c>
      <c r="AT643">
        <v>78</v>
      </c>
      <c r="AU643">
        <v>86</v>
      </c>
      <c r="AV643">
        <v>102</v>
      </c>
      <c r="AW643" t="s">
        <v>2285</v>
      </c>
      <c r="AX643" s="2" t="str">
        <f>HYPERLINK("http://exon.niaid.nih.gov/transcriptome/Anopheles_sialome/links/CDD/anochris_SG9-CDD.txt","PRK09441")</f>
        <v>PRK09441</v>
      </c>
      <c r="AY643" t="str">
        <f>HYPERLINK("http://www.ncbi.nlm.nih.gov/Structure/cdd/cddsrv.cgi?uid=PRK09441&amp;version=v4.0","0.53")</f>
        <v>0.53</v>
      </c>
      <c r="AZ643" t="s">
        <v>3119</v>
      </c>
      <c r="BA643" s="2" t="str">
        <f>HYPERLINK("http://exon.niaid.nih.gov/transcriptome/Anopheles_sialome/links/KOG/anochris_SG9-KOG.txt","Putative transcription factor ASH1/LIN-59")</f>
        <v>Putative transcription factor ASH1/LIN-59</v>
      </c>
      <c r="BB643" t="str">
        <f>HYPERLINK("http://www.ncbi.nlm.nih.gov/Structure/cdd/cddsrv.cgi?uid=KOG1083","0.65")</f>
        <v>0.65</v>
      </c>
      <c r="BC643" t="s">
        <v>2262</v>
      </c>
      <c r="BD643" t="str">
        <f>HYPERLINK("http://exon.niaid.nih.gov/transcriptome/Anopheles_sialome/links/KOG/anochris_SG9-KOG.txt","KOG1083")</f>
        <v>KOG1083</v>
      </c>
      <c r="BE643" t="str">
        <f>HYPERLINK("http://exon.niaid.nih.gov/transcriptome/Anopheles_sialome/links/PFAM/anochris_SG9-PFAM.txt","Lys-AminoMut_A")</f>
        <v>Lys-AminoMut_A</v>
      </c>
      <c r="BF643" t="str">
        <f>HYPERLINK("http://pfam.sanger.ac.uk/family?acc=PF09043","0.40")</f>
        <v>0.40</v>
      </c>
      <c r="BG643" s="2" t="str">
        <f>HYPERLINK("http://exon.niaid.nih.gov/transcriptome/Anopheles_sialome/links/SMART/anochris_SG9-SMART.txt","BHL")</f>
        <v>BHL</v>
      </c>
      <c r="BH643" t="str">
        <f>HYPERLINK("http://smart.embl-heidelberg.de/smart/do_annotation.pl?DOMAIN=BHL&amp;BLAST=DUMMY","0.40")</f>
        <v>0.40</v>
      </c>
      <c r="BI643" t="s">
        <v>128</v>
      </c>
      <c r="BJ643" s="2" t="s">
        <v>128</v>
      </c>
      <c r="BK643" t="s">
        <v>2196</v>
      </c>
      <c r="BL643">
        <f>HYPERLINK("http://exon.niaid.nih.gov/transcriptome/Anopheles_sialome/links/cluster-b/anopheline-sialome-cds-pep-larger-orf25-50SimCLU8.txt", 8)</f>
        <v>8</v>
      </c>
      <c r="BM643">
        <f>HYPERLINK("http://exon.niaid.nih.gov/transcriptome/Anopheles_sialome/links/cluster-b/anopheline-sialome-cds-pep-larger-orf25-50SimCLTL8.txt", 35)</f>
        <v>35</v>
      </c>
      <c r="BN643">
        <f>HYPERLINK("http://exon.niaid.nih.gov/transcriptome/Anopheles_sialome/links/cluster-b/anopheline-sialome-cds-pep-larger-orf30-50SimCLU13.txt", 13)</f>
        <v>13</v>
      </c>
      <c r="BO643">
        <f>HYPERLINK("http://exon.niaid.nih.gov/transcriptome/Anopheles_sialome/links/cluster-b/anopheline-sialome-cds-pep-larger-orf30-50SimCLTL13.txt", 19)</f>
        <v>19</v>
      </c>
      <c r="BP643">
        <f>HYPERLINK("http://exon.niaid.nih.gov/transcriptome/Anopheles_sialome/links/cluster-b/anopheline-sialome-cds-pep-larger-orf35-50SimCLU15.txt", 15)</f>
        <v>15</v>
      </c>
      <c r="BQ643">
        <f>HYPERLINK("http://exon.niaid.nih.gov/transcriptome/Anopheles_sialome/links/cluster-b/anopheline-sialome-cds-pep-larger-orf35-50SimCLTL15.txt", 19)</f>
        <v>19</v>
      </c>
      <c r="BR643">
        <f>HYPERLINK("http://exon.niaid.nih.gov/transcriptome/Anopheles_sialome/links/cluster-b/anopheline-sialome-cds-pep-larger-orf40-50SimCLU17.txt", 17)</f>
        <v>17</v>
      </c>
      <c r="BS643">
        <f>HYPERLINK("http://exon.niaid.nih.gov/transcriptome/Anopheles_sialome/links/cluster-b/anopheline-sialome-cds-pep-larger-orf40-50SimCLTL17.txt", 19)</f>
        <v>19</v>
      </c>
      <c r="BT643">
        <f>HYPERLINK("http://exon.niaid.nih.gov/transcriptome/Anopheles_sialome/links/cluster-b/anopheline-sialome-cds-pep-larger-orf45-50SimCLU17.txt", 17)</f>
        <v>17</v>
      </c>
      <c r="BU643">
        <f>HYPERLINK("http://exon.niaid.nih.gov/transcriptome/Anopheles_sialome/links/cluster-b/anopheline-sialome-cds-pep-larger-orf45-50SimCLTL17.txt", 19)</f>
        <v>19</v>
      </c>
      <c r="BV643">
        <f>HYPERLINK("http://exon.niaid.nih.gov/transcriptome/Anopheles_sialome/links/cluster-b/anopheline-sialome-cds-pep-larger-orf50-50SimCLU16.txt", 16)</f>
        <v>16</v>
      </c>
      <c r="BW643">
        <f>HYPERLINK("http://exon.niaid.nih.gov/transcriptome/Anopheles_sialome/links/cluster-b/anopheline-sialome-cds-pep-larger-orf50-50SimCLTL16.txt", 19)</f>
        <v>19</v>
      </c>
      <c r="BX643">
        <f>HYPERLINK("http://exon.niaid.nih.gov/transcriptome/Anopheles_sialome/links/cluster-b/anopheline-sialome-cds-pep-larger-orf55-50SimCLU17.txt", 17)</f>
        <v>17</v>
      </c>
      <c r="BY643">
        <f>HYPERLINK("http://exon.niaid.nih.gov/transcriptome/Anopheles_sialome/links/cluster-b/anopheline-sialome-cds-pep-larger-orf55-50SimCLTL17.txt", 19)</f>
        <v>19</v>
      </c>
      <c r="BZ643">
        <f>HYPERLINK("http://exon.niaid.nih.gov/transcriptome/Anopheles_sialome/links/cluster-b/anopheline-sialome-cds-pep-larger-orf60-50SimCLU16.txt", 16)</f>
        <v>16</v>
      </c>
      <c r="CA643">
        <f>HYPERLINK("http://exon.niaid.nih.gov/transcriptome/Anopheles_sialome/links/cluster-b/anopheline-sialome-cds-pep-larger-orf60-50SimCLTL16.txt", 19)</f>
        <v>19</v>
      </c>
      <c r="CB643">
        <f>HYPERLINK("http://exon.niaid.nih.gov/transcriptome/Anopheles_sialome/links/cluster-b/anopheline-sialome-cds-pep-larger-orf65-50SimCLU13.txt", 13)</f>
        <v>13</v>
      </c>
      <c r="CC643">
        <f>HYPERLINK("http://exon.niaid.nih.gov/transcriptome/Anopheles_sialome/links/cluster-b/anopheline-sialome-cds-pep-larger-orf65-50SimCLTL13.txt", 19)</f>
        <v>19</v>
      </c>
      <c r="CD643">
        <f>HYPERLINK("http://exon.niaid.nih.gov/transcriptome/Anopheles_sialome/links/cluster-b/anopheline-sialome-cds-pep-larger-orf70-50SimCLU13.txt", 13)</f>
        <v>13</v>
      </c>
      <c r="CE643">
        <f>HYPERLINK("http://exon.niaid.nih.gov/transcriptome/Anopheles_sialome/links/cluster-b/anopheline-sialome-cds-pep-larger-orf70-50SimCLTL13.txt", 19)</f>
        <v>19</v>
      </c>
      <c r="CF643">
        <f>HYPERLINK("http://exon.niaid.nih.gov/transcriptome/Anopheles_sialome/links/cluster-b/anopheline-sialome-cds-pep-larger-orf75-50SimCLU15.txt", 15)</f>
        <v>15</v>
      </c>
      <c r="CG643">
        <f>HYPERLINK("http://exon.niaid.nih.gov/transcriptome/Anopheles_sialome/links/cluster-b/anopheline-sialome-cds-pep-larger-orf75-50SimCLTL15.txt", 17)</f>
        <v>17</v>
      </c>
      <c r="CH643">
        <f>HYPERLINK("http://exon.niaid.nih.gov/transcriptome/Anopheles_sialome/links/cluster-b/anopheline-sialome-cds-pep-larger-orf80-50SimCLU14.txt", 14)</f>
        <v>14</v>
      </c>
      <c r="CI643">
        <f>HYPERLINK("http://exon.niaid.nih.gov/transcriptome/Anopheles_sialome/links/cluster-b/anopheline-sialome-cds-pep-larger-orf80-50SimCLTL14.txt", 15)</f>
        <v>15</v>
      </c>
      <c r="CJ643">
        <f>HYPERLINK("http://exon.niaid.nih.gov/transcriptome/Anopheles_sialome/links/cluster-b/anopheline-sialome-cds-pep-larger-orf85-50SimCLU14.txt", 14)</f>
        <v>14</v>
      </c>
      <c r="CK643">
        <f>HYPERLINK("http://exon.niaid.nih.gov/transcriptome/Anopheles_sialome/links/cluster-b/anopheline-sialome-cds-pep-larger-orf85-50SimCLTL14.txt", 12)</f>
        <v>12</v>
      </c>
      <c r="CL643">
        <v>439</v>
      </c>
      <c r="CM643">
        <v>1</v>
      </c>
      <c r="CN643">
        <v>550</v>
      </c>
      <c r="CO643">
        <v>1</v>
      </c>
    </row>
    <row r="644" spans="1:93">
      <c r="A644" s="2" t="str">
        <f>HYPERLINK("http://exon.niaid.nih.gov/transcriptome/Anopheles_sialome/links/cds/anoepi_SG9-cds.txt","anoepi_SG9")</f>
        <v>anoepi_SG9</v>
      </c>
      <c r="B644">
        <v>1161</v>
      </c>
      <c r="C644" t="s">
        <v>615</v>
      </c>
      <c r="D644" t="s">
        <v>7</v>
      </c>
      <c r="E644" t="s">
        <v>5</v>
      </c>
      <c r="F644" t="s">
        <v>1</v>
      </c>
      <c r="G644" t="str">
        <f>HYPERLINK("http://exon.niaid.nih.gov/transcriptome/Anopheles_sialome/links/pep/anoepi_SG9-pep.txt","anoepi_SG9")</f>
        <v>anoepi_SG9</v>
      </c>
      <c r="H644">
        <v>386</v>
      </c>
      <c r="I644">
        <v>0</v>
      </c>
      <c r="J644" s="3" t="str">
        <f>HYPERLINK("http://exon.niaid.nih.gov/transcriptome/Anopheles_sialome/links/Sigp/anoepi_SG9-SigP.txt","SIG")</f>
        <v>SIG</v>
      </c>
      <c r="K644" t="s">
        <v>708</v>
      </c>
      <c r="L644">
        <v>41.779000000000003</v>
      </c>
      <c r="M644">
        <v>8.41</v>
      </c>
      <c r="N644">
        <v>39.18</v>
      </c>
      <c r="O644">
        <v>7.82</v>
      </c>
      <c r="P644" t="s">
        <v>2200</v>
      </c>
      <c r="Q644" s="3">
        <v>0</v>
      </c>
      <c r="R644" t="s">
        <v>128</v>
      </c>
      <c r="S644" t="s">
        <v>128</v>
      </c>
      <c r="T644" t="s">
        <v>128</v>
      </c>
      <c r="U644" t="s">
        <v>128</v>
      </c>
      <c r="V644" t="s">
        <v>128</v>
      </c>
      <c r="W644" s="3" t="str">
        <f>HYPERLINK("http://exon.niaid.nih.gov/transcriptome/Anopheles_sialome/links/netoglyc/anoepi_SG9-netoglyc.txt","1")</f>
        <v>1</v>
      </c>
      <c r="X644">
        <v>15</v>
      </c>
      <c r="Y644">
        <v>6.7</v>
      </c>
      <c r="Z644">
        <v>6</v>
      </c>
      <c r="AA644" t="s">
        <v>654</v>
      </c>
      <c r="AB644" t="s">
        <v>2201</v>
      </c>
      <c r="AC644" s="2" t="str">
        <f>HYPERLINK("http://exon.niaid.nih.gov/transcriptome/Anopheles_sialome/links/DIPTERA/anoepi_SG9-DIPTERA.txt","AGAP013423-PA")</f>
        <v>AGAP013423-PA</v>
      </c>
      <c r="AD644" t="str">
        <f>HYPERLINK("http://www.ncbi.nlm.nih.gov/sutils/blink.cgi?pid=333469608","1E-165")</f>
        <v>1E-165</v>
      </c>
      <c r="AE644" t="str">
        <f t="shared" ref="AE644" si="226">HYPERLINK("http://www.ncbi.nlm.nih.gov/protein/333469608","gi|333469608")</f>
        <v>gi|333469608</v>
      </c>
      <c r="AF644">
        <v>74</v>
      </c>
      <c r="AG644">
        <v>82</v>
      </c>
      <c r="AH644">
        <v>101</v>
      </c>
      <c r="AI644" t="s">
        <v>2285</v>
      </c>
      <c r="AJ644" s="2" t="str">
        <f>HYPERLINK("http://exon.niaid.nih.gov/transcriptome/Anopheles_sialome/links/CULICOMORPHA/anoepi_SG9-CULICOMORPHA.txt","AGAP013423-PA")</f>
        <v>AGAP013423-PA</v>
      </c>
      <c r="AK644" t="str">
        <f>HYPERLINK("http://www.ncbi.nlm.nih.gov/sutils/blink.cgi?pid=333469608","1E-165")</f>
        <v>1E-165</v>
      </c>
      <c r="AL644" t="str">
        <f t="shared" ref="AL644" si="227">HYPERLINK("http://www.ncbi.nlm.nih.gov/protein/333469608","gi|333469608")</f>
        <v>gi|333469608</v>
      </c>
      <c r="AM644">
        <v>74</v>
      </c>
      <c r="AN644">
        <v>82</v>
      </c>
      <c r="AO644">
        <v>101</v>
      </c>
      <c r="AP644" t="s">
        <v>2285</v>
      </c>
      <c r="AQ644" s="2" t="str">
        <f>HYPERLINK("http://exon.niaid.nih.gov/transcriptome/Anopheles_sialome/links/NR-LIGHT/anoepi_SG9-NR-LIGHT.txt","AGAP013423-PA")</f>
        <v>AGAP013423-PA</v>
      </c>
      <c r="AR644" t="str">
        <f>HYPERLINK("http://www.ncbi.nlm.nih.gov/sutils/blink.cgi?pid=347971052","1E-164")</f>
        <v>1E-164</v>
      </c>
      <c r="AS644" t="str">
        <f t="shared" ref="AS644" si="228">HYPERLINK("http://www.ncbi.nlm.nih.gov/protein/347971052","gi|347971052")</f>
        <v>gi|347971052</v>
      </c>
      <c r="AT644">
        <v>74</v>
      </c>
      <c r="AU644">
        <v>82</v>
      </c>
      <c r="AV644">
        <v>101</v>
      </c>
      <c r="AW644" t="s">
        <v>2285</v>
      </c>
      <c r="AX644" s="2" t="str">
        <f>HYPERLINK("http://exon.niaid.nih.gov/transcriptome/Anopheles_sialome/links/CDD/anoepi_SG9-CDD.txt","CytochromB561_N")</f>
        <v>CytochromB561_N</v>
      </c>
      <c r="AY644" t="str">
        <f>HYPERLINK("http://www.ncbi.nlm.nih.gov/Structure/cdd/cddsrv.cgi?uid=pfam09786&amp;version=v4.0","0.22")</f>
        <v>0.22</v>
      </c>
      <c r="AZ644" t="s">
        <v>3120</v>
      </c>
      <c r="BA644" s="2" t="str">
        <f>HYPERLINK("http://exon.niaid.nih.gov/transcriptome/Anopheles_sialome/links/KOG/anoepi_SG9-KOG.txt","Uncharacterized conserved protein, contains BTB/POZ domain")</f>
        <v>Uncharacterized conserved protein, contains BTB/POZ domain</v>
      </c>
      <c r="BB644" t="str">
        <f>HYPERLINK("http://www.ncbi.nlm.nih.gov/Structure/cdd/cddsrv.cgi?uid=KOG2723","2.4")</f>
        <v>2.4</v>
      </c>
      <c r="BC644" t="s">
        <v>2310</v>
      </c>
      <c r="BD644" t="str">
        <f>HYPERLINK("http://exon.niaid.nih.gov/transcriptome/Anopheles_sialome/links/KOG/anoepi_SG9-KOG.txt","KOG2723")</f>
        <v>KOG2723</v>
      </c>
      <c r="BE644" t="str">
        <f>HYPERLINK("http://exon.niaid.nih.gov/transcriptome/Anopheles_sialome/links/PFAM/anoepi_SG9-PFAM.txt","CytochromB561_N")</f>
        <v>CytochromB561_N</v>
      </c>
      <c r="BF644" t="str">
        <f>HYPERLINK("http://pfam.sanger.ac.uk/family?acc=PF09786","0.044")</f>
        <v>0.044</v>
      </c>
      <c r="BG644" s="2" t="str">
        <f>HYPERLINK("http://exon.niaid.nih.gov/transcriptome/Anopheles_sialome/links/SMART/anoepi_SG9-SMART.txt","PGA_cap")</f>
        <v>PGA_cap</v>
      </c>
      <c r="BH644" t="str">
        <f>HYPERLINK("http://smart.embl-heidelberg.de/smart/do_annotation.pl?DOMAIN=PGA_cap&amp;BLAST=DUMMY","0.47")</f>
        <v>0.47</v>
      </c>
      <c r="BI644" t="s">
        <v>128</v>
      </c>
      <c r="BJ644" s="2" t="s">
        <v>128</v>
      </c>
      <c r="BK644" t="s">
        <v>2199</v>
      </c>
      <c r="BL644">
        <f>HYPERLINK("http://exon.niaid.nih.gov/transcriptome/Anopheles_sialome/links/cluster-b/anopheline-sialome-cds-pep-larger-orf25-50SimCLU8.txt", 8)</f>
        <v>8</v>
      </c>
      <c r="BM644">
        <f>HYPERLINK("http://exon.niaid.nih.gov/transcriptome/Anopheles_sialome/links/cluster-b/anopheline-sialome-cds-pep-larger-orf25-50SimCLTL8.txt", 35)</f>
        <v>35</v>
      </c>
      <c r="BN644">
        <f>HYPERLINK("http://exon.niaid.nih.gov/transcriptome/Anopheles_sialome/links/cluster-b/anopheline-sialome-cds-pep-larger-orf30-50SimCLU13.txt", 13)</f>
        <v>13</v>
      </c>
      <c r="BO644">
        <f>HYPERLINK("http://exon.niaid.nih.gov/transcriptome/Anopheles_sialome/links/cluster-b/anopheline-sialome-cds-pep-larger-orf30-50SimCLTL13.txt", 19)</f>
        <v>19</v>
      </c>
      <c r="BP644">
        <f>HYPERLINK("http://exon.niaid.nih.gov/transcriptome/Anopheles_sialome/links/cluster-b/anopheline-sialome-cds-pep-larger-orf35-50SimCLU15.txt", 15)</f>
        <v>15</v>
      </c>
      <c r="BQ644">
        <f>HYPERLINK("http://exon.niaid.nih.gov/transcriptome/Anopheles_sialome/links/cluster-b/anopheline-sialome-cds-pep-larger-orf35-50SimCLTL15.txt", 19)</f>
        <v>19</v>
      </c>
      <c r="BR644">
        <f>HYPERLINK("http://exon.niaid.nih.gov/transcriptome/Anopheles_sialome/links/cluster-b/anopheline-sialome-cds-pep-larger-orf40-50SimCLU17.txt", 17)</f>
        <v>17</v>
      </c>
      <c r="BS644">
        <f>HYPERLINK("http://exon.niaid.nih.gov/transcriptome/Anopheles_sialome/links/cluster-b/anopheline-sialome-cds-pep-larger-orf40-50SimCLTL17.txt", 19)</f>
        <v>19</v>
      </c>
      <c r="BT644">
        <f>HYPERLINK("http://exon.niaid.nih.gov/transcriptome/Anopheles_sialome/links/cluster-b/anopheline-sialome-cds-pep-larger-orf45-50SimCLU17.txt", 17)</f>
        <v>17</v>
      </c>
      <c r="BU644">
        <f>HYPERLINK("http://exon.niaid.nih.gov/transcriptome/Anopheles_sialome/links/cluster-b/anopheline-sialome-cds-pep-larger-orf45-50SimCLTL17.txt", 19)</f>
        <v>19</v>
      </c>
      <c r="BV644">
        <f>HYPERLINK("http://exon.niaid.nih.gov/transcriptome/Anopheles_sialome/links/cluster-b/anopheline-sialome-cds-pep-larger-orf50-50SimCLU16.txt", 16)</f>
        <v>16</v>
      </c>
      <c r="BW644">
        <f>HYPERLINK("http://exon.niaid.nih.gov/transcriptome/Anopheles_sialome/links/cluster-b/anopheline-sialome-cds-pep-larger-orf50-50SimCLTL16.txt", 19)</f>
        <v>19</v>
      </c>
      <c r="BX644">
        <f>HYPERLINK("http://exon.niaid.nih.gov/transcriptome/Anopheles_sialome/links/cluster-b/anopheline-sialome-cds-pep-larger-orf55-50SimCLU17.txt", 17)</f>
        <v>17</v>
      </c>
      <c r="BY644">
        <f>HYPERLINK("http://exon.niaid.nih.gov/transcriptome/Anopheles_sialome/links/cluster-b/anopheline-sialome-cds-pep-larger-orf55-50SimCLTL17.txt", 19)</f>
        <v>19</v>
      </c>
      <c r="BZ644">
        <f>HYPERLINK("http://exon.niaid.nih.gov/transcriptome/Anopheles_sialome/links/cluster-b/anopheline-sialome-cds-pep-larger-orf60-50SimCLU16.txt", 16)</f>
        <v>16</v>
      </c>
      <c r="CA644">
        <f>HYPERLINK("http://exon.niaid.nih.gov/transcriptome/Anopheles_sialome/links/cluster-b/anopheline-sialome-cds-pep-larger-orf60-50SimCLTL16.txt", 19)</f>
        <v>19</v>
      </c>
      <c r="CB644">
        <f>HYPERLINK("http://exon.niaid.nih.gov/transcriptome/Anopheles_sialome/links/cluster-b/anopheline-sialome-cds-pep-larger-orf65-50SimCLU13.txt", 13)</f>
        <v>13</v>
      </c>
      <c r="CC644">
        <f>HYPERLINK("http://exon.niaid.nih.gov/transcriptome/Anopheles_sialome/links/cluster-b/anopheline-sialome-cds-pep-larger-orf65-50SimCLTL13.txt", 19)</f>
        <v>19</v>
      </c>
      <c r="CD644">
        <f>HYPERLINK("http://exon.niaid.nih.gov/transcriptome/Anopheles_sialome/links/cluster-b/anopheline-sialome-cds-pep-larger-orf70-50SimCLU13.txt", 13)</f>
        <v>13</v>
      </c>
      <c r="CE644">
        <f>HYPERLINK("http://exon.niaid.nih.gov/transcriptome/Anopheles_sialome/links/cluster-b/anopheline-sialome-cds-pep-larger-orf70-50SimCLTL13.txt", 19)</f>
        <v>19</v>
      </c>
      <c r="CF644">
        <f>HYPERLINK("http://exon.niaid.nih.gov/transcriptome/Anopheles_sialome/links/cluster-b/anopheline-sialome-cds-pep-larger-orf75-50SimCLU15.txt", 15)</f>
        <v>15</v>
      </c>
      <c r="CG644">
        <f>HYPERLINK("http://exon.niaid.nih.gov/transcriptome/Anopheles_sialome/links/cluster-b/anopheline-sialome-cds-pep-larger-orf75-50SimCLTL15.txt", 17)</f>
        <v>17</v>
      </c>
      <c r="CH644">
        <f>HYPERLINK("http://exon.niaid.nih.gov/transcriptome/Anopheles_sialome/links/cluster-b/anopheline-sialome-cds-pep-larger-orf80-50SimCLU14.txt", 14)</f>
        <v>14</v>
      </c>
      <c r="CI644">
        <f>HYPERLINK("http://exon.niaid.nih.gov/transcriptome/Anopheles_sialome/links/cluster-b/anopheline-sialome-cds-pep-larger-orf80-50SimCLTL14.txt", 15)</f>
        <v>15</v>
      </c>
      <c r="CJ644">
        <v>336</v>
      </c>
      <c r="CK644">
        <v>1</v>
      </c>
      <c r="CL644">
        <v>440</v>
      </c>
      <c r="CM644">
        <v>1</v>
      </c>
      <c r="CN644">
        <v>551</v>
      </c>
      <c r="CO644">
        <v>1</v>
      </c>
    </row>
    <row r="645" spans="1:93">
      <c r="A645" s="2" t="str">
        <f>HYPERLINK("http://exon.niaid.nih.gov/transcriptome/Anopheles_sialome/links/cds/anofun_SG9-cds.txt","anofun_SG9")</f>
        <v>anofun_SG9</v>
      </c>
      <c r="B645">
        <v>1155</v>
      </c>
      <c r="C645" t="s">
        <v>616</v>
      </c>
      <c r="D645" t="s">
        <v>7</v>
      </c>
      <c r="E645" t="s">
        <v>5</v>
      </c>
      <c r="F645" t="s">
        <v>1</v>
      </c>
      <c r="G645" t="str">
        <f>HYPERLINK("http://exon.niaid.nih.gov/transcriptome/Anopheles_sialome/links/pep/anofun_SG9-pep.txt","anofun_SG9")</f>
        <v>anofun_SG9</v>
      </c>
      <c r="H645">
        <v>384</v>
      </c>
      <c r="I645">
        <v>1</v>
      </c>
      <c r="J645" s="3" t="str">
        <f>HYPERLINK("http://exon.niaid.nih.gov/transcriptome/Anopheles_sialome/links/Sigp/anofun_SG9-SigP.txt","SIG")</f>
        <v>SIG</v>
      </c>
      <c r="K645" t="s">
        <v>695</v>
      </c>
      <c r="L645">
        <v>42.121000000000002</v>
      </c>
      <c r="M645">
        <v>5.25</v>
      </c>
      <c r="N645">
        <v>39.658000000000001</v>
      </c>
      <c r="O645">
        <v>5.23</v>
      </c>
      <c r="P645" t="s">
        <v>2203</v>
      </c>
      <c r="Q645" s="3">
        <v>0</v>
      </c>
      <c r="R645" t="s">
        <v>128</v>
      </c>
      <c r="S645" t="s">
        <v>128</v>
      </c>
      <c r="T645" t="s">
        <v>128</v>
      </c>
      <c r="U645" t="s">
        <v>128</v>
      </c>
      <c r="V645" t="s">
        <v>128</v>
      </c>
      <c r="W645" s="3" t="str">
        <f>HYPERLINK("http://exon.niaid.nih.gov/transcriptome/Anopheles_sialome/links/netoglyc/anofun_SG9-netoglyc.txt","1")</f>
        <v>1</v>
      </c>
      <c r="X645">
        <v>16.7</v>
      </c>
      <c r="Y645">
        <v>7</v>
      </c>
      <c r="Z645">
        <v>4.2</v>
      </c>
      <c r="AA645" t="s">
        <v>654</v>
      </c>
      <c r="AB645" t="s">
        <v>2204</v>
      </c>
      <c r="AC645" s="2" t="str">
        <f>HYPERLINK("http://exon.niaid.nih.gov/transcriptome/Anopheles_sialome/links/DIPTERA/anofun_SG9-DIPTERA.txt","AGAP013423-PA")</f>
        <v>AGAP013423-PA</v>
      </c>
      <c r="AD645" t="str">
        <f>HYPERLINK("http://www.ncbi.nlm.nih.gov/sutils/blink.cgi?pid=333469608","1E-154")</f>
        <v>1E-154</v>
      </c>
      <c r="AE645" t="str">
        <f t="shared" ref="AE645:AE653" si="229">HYPERLINK("http://www.ncbi.nlm.nih.gov/protein/333469608","gi|333469608")</f>
        <v>gi|333469608</v>
      </c>
      <c r="AF645">
        <v>70</v>
      </c>
      <c r="AG645">
        <v>82</v>
      </c>
      <c r="AH645">
        <v>99</v>
      </c>
      <c r="AI645" t="s">
        <v>2285</v>
      </c>
      <c r="AJ645" s="2" t="str">
        <f>HYPERLINK("http://exon.niaid.nih.gov/transcriptome/Anopheles_sialome/links/CULICOMORPHA/anofun_SG9-CULICOMORPHA.txt","AGAP013423-PA")</f>
        <v>AGAP013423-PA</v>
      </c>
      <c r="AK645" t="str">
        <f>HYPERLINK("http://www.ncbi.nlm.nih.gov/sutils/blink.cgi?pid=333469608","1E-154")</f>
        <v>1E-154</v>
      </c>
      <c r="AL645" t="str">
        <f t="shared" ref="AL645:AL653" si="230">HYPERLINK("http://www.ncbi.nlm.nih.gov/protein/333469608","gi|333469608")</f>
        <v>gi|333469608</v>
      </c>
      <c r="AM645">
        <v>70</v>
      </c>
      <c r="AN645">
        <v>82</v>
      </c>
      <c r="AO645">
        <v>99</v>
      </c>
      <c r="AP645" t="s">
        <v>2285</v>
      </c>
      <c r="AQ645" s="2" t="str">
        <f>HYPERLINK("http://exon.niaid.nih.gov/transcriptome/Anopheles_sialome/links/NR-LIGHT/anofun_SG9-NR-LIGHT.txt","AGAP013423-PA")</f>
        <v>AGAP013423-PA</v>
      </c>
      <c r="AR645" t="str">
        <f>HYPERLINK("http://www.ncbi.nlm.nih.gov/sutils/blink.cgi?pid=347971052","1E-153")</f>
        <v>1E-153</v>
      </c>
      <c r="AS645" t="str">
        <f t="shared" ref="AS645:AS653" si="231">HYPERLINK("http://www.ncbi.nlm.nih.gov/protein/347971052","gi|347971052")</f>
        <v>gi|347971052</v>
      </c>
      <c r="AT645">
        <v>70</v>
      </c>
      <c r="AU645">
        <v>82</v>
      </c>
      <c r="AV645">
        <v>99</v>
      </c>
      <c r="AW645" t="s">
        <v>2285</v>
      </c>
      <c r="AX645" s="2" t="str">
        <f>HYPERLINK("http://exon.niaid.nih.gov/transcriptome/Anopheles_sialome/links/CDD/anofun_SG9-CDD.txt","Porin_OmpL1")</f>
        <v>Porin_OmpL1</v>
      </c>
      <c r="AY645" t="str">
        <f>HYPERLINK("http://www.ncbi.nlm.nih.gov/Structure/cdd/cddsrv.cgi?uid=pfam11389&amp;version=v4.0","0.054")</f>
        <v>0.054</v>
      </c>
      <c r="AZ645" t="s">
        <v>3121</v>
      </c>
      <c r="BA645" s="2" t="str">
        <f>HYPERLINK("http://exon.niaid.nih.gov/transcriptome/Anopheles_sialome/links/KOG/anofun_SG9-KOG.txt","Sec5 subunit of exocyst complex")</f>
        <v>Sec5 subunit of exocyst complex</v>
      </c>
      <c r="BB645" t="str">
        <f>HYPERLINK("http://www.ncbi.nlm.nih.gov/Structure/cdd/cddsrv.cgi?uid=KOG2347","2.0")</f>
        <v>2.0</v>
      </c>
      <c r="BC645" t="s">
        <v>2487</v>
      </c>
      <c r="BD645" t="str">
        <f>HYPERLINK("http://exon.niaid.nih.gov/transcriptome/Anopheles_sialome/links/KOG/anofun_SG9-KOG.txt","KOG2347")</f>
        <v>KOG2347</v>
      </c>
      <c r="BE645" t="str">
        <f>HYPERLINK("http://exon.niaid.nih.gov/transcriptome/Anopheles_sialome/links/PFAM/anofun_SG9-PFAM.txt","Porin_OmpL1")</f>
        <v>Porin_OmpL1</v>
      </c>
      <c r="BF645" t="str">
        <f>HYPERLINK("http://pfam.sanger.ac.uk/family?acc=PF11389","0.011")</f>
        <v>0.011</v>
      </c>
      <c r="BG645" s="2" t="str">
        <f>HYPERLINK("http://exon.niaid.nih.gov/transcriptome/Anopheles_sialome/links/SMART/anofun_SG9-SMART.txt","MA")</f>
        <v>MA</v>
      </c>
      <c r="BH645" t="str">
        <f>HYPERLINK("http://smart.embl-heidelberg.de/smart/do_annotation.pl?DOMAIN=MA&amp;BLAST=DUMMY","0.39")</f>
        <v>0.39</v>
      </c>
      <c r="BI645" t="s">
        <v>128</v>
      </c>
      <c r="BJ645" s="2" t="s">
        <v>128</v>
      </c>
      <c r="BK645" t="s">
        <v>2202</v>
      </c>
      <c r="BL645">
        <f>HYPERLINK("http://exon.niaid.nih.gov/transcriptome/Anopheles_sialome/links/cluster-b/anopheline-sialome-cds-pep-larger-orf25-50SimCLU8.txt", 8)</f>
        <v>8</v>
      </c>
      <c r="BM645">
        <f>HYPERLINK("http://exon.niaid.nih.gov/transcriptome/Anopheles_sialome/links/cluster-b/anopheline-sialome-cds-pep-larger-orf25-50SimCLTL8.txt", 35)</f>
        <v>35</v>
      </c>
      <c r="BN645">
        <f>HYPERLINK("http://exon.niaid.nih.gov/transcriptome/Anopheles_sialome/links/cluster-b/anopheline-sialome-cds-pep-larger-orf30-50SimCLU13.txt", 13)</f>
        <v>13</v>
      </c>
      <c r="BO645">
        <f>HYPERLINK("http://exon.niaid.nih.gov/transcriptome/Anopheles_sialome/links/cluster-b/anopheline-sialome-cds-pep-larger-orf30-50SimCLTL13.txt", 19)</f>
        <v>19</v>
      </c>
      <c r="BP645">
        <f>HYPERLINK("http://exon.niaid.nih.gov/transcriptome/Anopheles_sialome/links/cluster-b/anopheline-sialome-cds-pep-larger-orf35-50SimCLU15.txt", 15)</f>
        <v>15</v>
      </c>
      <c r="BQ645">
        <f>HYPERLINK("http://exon.niaid.nih.gov/transcriptome/Anopheles_sialome/links/cluster-b/anopheline-sialome-cds-pep-larger-orf35-50SimCLTL15.txt", 19)</f>
        <v>19</v>
      </c>
      <c r="BR645">
        <f>HYPERLINK("http://exon.niaid.nih.gov/transcriptome/Anopheles_sialome/links/cluster-b/anopheline-sialome-cds-pep-larger-orf40-50SimCLU17.txt", 17)</f>
        <v>17</v>
      </c>
      <c r="BS645">
        <f>HYPERLINK("http://exon.niaid.nih.gov/transcriptome/Anopheles_sialome/links/cluster-b/anopheline-sialome-cds-pep-larger-orf40-50SimCLTL17.txt", 19)</f>
        <v>19</v>
      </c>
      <c r="BT645">
        <f>HYPERLINK("http://exon.niaid.nih.gov/transcriptome/Anopheles_sialome/links/cluster-b/anopheline-sialome-cds-pep-larger-orf45-50SimCLU17.txt", 17)</f>
        <v>17</v>
      </c>
      <c r="BU645">
        <f>HYPERLINK("http://exon.niaid.nih.gov/transcriptome/Anopheles_sialome/links/cluster-b/anopheline-sialome-cds-pep-larger-orf45-50SimCLTL17.txt", 19)</f>
        <v>19</v>
      </c>
      <c r="BV645">
        <f>HYPERLINK("http://exon.niaid.nih.gov/transcriptome/Anopheles_sialome/links/cluster-b/anopheline-sialome-cds-pep-larger-orf50-50SimCLU16.txt", 16)</f>
        <v>16</v>
      </c>
      <c r="BW645">
        <f>HYPERLINK("http://exon.niaid.nih.gov/transcriptome/Anopheles_sialome/links/cluster-b/anopheline-sialome-cds-pep-larger-orf50-50SimCLTL16.txt", 19)</f>
        <v>19</v>
      </c>
      <c r="BX645">
        <f>HYPERLINK("http://exon.niaid.nih.gov/transcriptome/Anopheles_sialome/links/cluster-b/anopheline-sialome-cds-pep-larger-orf55-50SimCLU17.txt", 17)</f>
        <v>17</v>
      </c>
      <c r="BY645">
        <f>HYPERLINK("http://exon.niaid.nih.gov/transcriptome/Anopheles_sialome/links/cluster-b/anopheline-sialome-cds-pep-larger-orf55-50SimCLTL17.txt", 19)</f>
        <v>19</v>
      </c>
      <c r="BZ645">
        <f>HYPERLINK("http://exon.niaid.nih.gov/transcriptome/Anopheles_sialome/links/cluster-b/anopheline-sialome-cds-pep-larger-orf60-50SimCLU16.txt", 16)</f>
        <v>16</v>
      </c>
      <c r="CA645">
        <f>HYPERLINK("http://exon.niaid.nih.gov/transcriptome/Anopheles_sialome/links/cluster-b/anopheline-sialome-cds-pep-larger-orf60-50SimCLTL16.txt", 19)</f>
        <v>19</v>
      </c>
      <c r="CB645">
        <f>HYPERLINK("http://exon.niaid.nih.gov/transcriptome/Anopheles_sialome/links/cluster-b/anopheline-sialome-cds-pep-larger-orf65-50SimCLU13.txt", 13)</f>
        <v>13</v>
      </c>
      <c r="CC645">
        <f>HYPERLINK("http://exon.niaid.nih.gov/transcriptome/Anopheles_sialome/links/cluster-b/anopheline-sialome-cds-pep-larger-orf65-50SimCLTL13.txt", 19)</f>
        <v>19</v>
      </c>
      <c r="CD645">
        <f>HYPERLINK("http://exon.niaid.nih.gov/transcriptome/Anopheles_sialome/links/cluster-b/anopheline-sialome-cds-pep-larger-orf70-50SimCLU13.txt", 13)</f>
        <v>13</v>
      </c>
      <c r="CE645">
        <f>HYPERLINK("http://exon.niaid.nih.gov/transcriptome/Anopheles_sialome/links/cluster-b/anopheline-sialome-cds-pep-larger-orf70-50SimCLTL13.txt", 19)</f>
        <v>19</v>
      </c>
      <c r="CF645">
        <f>HYPERLINK("http://exon.niaid.nih.gov/transcriptome/Anopheles_sialome/links/cluster-b/anopheline-sialome-cds-pep-larger-orf75-50SimCLU15.txt", 15)</f>
        <v>15</v>
      </c>
      <c r="CG645">
        <f>HYPERLINK("http://exon.niaid.nih.gov/transcriptome/Anopheles_sialome/links/cluster-b/anopheline-sialome-cds-pep-larger-orf75-50SimCLTL15.txt", 17)</f>
        <v>17</v>
      </c>
      <c r="CH645">
        <f>HYPERLINK("http://exon.niaid.nih.gov/transcriptome/Anopheles_sialome/links/cluster-b/anopheline-sialome-cds-pep-larger-orf80-50SimCLU14.txt", 14)</f>
        <v>14</v>
      </c>
      <c r="CI645">
        <f>HYPERLINK("http://exon.niaid.nih.gov/transcriptome/Anopheles_sialome/links/cluster-b/anopheline-sialome-cds-pep-larger-orf80-50SimCLTL14.txt", 15)</f>
        <v>15</v>
      </c>
      <c r="CJ645">
        <f>HYPERLINK("http://exon.niaid.nih.gov/transcriptome/Anopheles_sialome/links/cluster-b/anopheline-sialome-cds-pep-larger-orf85-50SimCLU14.txt", 14)</f>
        <v>14</v>
      </c>
      <c r="CK645">
        <f>HYPERLINK("http://exon.niaid.nih.gov/transcriptome/Anopheles_sialome/links/cluster-b/anopheline-sialome-cds-pep-larger-orf85-50SimCLTL14.txt", 12)</f>
        <v>12</v>
      </c>
      <c r="CL645">
        <v>441</v>
      </c>
      <c r="CM645">
        <v>1</v>
      </c>
      <c r="CN645">
        <v>552</v>
      </c>
      <c r="CO645">
        <v>1</v>
      </c>
    </row>
    <row r="646" spans="1:93">
      <c r="A646" s="2" t="str">
        <f>HYPERLINK("http://exon.niaid.nih.gov/transcriptome/Anopheles_sialome/links/cds/anomin_SG9-cds.txt","anomin_SG9")</f>
        <v>anomin_SG9</v>
      </c>
      <c r="B646">
        <v>1182</v>
      </c>
      <c r="C646" t="s">
        <v>617</v>
      </c>
      <c r="D646" t="s">
        <v>7</v>
      </c>
      <c r="E646" t="s">
        <v>5</v>
      </c>
      <c r="F646" t="s">
        <v>1</v>
      </c>
      <c r="G646" t="str">
        <f>HYPERLINK("http://exon.niaid.nih.gov/transcriptome/Anopheles_sialome/links/pep/anomin_SG9-pep.txt","anomin_SG9")</f>
        <v>anomin_SG9</v>
      </c>
      <c r="H646">
        <v>393</v>
      </c>
      <c r="I646">
        <v>0</v>
      </c>
      <c r="J646" s="3" t="str">
        <f>HYPERLINK("http://exon.niaid.nih.gov/transcriptome/Anopheles_sialome/links/Sigp/anomin_SG9-SigP.txt","SIG")</f>
        <v>SIG</v>
      </c>
      <c r="K646" t="s">
        <v>708</v>
      </c>
      <c r="L646">
        <v>42.94</v>
      </c>
      <c r="M646">
        <v>5.23</v>
      </c>
      <c r="N646">
        <v>40.296999999999997</v>
      </c>
      <c r="O646">
        <v>5.22</v>
      </c>
      <c r="P646" t="s">
        <v>2206</v>
      </c>
      <c r="Q646" s="3">
        <v>0</v>
      </c>
      <c r="R646" t="s">
        <v>128</v>
      </c>
      <c r="S646" t="s">
        <v>128</v>
      </c>
      <c r="T646" t="s">
        <v>128</v>
      </c>
      <c r="U646" t="s">
        <v>128</v>
      </c>
      <c r="V646" t="s">
        <v>128</v>
      </c>
      <c r="W646" s="3" t="str">
        <f>HYPERLINK("http://exon.niaid.nih.gov/transcriptome/Anopheles_sialome/links/netoglyc/anomin_SG9-netoglyc.txt","12")</f>
        <v>12</v>
      </c>
      <c r="X646">
        <v>16.8</v>
      </c>
      <c r="Y646">
        <v>6.9</v>
      </c>
      <c r="Z646">
        <v>4.5999999999999996</v>
      </c>
      <c r="AA646" t="s">
        <v>654</v>
      </c>
      <c r="AB646" t="s">
        <v>2207</v>
      </c>
      <c r="AC646" s="2" t="str">
        <f>HYPERLINK("http://exon.niaid.nih.gov/transcriptome/Anopheles_sialome/links/DIPTERA/anomin_SG9-DIPTERA.txt","AGAP013423-PA")</f>
        <v>AGAP013423-PA</v>
      </c>
      <c r="AD646" t="str">
        <f>HYPERLINK("http://www.ncbi.nlm.nih.gov/sutils/blink.cgi?pid=333469608","1E-158")</f>
        <v>1E-158</v>
      </c>
      <c r="AE646" t="str">
        <f t="shared" si="229"/>
        <v>gi|333469608</v>
      </c>
      <c r="AF646">
        <v>69</v>
      </c>
      <c r="AG646">
        <v>84</v>
      </c>
      <c r="AH646">
        <v>101</v>
      </c>
      <c r="AI646" t="s">
        <v>2285</v>
      </c>
      <c r="AJ646" s="2" t="str">
        <f>HYPERLINK("http://exon.niaid.nih.gov/transcriptome/Anopheles_sialome/links/CULICOMORPHA/anomin_SG9-CULICOMORPHA.txt","AGAP013423-PA")</f>
        <v>AGAP013423-PA</v>
      </c>
      <c r="AK646" t="str">
        <f>HYPERLINK("http://www.ncbi.nlm.nih.gov/sutils/blink.cgi?pid=333469608","1E-159")</f>
        <v>1E-159</v>
      </c>
      <c r="AL646" t="str">
        <f t="shared" si="230"/>
        <v>gi|333469608</v>
      </c>
      <c r="AM646">
        <v>69</v>
      </c>
      <c r="AN646">
        <v>84</v>
      </c>
      <c r="AO646">
        <v>101</v>
      </c>
      <c r="AP646" t="s">
        <v>2285</v>
      </c>
      <c r="AQ646" s="2" t="str">
        <f>HYPERLINK("http://exon.niaid.nih.gov/transcriptome/Anopheles_sialome/links/NR-LIGHT/anomin_SG9-NR-LIGHT.txt","AGAP013423-PA")</f>
        <v>AGAP013423-PA</v>
      </c>
      <c r="AR646" t="str">
        <f>HYPERLINK("http://www.ncbi.nlm.nih.gov/sutils/blink.cgi?pid=347971052","1E-157")</f>
        <v>1E-157</v>
      </c>
      <c r="AS646" t="str">
        <f t="shared" si="231"/>
        <v>gi|347971052</v>
      </c>
      <c r="AT646">
        <v>69</v>
      </c>
      <c r="AU646">
        <v>84</v>
      </c>
      <c r="AV646">
        <v>101</v>
      </c>
      <c r="AW646" t="s">
        <v>2285</v>
      </c>
      <c r="AX646" s="2" t="str">
        <f>HYPERLINK("http://exon.niaid.nih.gov/transcriptome/Anopheles_sialome/links/CDD/anomin_SG9-CDD.txt","PRK08186")</f>
        <v>PRK08186</v>
      </c>
      <c r="AY646" t="str">
        <f>HYPERLINK("http://www.ncbi.nlm.nih.gov/Structure/cdd/cddsrv.cgi?uid=PRK08186&amp;version=v4.0","0.37")</f>
        <v>0.37</v>
      </c>
      <c r="AZ646" t="s">
        <v>3122</v>
      </c>
      <c r="BA646" s="2" t="str">
        <f>HYPERLINK("http://exon.niaid.nih.gov/transcriptome/Anopheles_sialome/links/KOG/anomin_SG9-KOG.txt","TATA binding protein associated factor")</f>
        <v>TATA binding protein associated factor</v>
      </c>
      <c r="BB646" t="str">
        <f>HYPERLINK("http://www.ncbi.nlm.nih.gov/Structure/cdd/cddsrv.cgi?uid=KOG1932","0.83")</f>
        <v>0.83</v>
      </c>
      <c r="BC646" t="s">
        <v>2262</v>
      </c>
      <c r="BD646" t="str">
        <f>HYPERLINK("http://exon.niaid.nih.gov/transcriptome/Anopheles_sialome/links/KOG/anomin_SG9-KOG.txt","KOG1932")</f>
        <v>KOG1932</v>
      </c>
      <c r="BE646" t="str">
        <f>HYPERLINK("http://exon.niaid.nih.gov/transcriptome/Anopheles_sialome/links/PFAM/anomin_SG9-PFAM.txt","DUF3595")</f>
        <v>DUF3595</v>
      </c>
      <c r="BF646" t="str">
        <f>HYPERLINK("http://pfam.sanger.ac.uk/family?acc=PF12166","0.22")</f>
        <v>0.22</v>
      </c>
      <c r="BG646" s="2" t="str">
        <f>HYPERLINK("http://exon.niaid.nih.gov/transcriptome/Anopheles_sialome/links/SMART/anomin_SG9-SMART.txt","AP2Ec")</f>
        <v>AP2Ec</v>
      </c>
      <c r="BH646" t="str">
        <f>HYPERLINK("http://smart.embl-heidelberg.de/smart/do_annotation.pl?DOMAIN=AP2Ec&amp;BLAST=DUMMY","0.20")</f>
        <v>0.20</v>
      </c>
      <c r="BI646" t="s">
        <v>128</v>
      </c>
      <c r="BJ646" s="2" t="s">
        <v>128</v>
      </c>
      <c r="BK646" t="s">
        <v>2205</v>
      </c>
      <c r="BL646">
        <f>HYPERLINK("http://exon.niaid.nih.gov/transcriptome/Anopheles_sialome/links/cluster-b/anopheline-sialome-cds-pep-larger-orf25-50SimCLU8.txt", 8)</f>
        <v>8</v>
      </c>
      <c r="BM646">
        <f>HYPERLINK("http://exon.niaid.nih.gov/transcriptome/Anopheles_sialome/links/cluster-b/anopheline-sialome-cds-pep-larger-orf25-50SimCLTL8.txt", 35)</f>
        <v>35</v>
      </c>
      <c r="BN646">
        <f>HYPERLINK("http://exon.niaid.nih.gov/transcriptome/Anopheles_sialome/links/cluster-b/anopheline-sialome-cds-pep-larger-orf30-50SimCLU13.txt", 13)</f>
        <v>13</v>
      </c>
      <c r="BO646">
        <f>HYPERLINK("http://exon.niaid.nih.gov/transcriptome/Anopheles_sialome/links/cluster-b/anopheline-sialome-cds-pep-larger-orf30-50SimCLTL13.txt", 19)</f>
        <v>19</v>
      </c>
      <c r="BP646">
        <f>HYPERLINK("http://exon.niaid.nih.gov/transcriptome/Anopheles_sialome/links/cluster-b/anopheline-sialome-cds-pep-larger-orf35-50SimCLU15.txt", 15)</f>
        <v>15</v>
      </c>
      <c r="BQ646">
        <f>HYPERLINK("http://exon.niaid.nih.gov/transcriptome/Anopheles_sialome/links/cluster-b/anopheline-sialome-cds-pep-larger-orf35-50SimCLTL15.txt", 19)</f>
        <v>19</v>
      </c>
      <c r="BR646">
        <f>HYPERLINK("http://exon.niaid.nih.gov/transcriptome/Anopheles_sialome/links/cluster-b/anopheline-sialome-cds-pep-larger-orf40-50SimCLU17.txt", 17)</f>
        <v>17</v>
      </c>
      <c r="BS646">
        <f>HYPERLINK("http://exon.niaid.nih.gov/transcriptome/Anopheles_sialome/links/cluster-b/anopheline-sialome-cds-pep-larger-orf40-50SimCLTL17.txt", 19)</f>
        <v>19</v>
      </c>
      <c r="BT646">
        <f>HYPERLINK("http://exon.niaid.nih.gov/transcriptome/Anopheles_sialome/links/cluster-b/anopheline-sialome-cds-pep-larger-orf45-50SimCLU17.txt", 17)</f>
        <v>17</v>
      </c>
      <c r="BU646">
        <f>HYPERLINK("http://exon.niaid.nih.gov/transcriptome/Anopheles_sialome/links/cluster-b/anopheline-sialome-cds-pep-larger-orf45-50SimCLTL17.txt", 19)</f>
        <v>19</v>
      </c>
      <c r="BV646">
        <f>HYPERLINK("http://exon.niaid.nih.gov/transcriptome/Anopheles_sialome/links/cluster-b/anopheline-sialome-cds-pep-larger-orf50-50SimCLU16.txt", 16)</f>
        <v>16</v>
      </c>
      <c r="BW646">
        <f>HYPERLINK("http://exon.niaid.nih.gov/transcriptome/Anopheles_sialome/links/cluster-b/anopheline-sialome-cds-pep-larger-orf50-50SimCLTL16.txt", 19)</f>
        <v>19</v>
      </c>
      <c r="BX646">
        <f>HYPERLINK("http://exon.niaid.nih.gov/transcriptome/Anopheles_sialome/links/cluster-b/anopheline-sialome-cds-pep-larger-orf55-50SimCLU17.txt", 17)</f>
        <v>17</v>
      </c>
      <c r="BY646">
        <f>HYPERLINK("http://exon.niaid.nih.gov/transcriptome/Anopheles_sialome/links/cluster-b/anopheline-sialome-cds-pep-larger-orf55-50SimCLTL17.txt", 19)</f>
        <v>19</v>
      </c>
      <c r="BZ646">
        <f>HYPERLINK("http://exon.niaid.nih.gov/transcriptome/Anopheles_sialome/links/cluster-b/anopheline-sialome-cds-pep-larger-orf60-50SimCLU16.txt", 16)</f>
        <v>16</v>
      </c>
      <c r="CA646">
        <f>HYPERLINK("http://exon.niaid.nih.gov/transcriptome/Anopheles_sialome/links/cluster-b/anopheline-sialome-cds-pep-larger-orf60-50SimCLTL16.txt", 19)</f>
        <v>19</v>
      </c>
      <c r="CB646">
        <f>HYPERLINK("http://exon.niaid.nih.gov/transcriptome/Anopheles_sialome/links/cluster-b/anopheline-sialome-cds-pep-larger-orf65-50SimCLU13.txt", 13)</f>
        <v>13</v>
      </c>
      <c r="CC646">
        <f>HYPERLINK("http://exon.niaid.nih.gov/transcriptome/Anopheles_sialome/links/cluster-b/anopheline-sialome-cds-pep-larger-orf65-50SimCLTL13.txt", 19)</f>
        <v>19</v>
      </c>
      <c r="CD646">
        <f>HYPERLINK("http://exon.niaid.nih.gov/transcriptome/Anopheles_sialome/links/cluster-b/anopheline-sialome-cds-pep-larger-orf70-50SimCLU13.txt", 13)</f>
        <v>13</v>
      </c>
      <c r="CE646">
        <f>HYPERLINK("http://exon.niaid.nih.gov/transcriptome/Anopheles_sialome/links/cluster-b/anopheline-sialome-cds-pep-larger-orf70-50SimCLTL13.txt", 19)</f>
        <v>19</v>
      </c>
      <c r="CF646">
        <f>HYPERLINK("http://exon.niaid.nih.gov/transcriptome/Anopheles_sialome/links/cluster-b/anopheline-sialome-cds-pep-larger-orf75-50SimCLU15.txt", 15)</f>
        <v>15</v>
      </c>
      <c r="CG646">
        <f>HYPERLINK("http://exon.niaid.nih.gov/transcriptome/Anopheles_sialome/links/cluster-b/anopheline-sialome-cds-pep-larger-orf75-50SimCLTL15.txt", 17)</f>
        <v>17</v>
      </c>
      <c r="CH646">
        <f>HYPERLINK("http://exon.niaid.nih.gov/transcriptome/Anopheles_sialome/links/cluster-b/anopheline-sialome-cds-pep-larger-orf80-50SimCLU14.txt", 14)</f>
        <v>14</v>
      </c>
      <c r="CI646">
        <f>HYPERLINK("http://exon.niaid.nih.gov/transcriptome/Anopheles_sialome/links/cluster-b/anopheline-sialome-cds-pep-larger-orf80-50SimCLTL14.txt", 15)</f>
        <v>15</v>
      </c>
      <c r="CJ646">
        <f>HYPERLINK("http://exon.niaid.nih.gov/transcriptome/Anopheles_sialome/links/cluster-b/anopheline-sialome-cds-pep-larger-orf85-50SimCLU14.txt", 14)</f>
        <v>14</v>
      </c>
      <c r="CK646">
        <f>HYPERLINK("http://exon.niaid.nih.gov/transcriptome/Anopheles_sialome/links/cluster-b/anopheline-sialome-cds-pep-larger-orf85-50SimCLTL14.txt", 12)</f>
        <v>12</v>
      </c>
      <c r="CL646">
        <f>HYPERLINK("http://exon.niaid.nih.gov/transcriptome/Anopheles_sialome/links/cluster-b/anopheline-sialome-cds-pep-larger-orf90-50SimCLU94.txt", 94)</f>
        <v>94</v>
      </c>
      <c r="CM646">
        <f>HYPERLINK("http://exon.niaid.nih.gov/transcriptome/Anopheles_sialome/links/cluster-b/anopheline-sialome-cds-pep-larger-orf90-50SimCLTL94.txt", 2)</f>
        <v>2</v>
      </c>
      <c r="CN646">
        <v>553</v>
      </c>
      <c r="CO646">
        <v>1</v>
      </c>
    </row>
    <row r="647" spans="1:93">
      <c r="A647" s="2" t="str">
        <f>HYPERLINK("http://exon.niaid.nih.gov/transcriptome/Anopheles_sialome/links/cds/anocul_SG9-cds.txt","anocul_SG9")</f>
        <v>anocul_SG9</v>
      </c>
      <c r="B647">
        <v>1176</v>
      </c>
      <c r="C647" t="s">
        <v>618</v>
      </c>
      <c r="D647" t="s">
        <v>7</v>
      </c>
      <c r="E647" t="s">
        <v>5</v>
      </c>
      <c r="F647" t="s">
        <v>1</v>
      </c>
      <c r="G647" t="str">
        <f>HYPERLINK("http://exon.niaid.nih.gov/transcriptome/Anopheles_sialome/links/pep/anocul_SG9-pep.txt","anocul_SG9")</f>
        <v>anocul_SG9</v>
      </c>
      <c r="H647">
        <v>391</v>
      </c>
      <c r="I647">
        <v>0</v>
      </c>
      <c r="J647" s="3" t="str">
        <f>HYPERLINK("http://exon.niaid.nih.gov/transcriptome/Anopheles_sialome/links/Sigp/anocul_SG9-SigP.txt","SIG")</f>
        <v>SIG</v>
      </c>
      <c r="K647" t="s">
        <v>708</v>
      </c>
      <c r="L647">
        <v>42.747999999999998</v>
      </c>
      <c r="M647">
        <v>5.48</v>
      </c>
      <c r="N647">
        <v>40.168999999999997</v>
      </c>
      <c r="O647">
        <v>5.54</v>
      </c>
      <c r="P647" t="s">
        <v>2209</v>
      </c>
      <c r="Q647" s="3">
        <v>0</v>
      </c>
      <c r="R647" t="s">
        <v>128</v>
      </c>
      <c r="S647" t="s">
        <v>128</v>
      </c>
      <c r="T647" t="s">
        <v>128</v>
      </c>
      <c r="U647" t="s">
        <v>128</v>
      </c>
      <c r="V647" t="s">
        <v>128</v>
      </c>
      <c r="W647" s="3" t="str">
        <f>HYPERLINK("http://exon.niaid.nih.gov/transcriptome/Anopheles_sialome/links/netoglyc/anocul_SG9-netoglyc.txt","9")</f>
        <v>9</v>
      </c>
      <c r="X647">
        <v>17.100000000000001</v>
      </c>
      <c r="Y647">
        <v>6.9</v>
      </c>
      <c r="Z647">
        <v>4.3</v>
      </c>
      <c r="AA647" t="s">
        <v>654</v>
      </c>
      <c r="AB647" t="s">
        <v>2210</v>
      </c>
      <c r="AC647" s="2" t="str">
        <f>HYPERLINK("http://exon.niaid.nih.gov/transcriptome/Anopheles_sialome/links/DIPTERA/anocul_SG9-DIPTERA.txt","AGAP013423-PA")</f>
        <v>AGAP013423-PA</v>
      </c>
      <c r="AD647" t="str">
        <f>HYPERLINK("http://www.ncbi.nlm.nih.gov/sutils/blink.cgi?pid=333469608","1E-154")</f>
        <v>1E-154</v>
      </c>
      <c r="AE647" t="str">
        <f>HYPERLINK("http://www.ncbi.nlm.nih.gov/protein/333469608","gi|333469608")</f>
        <v>gi|333469608</v>
      </c>
      <c r="AF647">
        <v>69</v>
      </c>
      <c r="AG647">
        <v>82</v>
      </c>
      <c r="AH647">
        <v>100</v>
      </c>
      <c r="AI647" t="s">
        <v>2285</v>
      </c>
      <c r="AJ647" s="2" t="str">
        <f>HYPERLINK("http://exon.niaid.nih.gov/transcriptome/Anopheles_sialome/links/CULICOMORPHA/anocul_SG9-CULICOMORPHA.txt","AGAP013423-PA")</f>
        <v>AGAP013423-PA</v>
      </c>
      <c r="AK647" t="str">
        <f>HYPERLINK("http://www.ncbi.nlm.nih.gov/sutils/blink.cgi?pid=333469608","1E-155")</f>
        <v>1E-155</v>
      </c>
      <c r="AL647" t="str">
        <f>HYPERLINK("http://www.ncbi.nlm.nih.gov/protein/333469608","gi|333469608")</f>
        <v>gi|333469608</v>
      </c>
      <c r="AM647">
        <v>69</v>
      </c>
      <c r="AN647">
        <v>82</v>
      </c>
      <c r="AO647">
        <v>100</v>
      </c>
      <c r="AP647" t="s">
        <v>2285</v>
      </c>
      <c r="AQ647" s="2" t="str">
        <f>HYPERLINK("http://exon.niaid.nih.gov/transcriptome/Anopheles_sialome/links/NR-LIGHT/anocul_SG9-NR-LIGHT.txt","AGAP013423-PA")</f>
        <v>AGAP013423-PA</v>
      </c>
      <c r="AR647" t="str">
        <f>HYPERLINK("http://www.ncbi.nlm.nih.gov/sutils/blink.cgi?pid=347971052","1E-153")</f>
        <v>1E-153</v>
      </c>
      <c r="AS647" t="str">
        <f>HYPERLINK("http://www.ncbi.nlm.nih.gov/protein/347971052","gi|347971052")</f>
        <v>gi|347971052</v>
      </c>
      <c r="AT647">
        <v>69</v>
      </c>
      <c r="AU647">
        <v>82</v>
      </c>
      <c r="AV647">
        <v>100</v>
      </c>
      <c r="AW647" t="s">
        <v>2285</v>
      </c>
      <c r="AX647" s="2" t="str">
        <f>HYPERLINK("http://exon.niaid.nih.gov/transcriptome/Anopheles_sialome/links/CDD/anocul_SG9-CDD.txt","Porin_OmpL1")</f>
        <v>Porin_OmpL1</v>
      </c>
      <c r="AY647" t="str">
        <f>HYPERLINK("http://www.ncbi.nlm.nih.gov/Structure/cdd/cddsrv.cgi?uid=pfam11389&amp;version=v4.0","1.0")</f>
        <v>1.0</v>
      </c>
      <c r="AZ647" t="s">
        <v>3123</v>
      </c>
      <c r="BA647" s="2" t="str">
        <f>HYPERLINK("http://exon.niaid.nih.gov/transcriptome/Anopheles_sialome/links/KOG/anocul_SG9-KOG.txt","Putative transcription factor ASH1/LIN-59")</f>
        <v>Putative transcription factor ASH1/LIN-59</v>
      </c>
      <c r="BB647" t="str">
        <f>HYPERLINK("http://www.ncbi.nlm.nih.gov/Structure/cdd/cddsrv.cgi?uid=KOG1083","0.22")</f>
        <v>0.22</v>
      </c>
      <c r="BC647" t="s">
        <v>2262</v>
      </c>
      <c r="BD647" t="str">
        <f>HYPERLINK("http://exon.niaid.nih.gov/transcriptome/Anopheles_sialome/links/KOG/anocul_SG9-KOG.txt","KOG1083")</f>
        <v>KOG1083</v>
      </c>
      <c r="BE647" t="str">
        <f>HYPERLINK("http://exon.niaid.nih.gov/transcriptome/Anopheles_sialome/links/PFAM/anocul_SG9-PFAM.txt","Porin_OmpL1")</f>
        <v>Porin_OmpL1</v>
      </c>
      <c r="BF647" t="str">
        <f>HYPERLINK("http://pfam.sanger.ac.uk/family?acc=PF11389","0.20")</f>
        <v>0.20</v>
      </c>
      <c r="BG647" s="2" t="str">
        <f>HYPERLINK("http://exon.niaid.nih.gov/transcriptome/Anopheles_sialome/links/SMART/anocul_SG9-SMART.txt","CPSase_sm_chain")</f>
        <v>CPSase_sm_chain</v>
      </c>
      <c r="BH647" t="str">
        <f>HYPERLINK("http://smart.embl-heidelberg.de/smart/do_annotation.pl?DOMAIN=CPSase_sm_chain&amp;BLAST=DUMMY","1.3")</f>
        <v>1.3</v>
      </c>
      <c r="BI647" t="s">
        <v>128</v>
      </c>
      <c r="BJ647" s="2" t="s">
        <v>128</v>
      </c>
      <c r="BK647" t="s">
        <v>2208</v>
      </c>
      <c r="BL647">
        <f>HYPERLINK("http://exon.niaid.nih.gov/transcriptome/Anopheles_sialome/links/cluster-b/anopheline-sialome-cds-pep-larger-orf25-50SimCLU8.txt", 8)</f>
        <v>8</v>
      </c>
      <c r="BM647">
        <f>HYPERLINK("http://exon.niaid.nih.gov/transcriptome/Anopheles_sialome/links/cluster-b/anopheline-sialome-cds-pep-larger-orf25-50SimCLTL8.txt", 35)</f>
        <v>35</v>
      </c>
      <c r="BN647">
        <f>HYPERLINK("http://exon.niaid.nih.gov/transcriptome/Anopheles_sialome/links/cluster-b/anopheline-sialome-cds-pep-larger-orf30-50SimCLU13.txt", 13)</f>
        <v>13</v>
      </c>
      <c r="BO647">
        <f>HYPERLINK("http://exon.niaid.nih.gov/transcriptome/Anopheles_sialome/links/cluster-b/anopheline-sialome-cds-pep-larger-orf30-50SimCLTL13.txt", 19)</f>
        <v>19</v>
      </c>
      <c r="BP647">
        <f>HYPERLINK("http://exon.niaid.nih.gov/transcriptome/Anopheles_sialome/links/cluster-b/anopheline-sialome-cds-pep-larger-orf35-50SimCLU15.txt", 15)</f>
        <v>15</v>
      </c>
      <c r="BQ647">
        <f>HYPERLINK("http://exon.niaid.nih.gov/transcriptome/Anopheles_sialome/links/cluster-b/anopheline-sialome-cds-pep-larger-orf35-50SimCLTL15.txt", 19)</f>
        <v>19</v>
      </c>
      <c r="BR647">
        <f>HYPERLINK("http://exon.niaid.nih.gov/transcriptome/Anopheles_sialome/links/cluster-b/anopheline-sialome-cds-pep-larger-orf40-50SimCLU17.txt", 17)</f>
        <v>17</v>
      </c>
      <c r="BS647">
        <f>HYPERLINK("http://exon.niaid.nih.gov/transcriptome/Anopheles_sialome/links/cluster-b/anopheline-sialome-cds-pep-larger-orf40-50SimCLTL17.txt", 19)</f>
        <v>19</v>
      </c>
      <c r="BT647">
        <f>HYPERLINK("http://exon.niaid.nih.gov/transcriptome/Anopheles_sialome/links/cluster-b/anopheline-sialome-cds-pep-larger-orf45-50SimCLU17.txt", 17)</f>
        <v>17</v>
      </c>
      <c r="BU647">
        <f>HYPERLINK("http://exon.niaid.nih.gov/transcriptome/Anopheles_sialome/links/cluster-b/anopheline-sialome-cds-pep-larger-orf45-50SimCLTL17.txt", 19)</f>
        <v>19</v>
      </c>
      <c r="BV647">
        <f>HYPERLINK("http://exon.niaid.nih.gov/transcriptome/Anopheles_sialome/links/cluster-b/anopheline-sialome-cds-pep-larger-orf50-50SimCLU16.txt", 16)</f>
        <v>16</v>
      </c>
      <c r="BW647">
        <f>HYPERLINK("http://exon.niaid.nih.gov/transcriptome/Anopheles_sialome/links/cluster-b/anopheline-sialome-cds-pep-larger-orf50-50SimCLTL16.txt", 19)</f>
        <v>19</v>
      </c>
      <c r="BX647">
        <f>HYPERLINK("http://exon.niaid.nih.gov/transcriptome/Anopheles_sialome/links/cluster-b/anopheline-sialome-cds-pep-larger-orf55-50SimCLU17.txt", 17)</f>
        <v>17</v>
      </c>
      <c r="BY647">
        <f>HYPERLINK("http://exon.niaid.nih.gov/transcriptome/Anopheles_sialome/links/cluster-b/anopheline-sialome-cds-pep-larger-orf55-50SimCLTL17.txt", 19)</f>
        <v>19</v>
      </c>
      <c r="BZ647">
        <f>HYPERLINK("http://exon.niaid.nih.gov/transcriptome/Anopheles_sialome/links/cluster-b/anopheline-sialome-cds-pep-larger-orf60-50SimCLU16.txt", 16)</f>
        <v>16</v>
      </c>
      <c r="CA647">
        <f>HYPERLINK("http://exon.niaid.nih.gov/transcriptome/Anopheles_sialome/links/cluster-b/anopheline-sialome-cds-pep-larger-orf60-50SimCLTL16.txt", 19)</f>
        <v>19</v>
      </c>
      <c r="CB647">
        <f>HYPERLINK("http://exon.niaid.nih.gov/transcriptome/Anopheles_sialome/links/cluster-b/anopheline-sialome-cds-pep-larger-orf65-50SimCLU13.txt", 13)</f>
        <v>13</v>
      </c>
      <c r="CC647">
        <f>HYPERLINK("http://exon.niaid.nih.gov/transcriptome/Anopheles_sialome/links/cluster-b/anopheline-sialome-cds-pep-larger-orf65-50SimCLTL13.txt", 19)</f>
        <v>19</v>
      </c>
      <c r="CD647">
        <f>HYPERLINK("http://exon.niaid.nih.gov/transcriptome/Anopheles_sialome/links/cluster-b/anopheline-sialome-cds-pep-larger-orf70-50SimCLU13.txt", 13)</f>
        <v>13</v>
      </c>
      <c r="CE647">
        <f>HYPERLINK("http://exon.niaid.nih.gov/transcriptome/Anopheles_sialome/links/cluster-b/anopheline-sialome-cds-pep-larger-orf70-50SimCLTL13.txt", 19)</f>
        <v>19</v>
      </c>
      <c r="CF647">
        <f>HYPERLINK("http://exon.niaid.nih.gov/transcriptome/Anopheles_sialome/links/cluster-b/anopheline-sialome-cds-pep-larger-orf75-50SimCLU15.txt", 15)</f>
        <v>15</v>
      </c>
      <c r="CG647">
        <f>HYPERLINK("http://exon.niaid.nih.gov/transcriptome/Anopheles_sialome/links/cluster-b/anopheline-sialome-cds-pep-larger-orf75-50SimCLTL15.txt", 17)</f>
        <v>17</v>
      </c>
      <c r="CH647">
        <f>HYPERLINK("http://exon.niaid.nih.gov/transcriptome/Anopheles_sialome/links/cluster-b/anopheline-sialome-cds-pep-larger-orf80-50SimCLU14.txt", 14)</f>
        <v>14</v>
      </c>
      <c r="CI647">
        <f>HYPERLINK("http://exon.niaid.nih.gov/transcriptome/Anopheles_sialome/links/cluster-b/anopheline-sialome-cds-pep-larger-orf80-50SimCLTL14.txt", 15)</f>
        <v>15</v>
      </c>
      <c r="CJ647">
        <f>HYPERLINK("http://exon.niaid.nih.gov/transcriptome/Anopheles_sialome/links/cluster-b/anopheline-sialome-cds-pep-larger-orf85-50SimCLU14.txt", 14)</f>
        <v>14</v>
      </c>
      <c r="CK647">
        <f>HYPERLINK("http://exon.niaid.nih.gov/transcriptome/Anopheles_sialome/links/cluster-b/anopheline-sialome-cds-pep-larger-orf85-50SimCLTL14.txt", 12)</f>
        <v>12</v>
      </c>
      <c r="CL647">
        <f>HYPERLINK("http://exon.niaid.nih.gov/transcriptome/Anopheles_sialome/links/cluster-b/anopheline-sialome-cds-pep-larger-orf90-50SimCLU94.txt", 94)</f>
        <v>94</v>
      </c>
      <c r="CM647">
        <f>HYPERLINK("http://exon.niaid.nih.gov/transcriptome/Anopheles_sialome/links/cluster-b/anopheline-sialome-cds-pep-larger-orf90-50SimCLTL94.txt", 2)</f>
        <v>2</v>
      </c>
      <c r="CN647">
        <v>554</v>
      </c>
      <c r="CO647">
        <v>1</v>
      </c>
    </row>
    <row r="648" spans="1:93">
      <c r="A648" s="2" t="str">
        <f>HYPERLINK("http://exon.niaid.nih.gov/transcriptome/Anopheles_sialome/links/cds/anoste_SG9-cds.txt","anoste_SG9")</f>
        <v>anoste_SG9</v>
      </c>
      <c r="B648">
        <v>1185</v>
      </c>
      <c r="C648" t="s">
        <v>619</v>
      </c>
      <c r="D648" t="s">
        <v>7</v>
      </c>
      <c r="E648" t="s">
        <v>5</v>
      </c>
      <c r="F648" t="s">
        <v>1</v>
      </c>
      <c r="G648" t="str">
        <f>HYPERLINK("http://exon.niaid.nih.gov/transcriptome/Anopheles_sialome/links/pep/anoste_SG9-pep.txt","anoste_SG9")</f>
        <v>anoste_SG9</v>
      </c>
      <c r="H648">
        <v>394</v>
      </c>
      <c r="I648">
        <v>0</v>
      </c>
      <c r="J648" s="3" t="str">
        <f>HYPERLINK("http://exon.niaid.nih.gov/transcriptome/Anopheles_sialome/links/Sigp/anoste_SG9-SigP.txt","SIG")</f>
        <v>SIG</v>
      </c>
      <c r="K648" t="s">
        <v>708</v>
      </c>
      <c r="L648">
        <v>42.536000000000001</v>
      </c>
      <c r="M648">
        <v>5.8</v>
      </c>
      <c r="N648">
        <v>39.935000000000002</v>
      </c>
      <c r="O648">
        <v>5.59</v>
      </c>
      <c r="P648" t="s">
        <v>2212</v>
      </c>
      <c r="Q648" s="3">
        <v>0</v>
      </c>
      <c r="R648" t="s">
        <v>128</v>
      </c>
      <c r="S648" t="s">
        <v>128</v>
      </c>
      <c r="T648" t="s">
        <v>128</v>
      </c>
      <c r="U648" t="s">
        <v>128</v>
      </c>
      <c r="V648" t="s">
        <v>128</v>
      </c>
      <c r="W648" s="3" t="str">
        <f>HYPERLINK("http://exon.niaid.nih.gov/transcriptome/Anopheles_sialome/links/netoglyc/anoste_SG9-netoglyc.txt","9")</f>
        <v>9</v>
      </c>
      <c r="X648">
        <v>17.3</v>
      </c>
      <c r="Y648">
        <v>7.4</v>
      </c>
      <c r="Z648">
        <v>4.5999999999999996</v>
      </c>
      <c r="AA648" t="s">
        <v>654</v>
      </c>
      <c r="AB648" t="s">
        <v>2213</v>
      </c>
      <c r="AC648" s="2" t="str">
        <f>HYPERLINK("http://exon.niaid.nih.gov/transcriptome/Anopheles_sialome/links/DIPTERA/anoste_SG9-DIPTERA.txt","AGAP013423-PA")</f>
        <v>AGAP013423-PA</v>
      </c>
      <c r="AD648" t="str">
        <f>HYPERLINK("http://www.ncbi.nlm.nih.gov/sutils/blink.cgi?pid=333469608","1E-156")</f>
        <v>1E-156</v>
      </c>
      <c r="AE648" t="str">
        <f t="shared" si="229"/>
        <v>gi|333469608</v>
      </c>
      <c r="AF648">
        <v>69</v>
      </c>
      <c r="AG648">
        <v>83</v>
      </c>
      <c r="AH648">
        <v>101</v>
      </c>
      <c r="AI648" t="s">
        <v>2285</v>
      </c>
      <c r="AJ648" s="2" t="str">
        <f>HYPERLINK("http://exon.niaid.nih.gov/transcriptome/Anopheles_sialome/links/CULICOMORPHA/anoste_SG9-CULICOMORPHA.txt","AGAP013423-PA")</f>
        <v>AGAP013423-PA</v>
      </c>
      <c r="AK648" t="str">
        <f>HYPERLINK("http://www.ncbi.nlm.nih.gov/sutils/blink.cgi?pid=333469608","1E-157")</f>
        <v>1E-157</v>
      </c>
      <c r="AL648" t="str">
        <f t="shared" si="230"/>
        <v>gi|333469608</v>
      </c>
      <c r="AM648">
        <v>69</v>
      </c>
      <c r="AN648">
        <v>83</v>
      </c>
      <c r="AO648">
        <v>101</v>
      </c>
      <c r="AP648" t="s">
        <v>2285</v>
      </c>
      <c r="AQ648" s="2" t="str">
        <f>HYPERLINK("http://exon.niaid.nih.gov/transcriptome/Anopheles_sialome/links/NR-LIGHT/anoste_SG9-NR-LIGHT.txt","AGAP013423-PA")</f>
        <v>AGAP013423-PA</v>
      </c>
      <c r="AR648" t="str">
        <f>HYPERLINK("http://www.ncbi.nlm.nih.gov/sutils/blink.cgi?pid=347971052","1E-156")</f>
        <v>1E-156</v>
      </c>
      <c r="AS648" t="str">
        <f t="shared" si="231"/>
        <v>gi|347971052</v>
      </c>
      <c r="AT648">
        <v>69</v>
      </c>
      <c r="AU648">
        <v>83</v>
      </c>
      <c r="AV648">
        <v>101</v>
      </c>
      <c r="AW648" t="s">
        <v>2285</v>
      </c>
      <c r="AX648" s="2" t="str">
        <f>HYPERLINK("http://exon.niaid.nih.gov/transcriptome/Anopheles_sialome/links/CDD/anoste_SG9-CDD.txt","PHA02752")</f>
        <v>PHA02752</v>
      </c>
      <c r="AY648" t="str">
        <f>HYPERLINK("http://www.ncbi.nlm.nih.gov/Structure/cdd/cddsrv.cgi?uid=PHA02752&amp;version=v4.0","0.37")</f>
        <v>0.37</v>
      </c>
      <c r="AZ648" t="s">
        <v>3124</v>
      </c>
      <c r="BA648" s="2" t="str">
        <f>HYPERLINK("http://exon.niaid.nih.gov/transcriptome/Anopheles_sialome/links/KOG/anoste_SG9-KOG.txt","SNF2 family DNA-dependent ATPase")</f>
        <v>SNF2 family DNA-dependent ATPase</v>
      </c>
      <c r="BB648" t="str">
        <f>HYPERLINK("http://www.ncbi.nlm.nih.gov/Structure/cdd/cddsrv.cgi?uid=KOG0391","1.1")</f>
        <v>1.1</v>
      </c>
      <c r="BC648" t="s">
        <v>2310</v>
      </c>
      <c r="BD648" t="str">
        <f>HYPERLINK("http://exon.niaid.nih.gov/transcriptome/Anopheles_sialome/links/KOG/anoste_SG9-KOG.txt","KOG0391")</f>
        <v>KOG0391</v>
      </c>
      <c r="BE648" t="str">
        <f>HYPERLINK("http://exon.niaid.nih.gov/transcriptome/Anopheles_sialome/links/PFAM/anoste_SG9-PFAM.txt","Porin_OmpL1")</f>
        <v>Porin_OmpL1</v>
      </c>
      <c r="BF648" t="str">
        <f>HYPERLINK("http://pfam.sanger.ac.uk/family?acc=PF11389","0.73")</f>
        <v>0.73</v>
      </c>
      <c r="BG648" s="2" t="str">
        <f>HYPERLINK("http://exon.niaid.nih.gov/transcriptome/Anopheles_sialome/links/SMART/anoste_SG9-SMART.txt","BPI2")</f>
        <v>BPI2</v>
      </c>
      <c r="BH648" t="str">
        <f>HYPERLINK("http://smart.embl-heidelberg.de/smart/do_annotation.pl?DOMAIN=BPI2&amp;BLAST=DUMMY","4.1")</f>
        <v>4.1</v>
      </c>
      <c r="BI648" t="s">
        <v>128</v>
      </c>
      <c r="BJ648" s="2" t="s">
        <v>128</v>
      </c>
      <c r="BK648" t="s">
        <v>2211</v>
      </c>
      <c r="BL648">
        <f>HYPERLINK("http://exon.niaid.nih.gov/transcriptome/Anopheles_sialome/links/cluster-b/anopheline-sialome-cds-pep-larger-orf25-50SimCLU8.txt", 8)</f>
        <v>8</v>
      </c>
      <c r="BM648">
        <f>HYPERLINK("http://exon.niaid.nih.gov/transcriptome/Anopheles_sialome/links/cluster-b/anopheline-sialome-cds-pep-larger-orf25-50SimCLTL8.txt", 35)</f>
        <v>35</v>
      </c>
      <c r="BN648">
        <f>HYPERLINK("http://exon.niaid.nih.gov/transcriptome/Anopheles_sialome/links/cluster-b/anopheline-sialome-cds-pep-larger-orf30-50SimCLU13.txt", 13)</f>
        <v>13</v>
      </c>
      <c r="BO648">
        <f>HYPERLINK("http://exon.niaid.nih.gov/transcriptome/Anopheles_sialome/links/cluster-b/anopheline-sialome-cds-pep-larger-orf30-50SimCLTL13.txt", 19)</f>
        <v>19</v>
      </c>
      <c r="BP648">
        <f>HYPERLINK("http://exon.niaid.nih.gov/transcriptome/Anopheles_sialome/links/cluster-b/anopheline-sialome-cds-pep-larger-orf35-50SimCLU15.txt", 15)</f>
        <v>15</v>
      </c>
      <c r="BQ648">
        <f>HYPERLINK("http://exon.niaid.nih.gov/transcriptome/Anopheles_sialome/links/cluster-b/anopheline-sialome-cds-pep-larger-orf35-50SimCLTL15.txt", 19)</f>
        <v>19</v>
      </c>
      <c r="BR648">
        <f>HYPERLINK("http://exon.niaid.nih.gov/transcriptome/Anopheles_sialome/links/cluster-b/anopheline-sialome-cds-pep-larger-orf40-50SimCLU17.txt", 17)</f>
        <v>17</v>
      </c>
      <c r="BS648">
        <f>HYPERLINK("http://exon.niaid.nih.gov/transcriptome/Anopheles_sialome/links/cluster-b/anopheline-sialome-cds-pep-larger-orf40-50SimCLTL17.txt", 19)</f>
        <v>19</v>
      </c>
      <c r="BT648">
        <f>HYPERLINK("http://exon.niaid.nih.gov/transcriptome/Anopheles_sialome/links/cluster-b/anopheline-sialome-cds-pep-larger-orf45-50SimCLU17.txt", 17)</f>
        <v>17</v>
      </c>
      <c r="BU648">
        <f>HYPERLINK("http://exon.niaid.nih.gov/transcriptome/Anopheles_sialome/links/cluster-b/anopheline-sialome-cds-pep-larger-orf45-50SimCLTL17.txt", 19)</f>
        <v>19</v>
      </c>
      <c r="BV648">
        <f>HYPERLINK("http://exon.niaid.nih.gov/transcriptome/Anopheles_sialome/links/cluster-b/anopheline-sialome-cds-pep-larger-orf50-50SimCLU16.txt", 16)</f>
        <v>16</v>
      </c>
      <c r="BW648">
        <f>HYPERLINK("http://exon.niaid.nih.gov/transcriptome/Anopheles_sialome/links/cluster-b/anopheline-sialome-cds-pep-larger-orf50-50SimCLTL16.txt", 19)</f>
        <v>19</v>
      </c>
      <c r="BX648">
        <f>HYPERLINK("http://exon.niaid.nih.gov/transcriptome/Anopheles_sialome/links/cluster-b/anopheline-sialome-cds-pep-larger-orf55-50SimCLU17.txt", 17)</f>
        <v>17</v>
      </c>
      <c r="BY648">
        <f>HYPERLINK("http://exon.niaid.nih.gov/transcriptome/Anopheles_sialome/links/cluster-b/anopheline-sialome-cds-pep-larger-orf55-50SimCLTL17.txt", 19)</f>
        <v>19</v>
      </c>
      <c r="BZ648">
        <f>HYPERLINK("http://exon.niaid.nih.gov/transcriptome/Anopheles_sialome/links/cluster-b/anopheline-sialome-cds-pep-larger-orf60-50SimCLU16.txt", 16)</f>
        <v>16</v>
      </c>
      <c r="CA648">
        <f>HYPERLINK("http://exon.niaid.nih.gov/transcriptome/Anopheles_sialome/links/cluster-b/anopheline-sialome-cds-pep-larger-orf60-50SimCLTL16.txt", 19)</f>
        <v>19</v>
      </c>
      <c r="CB648">
        <f>HYPERLINK("http://exon.niaid.nih.gov/transcriptome/Anopheles_sialome/links/cluster-b/anopheline-sialome-cds-pep-larger-orf65-50SimCLU13.txt", 13)</f>
        <v>13</v>
      </c>
      <c r="CC648">
        <f>HYPERLINK("http://exon.niaid.nih.gov/transcriptome/Anopheles_sialome/links/cluster-b/anopheline-sialome-cds-pep-larger-orf65-50SimCLTL13.txt", 19)</f>
        <v>19</v>
      </c>
      <c r="CD648">
        <f>HYPERLINK("http://exon.niaid.nih.gov/transcriptome/Anopheles_sialome/links/cluster-b/anopheline-sialome-cds-pep-larger-orf70-50SimCLU13.txt", 13)</f>
        <v>13</v>
      </c>
      <c r="CE648">
        <f>HYPERLINK("http://exon.niaid.nih.gov/transcriptome/Anopheles_sialome/links/cluster-b/anopheline-sialome-cds-pep-larger-orf70-50SimCLTL13.txt", 19)</f>
        <v>19</v>
      </c>
      <c r="CF648">
        <f>HYPERLINK("http://exon.niaid.nih.gov/transcriptome/Anopheles_sialome/links/cluster-b/anopheline-sialome-cds-pep-larger-orf75-50SimCLU15.txt", 15)</f>
        <v>15</v>
      </c>
      <c r="CG648">
        <f>HYPERLINK("http://exon.niaid.nih.gov/transcriptome/Anopheles_sialome/links/cluster-b/anopheline-sialome-cds-pep-larger-orf75-50SimCLTL15.txt", 17)</f>
        <v>17</v>
      </c>
      <c r="CH648">
        <f>HYPERLINK("http://exon.niaid.nih.gov/transcriptome/Anopheles_sialome/links/cluster-b/anopheline-sialome-cds-pep-larger-orf80-50SimCLU14.txt", 14)</f>
        <v>14</v>
      </c>
      <c r="CI648">
        <f>HYPERLINK("http://exon.niaid.nih.gov/transcriptome/Anopheles_sialome/links/cluster-b/anopheline-sialome-cds-pep-larger-orf80-50SimCLTL14.txt", 15)</f>
        <v>15</v>
      </c>
      <c r="CJ648">
        <f>HYPERLINK("http://exon.niaid.nih.gov/transcriptome/Anopheles_sialome/links/cluster-b/anopheline-sialome-cds-pep-larger-orf85-50SimCLU14.txt", 14)</f>
        <v>14</v>
      </c>
      <c r="CK648">
        <f>HYPERLINK("http://exon.niaid.nih.gov/transcriptome/Anopheles_sialome/links/cluster-b/anopheline-sialome-cds-pep-larger-orf85-50SimCLTL14.txt", 12)</f>
        <v>12</v>
      </c>
      <c r="CL648">
        <f>HYPERLINK("http://exon.niaid.nih.gov/transcriptome/Anopheles_sialome/links/cluster-b/anopheline-sialome-cds-pep-larger-orf90-50SimCLU95.txt", 95)</f>
        <v>95</v>
      </c>
      <c r="CM648">
        <f>HYPERLINK("http://exon.niaid.nih.gov/transcriptome/Anopheles_sialome/links/cluster-b/anopheline-sialome-cds-pep-larger-orf90-50SimCLTL95.txt", 2)</f>
        <v>2</v>
      </c>
      <c r="CN648">
        <v>555</v>
      </c>
      <c r="CO648">
        <v>1</v>
      </c>
    </row>
    <row r="649" spans="1:93">
      <c r="A649" s="2" t="str">
        <f>HYPERLINK("http://exon.niaid.nih.gov/transcriptome/Anopheles_sialome/links/cds/anomac_SG9-cds.txt","anomac_SG9")</f>
        <v>anomac_SG9</v>
      </c>
      <c r="B649">
        <v>1188</v>
      </c>
      <c r="C649" t="s">
        <v>620</v>
      </c>
      <c r="D649" t="s">
        <v>7</v>
      </c>
      <c r="E649" t="s">
        <v>5</v>
      </c>
      <c r="F649" t="s">
        <v>1</v>
      </c>
      <c r="G649" t="str">
        <f>HYPERLINK("http://exon.niaid.nih.gov/transcriptome/Anopheles_sialome/links/pep/anomac_SG9-pep.txt","anomac_SG9")</f>
        <v>anomac_SG9</v>
      </c>
      <c r="H649">
        <v>395</v>
      </c>
      <c r="I649">
        <v>0</v>
      </c>
      <c r="J649" s="3" t="str">
        <f>HYPERLINK("http://exon.niaid.nih.gov/transcriptome/Anopheles_sialome/links/Sigp/anomac_SG9-SigP.txt","SIG")</f>
        <v>SIG</v>
      </c>
      <c r="K649" t="s">
        <v>708</v>
      </c>
      <c r="L649">
        <v>43.003999999999998</v>
      </c>
      <c r="M649">
        <v>5.22</v>
      </c>
      <c r="N649">
        <v>40.408999999999999</v>
      </c>
      <c r="O649">
        <v>4.9800000000000004</v>
      </c>
      <c r="P649" t="s">
        <v>2215</v>
      </c>
      <c r="Q649" s="3">
        <v>0</v>
      </c>
      <c r="R649" t="s">
        <v>128</v>
      </c>
      <c r="S649" t="s">
        <v>128</v>
      </c>
      <c r="T649" t="s">
        <v>128</v>
      </c>
      <c r="U649" t="s">
        <v>128</v>
      </c>
      <c r="V649" t="s">
        <v>128</v>
      </c>
      <c r="W649" s="3" t="str">
        <f>HYPERLINK("http://exon.niaid.nih.gov/transcriptome/Anopheles_sialome/links/netoglyc/anomac_SG9-netoglyc.txt","12")</f>
        <v>12</v>
      </c>
      <c r="X649">
        <v>16.7</v>
      </c>
      <c r="Y649">
        <v>5.6</v>
      </c>
      <c r="Z649">
        <v>5.0999999999999996</v>
      </c>
      <c r="AA649" t="s">
        <v>654</v>
      </c>
      <c r="AB649" t="s">
        <v>2216</v>
      </c>
      <c r="AC649" s="2" t="str">
        <f>HYPERLINK("http://exon.niaid.nih.gov/transcriptome/Anopheles_sialome/links/DIPTERA/anomac_SG9-DIPTERA.txt","AGAP013423-PA")</f>
        <v>AGAP013423-PA</v>
      </c>
      <c r="AD649" t="str">
        <f>HYPERLINK("http://www.ncbi.nlm.nih.gov/sutils/blink.cgi?pid=333469608","1E-158")</f>
        <v>1E-158</v>
      </c>
      <c r="AE649" t="str">
        <f t="shared" si="229"/>
        <v>gi|333469608</v>
      </c>
      <c r="AF649">
        <v>71</v>
      </c>
      <c r="AG649">
        <v>83</v>
      </c>
      <c r="AH649">
        <v>99</v>
      </c>
      <c r="AI649" t="s">
        <v>2285</v>
      </c>
      <c r="AJ649" s="2" t="str">
        <f>HYPERLINK("http://exon.niaid.nih.gov/transcriptome/Anopheles_sialome/links/CULICOMORPHA/anomac_SG9-CULICOMORPHA.txt","AGAP013423-PA")</f>
        <v>AGAP013423-PA</v>
      </c>
      <c r="AK649" t="str">
        <f>HYPERLINK("http://www.ncbi.nlm.nih.gov/sutils/blink.cgi?pid=333469608","1E-159")</f>
        <v>1E-159</v>
      </c>
      <c r="AL649" t="str">
        <f t="shared" si="230"/>
        <v>gi|333469608</v>
      </c>
      <c r="AM649">
        <v>71</v>
      </c>
      <c r="AN649">
        <v>83</v>
      </c>
      <c r="AO649">
        <v>99</v>
      </c>
      <c r="AP649" t="s">
        <v>2285</v>
      </c>
      <c r="AQ649" s="2" t="str">
        <f>HYPERLINK("http://exon.niaid.nih.gov/transcriptome/Anopheles_sialome/links/NR-LIGHT/anomac_SG9-NR-LIGHT.txt","AGAP013423-PA")</f>
        <v>AGAP013423-PA</v>
      </c>
      <c r="AR649" t="str">
        <f>HYPERLINK("http://www.ncbi.nlm.nih.gov/sutils/blink.cgi?pid=347971052","1E-158")</f>
        <v>1E-158</v>
      </c>
      <c r="AS649" t="str">
        <f t="shared" si="231"/>
        <v>gi|347971052</v>
      </c>
      <c r="AT649">
        <v>71</v>
      </c>
      <c r="AU649">
        <v>83</v>
      </c>
      <c r="AV649">
        <v>99</v>
      </c>
      <c r="AW649" t="s">
        <v>2285</v>
      </c>
      <c r="AX649" s="2" t="str">
        <f>HYPERLINK("http://exon.niaid.nih.gov/transcriptome/Anopheles_sialome/links/CDD/anomac_SG9-CDD.txt","KAR9")</f>
        <v>KAR9</v>
      </c>
      <c r="AY649" t="str">
        <f>HYPERLINK("http://www.ncbi.nlm.nih.gov/Structure/cdd/cddsrv.cgi?uid=pfam08580&amp;version=v4.0","0.99")</f>
        <v>0.99</v>
      </c>
      <c r="AZ649" t="s">
        <v>3125</v>
      </c>
      <c r="BA649" s="2" t="str">
        <f>HYPERLINK("http://exon.niaid.nih.gov/transcriptome/Anopheles_sialome/links/KOG/anomac_SG9-KOG.txt","Serine/threonine protein kinase")</f>
        <v>Serine/threonine protein kinase</v>
      </c>
      <c r="BB649" t="str">
        <f>HYPERLINK("http://www.ncbi.nlm.nih.gov/Structure/cdd/cddsrv.cgi?uid=KOG0586","0.39")</f>
        <v>0.39</v>
      </c>
      <c r="BC649" t="s">
        <v>2310</v>
      </c>
      <c r="BD649" t="str">
        <f>HYPERLINK("http://exon.niaid.nih.gov/transcriptome/Anopheles_sialome/links/KOG/anomac_SG9-KOG.txt","KOG0586")</f>
        <v>KOG0586</v>
      </c>
      <c r="BE649" t="str">
        <f>HYPERLINK("http://exon.niaid.nih.gov/transcriptome/Anopheles_sialome/links/PFAM/anomac_SG9-PFAM.txt","KAR9")</f>
        <v>KAR9</v>
      </c>
      <c r="BF649" t="str">
        <f>HYPERLINK("http://pfam.sanger.ac.uk/family?acc=PF08580","0.19")</f>
        <v>0.19</v>
      </c>
      <c r="BG649" s="2" t="str">
        <f>HYPERLINK("http://exon.niaid.nih.gov/transcriptome/Anopheles_sialome/links/SMART/anomac_SG9-SMART.txt","SPEC")</f>
        <v>SPEC</v>
      </c>
      <c r="BH649" t="str">
        <f>HYPERLINK("http://smart.embl-heidelberg.de/smart/do_annotation.pl?DOMAIN=SPEC&amp;BLAST=DUMMY","2.8")</f>
        <v>2.8</v>
      </c>
      <c r="BI649" t="s">
        <v>128</v>
      </c>
      <c r="BJ649" s="2" t="s">
        <v>128</v>
      </c>
      <c r="BK649" t="s">
        <v>2214</v>
      </c>
      <c r="BL649">
        <f>HYPERLINK("http://exon.niaid.nih.gov/transcriptome/Anopheles_sialome/links/cluster-b/anopheline-sialome-cds-pep-larger-orf25-50SimCLU8.txt", 8)</f>
        <v>8</v>
      </c>
      <c r="BM649">
        <f>HYPERLINK("http://exon.niaid.nih.gov/transcriptome/Anopheles_sialome/links/cluster-b/anopheline-sialome-cds-pep-larger-orf25-50SimCLTL8.txt", 35)</f>
        <v>35</v>
      </c>
      <c r="BN649">
        <f>HYPERLINK("http://exon.niaid.nih.gov/transcriptome/Anopheles_sialome/links/cluster-b/anopheline-sialome-cds-pep-larger-orf30-50SimCLU13.txt", 13)</f>
        <v>13</v>
      </c>
      <c r="BO649">
        <f>HYPERLINK("http://exon.niaid.nih.gov/transcriptome/Anopheles_sialome/links/cluster-b/anopheline-sialome-cds-pep-larger-orf30-50SimCLTL13.txt", 19)</f>
        <v>19</v>
      </c>
      <c r="BP649">
        <f>HYPERLINK("http://exon.niaid.nih.gov/transcriptome/Anopheles_sialome/links/cluster-b/anopheline-sialome-cds-pep-larger-orf35-50SimCLU15.txt", 15)</f>
        <v>15</v>
      </c>
      <c r="BQ649">
        <f>HYPERLINK("http://exon.niaid.nih.gov/transcriptome/Anopheles_sialome/links/cluster-b/anopheline-sialome-cds-pep-larger-orf35-50SimCLTL15.txt", 19)</f>
        <v>19</v>
      </c>
      <c r="BR649">
        <f>HYPERLINK("http://exon.niaid.nih.gov/transcriptome/Anopheles_sialome/links/cluster-b/anopheline-sialome-cds-pep-larger-orf40-50SimCLU17.txt", 17)</f>
        <v>17</v>
      </c>
      <c r="BS649">
        <f>HYPERLINK("http://exon.niaid.nih.gov/transcriptome/Anopheles_sialome/links/cluster-b/anopheline-sialome-cds-pep-larger-orf40-50SimCLTL17.txt", 19)</f>
        <v>19</v>
      </c>
      <c r="BT649">
        <f>HYPERLINK("http://exon.niaid.nih.gov/transcriptome/Anopheles_sialome/links/cluster-b/anopheline-sialome-cds-pep-larger-orf45-50SimCLU17.txt", 17)</f>
        <v>17</v>
      </c>
      <c r="BU649">
        <f>HYPERLINK("http://exon.niaid.nih.gov/transcriptome/Anopheles_sialome/links/cluster-b/anopheline-sialome-cds-pep-larger-orf45-50SimCLTL17.txt", 19)</f>
        <v>19</v>
      </c>
      <c r="BV649">
        <f>HYPERLINK("http://exon.niaid.nih.gov/transcriptome/Anopheles_sialome/links/cluster-b/anopheline-sialome-cds-pep-larger-orf50-50SimCLU16.txt", 16)</f>
        <v>16</v>
      </c>
      <c r="BW649">
        <f>HYPERLINK("http://exon.niaid.nih.gov/transcriptome/Anopheles_sialome/links/cluster-b/anopheline-sialome-cds-pep-larger-orf50-50SimCLTL16.txt", 19)</f>
        <v>19</v>
      </c>
      <c r="BX649">
        <f>HYPERLINK("http://exon.niaid.nih.gov/transcriptome/Anopheles_sialome/links/cluster-b/anopheline-sialome-cds-pep-larger-orf55-50SimCLU17.txt", 17)</f>
        <v>17</v>
      </c>
      <c r="BY649">
        <f>HYPERLINK("http://exon.niaid.nih.gov/transcriptome/Anopheles_sialome/links/cluster-b/anopheline-sialome-cds-pep-larger-orf55-50SimCLTL17.txt", 19)</f>
        <v>19</v>
      </c>
      <c r="BZ649">
        <f>HYPERLINK("http://exon.niaid.nih.gov/transcriptome/Anopheles_sialome/links/cluster-b/anopheline-sialome-cds-pep-larger-orf60-50SimCLU16.txt", 16)</f>
        <v>16</v>
      </c>
      <c r="CA649">
        <f>HYPERLINK("http://exon.niaid.nih.gov/transcriptome/Anopheles_sialome/links/cluster-b/anopheline-sialome-cds-pep-larger-orf60-50SimCLTL16.txt", 19)</f>
        <v>19</v>
      </c>
      <c r="CB649">
        <f>HYPERLINK("http://exon.niaid.nih.gov/transcriptome/Anopheles_sialome/links/cluster-b/anopheline-sialome-cds-pep-larger-orf65-50SimCLU13.txt", 13)</f>
        <v>13</v>
      </c>
      <c r="CC649">
        <f>HYPERLINK("http://exon.niaid.nih.gov/transcriptome/Anopheles_sialome/links/cluster-b/anopheline-sialome-cds-pep-larger-orf65-50SimCLTL13.txt", 19)</f>
        <v>19</v>
      </c>
      <c r="CD649">
        <f>HYPERLINK("http://exon.niaid.nih.gov/transcriptome/Anopheles_sialome/links/cluster-b/anopheline-sialome-cds-pep-larger-orf70-50SimCLU13.txt", 13)</f>
        <v>13</v>
      </c>
      <c r="CE649">
        <f>HYPERLINK("http://exon.niaid.nih.gov/transcriptome/Anopheles_sialome/links/cluster-b/anopheline-sialome-cds-pep-larger-orf70-50SimCLTL13.txt", 19)</f>
        <v>19</v>
      </c>
      <c r="CF649">
        <f>HYPERLINK("http://exon.niaid.nih.gov/transcriptome/Anopheles_sialome/links/cluster-b/anopheline-sialome-cds-pep-larger-orf75-50SimCLU15.txt", 15)</f>
        <v>15</v>
      </c>
      <c r="CG649">
        <f>HYPERLINK("http://exon.niaid.nih.gov/transcriptome/Anopheles_sialome/links/cluster-b/anopheline-sialome-cds-pep-larger-orf75-50SimCLTL15.txt", 17)</f>
        <v>17</v>
      </c>
      <c r="CH649">
        <f>HYPERLINK("http://exon.niaid.nih.gov/transcriptome/Anopheles_sialome/links/cluster-b/anopheline-sialome-cds-pep-larger-orf80-50SimCLU14.txt", 14)</f>
        <v>14</v>
      </c>
      <c r="CI649">
        <f>HYPERLINK("http://exon.niaid.nih.gov/transcriptome/Anopheles_sialome/links/cluster-b/anopheline-sialome-cds-pep-larger-orf80-50SimCLTL14.txt", 15)</f>
        <v>15</v>
      </c>
      <c r="CJ649">
        <f>HYPERLINK("http://exon.niaid.nih.gov/transcriptome/Anopheles_sialome/links/cluster-b/anopheline-sialome-cds-pep-larger-orf85-50SimCLU14.txt", 14)</f>
        <v>14</v>
      </c>
      <c r="CK649">
        <f>HYPERLINK("http://exon.niaid.nih.gov/transcriptome/Anopheles_sialome/links/cluster-b/anopheline-sialome-cds-pep-larger-orf85-50SimCLTL14.txt", 12)</f>
        <v>12</v>
      </c>
      <c r="CL649">
        <f>HYPERLINK("http://exon.niaid.nih.gov/transcriptome/Anopheles_sialome/links/cluster-b/anopheline-sialome-cds-pep-larger-orf90-50SimCLU95.txt", 95)</f>
        <v>95</v>
      </c>
      <c r="CM649">
        <f>HYPERLINK("http://exon.niaid.nih.gov/transcriptome/Anopheles_sialome/links/cluster-b/anopheline-sialome-cds-pep-larger-orf90-50SimCLTL95.txt", 2)</f>
        <v>2</v>
      </c>
      <c r="CN649">
        <v>556</v>
      </c>
      <c r="CO649">
        <v>1</v>
      </c>
    </row>
    <row r="650" spans="1:93">
      <c r="A650" s="2" t="str">
        <f>HYPERLINK("http://exon.niaid.nih.gov/transcriptome/Anopheles_sialome/links/cds/anofar_SG9-cds.txt","anofar_SG9")</f>
        <v>anofar_SG9</v>
      </c>
      <c r="B650">
        <v>1194</v>
      </c>
      <c r="C650" t="s">
        <v>621</v>
      </c>
      <c r="D650" t="s">
        <v>7</v>
      </c>
      <c r="E650" t="s">
        <v>5</v>
      </c>
      <c r="F650" t="s">
        <v>1</v>
      </c>
      <c r="G650" t="str">
        <f>HYPERLINK("http://exon.niaid.nih.gov/transcriptome/Anopheles_sialome/links/pep/anofar_SG9-pep.txt","anofar_SG9")</f>
        <v>anofar_SG9</v>
      </c>
      <c r="H650">
        <v>397</v>
      </c>
      <c r="I650">
        <v>0</v>
      </c>
      <c r="J650" s="3" t="str">
        <f>HYPERLINK("http://exon.niaid.nih.gov/transcriptome/Anopheles_sialome/links/Sigp/anofar_SG9-SigP.txt","SIG")</f>
        <v>SIG</v>
      </c>
      <c r="K650" t="s">
        <v>708</v>
      </c>
      <c r="L650">
        <v>42.718000000000004</v>
      </c>
      <c r="M650">
        <v>7.53</v>
      </c>
      <c r="N650">
        <v>40.215000000000003</v>
      </c>
      <c r="O650">
        <v>7.54</v>
      </c>
      <c r="P650" t="s">
        <v>2218</v>
      </c>
      <c r="Q650" s="3">
        <v>0</v>
      </c>
      <c r="R650" t="s">
        <v>128</v>
      </c>
      <c r="S650" t="s">
        <v>128</v>
      </c>
      <c r="T650" t="s">
        <v>128</v>
      </c>
      <c r="U650" t="s">
        <v>128</v>
      </c>
      <c r="V650" t="s">
        <v>128</v>
      </c>
      <c r="W650" s="3" t="str">
        <f>HYPERLINK("http://exon.niaid.nih.gov/transcriptome/Anopheles_sialome/links/netoglyc/anofar_SG9-netoglyc.txt","6")</f>
        <v>6</v>
      </c>
      <c r="X650">
        <v>18.899999999999999</v>
      </c>
      <c r="Y650">
        <v>7.1</v>
      </c>
      <c r="Z650">
        <v>4.8</v>
      </c>
      <c r="AA650" t="s">
        <v>654</v>
      </c>
      <c r="AB650" t="s">
        <v>2219</v>
      </c>
      <c r="AC650" s="2" t="str">
        <f>HYPERLINK("http://exon.niaid.nih.gov/transcriptome/Anopheles_sialome/links/DIPTERA/anofar_SG9-DIPTERA.txt","AGAP013423-PA")</f>
        <v>AGAP013423-PA</v>
      </c>
      <c r="AD650" t="str">
        <f>HYPERLINK("http://www.ncbi.nlm.nih.gov/sutils/blink.cgi?pid=333469608","1E-140")</f>
        <v>1E-140</v>
      </c>
      <c r="AE650" t="str">
        <f t="shared" si="229"/>
        <v>gi|333469608</v>
      </c>
      <c r="AF650">
        <v>63</v>
      </c>
      <c r="AG650">
        <v>79</v>
      </c>
      <c r="AH650">
        <v>100</v>
      </c>
      <c r="AI650" t="s">
        <v>2285</v>
      </c>
      <c r="AJ650" s="2" t="str">
        <f>HYPERLINK("http://exon.niaid.nih.gov/transcriptome/Anopheles_sialome/links/CULICOMORPHA/anofar_SG9-CULICOMORPHA.txt","AGAP013423-PA")</f>
        <v>AGAP013423-PA</v>
      </c>
      <c r="AK650" t="str">
        <f>HYPERLINK("http://www.ncbi.nlm.nih.gov/sutils/blink.cgi?pid=333469608","1E-141")</f>
        <v>1E-141</v>
      </c>
      <c r="AL650" t="str">
        <f t="shared" si="230"/>
        <v>gi|333469608</v>
      </c>
      <c r="AM650">
        <v>63</v>
      </c>
      <c r="AN650">
        <v>79</v>
      </c>
      <c r="AO650">
        <v>100</v>
      </c>
      <c r="AP650" t="s">
        <v>2285</v>
      </c>
      <c r="AQ650" s="2" t="str">
        <f>HYPERLINK("http://exon.niaid.nih.gov/transcriptome/Anopheles_sialome/links/NR-LIGHT/anofar_SG9-NR-LIGHT.txt","AGAP013423-PA")</f>
        <v>AGAP013423-PA</v>
      </c>
      <c r="AR650" t="str">
        <f>HYPERLINK("http://www.ncbi.nlm.nih.gov/sutils/blink.cgi?pid=347971052","1E-140")</f>
        <v>1E-140</v>
      </c>
      <c r="AS650" t="str">
        <f t="shared" si="231"/>
        <v>gi|347971052</v>
      </c>
      <c r="AT650">
        <v>63</v>
      </c>
      <c r="AU650">
        <v>79</v>
      </c>
      <c r="AV650">
        <v>100</v>
      </c>
      <c r="AW650" t="s">
        <v>2285</v>
      </c>
      <c r="AX650" s="2" t="str">
        <f>HYPERLINK("http://exon.niaid.nih.gov/transcriptome/Anopheles_sialome/links/CDD/anofar_SG9-CDD.txt","hypothetical_pr")</f>
        <v>hypothetical_pr</v>
      </c>
      <c r="AY650" t="str">
        <f>HYPERLINK("http://www.ncbi.nlm.nih.gov/Structure/cdd/cddsrv.cgi?uid=TIGR00720&amp;version=v4.0","2.6")</f>
        <v>2.6</v>
      </c>
      <c r="AZ650" t="s">
        <v>3126</v>
      </c>
      <c r="BA650" s="2" t="str">
        <f>HYPERLINK("http://exon.niaid.nih.gov/transcriptome/Anopheles_sialome/links/KOG/anofar_SG9-KOG.txt","Ste20-like serine/threonine protein kinase")</f>
        <v>Ste20-like serine/threonine protein kinase</v>
      </c>
      <c r="BB650" t="str">
        <f>HYPERLINK("http://www.ncbi.nlm.nih.gov/Structure/cdd/cddsrv.cgi?uid=KOG0579","0.89")</f>
        <v>0.89</v>
      </c>
      <c r="BC650" t="s">
        <v>2292</v>
      </c>
      <c r="BD650" t="str">
        <f>HYPERLINK("http://exon.niaid.nih.gov/transcriptome/Anopheles_sialome/links/KOG/anofar_SG9-KOG.txt","KOG0579")</f>
        <v>KOG0579</v>
      </c>
      <c r="BE650" t="str">
        <f>HYPERLINK("http://exon.niaid.nih.gov/transcriptome/Anopheles_sialome/links/PFAM/anofar_SG9-PFAM.txt","AAR2")</f>
        <v>AAR2</v>
      </c>
      <c r="BF650" t="str">
        <f>HYPERLINK("http://pfam.sanger.ac.uk/family?acc=PF05282","1.2")</f>
        <v>1.2</v>
      </c>
      <c r="BG650" s="2" t="str">
        <f>HYPERLINK("http://exon.niaid.nih.gov/transcriptome/Anopheles_sialome/links/SMART/anofar_SG9-SMART.txt","RPOLD")</f>
        <v>RPOLD</v>
      </c>
      <c r="BH650" t="str">
        <f>HYPERLINK("http://smart.embl-heidelberg.de/smart/do_annotation.pl?DOMAIN=RPOLD&amp;BLAST=DUMMY","0.28")</f>
        <v>0.28</v>
      </c>
      <c r="BI650" t="s">
        <v>128</v>
      </c>
      <c r="BJ650" s="2" t="s">
        <v>128</v>
      </c>
      <c r="BK650" t="s">
        <v>2217</v>
      </c>
      <c r="BL650">
        <f>HYPERLINK("http://exon.niaid.nih.gov/transcriptome/Anopheles_sialome/links/cluster-b/anopheline-sialome-cds-pep-larger-orf25-50SimCLU8.txt", 8)</f>
        <v>8</v>
      </c>
      <c r="BM650">
        <f>HYPERLINK("http://exon.niaid.nih.gov/transcriptome/Anopheles_sialome/links/cluster-b/anopheline-sialome-cds-pep-larger-orf25-50SimCLTL8.txt", 35)</f>
        <v>35</v>
      </c>
      <c r="BN650">
        <f>HYPERLINK("http://exon.niaid.nih.gov/transcriptome/Anopheles_sialome/links/cluster-b/anopheline-sialome-cds-pep-larger-orf30-50SimCLU13.txt", 13)</f>
        <v>13</v>
      </c>
      <c r="BO650">
        <f>HYPERLINK("http://exon.niaid.nih.gov/transcriptome/Anopheles_sialome/links/cluster-b/anopheline-sialome-cds-pep-larger-orf30-50SimCLTL13.txt", 19)</f>
        <v>19</v>
      </c>
      <c r="BP650">
        <f>HYPERLINK("http://exon.niaid.nih.gov/transcriptome/Anopheles_sialome/links/cluster-b/anopheline-sialome-cds-pep-larger-orf35-50SimCLU15.txt", 15)</f>
        <v>15</v>
      </c>
      <c r="BQ650">
        <f>HYPERLINK("http://exon.niaid.nih.gov/transcriptome/Anopheles_sialome/links/cluster-b/anopheline-sialome-cds-pep-larger-orf35-50SimCLTL15.txt", 19)</f>
        <v>19</v>
      </c>
      <c r="BR650">
        <f>HYPERLINK("http://exon.niaid.nih.gov/transcriptome/Anopheles_sialome/links/cluster-b/anopheline-sialome-cds-pep-larger-orf40-50SimCLU17.txt", 17)</f>
        <v>17</v>
      </c>
      <c r="BS650">
        <f>HYPERLINK("http://exon.niaid.nih.gov/transcriptome/Anopheles_sialome/links/cluster-b/anopheline-sialome-cds-pep-larger-orf40-50SimCLTL17.txt", 19)</f>
        <v>19</v>
      </c>
      <c r="BT650">
        <f>HYPERLINK("http://exon.niaid.nih.gov/transcriptome/Anopheles_sialome/links/cluster-b/anopheline-sialome-cds-pep-larger-orf45-50SimCLU17.txt", 17)</f>
        <v>17</v>
      </c>
      <c r="BU650">
        <f>HYPERLINK("http://exon.niaid.nih.gov/transcriptome/Anopheles_sialome/links/cluster-b/anopheline-sialome-cds-pep-larger-orf45-50SimCLTL17.txt", 19)</f>
        <v>19</v>
      </c>
      <c r="BV650">
        <f>HYPERLINK("http://exon.niaid.nih.gov/transcriptome/Anopheles_sialome/links/cluster-b/anopheline-sialome-cds-pep-larger-orf50-50SimCLU16.txt", 16)</f>
        <v>16</v>
      </c>
      <c r="BW650">
        <f>HYPERLINK("http://exon.niaid.nih.gov/transcriptome/Anopheles_sialome/links/cluster-b/anopheline-sialome-cds-pep-larger-orf50-50SimCLTL16.txt", 19)</f>
        <v>19</v>
      </c>
      <c r="BX650">
        <f>HYPERLINK("http://exon.niaid.nih.gov/transcriptome/Anopheles_sialome/links/cluster-b/anopheline-sialome-cds-pep-larger-orf55-50SimCLU17.txt", 17)</f>
        <v>17</v>
      </c>
      <c r="BY650">
        <f>HYPERLINK("http://exon.niaid.nih.gov/transcriptome/Anopheles_sialome/links/cluster-b/anopheline-sialome-cds-pep-larger-orf55-50SimCLTL17.txt", 19)</f>
        <v>19</v>
      </c>
      <c r="BZ650">
        <f>HYPERLINK("http://exon.niaid.nih.gov/transcriptome/Anopheles_sialome/links/cluster-b/anopheline-sialome-cds-pep-larger-orf60-50SimCLU16.txt", 16)</f>
        <v>16</v>
      </c>
      <c r="CA650">
        <f>HYPERLINK("http://exon.niaid.nih.gov/transcriptome/Anopheles_sialome/links/cluster-b/anopheline-sialome-cds-pep-larger-orf60-50SimCLTL16.txt", 19)</f>
        <v>19</v>
      </c>
      <c r="CB650">
        <f>HYPERLINK("http://exon.niaid.nih.gov/transcriptome/Anopheles_sialome/links/cluster-b/anopheline-sialome-cds-pep-larger-orf65-50SimCLU13.txt", 13)</f>
        <v>13</v>
      </c>
      <c r="CC650">
        <f>HYPERLINK("http://exon.niaid.nih.gov/transcriptome/Anopheles_sialome/links/cluster-b/anopheline-sialome-cds-pep-larger-orf65-50SimCLTL13.txt", 19)</f>
        <v>19</v>
      </c>
      <c r="CD650">
        <f>HYPERLINK("http://exon.niaid.nih.gov/transcriptome/Anopheles_sialome/links/cluster-b/anopheline-sialome-cds-pep-larger-orf70-50SimCLU13.txt", 13)</f>
        <v>13</v>
      </c>
      <c r="CE650">
        <f>HYPERLINK("http://exon.niaid.nih.gov/transcriptome/Anopheles_sialome/links/cluster-b/anopheline-sialome-cds-pep-larger-orf70-50SimCLTL13.txt", 19)</f>
        <v>19</v>
      </c>
      <c r="CF650">
        <f>HYPERLINK("http://exon.niaid.nih.gov/transcriptome/Anopheles_sialome/links/cluster-b/anopheline-sialome-cds-pep-larger-orf75-50SimCLU15.txt", 15)</f>
        <v>15</v>
      </c>
      <c r="CG650">
        <f>HYPERLINK("http://exon.niaid.nih.gov/transcriptome/Anopheles_sialome/links/cluster-b/anopheline-sialome-cds-pep-larger-orf75-50SimCLTL15.txt", 17)</f>
        <v>17</v>
      </c>
      <c r="CH650">
        <f>HYPERLINK("http://exon.niaid.nih.gov/transcriptome/Anopheles_sialome/links/cluster-b/anopheline-sialome-cds-pep-larger-orf80-50SimCLU14.txt", 14)</f>
        <v>14</v>
      </c>
      <c r="CI650">
        <f>HYPERLINK("http://exon.niaid.nih.gov/transcriptome/Anopheles_sialome/links/cluster-b/anopheline-sialome-cds-pep-larger-orf80-50SimCLTL14.txt", 15)</f>
        <v>15</v>
      </c>
      <c r="CJ650">
        <v>337</v>
      </c>
      <c r="CK650">
        <v>1</v>
      </c>
      <c r="CL650">
        <v>442</v>
      </c>
      <c r="CM650">
        <v>1</v>
      </c>
      <c r="CN650">
        <v>557</v>
      </c>
      <c r="CO650">
        <v>1</v>
      </c>
    </row>
    <row r="651" spans="1:93">
      <c r="A651" s="2" t="str">
        <f>HYPERLINK("http://exon.niaid.nih.gov/transcriptome/Anopheles_sialome/links/cds/anodir_SG9-cds.txt","anodir_SG9")</f>
        <v>anodir_SG9</v>
      </c>
      <c r="B651">
        <v>1179</v>
      </c>
      <c r="C651" t="s">
        <v>622</v>
      </c>
      <c r="D651" t="s">
        <v>4</v>
      </c>
      <c r="E651" t="s">
        <v>5</v>
      </c>
      <c r="F651" t="s">
        <v>1</v>
      </c>
      <c r="G651" t="str">
        <f>HYPERLINK("http://exon.niaid.nih.gov/transcriptome/Anopheles_sialome/links/pep/anodir_SG9-pep.txt","anodir_SG9")</f>
        <v>anodir_SG9</v>
      </c>
      <c r="H651">
        <v>392</v>
      </c>
      <c r="I651">
        <v>1</v>
      </c>
      <c r="J651" s="3" t="str">
        <f>HYPERLINK("http://exon.niaid.nih.gov/transcriptome/Anopheles_sialome/links/Sigp/anodir_SG9-SigP.txt","SIG")</f>
        <v>SIG</v>
      </c>
      <c r="K651" t="s">
        <v>708</v>
      </c>
      <c r="L651">
        <v>42.343000000000004</v>
      </c>
      <c r="M651">
        <v>8.16</v>
      </c>
      <c r="N651">
        <v>39.853999999999999</v>
      </c>
      <c r="O651">
        <v>7.75</v>
      </c>
      <c r="P651" t="s">
        <v>2221</v>
      </c>
      <c r="Q651" s="3" t="str">
        <f>HYPERLINK("http://exon.niaid.nih.gov/transcriptome/Anopheles_sialome/links/tmhmm/anodir_SG9-tmhmm.txt","1")</f>
        <v>1</v>
      </c>
      <c r="R651">
        <v>5.6</v>
      </c>
      <c r="S651">
        <v>92.6</v>
      </c>
      <c r="T651">
        <v>1.8</v>
      </c>
      <c r="U651" t="s">
        <v>128</v>
      </c>
      <c r="V651">
        <v>363</v>
      </c>
      <c r="W651" s="3" t="str">
        <f>HYPERLINK("http://exon.niaid.nih.gov/transcriptome/Anopheles_sialome/links/netoglyc/anodir_SG9-netoglyc.txt","4")</f>
        <v>4</v>
      </c>
      <c r="X651">
        <v>15.8</v>
      </c>
      <c r="Y651">
        <v>6.4</v>
      </c>
      <c r="Z651">
        <v>5.0999999999999996</v>
      </c>
      <c r="AA651" t="s">
        <v>654</v>
      </c>
      <c r="AB651" t="s">
        <v>2222</v>
      </c>
      <c r="AC651" s="2" t="str">
        <f>HYPERLINK("http://exon.niaid.nih.gov/transcriptome/Anopheles_sialome/links/DIPTERA/anodir_SG9-DIPTERA.txt","AGAP013423-PA")</f>
        <v>AGAP013423-PA</v>
      </c>
      <c r="AD651" t="str">
        <f>HYPERLINK("http://www.ncbi.nlm.nih.gov/sutils/blink.cgi?pid=333469608","1E-138")</f>
        <v>1E-138</v>
      </c>
      <c r="AE651" t="str">
        <f t="shared" si="229"/>
        <v>gi|333469608</v>
      </c>
      <c r="AF651">
        <v>62</v>
      </c>
      <c r="AG651">
        <v>77</v>
      </c>
      <c r="AH651">
        <v>101</v>
      </c>
      <c r="AI651" t="s">
        <v>2285</v>
      </c>
      <c r="AJ651" s="2" t="str">
        <f>HYPERLINK("http://exon.niaid.nih.gov/transcriptome/Anopheles_sialome/links/CULICOMORPHA/anodir_SG9-CULICOMORPHA.txt","AGAP013423-PA")</f>
        <v>AGAP013423-PA</v>
      </c>
      <c r="AK651" t="str">
        <f>HYPERLINK("http://www.ncbi.nlm.nih.gov/sutils/blink.cgi?pid=333469608","1E-139")</f>
        <v>1E-139</v>
      </c>
      <c r="AL651" t="str">
        <f t="shared" si="230"/>
        <v>gi|333469608</v>
      </c>
      <c r="AM651">
        <v>62</v>
      </c>
      <c r="AN651">
        <v>77</v>
      </c>
      <c r="AO651">
        <v>101</v>
      </c>
      <c r="AP651" t="s">
        <v>2285</v>
      </c>
      <c r="AQ651" s="2" t="str">
        <f>HYPERLINK("http://exon.niaid.nih.gov/transcriptome/Anopheles_sialome/links/NR-LIGHT/anodir_SG9-NR-LIGHT.txt","AGAP013423-PA")</f>
        <v>AGAP013423-PA</v>
      </c>
      <c r="AR651" t="str">
        <f>HYPERLINK("http://www.ncbi.nlm.nih.gov/sutils/blink.cgi?pid=347971052","1E-138")</f>
        <v>1E-138</v>
      </c>
      <c r="AS651" t="str">
        <f t="shared" si="231"/>
        <v>gi|347971052</v>
      </c>
      <c r="AT651">
        <v>62</v>
      </c>
      <c r="AU651">
        <v>77</v>
      </c>
      <c r="AV651">
        <v>101</v>
      </c>
      <c r="AW651" t="s">
        <v>2285</v>
      </c>
      <c r="AX651" s="2" t="str">
        <f>HYPERLINK("http://exon.niaid.nih.gov/transcriptome/Anopheles_sialome/links/CDD/anodir_SG9-CDD.txt","secA")</f>
        <v>secA</v>
      </c>
      <c r="AY651" t="str">
        <f>HYPERLINK("http://www.ncbi.nlm.nih.gov/Structure/cdd/cddsrv.cgi?uid=PRK12900&amp;version=v4.0","0.62")</f>
        <v>0.62</v>
      </c>
      <c r="AZ651" t="s">
        <v>3127</v>
      </c>
      <c r="BA651" s="2" t="str">
        <f>HYPERLINK("http://exon.niaid.nih.gov/transcriptome/Anopheles_sialome/links/KOG/anodir_SG9-KOG.txt","DNA repair/transcription protein Mms19")</f>
        <v>DNA repair/transcription protein Mms19</v>
      </c>
      <c r="BB651" t="str">
        <f>HYPERLINK("http://www.ncbi.nlm.nih.gov/Structure/cdd/cddsrv.cgi?uid=KOG1967","0.46")</f>
        <v>0.46</v>
      </c>
      <c r="BC651" t="s">
        <v>3128</v>
      </c>
      <c r="BD651" t="str">
        <f>HYPERLINK("http://exon.niaid.nih.gov/transcriptome/Anopheles_sialome/links/KOG/anodir_SG9-KOG.txt","KOG1967")</f>
        <v>KOG1967</v>
      </c>
      <c r="BE651" t="str">
        <f>HYPERLINK("http://exon.niaid.nih.gov/transcriptome/Anopheles_sialome/links/PFAM/anodir_SG9-PFAM.txt","DUF2156")</f>
        <v>DUF2156</v>
      </c>
      <c r="BF651" t="str">
        <f>HYPERLINK("http://pfam.sanger.ac.uk/family?acc=PF09924","0.91")</f>
        <v>0.91</v>
      </c>
      <c r="BG651" s="2" t="str">
        <f>HYPERLINK("http://exon.niaid.nih.gov/transcriptome/Anopheles_sialome/links/SMART/anodir_SG9-SMART.txt","Beach")</f>
        <v>Beach</v>
      </c>
      <c r="BH651" t="str">
        <f>HYPERLINK("http://smart.embl-heidelberg.de/smart/do_annotation.pl?DOMAIN=Beach&amp;BLAST=DUMMY","0.25")</f>
        <v>0.25</v>
      </c>
      <c r="BI651" t="s">
        <v>128</v>
      </c>
      <c r="BJ651" s="2" t="s">
        <v>128</v>
      </c>
      <c r="BK651" t="s">
        <v>2220</v>
      </c>
      <c r="BL651">
        <f>HYPERLINK("http://exon.niaid.nih.gov/transcriptome/Anopheles_sialome/links/cluster-b/anopheline-sialome-cds-pep-larger-orf25-50SimCLU8.txt", 8)</f>
        <v>8</v>
      </c>
      <c r="BM651">
        <f>HYPERLINK("http://exon.niaid.nih.gov/transcriptome/Anopheles_sialome/links/cluster-b/anopheline-sialome-cds-pep-larger-orf25-50SimCLTL8.txt", 35)</f>
        <v>35</v>
      </c>
      <c r="BN651">
        <f>HYPERLINK("http://exon.niaid.nih.gov/transcriptome/Anopheles_sialome/links/cluster-b/anopheline-sialome-cds-pep-larger-orf30-50SimCLU13.txt", 13)</f>
        <v>13</v>
      </c>
      <c r="BO651">
        <f>HYPERLINK("http://exon.niaid.nih.gov/transcriptome/Anopheles_sialome/links/cluster-b/anopheline-sialome-cds-pep-larger-orf30-50SimCLTL13.txt", 19)</f>
        <v>19</v>
      </c>
      <c r="BP651">
        <f>HYPERLINK("http://exon.niaid.nih.gov/transcriptome/Anopheles_sialome/links/cluster-b/anopheline-sialome-cds-pep-larger-orf35-50SimCLU15.txt", 15)</f>
        <v>15</v>
      </c>
      <c r="BQ651">
        <f>HYPERLINK("http://exon.niaid.nih.gov/transcriptome/Anopheles_sialome/links/cluster-b/anopheline-sialome-cds-pep-larger-orf35-50SimCLTL15.txt", 19)</f>
        <v>19</v>
      </c>
      <c r="BR651">
        <f>HYPERLINK("http://exon.niaid.nih.gov/transcriptome/Anopheles_sialome/links/cluster-b/anopheline-sialome-cds-pep-larger-orf40-50SimCLU17.txt", 17)</f>
        <v>17</v>
      </c>
      <c r="BS651">
        <f>HYPERLINK("http://exon.niaid.nih.gov/transcriptome/Anopheles_sialome/links/cluster-b/anopheline-sialome-cds-pep-larger-orf40-50SimCLTL17.txt", 19)</f>
        <v>19</v>
      </c>
      <c r="BT651">
        <f>HYPERLINK("http://exon.niaid.nih.gov/transcriptome/Anopheles_sialome/links/cluster-b/anopheline-sialome-cds-pep-larger-orf45-50SimCLU17.txt", 17)</f>
        <v>17</v>
      </c>
      <c r="BU651">
        <f>HYPERLINK("http://exon.niaid.nih.gov/transcriptome/Anopheles_sialome/links/cluster-b/anopheline-sialome-cds-pep-larger-orf45-50SimCLTL17.txt", 19)</f>
        <v>19</v>
      </c>
      <c r="BV651">
        <f>HYPERLINK("http://exon.niaid.nih.gov/transcriptome/Anopheles_sialome/links/cluster-b/anopheline-sialome-cds-pep-larger-orf50-50SimCLU16.txt", 16)</f>
        <v>16</v>
      </c>
      <c r="BW651">
        <f>HYPERLINK("http://exon.niaid.nih.gov/transcriptome/Anopheles_sialome/links/cluster-b/anopheline-sialome-cds-pep-larger-orf50-50SimCLTL16.txt", 19)</f>
        <v>19</v>
      </c>
      <c r="BX651">
        <f>HYPERLINK("http://exon.niaid.nih.gov/transcriptome/Anopheles_sialome/links/cluster-b/anopheline-sialome-cds-pep-larger-orf55-50SimCLU17.txt", 17)</f>
        <v>17</v>
      </c>
      <c r="BY651">
        <f>HYPERLINK("http://exon.niaid.nih.gov/transcriptome/Anopheles_sialome/links/cluster-b/anopheline-sialome-cds-pep-larger-orf55-50SimCLTL17.txt", 19)</f>
        <v>19</v>
      </c>
      <c r="BZ651">
        <f>HYPERLINK("http://exon.niaid.nih.gov/transcriptome/Anopheles_sialome/links/cluster-b/anopheline-sialome-cds-pep-larger-orf60-50SimCLU16.txt", 16)</f>
        <v>16</v>
      </c>
      <c r="CA651">
        <f>HYPERLINK("http://exon.niaid.nih.gov/transcriptome/Anopheles_sialome/links/cluster-b/anopheline-sialome-cds-pep-larger-orf60-50SimCLTL16.txt", 19)</f>
        <v>19</v>
      </c>
      <c r="CB651">
        <f>HYPERLINK("http://exon.niaid.nih.gov/transcriptome/Anopheles_sialome/links/cluster-b/anopheline-sialome-cds-pep-larger-orf65-50SimCLU13.txt", 13)</f>
        <v>13</v>
      </c>
      <c r="CC651">
        <f>HYPERLINK("http://exon.niaid.nih.gov/transcriptome/Anopheles_sialome/links/cluster-b/anopheline-sialome-cds-pep-larger-orf65-50SimCLTL13.txt", 19)</f>
        <v>19</v>
      </c>
      <c r="CD651">
        <f>HYPERLINK("http://exon.niaid.nih.gov/transcriptome/Anopheles_sialome/links/cluster-b/anopheline-sialome-cds-pep-larger-orf70-50SimCLU13.txt", 13)</f>
        <v>13</v>
      </c>
      <c r="CE651">
        <f>HYPERLINK("http://exon.niaid.nih.gov/transcriptome/Anopheles_sialome/links/cluster-b/anopheline-sialome-cds-pep-larger-orf70-50SimCLTL13.txt", 19)</f>
        <v>19</v>
      </c>
      <c r="CF651">
        <f>HYPERLINK("http://exon.niaid.nih.gov/transcriptome/Anopheles_sialome/links/cluster-b/anopheline-sialome-cds-pep-larger-orf75-50SimCLU15.txt", 15)</f>
        <v>15</v>
      </c>
      <c r="CG651">
        <f>HYPERLINK("http://exon.niaid.nih.gov/transcriptome/Anopheles_sialome/links/cluster-b/anopheline-sialome-cds-pep-larger-orf75-50SimCLTL15.txt", 17)</f>
        <v>17</v>
      </c>
      <c r="CH651">
        <f>HYPERLINK("http://exon.niaid.nih.gov/transcriptome/Anopheles_sialome/links/cluster-b/anopheline-sialome-cds-pep-larger-orf80-50SimCLU14.txt", 14)</f>
        <v>14</v>
      </c>
      <c r="CI651">
        <f>HYPERLINK("http://exon.niaid.nih.gov/transcriptome/Anopheles_sialome/links/cluster-b/anopheline-sialome-cds-pep-larger-orf80-50SimCLTL14.txt", 15)</f>
        <v>15</v>
      </c>
      <c r="CJ651">
        <v>338</v>
      </c>
      <c r="CK651">
        <v>1</v>
      </c>
      <c r="CL651">
        <v>443</v>
      </c>
      <c r="CM651">
        <v>1</v>
      </c>
      <c r="CN651">
        <v>558</v>
      </c>
      <c r="CO651">
        <v>1</v>
      </c>
    </row>
    <row r="652" spans="1:93">
      <c r="A652" s="2" t="str">
        <f>HYPERLINK("http://exon.niaid.nih.gov/transcriptome/Anopheles_sialome/links/cds/anoatro_SG9-cds.txt","anoatro_SG9")</f>
        <v>anoatro_SG9</v>
      </c>
      <c r="B652">
        <v>1188</v>
      </c>
      <c r="C652" t="s">
        <v>623</v>
      </c>
      <c r="D652" t="s">
        <v>4</v>
      </c>
      <c r="E652" t="s">
        <v>5</v>
      </c>
      <c r="F652" t="s">
        <v>1</v>
      </c>
      <c r="G652" t="str">
        <f>HYPERLINK("http://exon.niaid.nih.gov/transcriptome/Anopheles_sialome/links/pep/anoatro_SG9-pep.txt","anoatro_SG9")</f>
        <v>anoatro_SG9</v>
      </c>
      <c r="H652">
        <v>395</v>
      </c>
      <c r="I652">
        <v>0</v>
      </c>
      <c r="J652" s="3" t="str">
        <f>HYPERLINK("http://exon.niaid.nih.gov/transcriptome/Anopheles_sialome/links/Sigp/anoatro_SG9-SigP.txt","SIG")</f>
        <v>SIG</v>
      </c>
      <c r="K652" t="s">
        <v>715</v>
      </c>
      <c r="L652">
        <v>42.8</v>
      </c>
      <c r="M652">
        <v>5.43</v>
      </c>
      <c r="N652">
        <v>40.325000000000003</v>
      </c>
      <c r="O652">
        <v>5.47</v>
      </c>
      <c r="P652" t="s">
        <v>2224</v>
      </c>
      <c r="Q652" s="3">
        <v>0</v>
      </c>
      <c r="R652" t="s">
        <v>128</v>
      </c>
      <c r="S652" t="s">
        <v>128</v>
      </c>
      <c r="T652" t="s">
        <v>128</v>
      </c>
      <c r="U652" t="s">
        <v>128</v>
      </c>
      <c r="V652" t="s">
        <v>128</v>
      </c>
      <c r="W652" s="3" t="str">
        <f>HYPERLINK("http://exon.niaid.nih.gov/transcriptome/Anopheles_sialome/links/netoglyc/anoatro_SG9-netoglyc.txt","2")</f>
        <v>2</v>
      </c>
      <c r="X652">
        <v>15.7</v>
      </c>
      <c r="Y652">
        <v>5.8</v>
      </c>
      <c r="Z652">
        <v>4.0999999999999996</v>
      </c>
      <c r="AA652" t="s">
        <v>654</v>
      </c>
      <c r="AB652" t="s">
        <v>2225</v>
      </c>
      <c r="AC652" s="2" t="str">
        <f>HYPERLINK("http://exon.niaid.nih.gov/transcriptome/Anopheles_sialome/links/DIPTERA/anoatro_SG9-DIPTERA.txt","AGAP013423-PA")</f>
        <v>AGAP013423-PA</v>
      </c>
      <c r="AD652" t="str">
        <f>HYPERLINK("http://www.ncbi.nlm.nih.gov/sutils/blink.cgi?pid=333469608","1E-112")</f>
        <v>1E-112</v>
      </c>
      <c r="AE652" t="str">
        <f>HYPERLINK("http://www.ncbi.nlm.nih.gov/protein/333469608","gi|333469608")</f>
        <v>gi|333469608</v>
      </c>
      <c r="AF652">
        <v>55</v>
      </c>
      <c r="AG652">
        <v>72</v>
      </c>
      <c r="AH652">
        <v>100</v>
      </c>
      <c r="AI652" t="s">
        <v>2285</v>
      </c>
      <c r="AJ652" s="2" t="str">
        <f>HYPERLINK("http://exon.niaid.nih.gov/transcriptome/Anopheles_sialome/links/CULICOMORPHA/anoatro_SG9-CULICOMORPHA.txt","AGAP013423-PA")</f>
        <v>AGAP013423-PA</v>
      </c>
      <c r="AK652" t="str">
        <f>HYPERLINK("http://www.ncbi.nlm.nih.gov/sutils/blink.cgi?pid=333469608","1E-113")</f>
        <v>1E-113</v>
      </c>
      <c r="AL652" t="str">
        <f>HYPERLINK("http://www.ncbi.nlm.nih.gov/protein/333469608","gi|333469608")</f>
        <v>gi|333469608</v>
      </c>
      <c r="AM652">
        <v>55</v>
      </c>
      <c r="AN652">
        <v>72</v>
      </c>
      <c r="AO652">
        <v>100</v>
      </c>
      <c r="AP652" t="s">
        <v>2285</v>
      </c>
      <c r="AQ652" s="2" t="str">
        <f>HYPERLINK("http://exon.niaid.nih.gov/transcriptome/Anopheles_sialome/links/NR-LIGHT/anoatro_SG9-NR-LIGHT.txt","AGAP013423-PA")</f>
        <v>AGAP013423-PA</v>
      </c>
      <c r="AR652" t="str">
        <f>HYPERLINK("http://www.ncbi.nlm.nih.gov/sutils/blink.cgi?pid=347971052","1E-112")</f>
        <v>1E-112</v>
      </c>
      <c r="AS652" t="str">
        <f>HYPERLINK("http://www.ncbi.nlm.nih.gov/protein/347971052","gi|347971052")</f>
        <v>gi|347971052</v>
      </c>
      <c r="AT652">
        <v>55</v>
      </c>
      <c r="AU652">
        <v>72</v>
      </c>
      <c r="AV652">
        <v>100</v>
      </c>
      <c r="AW652" t="s">
        <v>2285</v>
      </c>
      <c r="AX652" s="2" t="str">
        <f>HYPERLINK("http://exon.niaid.nih.gov/transcriptome/Anopheles_sialome/links/CDD/anoatro_SG9-CDD.txt","DUF2217")</f>
        <v>DUF2217</v>
      </c>
      <c r="AY652" t="str">
        <f>HYPERLINK("http://www.ncbi.nlm.nih.gov/Structure/cdd/cddsrv.cgi?uid=pfam10265&amp;version=v4.0","0.11")</f>
        <v>0.11</v>
      </c>
      <c r="AZ652" t="s">
        <v>3129</v>
      </c>
      <c r="BA652" s="2" t="str">
        <f>HYPERLINK("http://exon.niaid.nih.gov/transcriptome/Anopheles_sialome/links/KOG/anoatro_SG9-KOG.txt","Predicted quinone oxidoreductase")</f>
        <v>Predicted quinone oxidoreductase</v>
      </c>
      <c r="BB652" t="str">
        <f>HYPERLINK("http://www.ncbi.nlm.nih.gov/Structure/cdd/cddsrv.cgi?uid=KOG1197","0.35")</f>
        <v>0.35</v>
      </c>
      <c r="BC652" t="s">
        <v>3130</v>
      </c>
      <c r="BD652" t="str">
        <f>HYPERLINK("http://exon.niaid.nih.gov/transcriptome/Anopheles_sialome/links/KOG/anoatro_SG9-KOG.txt","KOG1197")</f>
        <v>KOG1197</v>
      </c>
      <c r="BE652" t="str">
        <f>HYPERLINK("http://exon.niaid.nih.gov/transcriptome/Anopheles_sialome/links/PFAM/anoatro_SG9-PFAM.txt","DUF2217")</f>
        <v>DUF2217</v>
      </c>
      <c r="BF652" t="str">
        <f>HYPERLINK("http://pfam.sanger.ac.uk/family?acc=PF10265","0.021")</f>
        <v>0.021</v>
      </c>
      <c r="BG652" s="2" t="str">
        <f>HYPERLINK("http://exon.niaid.nih.gov/transcriptome/Anopheles_sialome/links/SMART/anoatro_SG9-SMART.txt","FAS1")</f>
        <v>FAS1</v>
      </c>
      <c r="BH652" t="str">
        <f>HYPERLINK("http://smart.embl-heidelberg.de/smart/do_annotation.pl?DOMAIN=FAS1&amp;BLAST=DUMMY","0.028")</f>
        <v>0.028</v>
      </c>
      <c r="BI652" t="s">
        <v>128</v>
      </c>
      <c r="BJ652" s="2" t="s">
        <v>128</v>
      </c>
      <c r="BK652" t="s">
        <v>2223</v>
      </c>
      <c r="BL652">
        <f>HYPERLINK("http://exon.niaid.nih.gov/transcriptome/Anopheles_sialome/links/cluster-b/anopheline-sialome-cds-pep-larger-orf25-50SimCLU8.txt", 8)</f>
        <v>8</v>
      </c>
      <c r="BM652">
        <f>HYPERLINK("http://exon.niaid.nih.gov/transcriptome/Anopheles_sialome/links/cluster-b/anopheline-sialome-cds-pep-larger-orf25-50SimCLTL8.txt", 35)</f>
        <v>35</v>
      </c>
      <c r="BN652">
        <f>HYPERLINK("http://exon.niaid.nih.gov/transcriptome/Anopheles_sialome/links/cluster-b/anopheline-sialome-cds-pep-larger-orf30-50SimCLU13.txt", 13)</f>
        <v>13</v>
      </c>
      <c r="BO652">
        <f>HYPERLINK("http://exon.niaid.nih.gov/transcriptome/Anopheles_sialome/links/cluster-b/anopheline-sialome-cds-pep-larger-orf30-50SimCLTL13.txt", 19)</f>
        <v>19</v>
      </c>
      <c r="BP652">
        <f>HYPERLINK("http://exon.niaid.nih.gov/transcriptome/Anopheles_sialome/links/cluster-b/anopheline-sialome-cds-pep-larger-orf35-50SimCLU15.txt", 15)</f>
        <v>15</v>
      </c>
      <c r="BQ652">
        <f>HYPERLINK("http://exon.niaid.nih.gov/transcriptome/Anopheles_sialome/links/cluster-b/anopheline-sialome-cds-pep-larger-orf35-50SimCLTL15.txt", 19)</f>
        <v>19</v>
      </c>
      <c r="BR652">
        <f>HYPERLINK("http://exon.niaid.nih.gov/transcriptome/Anopheles_sialome/links/cluster-b/anopheline-sialome-cds-pep-larger-orf40-50SimCLU17.txt", 17)</f>
        <v>17</v>
      </c>
      <c r="BS652">
        <f>HYPERLINK("http://exon.niaid.nih.gov/transcriptome/Anopheles_sialome/links/cluster-b/anopheline-sialome-cds-pep-larger-orf40-50SimCLTL17.txt", 19)</f>
        <v>19</v>
      </c>
      <c r="BT652">
        <f>HYPERLINK("http://exon.niaid.nih.gov/transcriptome/Anopheles_sialome/links/cluster-b/anopheline-sialome-cds-pep-larger-orf45-50SimCLU17.txt", 17)</f>
        <v>17</v>
      </c>
      <c r="BU652">
        <f>HYPERLINK("http://exon.niaid.nih.gov/transcriptome/Anopheles_sialome/links/cluster-b/anopheline-sialome-cds-pep-larger-orf45-50SimCLTL17.txt", 19)</f>
        <v>19</v>
      </c>
      <c r="BV652">
        <f>HYPERLINK("http://exon.niaid.nih.gov/transcriptome/Anopheles_sialome/links/cluster-b/anopheline-sialome-cds-pep-larger-orf50-50SimCLU16.txt", 16)</f>
        <v>16</v>
      </c>
      <c r="BW652">
        <f>HYPERLINK("http://exon.niaid.nih.gov/transcriptome/Anopheles_sialome/links/cluster-b/anopheline-sialome-cds-pep-larger-orf50-50SimCLTL16.txt", 19)</f>
        <v>19</v>
      </c>
      <c r="BX652">
        <f>HYPERLINK("http://exon.niaid.nih.gov/transcriptome/Anopheles_sialome/links/cluster-b/anopheline-sialome-cds-pep-larger-orf55-50SimCLU17.txt", 17)</f>
        <v>17</v>
      </c>
      <c r="BY652">
        <f>HYPERLINK("http://exon.niaid.nih.gov/transcriptome/Anopheles_sialome/links/cluster-b/anopheline-sialome-cds-pep-larger-orf55-50SimCLTL17.txt", 19)</f>
        <v>19</v>
      </c>
      <c r="BZ652">
        <f>HYPERLINK("http://exon.niaid.nih.gov/transcriptome/Anopheles_sialome/links/cluster-b/anopheline-sialome-cds-pep-larger-orf60-50SimCLU16.txt", 16)</f>
        <v>16</v>
      </c>
      <c r="CA652">
        <f>HYPERLINK("http://exon.niaid.nih.gov/transcriptome/Anopheles_sialome/links/cluster-b/anopheline-sialome-cds-pep-larger-orf60-50SimCLTL16.txt", 19)</f>
        <v>19</v>
      </c>
      <c r="CB652">
        <f>HYPERLINK("http://exon.niaid.nih.gov/transcriptome/Anopheles_sialome/links/cluster-b/anopheline-sialome-cds-pep-larger-orf65-50SimCLU13.txt", 13)</f>
        <v>13</v>
      </c>
      <c r="CC652">
        <f>HYPERLINK("http://exon.niaid.nih.gov/transcriptome/Anopheles_sialome/links/cluster-b/anopheline-sialome-cds-pep-larger-orf65-50SimCLTL13.txt", 19)</f>
        <v>19</v>
      </c>
      <c r="CD652">
        <f>HYPERLINK("http://exon.niaid.nih.gov/transcriptome/Anopheles_sialome/links/cluster-b/anopheline-sialome-cds-pep-larger-orf70-50SimCLU13.txt", 13)</f>
        <v>13</v>
      </c>
      <c r="CE652">
        <f>HYPERLINK("http://exon.niaid.nih.gov/transcriptome/Anopheles_sialome/links/cluster-b/anopheline-sialome-cds-pep-larger-orf70-50SimCLTL13.txt", 19)</f>
        <v>19</v>
      </c>
      <c r="CF652">
        <f>HYPERLINK("http://exon.niaid.nih.gov/transcriptome/Anopheles_sialome/links/cluster-b/anopheline-sialome-cds-pep-larger-orf75-50SimCLU15.txt", 15)</f>
        <v>15</v>
      </c>
      <c r="CG652">
        <f>HYPERLINK("http://exon.niaid.nih.gov/transcriptome/Anopheles_sialome/links/cluster-b/anopheline-sialome-cds-pep-larger-orf75-50SimCLTL15.txt", 17)</f>
        <v>17</v>
      </c>
      <c r="CH652">
        <f>HYPERLINK("http://exon.niaid.nih.gov/transcriptome/Anopheles_sialome/links/cluster-b/anopheline-sialome-cds-pep-larger-orf80-50SimCLU110.txt", 110)</f>
        <v>110</v>
      </c>
      <c r="CI652">
        <f>HYPERLINK("http://exon.niaid.nih.gov/transcriptome/Anopheles_sialome/links/cluster-b/anopheline-sialome-cds-pep-larger-orf80-50SimCLTL110.txt", 2)</f>
        <v>2</v>
      </c>
      <c r="CJ652">
        <v>339</v>
      </c>
      <c r="CK652">
        <v>1</v>
      </c>
      <c r="CL652">
        <v>444</v>
      </c>
      <c r="CM652">
        <v>1</v>
      </c>
      <c r="CN652">
        <v>559</v>
      </c>
      <c r="CO652">
        <v>1</v>
      </c>
    </row>
    <row r="653" spans="1:93">
      <c r="A653" s="2" t="str">
        <f>HYPERLINK("http://exon.niaid.nih.gov/transcriptome/Anopheles_sialome/links/cds/anosin_SG9-cds.txt","anosin_SG9")</f>
        <v>anosin_SG9</v>
      </c>
      <c r="B653">
        <v>1197</v>
      </c>
      <c r="C653" t="s">
        <v>624</v>
      </c>
      <c r="D653" t="s">
        <v>7</v>
      </c>
      <c r="E653" t="s">
        <v>5</v>
      </c>
      <c r="F653" t="s">
        <v>1</v>
      </c>
      <c r="G653" t="str">
        <f>HYPERLINK("http://exon.niaid.nih.gov/transcriptome/Anopheles_sialome/links/pep/anosin_SG9-pep.txt","anosin_SG9")</f>
        <v>anosin_SG9</v>
      </c>
      <c r="H653">
        <v>398</v>
      </c>
      <c r="I653">
        <v>1</v>
      </c>
      <c r="J653" s="3" t="str">
        <f>HYPERLINK("http://exon.niaid.nih.gov/transcriptome/Anopheles_sialome/links/Sigp/anosin_SG9-SigP.txt","SIG")</f>
        <v>SIG</v>
      </c>
      <c r="K653" t="s">
        <v>708</v>
      </c>
      <c r="L653">
        <v>43.198999999999998</v>
      </c>
      <c r="M653">
        <v>4.91</v>
      </c>
      <c r="N653">
        <v>40.744</v>
      </c>
      <c r="O653">
        <v>4.96</v>
      </c>
      <c r="P653" t="s">
        <v>2227</v>
      </c>
      <c r="Q653" s="3">
        <v>0</v>
      </c>
      <c r="R653" t="s">
        <v>128</v>
      </c>
      <c r="S653" t="s">
        <v>128</v>
      </c>
      <c r="T653" t="s">
        <v>128</v>
      </c>
      <c r="U653" t="s">
        <v>128</v>
      </c>
      <c r="V653" t="s">
        <v>128</v>
      </c>
      <c r="W653" s="3" t="str">
        <f>HYPERLINK("http://exon.niaid.nih.gov/transcriptome/Anopheles_sialome/links/netoglyc/anosin_SG9-netoglyc.txt","7")</f>
        <v>7</v>
      </c>
      <c r="X653">
        <v>17.100000000000001</v>
      </c>
      <c r="Y653">
        <v>6.8</v>
      </c>
      <c r="Z653">
        <v>4</v>
      </c>
      <c r="AA653" t="s">
        <v>654</v>
      </c>
      <c r="AB653" t="s">
        <v>2228</v>
      </c>
      <c r="AC653" s="2" t="str">
        <f>HYPERLINK("http://exon.niaid.nih.gov/transcriptome/Anopheles_sialome/links/DIPTERA/anosin_SG9-DIPTERA.txt","AGAP013423-PA")</f>
        <v>AGAP013423-PA</v>
      </c>
      <c r="AD653" t="str">
        <f>HYPERLINK("http://www.ncbi.nlm.nih.gov/sutils/blink.cgi?pid=333469608","1E-121")</f>
        <v>1E-121</v>
      </c>
      <c r="AE653" t="str">
        <f t="shared" si="229"/>
        <v>gi|333469608</v>
      </c>
      <c r="AF653">
        <v>56</v>
      </c>
      <c r="AG653">
        <v>72</v>
      </c>
      <c r="AH653">
        <v>101</v>
      </c>
      <c r="AI653" t="s">
        <v>2285</v>
      </c>
      <c r="AJ653" s="2" t="str">
        <f>HYPERLINK("http://exon.niaid.nih.gov/transcriptome/Anopheles_sialome/links/CULICOMORPHA/anosin_SG9-CULICOMORPHA.txt","AGAP013423-PA")</f>
        <v>AGAP013423-PA</v>
      </c>
      <c r="AK653" t="str">
        <f>HYPERLINK("http://www.ncbi.nlm.nih.gov/sutils/blink.cgi?pid=333469608","1E-122")</f>
        <v>1E-122</v>
      </c>
      <c r="AL653" t="str">
        <f t="shared" si="230"/>
        <v>gi|333469608</v>
      </c>
      <c r="AM653">
        <v>56</v>
      </c>
      <c r="AN653">
        <v>72</v>
      </c>
      <c r="AO653">
        <v>101</v>
      </c>
      <c r="AP653" t="s">
        <v>2285</v>
      </c>
      <c r="AQ653" s="2" t="str">
        <f>HYPERLINK("http://exon.niaid.nih.gov/transcriptome/Anopheles_sialome/links/NR-LIGHT/anosin_SG9-NR-LIGHT.txt","AGAP013423-PA")</f>
        <v>AGAP013423-PA</v>
      </c>
      <c r="AR653" t="str">
        <f>HYPERLINK("http://www.ncbi.nlm.nih.gov/sutils/blink.cgi?pid=347971052","1E-121")</f>
        <v>1E-121</v>
      </c>
      <c r="AS653" t="str">
        <f t="shared" si="231"/>
        <v>gi|347971052</v>
      </c>
      <c r="AT653">
        <v>56</v>
      </c>
      <c r="AU653">
        <v>72</v>
      </c>
      <c r="AV653">
        <v>101</v>
      </c>
      <c r="AW653" t="s">
        <v>2285</v>
      </c>
      <c r="AX653" s="2" t="str">
        <f>HYPERLINK("http://exon.niaid.nih.gov/transcriptome/Anopheles_sialome/links/CDD/anosin_SG9-CDD.txt","pdxA")</f>
        <v>pdxA</v>
      </c>
      <c r="AY653" t="str">
        <f>HYPERLINK("http://www.ncbi.nlm.nih.gov/Structure/cdd/cddsrv.cgi?uid=TIGR00557&amp;version=v4.0","0.17")</f>
        <v>0.17</v>
      </c>
      <c r="AZ653" t="s">
        <v>3131</v>
      </c>
      <c r="BA653" s="2" t="str">
        <f>HYPERLINK("http://exon.niaid.nih.gov/transcriptome/Anopheles_sialome/links/KOG/anosin_SG9-KOG.txt","DNA topoisomerase type II")</f>
        <v>DNA topoisomerase type II</v>
      </c>
      <c r="BB653" t="str">
        <f>HYPERLINK("http://www.ncbi.nlm.nih.gov/Structure/cdd/cddsrv.cgi?uid=KOG0355","0.56")</f>
        <v>0.56</v>
      </c>
      <c r="BC653" t="s">
        <v>2444</v>
      </c>
      <c r="BD653" t="str">
        <f>HYPERLINK("http://exon.niaid.nih.gov/transcriptome/Anopheles_sialome/links/KOG/anosin_SG9-KOG.txt","KOG0355")</f>
        <v>KOG0355</v>
      </c>
      <c r="BE653" t="str">
        <f>HYPERLINK("http://exon.niaid.nih.gov/transcriptome/Anopheles_sialome/links/PFAM/anosin_SG9-PFAM.txt","DUF3130")</f>
        <v>DUF3130</v>
      </c>
      <c r="BF653" t="str">
        <f>HYPERLINK("http://pfam.sanger.ac.uk/family?acc=PF11328","0.28")</f>
        <v>0.28</v>
      </c>
      <c r="BG653" s="2" t="str">
        <f>HYPERLINK("http://exon.niaid.nih.gov/transcriptome/Anopheles_sialome/links/SMART/anosin_SG9-SMART.txt","FAS1")</f>
        <v>FAS1</v>
      </c>
      <c r="BH653" t="str">
        <f>HYPERLINK("http://smart.embl-heidelberg.de/smart/do_annotation.pl?DOMAIN=FAS1&amp;BLAST=DUMMY","0.94")</f>
        <v>0.94</v>
      </c>
      <c r="BI653" t="s">
        <v>128</v>
      </c>
      <c r="BJ653" s="2" t="s">
        <v>128</v>
      </c>
      <c r="BK653" t="s">
        <v>2226</v>
      </c>
      <c r="BL653">
        <f>HYPERLINK("http://exon.niaid.nih.gov/transcriptome/Anopheles_sialome/links/cluster-b/anopheline-sialome-cds-pep-larger-orf25-50SimCLU8.txt", 8)</f>
        <v>8</v>
      </c>
      <c r="BM653">
        <f>HYPERLINK("http://exon.niaid.nih.gov/transcriptome/Anopheles_sialome/links/cluster-b/anopheline-sialome-cds-pep-larger-orf25-50SimCLTL8.txt", 35)</f>
        <v>35</v>
      </c>
      <c r="BN653">
        <f>HYPERLINK("http://exon.niaid.nih.gov/transcriptome/Anopheles_sialome/links/cluster-b/anopheline-sialome-cds-pep-larger-orf30-50SimCLU13.txt", 13)</f>
        <v>13</v>
      </c>
      <c r="BO653">
        <f>HYPERLINK("http://exon.niaid.nih.gov/transcriptome/Anopheles_sialome/links/cluster-b/anopheline-sialome-cds-pep-larger-orf30-50SimCLTL13.txt", 19)</f>
        <v>19</v>
      </c>
      <c r="BP653">
        <f>HYPERLINK("http://exon.niaid.nih.gov/transcriptome/Anopheles_sialome/links/cluster-b/anopheline-sialome-cds-pep-larger-orf35-50SimCLU15.txt", 15)</f>
        <v>15</v>
      </c>
      <c r="BQ653">
        <f>HYPERLINK("http://exon.niaid.nih.gov/transcriptome/Anopheles_sialome/links/cluster-b/anopheline-sialome-cds-pep-larger-orf35-50SimCLTL15.txt", 19)</f>
        <v>19</v>
      </c>
      <c r="BR653">
        <f>HYPERLINK("http://exon.niaid.nih.gov/transcriptome/Anopheles_sialome/links/cluster-b/anopheline-sialome-cds-pep-larger-orf40-50SimCLU17.txt", 17)</f>
        <v>17</v>
      </c>
      <c r="BS653">
        <f>HYPERLINK("http://exon.niaid.nih.gov/transcriptome/Anopheles_sialome/links/cluster-b/anopheline-sialome-cds-pep-larger-orf40-50SimCLTL17.txt", 19)</f>
        <v>19</v>
      </c>
      <c r="BT653">
        <f>HYPERLINK("http://exon.niaid.nih.gov/transcriptome/Anopheles_sialome/links/cluster-b/anopheline-sialome-cds-pep-larger-orf45-50SimCLU17.txt", 17)</f>
        <v>17</v>
      </c>
      <c r="BU653">
        <f>HYPERLINK("http://exon.niaid.nih.gov/transcriptome/Anopheles_sialome/links/cluster-b/anopheline-sialome-cds-pep-larger-orf45-50SimCLTL17.txt", 19)</f>
        <v>19</v>
      </c>
      <c r="BV653">
        <f>HYPERLINK("http://exon.niaid.nih.gov/transcriptome/Anopheles_sialome/links/cluster-b/anopheline-sialome-cds-pep-larger-orf50-50SimCLU16.txt", 16)</f>
        <v>16</v>
      </c>
      <c r="BW653">
        <f>HYPERLINK("http://exon.niaid.nih.gov/transcriptome/Anopheles_sialome/links/cluster-b/anopheline-sialome-cds-pep-larger-orf50-50SimCLTL16.txt", 19)</f>
        <v>19</v>
      </c>
      <c r="BX653">
        <f>HYPERLINK("http://exon.niaid.nih.gov/transcriptome/Anopheles_sialome/links/cluster-b/anopheline-sialome-cds-pep-larger-orf55-50SimCLU17.txt", 17)</f>
        <v>17</v>
      </c>
      <c r="BY653">
        <f>HYPERLINK("http://exon.niaid.nih.gov/transcriptome/Anopheles_sialome/links/cluster-b/anopheline-sialome-cds-pep-larger-orf55-50SimCLTL17.txt", 19)</f>
        <v>19</v>
      </c>
      <c r="BZ653">
        <f>HYPERLINK("http://exon.niaid.nih.gov/transcriptome/Anopheles_sialome/links/cluster-b/anopheline-sialome-cds-pep-larger-orf60-50SimCLU16.txt", 16)</f>
        <v>16</v>
      </c>
      <c r="CA653">
        <f>HYPERLINK("http://exon.niaid.nih.gov/transcriptome/Anopheles_sialome/links/cluster-b/anopheline-sialome-cds-pep-larger-orf60-50SimCLTL16.txt", 19)</f>
        <v>19</v>
      </c>
      <c r="CB653">
        <f>HYPERLINK("http://exon.niaid.nih.gov/transcriptome/Anopheles_sialome/links/cluster-b/anopheline-sialome-cds-pep-larger-orf65-50SimCLU13.txt", 13)</f>
        <v>13</v>
      </c>
      <c r="CC653">
        <f>HYPERLINK("http://exon.niaid.nih.gov/transcriptome/Anopheles_sialome/links/cluster-b/anopheline-sialome-cds-pep-larger-orf65-50SimCLTL13.txt", 19)</f>
        <v>19</v>
      </c>
      <c r="CD653">
        <f>HYPERLINK("http://exon.niaid.nih.gov/transcriptome/Anopheles_sialome/links/cluster-b/anopheline-sialome-cds-pep-larger-orf70-50SimCLU13.txt", 13)</f>
        <v>13</v>
      </c>
      <c r="CE653">
        <f>HYPERLINK("http://exon.niaid.nih.gov/transcriptome/Anopheles_sialome/links/cluster-b/anopheline-sialome-cds-pep-larger-orf70-50SimCLTL13.txt", 19)</f>
        <v>19</v>
      </c>
      <c r="CF653">
        <f>HYPERLINK("http://exon.niaid.nih.gov/transcriptome/Anopheles_sialome/links/cluster-b/anopheline-sialome-cds-pep-larger-orf75-50SimCLU15.txt", 15)</f>
        <v>15</v>
      </c>
      <c r="CG653">
        <f>HYPERLINK("http://exon.niaid.nih.gov/transcriptome/Anopheles_sialome/links/cluster-b/anopheline-sialome-cds-pep-larger-orf75-50SimCLTL15.txt", 17)</f>
        <v>17</v>
      </c>
      <c r="CH653">
        <f>HYPERLINK("http://exon.niaid.nih.gov/transcriptome/Anopheles_sialome/links/cluster-b/anopheline-sialome-cds-pep-larger-orf80-50SimCLU110.txt", 110)</f>
        <v>110</v>
      </c>
      <c r="CI653">
        <f>HYPERLINK("http://exon.niaid.nih.gov/transcriptome/Anopheles_sialome/links/cluster-b/anopheline-sialome-cds-pep-larger-orf80-50SimCLTL110.txt", 2)</f>
        <v>2</v>
      </c>
      <c r="CJ653">
        <v>340</v>
      </c>
      <c r="CK653">
        <v>1</v>
      </c>
      <c r="CL653">
        <v>445</v>
      </c>
      <c r="CM653">
        <v>1</v>
      </c>
      <c r="CN653">
        <v>560</v>
      </c>
      <c r="CO653">
        <v>1</v>
      </c>
    </row>
    <row r="654" spans="1:93">
      <c r="A654" s="2" t="str">
        <f>HYPERLINK("http://exon.niaid.nih.gov/transcriptome/Anopheles_sialome/links/cds/anoalb_SG9-cds.txt","anoalb_SG9")</f>
        <v>anoalb_SG9</v>
      </c>
      <c r="B654">
        <v>1218</v>
      </c>
      <c r="C654" t="s">
        <v>625</v>
      </c>
      <c r="D654" t="s">
        <v>7</v>
      </c>
      <c r="E654" t="s">
        <v>5</v>
      </c>
      <c r="F654" t="s">
        <v>1</v>
      </c>
      <c r="G654" t="str">
        <f>HYPERLINK("http://exon.niaid.nih.gov/transcriptome/Anopheles_sialome/links/pep/anoalb_SG9-pep.txt","anoalb_SG9")</f>
        <v>anoalb_SG9</v>
      </c>
      <c r="H654">
        <v>405</v>
      </c>
      <c r="I654">
        <v>0</v>
      </c>
      <c r="J654" s="3" t="str">
        <f>HYPERLINK("http://exon.niaid.nih.gov/transcriptome/Anopheles_sialome/links/Sigp/anoalb_SG9-SigP.txt","SIG")</f>
        <v>SIG</v>
      </c>
      <c r="K654" t="s">
        <v>692</v>
      </c>
      <c r="L654">
        <v>42.837000000000003</v>
      </c>
      <c r="M654">
        <v>6.74</v>
      </c>
      <c r="N654">
        <v>40.831000000000003</v>
      </c>
      <c r="O654">
        <v>6.92</v>
      </c>
      <c r="P654" t="s">
        <v>2230</v>
      </c>
      <c r="Q654" s="3" t="str">
        <f>HYPERLINK("http://exon.niaid.nih.gov/transcriptome/Anopheles_sialome/links/tmhmm/anoalb_SG9-tmhmm.txt","1")</f>
        <v>1</v>
      </c>
      <c r="R654">
        <v>5.4</v>
      </c>
      <c r="S654">
        <v>92.8</v>
      </c>
      <c r="T654">
        <v>1.7</v>
      </c>
      <c r="U654" t="s">
        <v>128</v>
      </c>
      <c r="V654">
        <v>376</v>
      </c>
      <c r="W654" s="3" t="str">
        <f>HYPERLINK("http://exon.niaid.nih.gov/transcriptome/Anopheles_sialome/links/netoglyc/anoalb_SG9-netoglyc.txt","5")</f>
        <v>5</v>
      </c>
      <c r="X654">
        <v>17.8</v>
      </c>
      <c r="Y654">
        <v>8.4</v>
      </c>
      <c r="Z654">
        <v>4.2</v>
      </c>
      <c r="AA654" t="s">
        <v>654</v>
      </c>
      <c r="AB654" t="s">
        <v>2231</v>
      </c>
      <c r="AC654" s="2" t="str">
        <f>HYPERLINK("http://exon.niaid.nih.gov/transcriptome/Anopheles_sialome/links/DIPTERA/anoalb_SG9-DIPTERA.txt","hypothetical protein AND_009580")</f>
        <v>hypothetical protein AND_009580</v>
      </c>
      <c r="AD654" t="str">
        <f>HYPERLINK("http://www.ncbi.nlm.nih.gov/sutils/blink.cgi?pid=568249009","0.0")</f>
        <v>0.0</v>
      </c>
      <c r="AE654" t="str">
        <f>HYPERLINK("http://www.ncbi.nlm.nih.gov/protein/568249009","gi|568249009")</f>
        <v>gi|568249009</v>
      </c>
      <c r="AF654">
        <v>82</v>
      </c>
      <c r="AG654">
        <v>87</v>
      </c>
      <c r="AH654">
        <v>100</v>
      </c>
      <c r="AI654" t="s">
        <v>2283</v>
      </c>
      <c r="AJ654" s="2" t="str">
        <f>HYPERLINK("http://exon.niaid.nih.gov/transcriptome/Anopheles_sialome/links/CULICOMORPHA/anoalb_SG9-CULICOMORPHA.txt","hypothetical protein AND_009580")</f>
        <v>hypothetical protein AND_009580</v>
      </c>
      <c r="AK654" t="str">
        <f>HYPERLINK("http://www.ncbi.nlm.nih.gov/sutils/blink.cgi?pid=568249009","0.0")</f>
        <v>0.0</v>
      </c>
      <c r="AL654" t="str">
        <f>HYPERLINK("http://www.ncbi.nlm.nih.gov/protein/568249009","gi|568249009")</f>
        <v>gi|568249009</v>
      </c>
      <c r="AM654">
        <v>82</v>
      </c>
      <c r="AN654">
        <v>87</v>
      </c>
      <c r="AO654">
        <v>100</v>
      </c>
      <c r="AP654" t="s">
        <v>2283</v>
      </c>
      <c r="AQ654" s="2" t="str">
        <f>HYPERLINK("http://exon.niaid.nih.gov/transcriptome/Anopheles_sialome/links/NR-LIGHT/anoalb_SG9-NR-LIGHT.txt","hypothetical protein AND_009580")</f>
        <v>hypothetical protein AND_009580</v>
      </c>
      <c r="AR654" t="str">
        <f>HYPERLINK("http://www.ncbi.nlm.nih.gov/sutils/blink.cgi?pid=568249009","0.0")</f>
        <v>0.0</v>
      </c>
      <c r="AS654" t="str">
        <f>HYPERLINK("http://www.ncbi.nlm.nih.gov/protein/568249009","gi|568249009")</f>
        <v>gi|568249009</v>
      </c>
      <c r="AT654">
        <v>82</v>
      </c>
      <c r="AU654">
        <v>87</v>
      </c>
      <c r="AV654">
        <v>100</v>
      </c>
      <c r="AW654" t="s">
        <v>2283</v>
      </c>
      <c r="AX654" s="2" t="str">
        <f>HYPERLINK("http://exon.niaid.nih.gov/transcriptome/Anopheles_sialome/links/CDD/anoalb_SG9-CDD.txt","rSAM_NirJ1")</f>
        <v>rSAM_NirJ1</v>
      </c>
      <c r="AY654" t="str">
        <f>HYPERLINK("http://www.ncbi.nlm.nih.gov/Structure/cdd/cddsrv.cgi?uid=TIGR04054&amp;version=v4.0","0.58")</f>
        <v>0.58</v>
      </c>
      <c r="AZ654" t="s">
        <v>3132</v>
      </c>
      <c r="BA654" s="2" t="str">
        <f>HYPERLINK("http://exon.niaid.nih.gov/transcriptome/Anopheles_sialome/links/KOG/anoalb_SG9-KOG.txt","Transcription regulator dachshund, contains SKI/SNO domain")</f>
        <v>Transcription regulator dachshund, contains SKI/SNO domain</v>
      </c>
      <c r="BB654" t="str">
        <f>HYPERLINK("http://www.ncbi.nlm.nih.gov/Structure/cdd/cddsrv.cgi?uid=KOG3915","0.046")</f>
        <v>0.046</v>
      </c>
      <c r="BC654" t="s">
        <v>2262</v>
      </c>
      <c r="BD654" t="str">
        <f>HYPERLINK("http://exon.niaid.nih.gov/transcriptome/Anopheles_sialome/links/KOG/anoalb_SG9-KOG.txt","KOG3915")</f>
        <v>KOG3915</v>
      </c>
      <c r="BE654" t="str">
        <f>HYPERLINK("http://exon.niaid.nih.gov/transcriptome/Anopheles_sialome/links/PFAM/anoalb_SG9-PFAM.txt","Sec8_exocyst")</f>
        <v>Sec8_exocyst</v>
      </c>
      <c r="BF654" t="str">
        <f>HYPERLINK("http://pfam.sanger.ac.uk/family?acc=PF04048","0.17")</f>
        <v>0.17</v>
      </c>
      <c r="BG654" s="2" t="str">
        <f>HYPERLINK("http://exon.niaid.nih.gov/transcriptome/Anopheles_sialome/links/SMART/anoalb_SG9-SMART.txt","EAL")</f>
        <v>EAL</v>
      </c>
      <c r="BH654" t="str">
        <f>HYPERLINK("http://smart.embl-heidelberg.de/smart/do_annotation.pl?DOMAIN=EAL&amp;BLAST=DUMMY","2.2")</f>
        <v>2.2</v>
      </c>
      <c r="BI654" t="s">
        <v>128</v>
      </c>
      <c r="BJ654" s="2" t="s">
        <v>128</v>
      </c>
      <c r="BK654" t="s">
        <v>2229</v>
      </c>
      <c r="BL654">
        <f>HYPERLINK("http://exon.niaid.nih.gov/transcriptome/Anopheles_sialome/links/cluster-b/anopheline-sialome-cds-pep-larger-orf25-50SimCLU8.txt", 8)</f>
        <v>8</v>
      </c>
      <c r="BM654">
        <f>HYPERLINK("http://exon.niaid.nih.gov/transcriptome/Anopheles_sialome/links/cluster-b/anopheline-sialome-cds-pep-larger-orf25-50SimCLTL8.txt", 35)</f>
        <v>35</v>
      </c>
      <c r="BN654">
        <f>HYPERLINK("http://exon.niaid.nih.gov/transcriptome/Anopheles_sialome/links/cluster-b/anopheline-sialome-cds-pep-larger-orf30-50SimCLU13.txt", 13)</f>
        <v>13</v>
      </c>
      <c r="BO654">
        <f>HYPERLINK("http://exon.niaid.nih.gov/transcriptome/Anopheles_sialome/links/cluster-b/anopheline-sialome-cds-pep-larger-orf30-50SimCLTL13.txt", 19)</f>
        <v>19</v>
      </c>
      <c r="BP654">
        <f>HYPERLINK("http://exon.niaid.nih.gov/transcriptome/Anopheles_sialome/links/cluster-b/anopheline-sialome-cds-pep-larger-orf35-50SimCLU15.txt", 15)</f>
        <v>15</v>
      </c>
      <c r="BQ654">
        <f>HYPERLINK("http://exon.niaid.nih.gov/transcriptome/Anopheles_sialome/links/cluster-b/anopheline-sialome-cds-pep-larger-orf35-50SimCLTL15.txt", 19)</f>
        <v>19</v>
      </c>
      <c r="BR654">
        <f>HYPERLINK("http://exon.niaid.nih.gov/transcriptome/Anopheles_sialome/links/cluster-b/anopheline-sialome-cds-pep-larger-orf40-50SimCLU17.txt", 17)</f>
        <v>17</v>
      </c>
      <c r="BS654">
        <f>HYPERLINK("http://exon.niaid.nih.gov/transcriptome/Anopheles_sialome/links/cluster-b/anopheline-sialome-cds-pep-larger-orf40-50SimCLTL17.txt", 19)</f>
        <v>19</v>
      </c>
      <c r="BT654">
        <f>HYPERLINK("http://exon.niaid.nih.gov/transcriptome/Anopheles_sialome/links/cluster-b/anopheline-sialome-cds-pep-larger-orf45-50SimCLU17.txt", 17)</f>
        <v>17</v>
      </c>
      <c r="BU654">
        <f>HYPERLINK("http://exon.niaid.nih.gov/transcriptome/Anopheles_sialome/links/cluster-b/anopheline-sialome-cds-pep-larger-orf45-50SimCLTL17.txt", 19)</f>
        <v>19</v>
      </c>
      <c r="BV654">
        <f>HYPERLINK("http://exon.niaid.nih.gov/transcriptome/Anopheles_sialome/links/cluster-b/anopheline-sialome-cds-pep-larger-orf50-50SimCLU16.txt", 16)</f>
        <v>16</v>
      </c>
      <c r="BW654">
        <f>HYPERLINK("http://exon.niaid.nih.gov/transcriptome/Anopheles_sialome/links/cluster-b/anopheline-sialome-cds-pep-larger-orf50-50SimCLTL16.txt", 19)</f>
        <v>19</v>
      </c>
      <c r="BX654">
        <f>HYPERLINK("http://exon.niaid.nih.gov/transcriptome/Anopheles_sialome/links/cluster-b/anopheline-sialome-cds-pep-larger-orf55-50SimCLU17.txt", 17)</f>
        <v>17</v>
      </c>
      <c r="BY654">
        <f>HYPERLINK("http://exon.niaid.nih.gov/transcriptome/Anopheles_sialome/links/cluster-b/anopheline-sialome-cds-pep-larger-orf55-50SimCLTL17.txt", 19)</f>
        <v>19</v>
      </c>
      <c r="BZ654">
        <f>HYPERLINK("http://exon.niaid.nih.gov/transcriptome/Anopheles_sialome/links/cluster-b/anopheline-sialome-cds-pep-larger-orf60-50SimCLU16.txt", 16)</f>
        <v>16</v>
      </c>
      <c r="CA654">
        <f>HYPERLINK("http://exon.niaid.nih.gov/transcriptome/Anopheles_sialome/links/cluster-b/anopheline-sialome-cds-pep-larger-orf60-50SimCLTL16.txt", 19)</f>
        <v>19</v>
      </c>
      <c r="CB654">
        <f>HYPERLINK("http://exon.niaid.nih.gov/transcriptome/Anopheles_sialome/links/cluster-b/anopheline-sialome-cds-pep-larger-orf65-50SimCLU13.txt", 13)</f>
        <v>13</v>
      </c>
      <c r="CC654">
        <f>HYPERLINK("http://exon.niaid.nih.gov/transcriptome/Anopheles_sialome/links/cluster-b/anopheline-sialome-cds-pep-larger-orf65-50SimCLTL13.txt", 19)</f>
        <v>19</v>
      </c>
      <c r="CD654">
        <f>HYPERLINK("http://exon.niaid.nih.gov/transcriptome/Anopheles_sialome/links/cluster-b/anopheline-sialome-cds-pep-larger-orf70-50SimCLU13.txt", 13)</f>
        <v>13</v>
      </c>
      <c r="CE654">
        <f>HYPERLINK("http://exon.niaid.nih.gov/transcriptome/Anopheles_sialome/links/cluster-b/anopheline-sialome-cds-pep-larger-orf70-50SimCLTL13.txt", 19)</f>
        <v>19</v>
      </c>
      <c r="CF654">
        <f>HYPERLINK("http://exon.niaid.nih.gov/transcriptome/Anopheles_sialome/links/cluster-b/anopheline-sialome-cds-pep-larger-orf75-50SimCLU91.txt", 91)</f>
        <v>91</v>
      </c>
      <c r="CG654">
        <f>HYPERLINK("http://exon.niaid.nih.gov/transcriptome/Anopheles_sialome/links/cluster-b/anopheline-sialome-cds-pep-larger-orf75-50SimCLTL91.txt", 2)</f>
        <v>2</v>
      </c>
      <c r="CH654">
        <f>HYPERLINK("http://exon.niaid.nih.gov/transcriptome/Anopheles_sialome/links/cluster-b/anopheline-sialome-cds-pep-larger-orf80-50SimCLU111.txt", 111)</f>
        <v>111</v>
      </c>
      <c r="CI654">
        <f>HYPERLINK("http://exon.niaid.nih.gov/transcriptome/Anopheles_sialome/links/cluster-b/anopheline-sialome-cds-pep-larger-orf80-50SimCLTL111.txt", 2)</f>
        <v>2</v>
      </c>
      <c r="CJ654">
        <f>HYPERLINK("http://exon.niaid.nih.gov/transcriptome/Anopheles_sialome/links/cluster-b/anopheline-sialome-cds-pep-larger-orf85-50SimCLU107.txt", 107)</f>
        <v>107</v>
      </c>
      <c r="CK654">
        <f>HYPERLINK("http://exon.niaid.nih.gov/transcriptome/Anopheles_sialome/links/cluster-b/anopheline-sialome-cds-pep-larger-orf85-50SimCLTL107.txt", 2)</f>
        <v>2</v>
      </c>
      <c r="CL654">
        <v>446</v>
      </c>
      <c r="CM654">
        <v>1</v>
      </c>
      <c r="CN654">
        <v>561</v>
      </c>
      <c r="CO654">
        <v>1</v>
      </c>
    </row>
    <row r="655" spans="1:93">
      <c r="A655" s="2" t="str">
        <f>HYPERLINK("http://exon.niaid.nih.gov/transcriptome/Anopheles_sialome/links/cds/anodar_SG9-cds.txt","anodar_SG9")</f>
        <v>anodar_SG9</v>
      </c>
      <c r="B655">
        <v>1221</v>
      </c>
      <c r="C655" t="s">
        <v>626</v>
      </c>
      <c r="D655" t="s">
        <v>4</v>
      </c>
      <c r="E655" t="s">
        <v>5</v>
      </c>
      <c r="F655" t="s">
        <v>1</v>
      </c>
      <c r="G655" t="str">
        <f>HYPERLINK("http://exon.niaid.nih.gov/transcriptome/Anopheles_sialome/links/pep/anodar_SG9-pep.txt","anodar_SG9")</f>
        <v>anodar_SG9</v>
      </c>
      <c r="H655">
        <v>406</v>
      </c>
      <c r="I655">
        <v>0</v>
      </c>
      <c r="J655" s="3" t="str">
        <f>HYPERLINK("http://exon.niaid.nih.gov/transcriptome/Anopheles_sialome/links/Sigp/anodar_SG9-SigP.txt","SIG")</f>
        <v>SIG</v>
      </c>
      <c r="K655" t="s">
        <v>787</v>
      </c>
      <c r="L655">
        <v>43.09</v>
      </c>
      <c r="M655">
        <v>8.5399999999999991</v>
      </c>
      <c r="N655">
        <v>40.390999999999998</v>
      </c>
      <c r="O655">
        <v>8.57</v>
      </c>
      <c r="P655" t="s">
        <v>2233</v>
      </c>
      <c r="Q655" s="3" t="str">
        <f>HYPERLINK("http://exon.niaid.nih.gov/transcriptome/Anopheles_sialome/links/tmhmm/anodar_SG9-tmhmm.txt","1")</f>
        <v>1</v>
      </c>
      <c r="R655">
        <v>5.4</v>
      </c>
      <c r="S655">
        <v>92.9</v>
      </c>
      <c r="T655">
        <v>1.7</v>
      </c>
      <c r="U655" t="s">
        <v>128</v>
      </c>
      <c r="V655">
        <v>377</v>
      </c>
      <c r="W655" s="3" t="str">
        <f>HYPERLINK("http://exon.niaid.nih.gov/transcriptome/Anopheles_sialome/links/netoglyc/anodar_SG9-netoglyc.txt","9")</f>
        <v>9</v>
      </c>
      <c r="X655">
        <v>16.7</v>
      </c>
      <c r="Y655">
        <v>9.4</v>
      </c>
      <c r="Z655">
        <v>4.4000000000000004</v>
      </c>
      <c r="AA655" t="s">
        <v>654</v>
      </c>
      <c r="AB655" t="s">
        <v>2234</v>
      </c>
      <c r="AC655" s="2" t="s">
        <v>128</v>
      </c>
      <c r="AD655" t="s">
        <v>128</v>
      </c>
      <c r="AE655" t="s">
        <v>128</v>
      </c>
      <c r="AF655" t="s">
        <v>128</v>
      </c>
      <c r="AG655" t="s">
        <v>128</v>
      </c>
      <c r="AH655" t="s">
        <v>128</v>
      </c>
      <c r="AI655" t="s">
        <v>128</v>
      </c>
      <c r="AJ655" s="2" t="s">
        <v>128</v>
      </c>
      <c r="AK655" t="s">
        <v>128</v>
      </c>
      <c r="AL655" t="s">
        <v>128</v>
      </c>
      <c r="AM655" t="s">
        <v>128</v>
      </c>
      <c r="AN655" t="s">
        <v>128</v>
      </c>
      <c r="AO655" t="s">
        <v>128</v>
      </c>
      <c r="AP655" t="s">
        <v>128</v>
      </c>
      <c r="AQ655" s="2" t="s">
        <v>128</v>
      </c>
      <c r="AR655" t="s">
        <v>128</v>
      </c>
      <c r="AS655" t="s">
        <v>128</v>
      </c>
      <c r="AT655" t="s">
        <v>128</v>
      </c>
      <c r="AU655" t="s">
        <v>128</v>
      </c>
      <c r="AV655" t="s">
        <v>128</v>
      </c>
      <c r="AW655" t="s">
        <v>128</v>
      </c>
      <c r="AX655" s="2" t="s">
        <v>128</v>
      </c>
      <c r="AY655" t="s">
        <v>128</v>
      </c>
      <c r="AZ655" t="s">
        <v>128</v>
      </c>
      <c r="BA655" s="2" t="s">
        <v>128</v>
      </c>
      <c r="BB655" t="s">
        <v>128</v>
      </c>
      <c r="BC655" t="s">
        <v>128</v>
      </c>
      <c r="BD655" t="s">
        <v>128</v>
      </c>
      <c r="BE655" t="s">
        <v>128</v>
      </c>
      <c r="BF655" t="s">
        <v>128</v>
      </c>
      <c r="BG655" s="2" t="s">
        <v>128</v>
      </c>
      <c r="BH655" t="s">
        <v>128</v>
      </c>
      <c r="BI655" t="s">
        <v>128</v>
      </c>
      <c r="BJ655" s="2" t="s">
        <v>128</v>
      </c>
      <c r="BK655" t="s">
        <v>2232</v>
      </c>
      <c r="BL655">
        <f>HYPERLINK("http://exon.niaid.nih.gov/transcriptome/Anopheles_sialome/links/cluster-b/anopheline-sialome-cds-pep-larger-orf25-50SimCLU8.txt", 8)</f>
        <v>8</v>
      </c>
      <c r="BM655">
        <f>HYPERLINK("http://exon.niaid.nih.gov/transcriptome/Anopheles_sialome/links/cluster-b/anopheline-sialome-cds-pep-larger-orf25-50SimCLTL8.txt", 35)</f>
        <v>35</v>
      </c>
      <c r="BN655">
        <f>HYPERLINK("http://exon.niaid.nih.gov/transcriptome/Anopheles_sialome/links/cluster-b/anopheline-sialome-cds-pep-larger-orf30-50SimCLU13.txt", 13)</f>
        <v>13</v>
      </c>
      <c r="BO655">
        <f>HYPERLINK("http://exon.niaid.nih.gov/transcriptome/Anopheles_sialome/links/cluster-b/anopheline-sialome-cds-pep-larger-orf30-50SimCLTL13.txt", 19)</f>
        <v>19</v>
      </c>
      <c r="BP655">
        <f>HYPERLINK("http://exon.niaid.nih.gov/transcriptome/Anopheles_sialome/links/cluster-b/anopheline-sialome-cds-pep-larger-orf35-50SimCLU15.txt", 15)</f>
        <v>15</v>
      </c>
      <c r="BQ655">
        <f>HYPERLINK("http://exon.niaid.nih.gov/transcriptome/Anopheles_sialome/links/cluster-b/anopheline-sialome-cds-pep-larger-orf35-50SimCLTL15.txt", 19)</f>
        <v>19</v>
      </c>
      <c r="BR655">
        <f>HYPERLINK("http://exon.niaid.nih.gov/transcriptome/Anopheles_sialome/links/cluster-b/anopheline-sialome-cds-pep-larger-orf40-50SimCLU17.txt", 17)</f>
        <v>17</v>
      </c>
      <c r="BS655">
        <f>HYPERLINK("http://exon.niaid.nih.gov/transcriptome/Anopheles_sialome/links/cluster-b/anopheline-sialome-cds-pep-larger-orf40-50SimCLTL17.txt", 19)</f>
        <v>19</v>
      </c>
      <c r="BT655">
        <f>HYPERLINK("http://exon.niaid.nih.gov/transcriptome/Anopheles_sialome/links/cluster-b/anopheline-sialome-cds-pep-larger-orf45-50SimCLU17.txt", 17)</f>
        <v>17</v>
      </c>
      <c r="BU655">
        <f>HYPERLINK("http://exon.niaid.nih.gov/transcriptome/Anopheles_sialome/links/cluster-b/anopheline-sialome-cds-pep-larger-orf45-50SimCLTL17.txt", 19)</f>
        <v>19</v>
      </c>
      <c r="BV655">
        <f>HYPERLINK("http://exon.niaid.nih.gov/transcriptome/Anopheles_sialome/links/cluster-b/anopheline-sialome-cds-pep-larger-orf50-50SimCLU16.txt", 16)</f>
        <v>16</v>
      </c>
      <c r="BW655">
        <f>HYPERLINK("http://exon.niaid.nih.gov/transcriptome/Anopheles_sialome/links/cluster-b/anopheline-sialome-cds-pep-larger-orf50-50SimCLTL16.txt", 19)</f>
        <v>19</v>
      </c>
      <c r="BX655">
        <f>HYPERLINK("http://exon.niaid.nih.gov/transcriptome/Anopheles_sialome/links/cluster-b/anopheline-sialome-cds-pep-larger-orf55-50SimCLU17.txt", 17)</f>
        <v>17</v>
      </c>
      <c r="BY655">
        <f>HYPERLINK("http://exon.niaid.nih.gov/transcriptome/Anopheles_sialome/links/cluster-b/anopheline-sialome-cds-pep-larger-orf55-50SimCLTL17.txt", 19)</f>
        <v>19</v>
      </c>
      <c r="BZ655">
        <f>HYPERLINK("http://exon.niaid.nih.gov/transcriptome/Anopheles_sialome/links/cluster-b/anopheline-sialome-cds-pep-larger-orf60-50SimCLU16.txt", 16)</f>
        <v>16</v>
      </c>
      <c r="CA655">
        <f>HYPERLINK("http://exon.niaid.nih.gov/transcriptome/Anopheles_sialome/links/cluster-b/anopheline-sialome-cds-pep-larger-orf60-50SimCLTL16.txt", 19)</f>
        <v>19</v>
      </c>
      <c r="CB655">
        <f>HYPERLINK("http://exon.niaid.nih.gov/transcriptome/Anopheles_sialome/links/cluster-b/anopheline-sialome-cds-pep-larger-orf65-50SimCLU13.txt", 13)</f>
        <v>13</v>
      </c>
      <c r="CC655">
        <f>HYPERLINK("http://exon.niaid.nih.gov/transcriptome/Anopheles_sialome/links/cluster-b/anopheline-sialome-cds-pep-larger-orf65-50SimCLTL13.txt", 19)</f>
        <v>19</v>
      </c>
      <c r="CD655">
        <f>HYPERLINK("http://exon.niaid.nih.gov/transcriptome/Anopheles_sialome/links/cluster-b/anopheline-sialome-cds-pep-larger-orf70-50SimCLU13.txt", 13)</f>
        <v>13</v>
      </c>
      <c r="CE655">
        <f>HYPERLINK("http://exon.niaid.nih.gov/transcriptome/Anopheles_sialome/links/cluster-b/anopheline-sialome-cds-pep-larger-orf70-50SimCLTL13.txt", 19)</f>
        <v>19</v>
      </c>
      <c r="CF655">
        <f>HYPERLINK("http://exon.niaid.nih.gov/transcriptome/Anopheles_sialome/links/cluster-b/anopheline-sialome-cds-pep-larger-orf75-50SimCLU91.txt", 91)</f>
        <v>91</v>
      </c>
      <c r="CG655">
        <f>HYPERLINK("http://exon.niaid.nih.gov/transcriptome/Anopheles_sialome/links/cluster-b/anopheline-sialome-cds-pep-larger-orf75-50SimCLTL91.txt", 2)</f>
        <v>2</v>
      </c>
      <c r="CH655">
        <f>HYPERLINK("http://exon.niaid.nih.gov/transcriptome/Anopheles_sialome/links/cluster-b/anopheline-sialome-cds-pep-larger-orf80-50SimCLU111.txt", 111)</f>
        <v>111</v>
      </c>
      <c r="CI655">
        <f>HYPERLINK("http://exon.niaid.nih.gov/transcriptome/Anopheles_sialome/links/cluster-b/anopheline-sialome-cds-pep-larger-orf80-50SimCLTL111.txt", 2)</f>
        <v>2</v>
      </c>
      <c r="CJ655">
        <f>HYPERLINK("http://exon.niaid.nih.gov/transcriptome/Anopheles_sialome/links/cluster-b/anopheline-sialome-cds-pep-larger-orf85-50SimCLU107.txt", 107)</f>
        <v>107</v>
      </c>
      <c r="CK655">
        <f>HYPERLINK("http://exon.niaid.nih.gov/transcriptome/Anopheles_sialome/links/cluster-b/anopheline-sialome-cds-pep-larger-orf85-50SimCLTL107.txt", 2)</f>
        <v>2</v>
      </c>
      <c r="CL655">
        <v>447</v>
      </c>
      <c r="CM655">
        <v>1</v>
      </c>
      <c r="CN655">
        <v>562</v>
      </c>
      <c r="CO655">
        <v>1</v>
      </c>
    </row>
    <row r="656" spans="1:93">
      <c r="A656" s="14" t="s">
        <v>3184</v>
      </c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  <c r="BA656" s="13"/>
      <c r="BB656" s="13"/>
      <c r="BC656" s="13"/>
      <c r="BD656" s="13"/>
      <c r="BE656" s="13"/>
      <c r="BF656" s="13"/>
      <c r="BG656" s="13"/>
      <c r="BH656" s="13"/>
      <c r="BI656" s="13"/>
      <c r="BJ656" s="13"/>
      <c r="BK656" s="13"/>
      <c r="BL656" s="13"/>
      <c r="BM656" s="13"/>
      <c r="BN656" s="13"/>
      <c r="BO656" s="13"/>
      <c r="BP656" s="13"/>
      <c r="BQ656" s="13"/>
      <c r="BR656" s="13"/>
      <c r="BS656" s="13"/>
      <c r="BT656" s="13"/>
      <c r="BU656" s="13"/>
      <c r="BV656" s="13"/>
      <c r="BW656" s="13"/>
      <c r="BX656" s="13"/>
      <c r="BY656" s="13"/>
      <c r="BZ656" s="13"/>
      <c r="CA656" s="13"/>
      <c r="CB656" s="13"/>
      <c r="CC656" s="13"/>
      <c r="CD656" s="13"/>
      <c r="CE656" s="13"/>
      <c r="CF656" s="13"/>
      <c r="CG656" s="13"/>
      <c r="CH656" s="13"/>
      <c r="CI656" s="13"/>
      <c r="CJ656" s="13"/>
      <c r="CK656" s="13"/>
      <c r="CL656" s="13"/>
      <c r="CM656" s="13"/>
      <c r="CN656" s="13"/>
      <c r="CO656" s="13"/>
    </row>
    <row r="657" spans="1:93">
      <c r="A657" s="2" t="str">
        <f>HYPERLINK("http://exon.niaid.nih.gov/transcriptome/Anopheles_sialome/links/cds/anoga_55.3kDa-cds.txt","anoga_55.3kDa")</f>
        <v>anoga_55.3kDa</v>
      </c>
      <c r="B657">
        <v>1542</v>
      </c>
      <c r="C657" t="s">
        <v>25</v>
      </c>
      <c r="D657" t="s">
        <v>4</v>
      </c>
      <c r="E657" t="s">
        <v>5</v>
      </c>
      <c r="F657" t="s">
        <v>1</v>
      </c>
      <c r="G657" t="str">
        <f>HYPERLINK("http://exon.niaid.nih.gov/transcriptome/Anopheles_sialome/links/pep/anoga_55.3kDa-pep.txt","anoga_55.3kDa")</f>
        <v>anoga_55.3kDa</v>
      </c>
      <c r="H657">
        <v>513</v>
      </c>
      <c r="I657">
        <v>0</v>
      </c>
      <c r="J657" s="3" t="str">
        <f>HYPERLINK("http://exon.niaid.nih.gov/transcriptome/Anopheles_sialome/links/Sigp/anoga_55.3kDa-SigP.txt","SIG")</f>
        <v>SIG</v>
      </c>
      <c r="K657" t="s">
        <v>689</v>
      </c>
      <c r="L657">
        <v>55.252000000000002</v>
      </c>
      <c r="M657">
        <v>9.1300000000000008</v>
      </c>
      <c r="N657">
        <v>52.999000000000002</v>
      </c>
      <c r="O657">
        <v>8.73</v>
      </c>
      <c r="P657" t="s">
        <v>690</v>
      </c>
      <c r="Q657" s="3">
        <v>0</v>
      </c>
      <c r="R657" t="s">
        <v>128</v>
      </c>
      <c r="S657" t="s">
        <v>128</v>
      </c>
      <c r="T657" t="s">
        <v>128</v>
      </c>
      <c r="U657" t="s">
        <v>128</v>
      </c>
      <c r="V657" t="s">
        <v>128</v>
      </c>
      <c r="W657" s="3" t="str">
        <f>HYPERLINK("http://exon.niaid.nih.gov/transcriptome/Anopheles_sialome/links/netoglyc/anoga_55.3kDa-netoglyc.txt","0")</f>
        <v>0</v>
      </c>
      <c r="X657">
        <v>14.2</v>
      </c>
      <c r="Y657">
        <v>8.4</v>
      </c>
      <c r="Z657">
        <v>2.5</v>
      </c>
      <c r="AA657" t="s">
        <v>654</v>
      </c>
      <c r="AB657" t="s">
        <v>128</v>
      </c>
      <c r="AC657" s="2" t="str">
        <f>HYPERLINK("http://exon.niaid.nih.gov/transcriptome/Anopheles_sialome/links/DIPTERA/anoga_55.3kDa-DIPTERA.txt","AGAP005822-PA")</f>
        <v>AGAP005822-PA</v>
      </c>
      <c r="AD657" t="str">
        <f t="shared" ref="AD657:AD663" si="232">HYPERLINK("http://www.ncbi.nlm.nih.gov/sutils/blink.cgi?pid=116126635","0.0")</f>
        <v>0.0</v>
      </c>
      <c r="AE657" t="str">
        <f t="shared" ref="AE657:AE663" si="233">HYPERLINK("http://www.ncbi.nlm.nih.gov/protein/116126635","gi|116126635")</f>
        <v>gi|116126635</v>
      </c>
      <c r="AF657">
        <v>100</v>
      </c>
      <c r="AG657">
        <v>100</v>
      </c>
      <c r="AH657">
        <v>100</v>
      </c>
      <c r="AI657" t="s">
        <v>2285</v>
      </c>
      <c r="AJ657" s="2" t="str">
        <f>HYPERLINK("http://exon.niaid.nih.gov/transcriptome/Anopheles_sialome/links/CULICOMORPHA/anoga_55.3kDa-CULICOMORPHA.txt","AGAP005822-PA")</f>
        <v>AGAP005822-PA</v>
      </c>
      <c r="AK657" t="str">
        <f t="shared" ref="AK657:AK663" si="234">HYPERLINK("http://www.ncbi.nlm.nih.gov/sutils/blink.cgi?pid=116126635","0.0")</f>
        <v>0.0</v>
      </c>
      <c r="AL657" t="str">
        <f t="shared" ref="AL657:AL663" si="235">HYPERLINK("http://www.ncbi.nlm.nih.gov/protein/116126635","gi|116126635")</f>
        <v>gi|116126635</v>
      </c>
      <c r="AM657">
        <v>100</v>
      </c>
      <c r="AN657">
        <v>100</v>
      </c>
      <c r="AO657">
        <v>100</v>
      </c>
      <c r="AP657" t="s">
        <v>2285</v>
      </c>
      <c r="AQ657" s="2" t="str">
        <f>HYPERLINK("http://exon.niaid.nih.gov/transcriptome/Anopheles_sialome/links/NR-LIGHT/anoga_55.3kDa-NR-LIGHT.txt","AGAP005822-PA")</f>
        <v>AGAP005822-PA</v>
      </c>
      <c r="AR657" t="str">
        <f t="shared" ref="AR657:AR663" si="236">HYPERLINK("http://www.ncbi.nlm.nih.gov/sutils/blink.cgi?pid=118787092","0.0")</f>
        <v>0.0</v>
      </c>
      <c r="AS657" t="str">
        <f t="shared" ref="AS657:AS663" si="237">HYPERLINK("http://www.ncbi.nlm.nih.gov/protein/118787092","gi|118787092")</f>
        <v>gi|118787092</v>
      </c>
      <c r="AT657">
        <v>100</v>
      </c>
      <c r="AU657">
        <v>100</v>
      </c>
      <c r="AV657">
        <v>100</v>
      </c>
      <c r="AW657" t="s">
        <v>2285</v>
      </c>
      <c r="AX657" s="2" t="str">
        <f>HYPERLINK("http://exon.niaid.nih.gov/transcriptome/Anopheles_sialome/links/CDD/anoga_55.3kDa-CDD.txt","Formate_acetylt")</f>
        <v>Formate_acetylt</v>
      </c>
      <c r="AY657" t="str">
        <f>HYPERLINK("http://www.ncbi.nlm.nih.gov/Structure/cdd/cddsrv.cgi?uid=TIGR01255&amp;version=v4.0","3.0")</f>
        <v>3.0</v>
      </c>
      <c r="AZ657" t="s">
        <v>2286</v>
      </c>
      <c r="BA657" s="2" t="str">
        <f>HYPERLINK("http://exon.niaid.nih.gov/transcriptome/Anopheles_sialome/links/KOG/anoga_55.3kDa-KOG.txt","Zinc carboxypeptidase")</f>
        <v>Zinc carboxypeptidase</v>
      </c>
      <c r="BB657" t="str">
        <f>HYPERLINK("http://www.ncbi.nlm.nih.gov/Structure/cdd/cddsrv.cgi?uid=KOG3641","2.5")</f>
        <v>2.5</v>
      </c>
      <c r="BC657" t="s">
        <v>2287</v>
      </c>
      <c r="BD657" t="str">
        <f>HYPERLINK("http://exon.niaid.nih.gov/transcriptome/Anopheles_sialome/links/KOG/anoga_55.3kDa-KOG.txt","KOG3641")</f>
        <v>KOG3641</v>
      </c>
      <c r="BE657" t="str">
        <f>HYPERLINK("http://exon.niaid.nih.gov/transcriptome/Anopheles_sialome/links/PFAM/anoga_55.3kDa-PFAM.txt","Myosin_tail_1")</f>
        <v>Myosin_tail_1</v>
      </c>
      <c r="BF657" t="str">
        <f>HYPERLINK("http://pfam.sanger.ac.uk/family?acc=PF01576","1.9")</f>
        <v>1.9</v>
      </c>
      <c r="BG657" s="2" t="str">
        <f>HYPERLINK("http://exon.niaid.nih.gov/transcriptome/Anopheles_sialome/links/SMART/anoga_55.3kDa-SMART.txt","DWB")</f>
        <v>DWB</v>
      </c>
      <c r="BH657" t="str">
        <f>HYPERLINK("http://smart.embl-heidelberg.de/smart/do_annotation.pl?DOMAIN=DWB&amp;BLAST=DUMMY","0.32")</f>
        <v>0.32</v>
      </c>
      <c r="BI657" t="str">
        <f>HYPERLINK("http://exon.niaid.nih.gov/transcriptome/Anopheles_sialome/links/TICK-BLOCKS/anoga_55.3kDa-TICK-BLOCKS.txt","56_kDa_family |")</f>
        <v>56_kDa_family |</v>
      </c>
      <c r="BJ657" s="2" t="s">
        <v>2288</v>
      </c>
      <c r="BK657" t="s">
        <v>688</v>
      </c>
      <c r="BL657">
        <f>HYPERLINK("http://exon.niaid.nih.gov/transcriptome/Anopheles_sialome/links/cluster-b/anopheline-sialome-cds-pep-larger-orf25-50SimCLU8.txt", 8)</f>
        <v>8</v>
      </c>
      <c r="BM657">
        <f>HYPERLINK("http://exon.niaid.nih.gov/transcriptome/Anopheles_sialome/links/cluster-b/anopheline-sialome-cds-pep-larger-orf25-50SimCLTL8.txt", 35)</f>
        <v>35</v>
      </c>
      <c r="BN657">
        <f>HYPERLINK("http://exon.niaid.nih.gov/transcriptome/Anopheles_sialome/links/cluster-b/anopheline-sialome-cds-pep-larger-orf30-50SimCLU17.txt", 17)</f>
        <v>17</v>
      </c>
      <c r="BO657">
        <f>HYPERLINK("http://exon.niaid.nih.gov/transcriptome/Anopheles_sialome/links/cluster-b/anopheline-sialome-cds-pep-larger-orf30-50SimCLTL17.txt", 16)</f>
        <v>16</v>
      </c>
      <c r="BP657">
        <f>HYPERLINK("http://exon.niaid.nih.gov/transcriptome/Anopheles_sialome/links/cluster-b/anopheline-sialome-cds-pep-larger-orf35-50SimCLU19.txt", 19)</f>
        <v>19</v>
      </c>
      <c r="BQ657">
        <f>HYPERLINK("http://exon.niaid.nih.gov/transcriptome/Anopheles_sialome/links/cluster-b/anopheline-sialome-cds-pep-larger-orf35-50SimCLTL19.txt", 16)</f>
        <v>16</v>
      </c>
      <c r="BR657">
        <f>HYPERLINK("http://exon.niaid.nih.gov/transcriptome/Anopheles_sialome/links/cluster-b/anopheline-sialome-cds-pep-larger-orf40-50SimCLU24.txt", 24)</f>
        <v>24</v>
      </c>
      <c r="BS657">
        <f>HYPERLINK("http://exon.niaid.nih.gov/transcriptome/Anopheles_sialome/links/cluster-b/anopheline-sialome-cds-pep-larger-orf40-50SimCLTL24.txt", 16)</f>
        <v>16</v>
      </c>
      <c r="BT657">
        <f>HYPERLINK("http://exon.niaid.nih.gov/transcriptome/Anopheles_sialome/links/cluster-b/anopheline-sialome-cds-pep-larger-orf45-50SimCLU28.txt", 28)</f>
        <v>28</v>
      </c>
      <c r="BU657">
        <f>HYPERLINK("http://exon.niaid.nih.gov/transcriptome/Anopheles_sialome/links/cluster-b/anopheline-sialome-cds-pep-larger-orf45-50SimCLTL28.txt", 16)</f>
        <v>16</v>
      </c>
      <c r="BV657">
        <f>HYPERLINK("http://exon.niaid.nih.gov/transcriptome/Anopheles_sialome/links/cluster-b/anopheline-sialome-cds-pep-larger-orf50-50SimCLU29.txt", 29)</f>
        <v>29</v>
      </c>
      <c r="BW657">
        <f>HYPERLINK("http://exon.niaid.nih.gov/transcriptome/Anopheles_sialome/links/cluster-b/anopheline-sialome-cds-pep-larger-orf50-50SimCLTL29.txt", 16)</f>
        <v>16</v>
      </c>
      <c r="BX657">
        <f>HYPERLINK("http://exon.niaid.nih.gov/transcriptome/Anopheles_sialome/links/cluster-b/anopheline-sialome-cds-pep-larger-orf55-50SimCLU28.txt", 28)</f>
        <v>28</v>
      </c>
      <c r="BY657">
        <f>HYPERLINK("http://exon.niaid.nih.gov/transcriptome/Anopheles_sialome/links/cluster-b/anopheline-sialome-cds-pep-larger-orf55-50SimCLTL28.txt", 16)</f>
        <v>16</v>
      </c>
      <c r="BZ657">
        <f>HYPERLINK("http://exon.niaid.nih.gov/transcriptome/Anopheles_sialome/links/cluster-b/anopheline-sialome-cds-pep-larger-orf60-50SimCLU24.txt", 24)</f>
        <v>24</v>
      </c>
      <c r="CA657">
        <f>HYPERLINK("http://exon.niaid.nih.gov/transcriptome/Anopheles_sialome/links/cluster-b/anopheline-sialome-cds-pep-larger-orf60-50SimCLTL24.txt", 16)</f>
        <v>16</v>
      </c>
      <c r="CB657">
        <f>HYPERLINK("http://exon.niaid.nih.gov/transcriptome/Anopheles_sialome/links/cluster-b/anopheline-sialome-cds-pep-larger-orf65-50SimCLU22.txt", 22)</f>
        <v>22</v>
      </c>
      <c r="CC657">
        <f>HYPERLINK("http://exon.niaid.nih.gov/transcriptome/Anopheles_sialome/links/cluster-b/anopheline-sialome-cds-pep-larger-orf65-50SimCLTL22.txt", 16)</f>
        <v>16</v>
      </c>
      <c r="CD657">
        <f>HYPERLINK("http://exon.niaid.nih.gov/transcriptome/Anopheles_sialome/links/cluster-b/anopheline-sialome-cds-pep-larger-orf70-50SimCLU21.txt", 21)</f>
        <v>21</v>
      </c>
      <c r="CE657">
        <f>HYPERLINK("http://exon.niaid.nih.gov/transcriptome/Anopheles_sialome/links/cluster-b/anopheline-sialome-cds-pep-larger-orf70-50SimCLTL21.txt", 16)</f>
        <v>16</v>
      </c>
      <c r="CF657">
        <f>HYPERLINK("http://exon.niaid.nih.gov/transcriptome/Anopheles_sialome/links/cluster-b/anopheline-sialome-cds-pep-larger-orf75-50SimCLU21.txt", 21)</f>
        <v>21</v>
      </c>
      <c r="CG657">
        <f>HYPERLINK("http://exon.niaid.nih.gov/transcriptome/Anopheles_sialome/links/cluster-b/anopheline-sialome-cds-pep-larger-orf75-50SimCLTL21.txt", 14)</f>
        <v>14</v>
      </c>
      <c r="CH657">
        <f>HYPERLINK("http://exon.niaid.nih.gov/transcriptome/Anopheles_sialome/links/cluster-b/anopheline-sialome-cds-pep-larger-orf80-50SimCLU21.txt", 21)</f>
        <v>21</v>
      </c>
      <c r="CI657">
        <f>HYPERLINK("http://exon.niaid.nih.gov/transcriptome/Anopheles_sialome/links/cluster-b/anopheline-sialome-cds-pep-larger-orf80-50SimCLTL21.txt", 12)</f>
        <v>12</v>
      </c>
      <c r="CJ657">
        <f>HYPERLINK("http://exon.niaid.nih.gov/transcriptome/Anopheles_sialome/links/cluster-b/anopheline-sialome-cds-pep-larger-orf85-50SimCLU15.txt", 15)</f>
        <v>15</v>
      </c>
      <c r="CK657">
        <f>HYPERLINK("http://exon.niaid.nih.gov/transcriptome/Anopheles_sialome/links/cluster-b/anopheline-sialome-cds-pep-larger-orf85-50SimCLTL15.txt", 11)</f>
        <v>11</v>
      </c>
      <c r="CL657">
        <f>HYPERLINK("http://exon.niaid.nih.gov/transcriptome/Anopheles_sialome/links/cluster-b/anopheline-sialome-cds-pep-larger-orf90-50SimCLU40.txt", 40)</f>
        <v>40</v>
      </c>
      <c r="CM657">
        <f>HYPERLINK("http://exon.niaid.nih.gov/transcriptome/Anopheles_sialome/links/cluster-b/anopheline-sialome-cds-pep-larger-orf90-50SimCLTL40.txt", 5)</f>
        <v>5</v>
      </c>
      <c r="CN657">
        <f>HYPERLINK("http://exon.niaid.nih.gov/transcriptome/Anopheles_sialome/links/cluster-b/anopheline-sialome-cds-pep-larger-orf95-50SimCLU32.txt", 32)</f>
        <v>32</v>
      </c>
      <c r="CO657">
        <f>HYPERLINK("http://exon.niaid.nih.gov/transcriptome/Anopheles_sialome/links/cluster-b/anopheline-sialome-cds-pep-larger-orf95-50SimCLTL32.txt", 5)</f>
        <v>5</v>
      </c>
    </row>
    <row r="658" spans="1:93">
      <c r="A658" s="2" t="str">
        <f>HYPERLINK("http://exon.niaid.nih.gov/transcriptome/Anopheles_sialome/links/cds/anoara_55.3kDa-cds.txt","anoara_55.3kDa")</f>
        <v>anoara_55.3kDa</v>
      </c>
      <c r="B658">
        <v>1542</v>
      </c>
      <c r="C658" t="s">
        <v>26</v>
      </c>
      <c r="D658" t="s">
        <v>4</v>
      </c>
      <c r="E658" t="s">
        <v>5</v>
      </c>
      <c r="F658" t="s">
        <v>1</v>
      </c>
      <c r="G658" t="str">
        <f>HYPERLINK("http://exon.niaid.nih.gov/transcriptome/Anopheles_sialome/links/pep/anoara_55.3kDa-pep.txt","anoara_55.3kDa")</f>
        <v>anoara_55.3kDa</v>
      </c>
      <c r="H658">
        <v>513</v>
      </c>
      <c r="I658">
        <v>0</v>
      </c>
      <c r="J658" s="3" t="str">
        <f>HYPERLINK("http://exon.niaid.nih.gov/transcriptome/Anopheles_sialome/links/Sigp/anoara_55.3kDa-SigP.txt","SIG")</f>
        <v>SIG</v>
      </c>
      <c r="K658" t="s">
        <v>692</v>
      </c>
      <c r="L658">
        <v>55.454999999999998</v>
      </c>
      <c r="M658">
        <v>8.7100000000000009</v>
      </c>
      <c r="N658">
        <v>53.271999999999998</v>
      </c>
      <c r="O658">
        <v>7.62</v>
      </c>
      <c r="P658" t="s">
        <v>693</v>
      </c>
      <c r="Q658" s="3">
        <v>0</v>
      </c>
      <c r="R658" t="s">
        <v>128</v>
      </c>
      <c r="S658" t="s">
        <v>128</v>
      </c>
      <c r="T658" t="s">
        <v>128</v>
      </c>
      <c r="U658" t="s">
        <v>128</v>
      </c>
      <c r="V658" t="s">
        <v>128</v>
      </c>
      <c r="W658" s="3" t="str">
        <f>HYPERLINK("http://exon.niaid.nih.gov/transcriptome/Anopheles_sialome/links/netoglyc/anoara_55.3kDa-netoglyc.txt","0")</f>
        <v>0</v>
      </c>
      <c r="X658">
        <v>14.2</v>
      </c>
      <c r="Y658">
        <v>8</v>
      </c>
      <c r="Z658">
        <v>2.5</v>
      </c>
      <c r="AA658" t="s">
        <v>654</v>
      </c>
      <c r="AB658" t="s">
        <v>128</v>
      </c>
      <c r="AC658" s="2" t="str">
        <f>HYPERLINK("http://exon.niaid.nih.gov/transcriptome/Anopheles_sialome/links/DIPTERA/anoara_55.3kDa-DIPTERA.txt","AGAP005822-PA")</f>
        <v>AGAP005822-PA</v>
      </c>
      <c r="AD658" t="str">
        <f t="shared" si="232"/>
        <v>0.0</v>
      </c>
      <c r="AE658" t="str">
        <f t="shared" si="233"/>
        <v>gi|116126635</v>
      </c>
      <c r="AF658">
        <v>95</v>
      </c>
      <c r="AG658">
        <v>97</v>
      </c>
      <c r="AH658">
        <v>100</v>
      </c>
      <c r="AI658" t="s">
        <v>2285</v>
      </c>
      <c r="AJ658" s="2" t="str">
        <f>HYPERLINK("http://exon.niaid.nih.gov/transcriptome/Anopheles_sialome/links/CULICOMORPHA/anoara_55.3kDa-CULICOMORPHA.txt","AGAP005822-PA")</f>
        <v>AGAP005822-PA</v>
      </c>
      <c r="AK658" t="str">
        <f t="shared" si="234"/>
        <v>0.0</v>
      </c>
      <c r="AL658" t="str">
        <f t="shared" si="235"/>
        <v>gi|116126635</v>
      </c>
      <c r="AM658">
        <v>95</v>
      </c>
      <c r="AN658">
        <v>97</v>
      </c>
      <c r="AO658">
        <v>100</v>
      </c>
      <c r="AP658" t="s">
        <v>2285</v>
      </c>
      <c r="AQ658" s="2" t="str">
        <f>HYPERLINK("http://exon.niaid.nih.gov/transcriptome/Anopheles_sialome/links/NR-LIGHT/anoara_55.3kDa-NR-LIGHT.txt","AGAP005822-PA")</f>
        <v>AGAP005822-PA</v>
      </c>
      <c r="AR658" t="str">
        <f t="shared" si="236"/>
        <v>0.0</v>
      </c>
      <c r="AS658" t="str">
        <f t="shared" si="237"/>
        <v>gi|118787092</v>
      </c>
      <c r="AT658">
        <v>95</v>
      </c>
      <c r="AU658">
        <v>97</v>
      </c>
      <c r="AV658">
        <v>100</v>
      </c>
      <c r="AW658" t="s">
        <v>2285</v>
      </c>
      <c r="AX658" s="2" t="str">
        <f>HYPERLINK("http://exon.niaid.nih.gov/transcriptome/Anopheles_sialome/links/CDD/anoara_55.3kDa-CDD.txt","PFL1")</f>
        <v>PFL1</v>
      </c>
      <c r="AY658" t="str">
        <f>HYPERLINK("http://www.ncbi.nlm.nih.gov/Structure/cdd/cddsrv.cgi?uid=cd01678&amp;version=v4.0","1.5")</f>
        <v>1.5</v>
      </c>
      <c r="AZ658" t="s">
        <v>2289</v>
      </c>
      <c r="BA658" s="2" t="str">
        <f>HYPERLINK("http://exon.niaid.nih.gov/transcriptome/Anopheles_sialome/links/KOG/anoara_55.3kDa-KOG.txt","DNA repair protein RHP57")</f>
        <v>DNA repair protein RHP57</v>
      </c>
      <c r="BB658" t="str">
        <f>HYPERLINK("http://www.ncbi.nlm.nih.gov/Structure/cdd/cddsrv.cgi?uid=KOG1564","2.3")</f>
        <v>2.3</v>
      </c>
      <c r="BC658" t="s">
        <v>2290</v>
      </c>
      <c r="BD658" t="str">
        <f>HYPERLINK("http://exon.niaid.nih.gov/transcriptome/Anopheles_sialome/links/KOG/anoara_55.3kDa-KOG.txt","KOG1564")</f>
        <v>KOG1564</v>
      </c>
      <c r="BE658" t="str">
        <f>HYPERLINK("http://exon.niaid.nih.gov/transcriptome/Anopheles_sialome/links/PFAM/anoara_55.3kDa-PFAM.txt","FBPase_2")</f>
        <v>FBPase_2</v>
      </c>
      <c r="BF658" t="str">
        <f>HYPERLINK("http://pfam.sanger.ac.uk/family?acc=PF06874","3.8")</f>
        <v>3.8</v>
      </c>
      <c r="BG658" s="2" t="str">
        <f>HYPERLINK("http://exon.niaid.nih.gov/transcriptome/Anopheles_sialome/links/SMART/anoara_55.3kDa-SMART.txt","DWB")</f>
        <v>DWB</v>
      </c>
      <c r="BH658" t="str">
        <f>HYPERLINK("http://smart.embl-heidelberg.de/smart/do_annotation.pl?DOMAIN=DWB&amp;BLAST=DUMMY","0.55")</f>
        <v>0.55</v>
      </c>
      <c r="BI658" t="str">
        <f>HYPERLINK("http://exon.niaid.nih.gov/transcriptome/Anopheles_sialome/links/TICK-BLOCKS/anoara_55.3kDa-TICK-BLOCKS.txt","56_kDa_family |")</f>
        <v>56_kDa_family |</v>
      </c>
      <c r="BJ658" s="2" t="s">
        <v>2288</v>
      </c>
      <c r="BK658" t="s">
        <v>691</v>
      </c>
      <c r="BL658">
        <f>HYPERLINK("http://exon.niaid.nih.gov/transcriptome/Anopheles_sialome/links/cluster-b/anopheline-sialome-cds-pep-larger-orf25-50SimCLU8.txt", 8)</f>
        <v>8</v>
      </c>
      <c r="BM658">
        <f>HYPERLINK("http://exon.niaid.nih.gov/transcriptome/Anopheles_sialome/links/cluster-b/anopheline-sialome-cds-pep-larger-orf25-50SimCLTL8.txt", 35)</f>
        <v>35</v>
      </c>
      <c r="BN658">
        <f>HYPERLINK("http://exon.niaid.nih.gov/transcriptome/Anopheles_sialome/links/cluster-b/anopheline-sialome-cds-pep-larger-orf30-50SimCLU17.txt", 17)</f>
        <v>17</v>
      </c>
      <c r="BO658">
        <f>HYPERLINK("http://exon.niaid.nih.gov/transcriptome/Anopheles_sialome/links/cluster-b/anopheline-sialome-cds-pep-larger-orf30-50SimCLTL17.txt", 16)</f>
        <v>16</v>
      </c>
      <c r="BP658">
        <f>HYPERLINK("http://exon.niaid.nih.gov/transcriptome/Anopheles_sialome/links/cluster-b/anopheline-sialome-cds-pep-larger-orf35-50SimCLU19.txt", 19)</f>
        <v>19</v>
      </c>
      <c r="BQ658">
        <f>HYPERLINK("http://exon.niaid.nih.gov/transcriptome/Anopheles_sialome/links/cluster-b/anopheline-sialome-cds-pep-larger-orf35-50SimCLTL19.txt", 16)</f>
        <v>16</v>
      </c>
      <c r="BR658">
        <f>HYPERLINK("http://exon.niaid.nih.gov/transcriptome/Anopheles_sialome/links/cluster-b/anopheline-sialome-cds-pep-larger-orf40-50SimCLU24.txt", 24)</f>
        <v>24</v>
      </c>
      <c r="BS658">
        <f>HYPERLINK("http://exon.niaid.nih.gov/transcriptome/Anopheles_sialome/links/cluster-b/anopheline-sialome-cds-pep-larger-orf40-50SimCLTL24.txt", 16)</f>
        <v>16</v>
      </c>
      <c r="BT658">
        <f>HYPERLINK("http://exon.niaid.nih.gov/transcriptome/Anopheles_sialome/links/cluster-b/anopheline-sialome-cds-pep-larger-orf45-50SimCLU28.txt", 28)</f>
        <v>28</v>
      </c>
      <c r="BU658">
        <f>HYPERLINK("http://exon.niaid.nih.gov/transcriptome/Anopheles_sialome/links/cluster-b/anopheline-sialome-cds-pep-larger-orf45-50SimCLTL28.txt", 16)</f>
        <v>16</v>
      </c>
      <c r="BV658">
        <f>HYPERLINK("http://exon.niaid.nih.gov/transcriptome/Anopheles_sialome/links/cluster-b/anopheline-sialome-cds-pep-larger-orf50-50SimCLU29.txt", 29)</f>
        <v>29</v>
      </c>
      <c r="BW658">
        <f>HYPERLINK("http://exon.niaid.nih.gov/transcriptome/Anopheles_sialome/links/cluster-b/anopheline-sialome-cds-pep-larger-orf50-50SimCLTL29.txt", 16)</f>
        <v>16</v>
      </c>
      <c r="BX658">
        <f>HYPERLINK("http://exon.niaid.nih.gov/transcriptome/Anopheles_sialome/links/cluster-b/anopheline-sialome-cds-pep-larger-orf55-50SimCLU28.txt", 28)</f>
        <v>28</v>
      </c>
      <c r="BY658">
        <f>HYPERLINK("http://exon.niaid.nih.gov/transcriptome/Anopheles_sialome/links/cluster-b/anopheline-sialome-cds-pep-larger-orf55-50SimCLTL28.txt", 16)</f>
        <v>16</v>
      </c>
      <c r="BZ658">
        <f>HYPERLINK("http://exon.niaid.nih.gov/transcriptome/Anopheles_sialome/links/cluster-b/anopheline-sialome-cds-pep-larger-orf60-50SimCLU24.txt", 24)</f>
        <v>24</v>
      </c>
      <c r="CA658">
        <f>HYPERLINK("http://exon.niaid.nih.gov/transcriptome/Anopheles_sialome/links/cluster-b/anopheline-sialome-cds-pep-larger-orf60-50SimCLTL24.txt", 16)</f>
        <v>16</v>
      </c>
      <c r="CB658">
        <f>HYPERLINK("http://exon.niaid.nih.gov/transcriptome/Anopheles_sialome/links/cluster-b/anopheline-sialome-cds-pep-larger-orf65-50SimCLU22.txt", 22)</f>
        <v>22</v>
      </c>
      <c r="CC658">
        <f>HYPERLINK("http://exon.niaid.nih.gov/transcriptome/Anopheles_sialome/links/cluster-b/anopheline-sialome-cds-pep-larger-orf65-50SimCLTL22.txt", 16)</f>
        <v>16</v>
      </c>
      <c r="CD658">
        <f>HYPERLINK("http://exon.niaid.nih.gov/transcriptome/Anopheles_sialome/links/cluster-b/anopheline-sialome-cds-pep-larger-orf70-50SimCLU21.txt", 21)</f>
        <v>21</v>
      </c>
      <c r="CE658">
        <f>HYPERLINK("http://exon.niaid.nih.gov/transcriptome/Anopheles_sialome/links/cluster-b/anopheline-sialome-cds-pep-larger-orf70-50SimCLTL21.txt", 16)</f>
        <v>16</v>
      </c>
      <c r="CF658">
        <f>HYPERLINK("http://exon.niaid.nih.gov/transcriptome/Anopheles_sialome/links/cluster-b/anopheline-sialome-cds-pep-larger-orf75-50SimCLU21.txt", 21)</f>
        <v>21</v>
      </c>
      <c r="CG658">
        <f>HYPERLINK("http://exon.niaid.nih.gov/transcriptome/Anopheles_sialome/links/cluster-b/anopheline-sialome-cds-pep-larger-orf75-50SimCLTL21.txt", 14)</f>
        <v>14</v>
      </c>
      <c r="CH658">
        <f>HYPERLINK("http://exon.niaid.nih.gov/transcriptome/Anopheles_sialome/links/cluster-b/anopheline-sialome-cds-pep-larger-orf80-50SimCLU21.txt", 21)</f>
        <v>21</v>
      </c>
      <c r="CI658">
        <f>HYPERLINK("http://exon.niaid.nih.gov/transcriptome/Anopheles_sialome/links/cluster-b/anopheline-sialome-cds-pep-larger-orf80-50SimCLTL21.txt", 12)</f>
        <v>12</v>
      </c>
      <c r="CJ658">
        <f>HYPERLINK("http://exon.niaid.nih.gov/transcriptome/Anopheles_sialome/links/cluster-b/anopheline-sialome-cds-pep-larger-orf85-50SimCLU15.txt", 15)</f>
        <v>15</v>
      </c>
      <c r="CK658">
        <f>HYPERLINK("http://exon.niaid.nih.gov/transcriptome/Anopheles_sialome/links/cluster-b/anopheline-sialome-cds-pep-larger-orf85-50SimCLTL15.txt", 11)</f>
        <v>11</v>
      </c>
      <c r="CL658">
        <f>HYPERLINK("http://exon.niaid.nih.gov/transcriptome/Anopheles_sialome/links/cluster-b/anopheline-sialome-cds-pep-larger-orf90-50SimCLU40.txt", 40)</f>
        <v>40</v>
      </c>
      <c r="CM658">
        <f>HYPERLINK("http://exon.niaid.nih.gov/transcriptome/Anopheles_sialome/links/cluster-b/anopheline-sialome-cds-pep-larger-orf90-50SimCLTL40.txt", 5)</f>
        <v>5</v>
      </c>
      <c r="CN658">
        <f>HYPERLINK("http://exon.niaid.nih.gov/transcriptome/Anopheles_sialome/links/cluster-b/anopheline-sialome-cds-pep-larger-orf95-50SimCLU32.txt", 32)</f>
        <v>32</v>
      </c>
      <c r="CO658">
        <f>HYPERLINK("http://exon.niaid.nih.gov/transcriptome/Anopheles_sialome/links/cluster-b/anopheline-sialome-cds-pep-larger-orf95-50SimCLTL32.txt", 5)</f>
        <v>5</v>
      </c>
    </row>
    <row r="659" spans="1:93">
      <c r="A659" s="2" t="str">
        <f>HYPERLINK("http://exon.niaid.nih.gov/transcriptome/Anopheles_sialome/links/cds/anoqua_55.3kDa-cds.txt","anoqua_55.3kDa")</f>
        <v>anoqua_55.3kDa</v>
      </c>
      <c r="B659">
        <v>1545</v>
      </c>
      <c r="C659" t="s">
        <v>27</v>
      </c>
      <c r="D659" t="s">
        <v>4</v>
      </c>
      <c r="E659" t="s">
        <v>5</v>
      </c>
      <c r="F659" t="s">
        <v>1</v>
      </c>
      <c r="G659" t="str">
        <f>HYPERLINK("http://exon.niaid.nih.gov/transcriptome/Anopheles_sialome/links/pep/anoqua_55.3kDa-pep.txt","anoqua_55.3kDa")</f>
        <v>anoqua_55.3kDa</v>
      </c>
      <c r="H659">
        <v>514</v>
      </c>
      <c r="I659">
        <v>0</v>
      </c>
      <c r="J659" s="3" t="str">
        <f>HYPERLINK("http://exon.niaid.nih.gov/transcriptome/Anopheles_sialome/links/Sigp/anoqua_55.3kDa-SigP.txt","SIG")</f>
        <v>SIG</v>
      </c>
      <c r="K659" t="s">
        <v>695</v>
      </c>
      <c r="L659">
        <v>55.210999999999999</v>
      </c>
      <c r="M659">
        <v>9.01</v>
      </c>
      <c r="N659">
        <v>52.887</v>
      </c>
      <c r="O659">
        <v>8.52</v>
      </c>
      <c r="P659" t="s">
        <v>696</v>
      </c>
      <c r="Q659" s="3">
        <v>0</v>
      </c>
      <c r="R659" t="s">
        <v>128</v>
      </c>
      <c r="S659" t="s">
        <v>128</v>
      </c>
      <c r="T659" t="s">
        <v>128</v>
      </c>
      <c r="U659" t="s">
        <v>128</v>
      </c>
      <c r="V659" t="s">
        <v>128</v>
      </c>
      <c r="W659" s="3" t="str">
        <f>HYPERLINK("http://exon.niaid.nih.gov/transcriptome/Anopheles_sialome/links/netoglyc/anoqua_55.3kDa-netoglyc.txt","0")</f>
        <v>0</v>
      </c>
      <c r="X659">
        <v>14.2</v>
      </c>
      <c r="Y659">
        <v>8.6</v>
      </c>
      <c r="Z659">
        <v>2.2999999999999998</v>
      </c>
      <c r="AA659" t="s">
        <v>654</v>
      </c>
      <c r="AB659" t="s">
        <v>128</v>
      </c>
      <c r="AC659" s="2" t="str">
        <f>HYPERLINK("http://exon.niaid.nih.gov/transcriptome/Anopheles_sialome/links/DIPTERA/anoqua_55.3kDa-DIPTERA.txt","AGAP005822-PA")</f>
        <v>AGAP005822-PA</v>
      </c>
      <c r="AD659" t="str">
        <f t="shared" si="232"/>
        <v>0.0</v>
      </c>
      <c r="AE659" t="str">
        <f t="shared" si="233"/>
        <v>gi|116126635</v>
      </c>
      <c r="AF659">
        <v>97</v>
      </c>
      <c r="AG659">
        <v>98</v>
      </c>
      <c r="AH659">
        <v>100</v>
      </c>
      <c r="AI659" t="s">
        <v>2285</v>
      </c>
      <c r="AJ659" s="2" t="str">
        <f>HYPERLINK("http://exon.niaid.nih.gov/transcriptome/Anopheles_sialome/links/CULICOMORPHA/anoqua_55.3kDa-CULICOMORPHA.txt","AGAP005822-PA")</f>
        <v>AGAP005822-PA</v>
      </c>
      <c r="AK659" t="str">
        <f t="shared" si="234"/>
        <v>0.0</v>
      </c>
      <c r="AL659" t="str">
        <f t="shared" si="235"/>
        <v>gi|116126635</v>
      </c>
      <c r="AM659">
        <v>97</v>
      </c>
      <c r="AN659">
        <v>98</v>
      </c>
      <c r="AO659">
        <v>100</v>
      </c>
      <c r="AP659" t="s">
        <v>2285</v>
      </c>
      <c r="AQ659" s="2" t="str">
        <f>HYPERLINK("http://exon.niaid.nih.gov/transcriptome/Anopheles_sialome/links/NR-LIGHT/anoqua_55.3kDa-NR-LIGHT.txt","AGAP005822-PA")</f>
        <v>AGAP005822-PA</v>
      </c>
      <c r="AR659" t="str">
        <f t="shared" si="236"/>
        <v>0.0</v>
      </c>
      <c r="AS659" t="str">
        <f t="shared" si="237"/>
        <v>gi|118787092</v>
      </c>
      <c r="AT659">
        <v>97</v>
      </c>
      <c r="AU659">
        <v>98</v>
      </c>
      <c r="AV659">
        <v>100</v>
      </c>
      <c r="AW659" t="s">
        <v>2285</v>
      </c>
      <c r="AX659" s="2" t="str">
        <f>HYPERLINK("http://exon.niaid.nih.gov/transcriptome/Anopheles_sialome/links/CDD/anoqua_55.3kDa-CDD.txt","DPOR_bchN")</f>
        <v>DPOR_bchN</v>
      </c>
      <c r="AY659" t="str">
        <f>HYPERLINK("http://www.ncbi.nlm.nih.gov/Structure/cdd/cddsrv.cgi?uid=TIGR01279&amp;version=v4.0","3.0")</f>
        <v>3.0</v>
      </c>
      <c r="AZ659" t="s">
        <v>2291</v>
      </c>
      <c r="BA659" s="2" t="str">
        <f>HYPERLINK("http://exon.niaid.nih.gov/transcriptome/Anopheles_sialome/links/KOG/anoqua_55.3kDa-KOG.txt","Phosphatidylinositol-4-phosphate 5-kinase and related FYVE finger-containing proteins")</f>
        <v>Phosphatidylinositol-4-phosphate 5-kinase and related FYVE finger-containing proteins</v>
      </c>
      <c r="BB659" t="str">
        <f>HYPERLINK("http://www.ncbi.nlm.nih.gov/Structure/cdd/cddsrv.cgi?uid=KOG0230","0.74")</f>
        <v>0.74</v>
      </c>
      <c r="BC659" t="s">
        <v>2292</v>
      </c>
      <c r="BD659" t="str">
        <f>HYPERLINK("http://exon.niaid.nih.gov/transcriptome/Anopheles_sialome/links/KOG/anoqua_55.3kDa-KOG.txt","KOG0230")</f>
        <v>KOG0230</v>
      </c>
      <c r="BE659" t="str">
        <f>HYPERLINK("http://exon.niaid.nih.gov/transcriptome/Anopheles_sialome/links/PFAM/anoqua_55.3kDa-PFAM.txt","Myosin_tail_1")</f>
        <v>Myosin_tail_1</v>
      </c>
      <c r="BF659" t="str">
        <f>HYPERLINK("http://pfam.sanger.ac.uk/family?acc=PF01576","1.7")</f>
        <v>1.7</v>
      </c>
      <c r="BG659" s="2" t="str">
        <f>HYPERLINK("http://exon.niaid.nih.gov/transcriptome/Anopheles_sialome/links/SMART/anoqua_55.3kDa-SMART.txt","DWB")</f>
        <v>DWB</v>
      </c>
      <c r="BH659" t="str">
        <f>HYPERLINK("http://smart.embl-heidelberg.de/smart/do_annotation.pl?DOMAIN=DWB&amp;BLAST=DUMMY","0.29")</f>
        <v>0.29</v>
      </c>
      <c r="BI659" t="str">
        <f>HYPERLINK("http://exon.niaid.nih.gov/transcriptome/Anopheles_sialome/links/TICK-BLOCKS/anoqua_55.3kDa-TICK-BLOCKS.txt","56_kDa_family |")</f>
        <v>56_kDa_family |</v>
      </c>
      <c r="BJ659" s="2" t="s">
        <v>2288</v>
      </c>
      <c r="BK659" t="s">
        <v>694</v>
      </c>
      <c r="BL659">
        <f>HYPERLINK("http://exon.niaid.nih.gov/transcriptome/Anopheles_sialome/links/cluster-b/anopheline-sialome-cds-pep-larger-orf25-50SimCLU8.txt", 8)</f>
        <v>8</v>
      </c>
      <c r="BM659">
        <f>HYPERLINK("http://exon.niaid.nih.gov/transcriptome/Anopheles_sialome/links/cluster-b/anopheline-sialome-cds-pep-larger-orf25-50SimCLTL8.txt", 35)</f>
        <v>35</v>
      </c>
      <c r="BN659">
        <f>HYPERLINK("http://exon.niaid.nih.gov/transcriptome/Anopheles_sialome/links/cluster-b/anopheline-sialome-cds-pep-larger-orf30-50SimCLU17.txt", 17)</f>
        <v>17</v>
      </c>
      <c r="BO659">
        <f>HYPERLINK("http://exon.niaid.nih.gov/transcriptome/Anopheles_sialome/links/cluster-b/anopheline-sialome-cds-pep-larger-orf30-50SimCLTL17.txt", 16)</f>
        <v>16</v>
      </c>
      <c r="BP659">
        <f>HYPERLINK("http://exon.niaid.nih.gov/transcriptome/Anopheles_sialome/links/cluster-b/anopheline-sialome-cds-pep-larger-orf35-50SimCLU19.txt", 19)</f>
        <v>19</v>
      </c>
      <c r="BQ659">
        <f>HYPERLINK("http://exon.niaid.nih.gov/transcriptome/Anopheles_sialome/links/cluster-b/anopheline-sialome-cds-pep-larger-orf35-50SimCLTL19.txt", 16)</f>
        <v>16</v>
      </c>
      <c r="BR659">
        <f>HYPERLINK("http://exon.niaid.nih.gov/transcriptome/Anopheles_sialome/links/cluster-b/anopheline-sialome-cds-pep-larger-orf40-50SimCLU24.txt", 24)</f>
        <v>24</v>
      </c>
      <c r="BS659">
        <f>HYPERLINK("http://exon.niaid.nih.gov/transcriptome/Anopheles_sialome/links/cluster-b/anopheline-sialome-cds-pep-larger-orf40-50SimCLTL24.txt", 16)</f>
        <v>16</v>
      </c>
      <c r="BT659">
        <f>HYPERLINK("http://exon.niaid.nih.gov/transcriptome/Anopheles_sialome/links/cluster-b/anopheline-sialome-cds-pep-larger-orf45-50SimCLU28.txt", 28)</f>
        <v>28</v>
      </c>
      <c r="BU659">
        <f>HYPERLINK("http://exon.niaid.nih.gov/transcriptome/Anopheles_sialome/links/cluster-b/anopheline-sialome-cds-pep-larger-orf45-50SimCLTL28.txt", 16)</f>
        <v>16</v>
      </c>
      <c r="BV659">
        <f>HYPERLINK("http://exon.niaid.nih.gov/transcriptome/Anopheles_sialome/links/cluster-b/anopheline-sialome-cds-pep-larger-orf50-50SimCLU29.txt", 29)</f>
        <v>29</v>
      </c>
      <c r="BW659">
        <f>HYPERLINK("http://exon.niaid.nih.gov/transcriptome/Anopheles_sialome/links/cluster-b/anopheline-sialome-cds-pep-larger-orf50-50SimCLTL29.txt", 16)</f>
        <v>16</v>
      </c>
      <c r="BX659">
        <f>HYPERLINK("http://exon.niaid.nih.gov/transcriptome/Anopheles_sialome/links/cluster-b/anopheline-sialome-cds-pep-larger-orf55-50SimCLU28.txt", 28)</f>
        <v>28</v>
      </c>
      <c r="BY659">
        <f>HYPERLINK("http://exon.niaid.nih.gov/transcriptome/Anopheles_sialome/links/cluster-b/anopheline-sialome-cds-pep-larger-orf55-50SimCLTL28.txt", 16)</f>
        <v>16</v>
      </c>
      <c r="BZ659">
        <f>HYPERLINK("http://exon.niaid.nih.gov/transcriptome/Anopheles_sialome/links/cluster-b/anopheline-sialome-cds-pep-larger-orf60-50SimCLU24.txt", 24)</f>
        <v>24</v>
      </c>
      <c r="CA659">
        <f>HYPERLINK("http://exon.niaid.nih.gov/transcriptome/Anopheles_sialome/links/cluster-b/anopheline-sialome-cds-pep-larger-orf60-50SimCLTL24.txt", 16)</f>
        <v>16</v>
      </c>
      <c r="CB659">
        <f>HYPERLINK("http://exon.niaid.nih.gov/transcriptome/Anopheles_sialome/links/cluster-b/anopheline-sialome-cds-pep-larger-orf65-50SimCLU22.txt", 22)</f>
        <v>22</v>
      </c>
      <c r="CC659">
        <f>HYPERLINK("http://exon.niaid.nih.gov/transcriptome/Anopheles_sialome/links/cluster-b/anopheline-sialome-cds-pep-larger-orf65-50SimCLTL22.txt", 16)</f>
        <v>16</v>
      </c>
      <c r="CD659">
        <f>HYPERLINK("http://exon.niaid.nih.gov/transcriptome/Anopheles_sialome/links/cluster-b/anopheline-sialome-cds-pep-larger-orf70-50SimCLU21.txt", 21)</f>
        <v>21</v>
      </c>
      <c r="CE659">
        <f>HYPERLINK("http://exon.niaid.nih.gov/transcriptome/Anopheles_sialome/links/cluster-b/anopheline-sialome-cds-pep-larger-orf70-50SimCLTL21.txt", 16)</f>
        <v>16</v>
      </c>
      <c r="CF659">
        <f>HYPERLINK("http://exon.niaid.nih.gov/transcriptome/Anopheles_sialome/links/cluster-b/anopheline-sialome-cds-pep-larger-orf75-50SimCLU21.txt", 21)</f>
        <v>21</v>
      </c>
      <c r="CG659">
        <f>HYPERLINK("http://exon.niaid.nih.gov/transcriptome/Anopheles_sialome/links/cluster-b/anopheline-sialome-cds-pep-larger-orf75-50SimCLTL21.txt", 14)</f>
        <v>14</v>
      </c>
      <c r="CH659">
        <f>HYPERLINK("http://exon.niaid.nih.gov/transcriptome/Anopheles_sialome/links/cluster-b/anopheline-sialome-cds-pep-larger-orf80-50SimCLU21.txt", 21)</f>
        <v>21</v>
      </c>
      <c r="CI659">
        <f>HYPERLINK("http://exon.niaid.nih.gov/transcriptome/Anopheles_sialome/links/cluster-b/anopheline-sialome-cds-pep-larger-orf80-50SimCLTL21.txt", 12)</f>
        <v>12</v>
      </c>
      <c r="CJ659">
        <f>HYPERLINK("http://exon.niaid.nih.gov/transcriptome/Anopheles_sialome/links/cluster-b/anopheline-sialome-cds-pep-larger-orf85-50SimCLU15.txt", 15)</f>
        <v>15</v>
      </c>
      <c r="CK659">
        <f>HYPERLINK("http://exon.niaid.nih.gov/transcriptome/Anopheles_sialome/links/cluster-b/anopheline-sialome-cds-pep-larger-orf85-50SimCLTL15.txt", 11)</f>
        <v>11</v>
      </c>
      <c r="CL659">
        <f>HYPERLINK("http://exon.niaid.nih.gov/transcriptome/Anopheles_sialome/links/cluster-b/anopheline-sialome-cds-pep-larger-orf90-50SimCLU40.txt", 40)</f>
        <v>40</v>
      </c>
      <c r="CM659">
        <f>HYPERLINK("http://exon.niaid.nih.gov/transcriptome/Anopheles_sialome/links/cluster-b/anopheline-sialome-cds-pep-larger-orf90-50SimCLTL40.txt", 5)</f>
        <v>5</v>
      </c>
      <c r="CN659">
        <f>HYPERLINK("http://exon.niaid.nih.gov/transcriptome/Anopheles_sialome/links/cluster-b/anopheline-sialome-cds-pep-larger-orf95-50SimCLU32.txt", 32)</f>
        <v>32</v>
      </c>
      <c r="CO659">
        <f>HYPERLINK("http://exon.niaid.nih.gov/transcriptome/Anopheles_sialome/links/cluster-b/anopheline-sialome-cds-pep-larger-orf95-50SimCLTL32.txt", 5)</f>
        <v>5</v>
      </c>
    </row>
    <row r="660" spans="1:93">
      <c r="A660" s="2" t="str">
        <f>HYPERLINK("http://exon.niaid.nih.gov/transcriptome/Anopheles_sialome/links/cds/anomer_55.3kDa-cds.txt","anomer_55.3kDa")</f>
        <v>anomer_55.3kDa</v>
      </c>
      <c r="B660">
        <v>1551</v>
      </c>
      <c r="C660" t="s">
        <v>28</v>
      </c>
      <c r="D660" t="s">
        <v>4</v>
      </c>
      <c r="E660" t="s">
        <v>5</v>
      </c>
      <c r="F660" t="s">
        <v>1</v>
      </c>
      <c r="G660" t="str">
        <f>HYPERLINK("http://exon.niaid.nih.gov/transcriptome/Anopheles_sialome/links/pep/anomer_55.3kDa-pep.txt","anomer_55.3kDa")</f>
        <v>anomer_55.3kDa</v>
      </c>
      <c r="H660">
        <v>516</v>
      </c>
      <c r="I660">
        <v>0</v>
      </c>
      <c r="J660" s="3" t="str">
        <f>HYPERLINK("http://exon.niaid.nih.gov/transcriptome/Anopheles_sialome/links/Sigp/anomer_55.3kDa-SigP.txt","SIG")</f>
        <v>SIG</v>
      </c>
      <c r="K660" t="s">
        <v>695</v>
      </c>
      <c r="L660">
        <v>55.649000000000001</v>
      </c>
      <c r="M660">
        <v>9.24</v>
      </c>
      <c r="N660">
        <v>53.262</v>
      </c>
      <c r="O660">
        <v>8.89</v>
      </c>
      <c r="P660" t="s">
        <v>698</v>
      </c>
      <c r="Q660" s="3">
        <v>0</v>
      </c>
      <c r="R660" t="s">
        <v>128</v>
      </c>
      <c r="S660" t="s">
        <v>128</v>
      </c>
      <c r="T660" t="s">
        <v>128</v>
      </c>
      <c r="U660" t="s">
        <v>128</v>
      </c>
      <c r="V660" t="s">
        <v>128</v>
      </c>
      <c r="W660" s="3" t="str">
        <f>HYPERLINK("http://exon.niaid.nih.gov/transcriptome/Anopheles_sialome/links/netoglyc/anomer_55.3kDa-netoglyc.txt","0")</f>
        <v>0</v>
      </c>
      <c r="X660">
        <v>14.5</v>
      </c>
      <c r="Y660">
        <v>8.1</v>
      </c>
      <c r="Z660">
        <v>2.5</v>
      </c>
      <c r="AA660" t="s">
        <v>654</v>
      </c>
      <c r="AB660" t="s">
        <v>128</v>
      </c>
      <c r="AC660" s="2" t="str">
        <f>HYPERLINK("http://exon.niaid.nih.gov/transcriptome/Anopheles_sialome/links/DIPTERA/anomer_55.3kDa-DIPTERA.txt","AGAP005822-PA")</f>
        <v>AGAP005822-PA</v>
      </c>
      <c r="AD660" t="str">
        <f t="shared" si="232"/>
        <v>0.0</v>
      </c>
      <c r="AE660" t="str">
        <f t="shared" si="233"/>
        <v>gi|116126635</v>
      </c>
      <c r="AF660">
        <v>95</v>
      </c>
      <c r="AG660">
        <v>97</v>
      </c>
      <c r="AH660">
        <v>101</v>
      </c>
      <c r="AI660" t="s">
        <v>2285</v>
      </c>
      <c r="AJ660" s="2" t="str">
        <f>HYPERLINK("http://exon.niaid.nih.gov/transcriptome/Anopheles_sialome/links/CULICOMORPHA/anomer_55.3kDa-CULICOMORPHA.txt","AGAP005822-PA")</f>
        <v>AGAP005822-PA</v>
      </c>
      <c r="AK660" t="str">
        <f t="shared" si="234"/>
        <v>0.0</v>
      </c>
      <c r="AL660" t="str">
        <f t="shared" si="235"/>
        <v>gi|116126635</v>
      </c>
      <c r="AM660">
        <v>95</v>
      </c>
      <c r="AN660">
        <v>97</v>
      </c>
      <c r="AO660">
        <v>101</v>
      </c>
      <c r="AP660" t="s">
        <v>2285</v>
      </c>
      <c r="AQ660" s="2" t="str">
        <f>HYPERLINK("http://exon.niaid.nih.gov/transcriptome/Anopheles_sialome/links/NR-LIGHT/anomer_55.3kDa-NR-LIGHT.txt","AGAP005822-PA")</f>
        <v>AGAP005822-PA</v>
      </c>
      <c r="AR660" t="str">
        <f t="shared" si="236"/>
        <v>0.0</v>
      </c>
      <c r="AS660" t="str">
        <f t="shared" si="237"/>
        <v>gi|118787092</v>
      </c>
      <c r="AT660">
        <v>95</v>
      </c>
      <c r="AU660">
        <v>97</v>
      </c>
      <c r="AV660">
        <v>101</v>
      </c>
      <c r="AW660" t="s">
        <v>2285</v>
      </c>
      <c r="AX660" s="2" t="str">
        <f>HYPERLINK("http://exon.niaid.nih.gov/transcriptome/Anopheles_sialome/links/CDD/anomer_55.3kDa-CDD.txt","hypothetical_pr")</f>
        <v>hypothetical_pr</v>
      </c>
      <c r="AY660" t="str">
        <f>HYPERLINK("http://www.ncbi.nlm.nih.gov/Structure/cdd/cddsrv.cgi?uid=TIGR02925&amp;version=v4.0","0.85")</f>
        <v>0.85</v>
      </c>
      <c r="AZ660" t="s">
        <v>2293</v>
      </c>
      <c r="BA660" s="2" t="str">
        <f>HYPERLINK("http://exon.niaid.nih.gov/transcriptome/Anopheles_sialome/links/KOG/anomer_55.3kDa-KOG.txt","DNA-dependent protein kinase")</f>
        <v>DNA-dependent protein kinase</v>
      </c>
      <c r="BB660" t="str">
        <f>HYPERLINK("http://www.ncbi.nlm.nih.gov/Structure/cdd/cddsrv.cgi?uid=KOG0891","0.28")</f>
        <v>0.28</v>
      </c>
      <c r="BC660" t="s">
        <v>2290</v>
      </c>
      <c r="BD660" t="str">
        <f>HYPERLINK("http://exon.niaid.nih.gov/transcriptome/Anopheles_sialome/links/KOG/anomer_55.3kDa-KOG.txt","KOG0891")</f>
        <v>KOG0891</v>
      </c>
      <c r="BE660" t="str">
        <f>HYPERLINK("http://exon.niaid.nih.gov/transcriptome/Anopheles_sialome/links/PFAM/anomer_55.3kDa-PFAM.txt","MSP1_C")</f>
        <v>MSP1_C</v>
      </c>
      <c r="BF660" t="str">
        <f>HYPERLINK("http://pfam.sanger.ac.uk/family?acc=PF07462","0.68")</f>
        <v>0.68</v>
      </c>
      <c r="BG660" s="2" t="str">
        <f>HYPERLINK("http://exon.niaid.nih.gov/transcriptome/Anopheles_sialome/links/SMART/anomer_55.3kDa-SMART.txt","DWB")</f>
        <v>DWB</v>
      </c>
      <c r="BH660" t="str">
        <f>HYPERLINK("http://smart.embl-heidelberg.de/smart/do_annotation.pl?DOMAIN=DWB&amp;BLAST=DUMMY","0.32")</f>
        <v>0.32</v>
      </c>
      <c r="BI660" t="s">
        <v>128</v>
      </c>
      <c r="BJ660" s="2" t="s">
        <v>128</v>
      </c>
      <c r="BK660" t="s">
        <v>697</v>
      </c>
      <c r="BL660">
        <f>HYPERLINK("http://exon.niaid.nih.gov/transcriptome/Anopheles_sialome/links/cluster-b/anopheline-sialome-cds-pep-larger-orf25-50SimCLU8.txt", 8)</f>
        <v>8</v>
      </c>
      <c r="BM660">
        <f>HYPERLINK("http://exon.niaid.nih.gov/transcriptome/Anopheles_sialome/links/cluster-b/anopheline-sialome-cds-pep-larger-orf25-50SimCLTL8.txt", 35)</f>
        <v>35</v>
      </c>
      <c r="BN660">
        <f>HYPERLINK("http://exon.niaid.nih.gov/transcriptome/Anopheles_sialome/links/cluster-b/anopheline-sialome-cds-pep-larger-orf30-50SimCLU17.txt", 17)</f>
        <v>17</v>
      </c>
      <c r="BO660">
        <f>HYPERLINK("http://exon.niaid.nih.gov/transcriptome/Anopheles_sialome/links/cluster-b/anopheline-sialome-cds-pep-larger-orf30-50SimCLTL17.txt", 16)</f>
        <v>16</v>
      </c>
      <c r="BP660">
        <f>HYPERLINK("http://exon.niaid.nih.gov/transcriptome/Anopheles_sialome/links/cluster-b/anopheline-sialome-cds-pep-larger-orf35-50SimCLU19.txt", 19)</f>
        <v>19</v>
      </c>
      <c r="BQ660">
        <f>HYPERLINK("http://exon.niaid.nih.gov/transcriptome/Anopheles_sialome/links/cluster-b/anopheline-sialome-cds-pep-larger-orf35-50SimCLTL19.txt", 16)</f>
        <v>16</v>
      </c>
      <c r="BR660">
        <f>HYPERLINK("http://exon.niaid.nih.gov/transcriptome/Anopheles_sialome/links/cluster-b/anopheline-sialome-cds-pep-larger-orf40-50SimCLU24.txt", 24)</f>
        <v>24</v>
      </c>
      <c r="BS660">
        <f>HYPERLINK("http://exon.niaid.nih.gov/transcriptome/Anopheles_sialome/links/cluster-b/anopheline-sialome-cds-pep-larger-orf40-50SimCLTL24.txt", 16)</f>
        <v>16</v>
      </c>
      <c r="BT660">
        <f>HYPERLINK("http://exon.niaid.nih.gov/transcriptome/Anopheles_sialome/links/cluster-b/anopheline-sialome-cds-pep-larger-orf45-50SimCLU28.txt", 28)</f>
        <v>28</v>
      </c>
      <c r="BU660">
        <f>HYPERLINK("http://exon.niaid.nih.gov/transcriptome/Anopheles_sialome/links/cluster-b/anopheline-sialome-cds-pep-larger-orf45-50SimCLTL28.txt", 16)</f>
        <v>16</v>
      </c>
      <c r="BV660">
        <f>HYPERLINK("http://exon.niaid.nih.gov/transcriptome/Anopheles_sialome/links/cluster-b/anopheline-sialome-cds-pep-larger-orf50-50SimCLU29.txt", 29)</f>
        <v>29</v>
      </c>
      <c r="BW660">
        <f>HYPERLINK("http://exon.niaid.nih.gov/transcriptome/Anopheles_sialome/links/cluster-b/anopheline-sialome-cds-pep-larger-orf50-50SimCLTL29.txt", 16)</f>
        <v>16</v>
      </c>
      <c r="BX660">
        <f>HYPERLINK("http://exon.niaid.nih.gov/transcriptome/Anopheles_sialome/links/cluster-b/anopheline-sialome-cds-pep-larger-orf55-50SimCLU28.txt", 28)</f>
        <v>28</v>
      </c>
      <c r="BY660">
        <f>HYPERLINK("http://exon.niaid.nih.gov/transcriptome/Anopheles_sialome/links/cluster-b/anopheline-sialome-cds-pep-larger-orf55-50SimCLTL28.txt", 16)</f>
        <v>16</v>
      </c>
      <c r="BZ660">
        <f>HYPERLINK("http://exon.niaid.nih.gov/transcriptome/Anopheles_sialome/links/cluster-b/anopheline-sialome-cds-pep-larger-orf60-50SimCLU24.txt", 24)</f>
        <v>24</v>
      </c>
      <c r="CA660">
        <f>HYPERLINK("http://exon.niaid.nih.gov/transcriptome/Anopheles_sialome/links/cluster-b/anopheline-sialome-cds-pep-larger-orf60-50SimCLTL24.txt", 16)</f>
        <v>16</v>
      </c>
      <c r="CB660">
        <f>HYPERLINK("http://exon.niaid.nih.gov/transcriptome/Anopheles_sialome/links/cluster-b/anopheline-sialome-cds-pep-larger-orf65-50SimCLU22.txt", 22)</f>
        <v>22</v>
      </c>
      <c r="CC660">
        <f>HYPERLINK("http://exon.niaid.nih.gov/transcriptome/Anopheles_sialome/links/cluster-b/anopheline-sialome-cds-pep-larger-orf65-50SimCLTL22.txt", 16)</f>
        <v>16</v>
      </c>
      <c r="CD660">
        <f>HYPERLINK("http://exon.niaid.nih.gov/transcriptome/Anopheles_sialome/links/cluster-b/anopheline-sialome-cds-pep-larger-orf70-50SimCLU21.txt", 21)</f>
        <v>21</v>
      </c>
      <c r="CE660">
        <f>HYPERLINK("http://exon.niaid.nih.gov/transcriptome/Anopheles_sialome/links/cluster-b/anopheline-sialome-cds-pep-larger-orf70-50SimCLTL21.txt", 16)</f>
        <v>16</v>
      </c>
      <c r="CF660">
        <f>HYPERLINK("http://exon.niaid.nih.gov/transcriptome/Anopheles_sialome/links/cluster-b/anopheline-sialome-cds-pep-larger-orf75-50SimCLU21.txt", 21)</f>
        <v>21</v>
      </c>
      <c r="CG660">
        <f>HYPERLINK("http://exon.niaid.nih.gov/transcriptome/Anopheles_sialome/links/cluster-b/anopheline-sialome-cds-pep-larger-orf75-50SimCLTL21.txt", 14)</f>
        <v>14</v>
      </c>
      <c r="CH660">
        <f>HYPERLINK("http://exon.niaid.nih.gov/transcriptome/Anopheles_sialome/links/cluster-b/anopheline-sialome-cds-pep-larger-orf80-50SimCLU21.txt", 21)</f>
        <v>21</v>
      </c>
      <c r="CI660">
        <f>HYPERLINK("http://exon.niaid.nih.gov/transcriptome/Anopheles_sialome/links/cluster-b/anopheline-sialome-cds-pep-larger-orf80-50SimCLTL21.txt", 12)</f>
        <v>12</v>
      </c>
      <c r="CJ660">
        <f>HYPERLINK("http://exon.niaid.nih.gov/transcriptome/Anopheles_sialome/links/cluster-b/anopheline-sialome-cds-pep-larger-orf85-50SimCLU15.txt", 15)</f>
        <v>15</v>
      </c>
      <c r="CK660">
        <f>HYPERLINK("http://exon.niaid.nih.gov/transcriptome/Anopheles_sialome/links/cluster-b/anopheline-sialome-cds-pep-larger-orf85-50SimCLTL15.txt", 11)</f>
        <v>11</v>
      </c>
      <c r="CL660">
        <f>HYPERLINK("http://exon.niaid.nih.gov/transcriptome/Anopheles_sialome/links/cluster-b/anopheline-sialome-cds-pep-larger-orf90-50SimCLU40.txt", 40)</f>
        <v>40</v>
      </c>
      <c r="CM660">
        <f>HYPERLINK("http://exon.niaid.nih.gov/transcriptome/Anopheles_sialome/links/cluster-b/anopheline-sialome-cds-pep-larger-orf90-50SimCLTL40.txt", 5)</f>
        <v>5</v>
      </c>
      <c r="CN660">
        <f>HYPERLINK("http://exon.niaid.nih.gov/transcriptome/Anopheles_sialome/links/cluster-b/anopheline-sialome-cds-pep-larger-orf95-50SimCLU32.txt", 32)</f>
        <v>32</v>
      </c>
      <c r="CO660">
        <f>HYPERLINK("http://exon.niaid.nih.gov/transcriptome/Anopheles_sialome/links/cluster-b/anopheline-sialome-cds-pep-larger-orf95-50SimCLTL32.txt", 5)</f>
        <v>5</v>
      </c>
    </row>
    <row r="661" spans="1:93">
      <c r="A661" s="2" t="str">
        <f>HYPERLINK("http://exon.niaid.nih.gov/transcriptome/Anopheles_sialome/links/cds/anomel_55.3kDa-cds.txt","anomel_55.3kDa")</f>
        <v>anomel_55.3kDa</v>
      </c>
      <c r="B661">
        <v>1542</v>
      </c>
      <c r="C661" t="s">
        <v>29</v>
      </c>
      <c r="D661" t="s">
        <v>4</v>
      </c>
      <c r="E661" t="s">
        <v>5</v>
      </c>
      <c r="F661" t="s">
        <v>1</v>
      </c>
      <c r="G661" t="str">
        <f>HYPERLINK("http://exon.niaid.nih.gov/transcriptome/Anopheles_sialome/links/pep/anomel_55.3kDa-pep.txt","anomel_55.3kDa")</f>
        <v>anomel_55.3kDa</v>
      </c>
      <c r="H661">
        <v>513</v>
      </c>
      <c r="I661">
        <v>0</v>
      </c>
      <c r="J661" s="3" t="str">
        <f>HYPERLINK("http://exon.niaid.nih.gov/transcriptome/Anopheles_sialome/links/Sigp/anomel_55.3kDa-SigP.txt","SIG")</f>
        <v>SIG</v>
      </c>
      <c r="K661" t="s">
        <v>689</v>
      </c>
      <c r="L661">
        <v>55.244</v>
      </c>
      <c r="M661">
        <v>8.8800000000000008</v>
      </c>
      <c r="N661">
        <v>52.960999999999999</v>
      </c>
      <c r="O661">
        <v>8.24</v>
      </c>
      <c r="P661" t="s">
        <v>700</v>
      </c>
      <c r="Q661" s="3">
        <v>0</v>
      </c>
      <c r="R661" t="s">
        <v>128</v>
      </c>
      <c r="S661" t="s">
        <v>128</v>
      </c>
      <c r="T661" t="s">
        <v>128</v>
      </c>
      <c r="U661" t="s">
        <v>128</v>
      </c>
      <c r="V661" t="s">
        <v>128</v>
      </c>
      <c r="W661" s="3" t="str">
        <f>HYPERLINK("http://exon.niaid.nih.gov/transcriptome/Anopheles_sialome/links/netoglyc/anomel_55.3kDa-netoglyc.txt","0")</f>
        <v>0</v>
      </c>
      <c r="X661">
        <v>13.8</v>
      </c>
      <c r="Y661">
        <v>8.4</v>
      </c>
      <c r="Z661">
        <v>2.5</v>
      </c>
      <c r="AA661" t="s">
        <v>654</v>
      </c>
      <c r="AB661" t="s">
        <v>128</v>
      </c>
      <c r="AC661" s="2" t="str">
        <f>HYPERLINK("http://exon.niaid.nih.gov/transcriptome/Anopheles_sialome/links/DIPTERA/anomel_55.3kDa-DIPTERA.txt","AGAP005822-PA")</f>
        <v>AGAP005822-PA</v>
      </c>
      <c r="AD661" t="str">
        <f t="shared" si="232"/>
        <v>0.0</v>
      </c>
      <c r="AE661" t="str">
        <f t="shared" si="233"/>
        <v>gi|116126635</v>
      </c>
      <c r="AF661">
        <v>97</v>
      </c>
      <c r="AG661">
        <v>99</v>
      </c>
      <c r="AH661">
        <v>100</v>
      </c>
      <c r="AI661" t="s">
        <v>2285</v>
      </c>
      <c r="AJ661" s="2" t="str">
        <f>HYPERLINK("http://exon.niaid.nih.gov/transcriptome/Anopheles_sialome/links/CULICOMORPHA/anomel_55.3kDa-CULICOMORPHA.txt","AGAP005822-PA")</f>
        <v>AGAP005822-PA</v>
      </c>
      <c r="AK661" t="str">
        <f t="shared" si="234"/>
        <v>0.0</v>
      </c>
      <c r="AL661" t="str">
        <f t="shared" si="235"/>
        <v>gi|116126635</v>
      </c>
      <c r="AM661">
        <v>97</v>
      </c>
      <c r="AN661">
        <v>99</v>
      </c>
      <c r="AO661">
        <v>100</v>
      </c>
      <c r="AP661" t="s">
        <v>2285</v>
      </c>
      <c r="AQ661" s="2" t="str">
        <f>HYPERLINK("http://exon.niaid.nih.gov/transcriptome/Anopheles_sialome/links/NR-LIGHT/anomel_55.3kDa-NR-LIGHT.txt","AGAP005822-PA")</f>
        <v>AGAP005822-PA</v>
      </c>
      <c r="AR661" t="str">
        <f t="shared" si="236"/>
        <v>0.0</v>
      </c>
      <c r="AS661" t="str">
        <f t="shared" si="237"/>
        <v>gi|118787092</v>
      </c>
      <c r="AT661">
        <v>97</v>
      </c>
      <c r="AU661">
        <v>99</v>
      </c>
      <c r="AV661">
        <v>100</v>
      </c>
      <c r="AW661" t="s">
        <v>2285</v>
      </c>
      <c r="AX661" s="2" t="str">
        <f>HYPERLINK("http://exon.niaid.nih.gov/transcriptome/Anopheles_sialome/links/CDD/anomel_55.3kDa-CDD.txt","AcrB")</f>
        <v>AcrB</v>
      </c>
      <c r="AY661" t="str">
        <f>HYPERLINK("http://www.ncbi.nlm.nih.gov/Structure/cdd/cddsrv.cgi?uid=COG0841&amp;version=v4.0","1.5")</f>
        <v>1.5</v>
      </c>
      <c r="AZ661" t="s">
        <v>2294</v>
      </c>
      <c r="BA661" s="2" t="str">
        <f>HYPERLINK("http://exon.niaid.nih.gov/transcriptome/Anopheles_sialome/links/KOG/anomel_55.3kDa-KOG.txt","Phosphatidylinositol-4-phosphate 5-kinase and related FYVE finger-containing proteins")</f>
        <v>Phosphatidylinositol-4-phosphate 5-kinase and related FYVE finger-containing proteins</v>
      </c>
      <c r="BB661" t="str">
        <f>HYPERLINK("http://www.ncbi.nlm.nih.gov/Structure/cdd/cddsrv.cgi?uid=KOG0230","1.6")</f>
        <v>1.6</v>
      </c>
      <c r="BC661" t="s">
        <v>2292</v>
      </c>
      <c r="BD661" t="str">
        <f>HYPERLINK("http://exon.niaid.nih.gov/transcriptome/Anopheles_sialome/links/KOG/anomel_55.3kDa-KOG.txt","KOG0230")</f>
        <v>KOG0230</v>
      </c>
      <c r="BE661" t="str">
        <f>HYPERLINK("http://exon.niaid.nih.gov/transcriptome/Anopheles_sialome/links/PFAM/anomel_55.3kDa-PFAM.txt","FBPase_2")</f>
        <v>FBPase_2</v>
      </c>
      <c r="BF661" t="str">
        <f>HYPERLINK("http://pfam.sanger.ac.uk/family?acc=PF06874","2.8")</f>
        <v>2.8</v>
      </c>
      <c r="BG661" s="2" t="str">
        <f>HYPERLINK("http://exon.niaid.nih.gov/transcriptome/Anopheles_sialome/links/SMART/anomel_55.3kDa-SMART.txt","DWB")</f>
        <v>DWB</v>
      </c>
      <c r="BH661" t="str">
        <f>HYPERLINK("http://smart.embl-heidelberg.de/smart/do_annotation.pl?DOMAIN=DWB&amp;BLAST=DUMMY","0.72")</f>
        <v>0.72</v>
      </c>
      <c r="BI661" t="str">
        <f>HYPERLINK("http://exon.niaid.nih.gov/transcriptome/Anopheles_sialome/links/TICK-BLOCKS/anomel_55.3kDa-TICK-BLOCKS.txt","56_kDa_family |")</f>
        <v>56_kDa_family |</v>
      </c>
      <c r="BJ661" s="2" t="s">
        <v>2288</v>
      </c>
      <c r="BK661" t="s">
        <v>699</v>
      </c>
      <c r="BL661">
        <f>HYPERLINK("http://exon.niaid.nih.gov/transcriptome/Anopheles_sialome/links/cluster-b/anopheline-sialome-cds-pep-larger-orf25-50SimCLU8.txt", 8)</f>
        <v>8</v>
      </c>
      <c r="BM661">
        <f>HYPERLINK("http://exon.niaid.nih.gov/transcriptome/Anopheles_sialome/links/cluster-b/anopheline-sialome-cds-pep-larger-orf25-50SimCLTL8.txt", 35)</f>
        <v>35</v>
      </c>
      <c r="BN661">
        <f>HYPERLINK("http://exon.niaid.nih.gov/transcriptome/Anopheles_sialome/links/cluster-b/anopheline-sialome-cds-pep-larger-orf30-50SimCLU17.txt", 17)</f>
        <v>17</v>
      </c>
      <c r="BO661">
        <f>HYPERLINK("http://exon.niaid.nih.gov/transcriptome/Anopheles_sialome/links/cluster-b/anopheline-sialome-cds-pep-larger-orf30-50SimCLTL17.txt", 16)</f>
        <v>16</v>
      </c>
      <c r="BP661">
        <f>HYPERLINK("http://exon.niaid.nih.gov/transcriptome/Anopheles_sialome/links/cluster-b/anopheline-sialome-cds-pep-larger-orf35-50SimCLU19.txt", 19)</f>
        <v>19</v>
      </c>
      <c r="BQ661">
        <f>HYPERLINK("http://exon.niaid.nih.gov/transcriptome/Anopheles_sialome/links/cluster-b/anopheline-sialome-cds-pep-larger-orf35-50SimCLTL19.txt", 16)</f>
        <v>16</v>
      </c>
      <c r="BR661">
        <f>HYPERLINK("http://exon.niaid.nih.gov/transcriptome/Anopheles_sialome/links/cluster-b/anopheline-sialome-cds-pep-larger-orf40-50SimCLU24.txt", 24)</f>
        <v>24</v>
      </c>
      <c r="BS661">
        <f>HYPERLINK("http://exon.niaid.nih.gov/transcriptome/Anopheles_sialome/links/cluster-b/anopheline-sialome-cds-pep-larger-orf40-50SimCLTL24.txt", 16)</f>
        <v>16</v>
      </c>
      <c r="BT661">
        <f>HYPERLINK("http://exon.niaid.nih.gov/transcriptome/Anopheles_sialome/links/cluster-b/anopheline-sialome-cds-pep-larger-orf45-50SimCLU28.txt", 28)</f>
        <v>28</v>
      </c>
      <c r="BU661">
        <f>HYPERLINK("http://exon.niaid.nih.gov/transcriptome/Anopheles_sialome/links/cluster-b/anopheline-sialome-cds-pep-larger-orf45-50SimCLTL28.txt", 16)</f>
        <v>16</v>
      </c>
      <c r="BV661">
        <f>HYPERLINK("http://exon.niaid.nih.gov/transcriptome/Anopheles_sialome/links/cluster-b/anopheline-sialome-cds-pep-larger-orf50-50SimCLU29.txt", 29)</f>
        <v>29</v>
      </c>
      <c r="BW661">
        <f>HYPERLINK("http://exon.niaid.nih.gov/transcriptome/Anopheles_sialome/links/cluster-b/anopheline-sialome-cds-pep-larger-orf50-50SimCLTL29.txt", 16)</f>
        <v>16</v>
      </c>
      <c r="BX661">
        <f>HYPERLINK("http://exon.niaid.nih.gov/transcriptome/Anopheles_sialome/links/cluster-b/anopheline-sialome-cds-pep-larger-orf55-50SimCLU28.txt", 28)</f>
        <v>28</v>
      </c>
      <c r="BY661">
        <f>HYPERLINK("http://exon.niaid.nih.gov/transcriptome/Anopheles_sialome/links/cluster-b/anopheline-sialome-cds-pep-larger-orf55-50SimCLTL28.txt", 16)</f>
        <v>16</v>
      </c>
      <c r="BZ661">
        <f>HYPERLINK("http://exon.niaid.nih.gov/transcriptome/Anopheles_sialome/links/cluster-b/anopheline-sialome-cds-pep-larger-orf60-50SimCLU24.txt", 24)</f>
        <v>24</v>
      </c>
      <c r="CA661">
        <f>HYPERLINK("http://exon.niaid.nih.gov/transcriptome/Anopheles_sialome/links/cluster-b/anopheline-sialome-cds-pep-larger-orf60-50SimCLTL24.txt", 16)</f>
        <v>16</v>
      </c>
      <c r="CB661">
        <f>HYPERLINK("http://exon.niaid.nih.gov/transcriptome/Anopheles_sialome/links/cluster-b/anopheline-sialome-cds-pep-larger-orf65-50SimCLU22.txt", 22)</f>
        <v>22</v>
      </c>
      <c r="CC661">
        <f>HYPERLINK("http://exon.niaid.nih.gov/transcriptome/Anopheles_sialome/links/cluster-b/anopheline-sialome-cds-pep-larger-orf65-50SimCLTL22.txt", 16)</f>
        <v>16</v>
      </c>
      <c r="CD661">
        <f>HYPERLINK("http://exon.niaid.nih.gov/transcriptome/Anopheles_sialome/links/cluster-b/anopheline-sialome-cds-pep-larger-orf70-50SimCLU21.txt", 21)</f>
        <v>21</v>
      </c>
      <c r="CE661">
        <f>HYPERLINK("http://exon.niaid.nih.gov/transcriptome/Anopheles_sialome/links/cluster-b/anopheline-sialome-cds-pep-larger-orf70-50SimCLTL21.txt", 16)</f>
        <v>16</v>
      </c>
      <c r="CF661">
        <f>HYPERLINK("http://exon.niaid.nih.gov/transcriptome/Anopheles_sialome/links/cluster-b/anopheline-sialome-cds-pep-larger-orf75-50SimCLU21.txt", 21)</f>
        <v>21</v>
      </c>
      <c r="CG661">
        <f>HYPERLINK("http://exon.niaid.nih.gov/transcriptome/Anopheles_sialome/links/cluster-b/anopheline-sialome-cds-pep-larger-orf75-50SimCLTL21.txt", 14)</f>
        <v>14</v>
      </c>
      <c r="CH661">
        <f>HYPERLINK("http://exon.niaid.nih.gov/transcriptome/Anopheles_sialome/links/cluster-b/anopheline-sialome-cds-pep-larger-orf80-50SimCLU21.txt", 21)</f>
        <v>21</v>
      </c>
      <c r="CI661">
        <f>HYPERLINK("http://exon.niaid.nih.gov/transcriptome/Anopheles_sialome/links/cluster-b/anopheline-sialome-cds-pep-larger-orf80-50SimCLTL21.txt", 12)</f>
        <v>12</v>
      </c>
      <c r="CJ661">
        <f>HYPERLINK("http://exon.niaid.nih.gov/transcriptome/Anopheles_sialome/links/cluster-b/anopheline-sialome-cds-pep-larger-orf85-50SimCLU15.txt", 15)</f>
        <v>15</v>
      </c>
      <c r="CK661">
        <f>HYPERLINK("http://exon.niaid.nih.gov/transcriptome/Anopheles_sialome/links/cluster-b/anopheline-sialome-cds-pep-larger-orf85-50SimCLTL15.txt", 11)</f>
        <v>11</v>
      </c>
      <c r="CL661">
        <f>HYPERLINK("http://exon.niaid.nih.gov/transcriptome/Anopheles_sialome/links/cluster-b/anopheline-sialome-cds-pep-larger-orf90-50SimCLU40.txt", 40)</f>
        <v>40</v>
      </c>
      <c r="CM661">
        <f>HYPERLINK("http://exon.niaid.nih.gov/transcriptome/Anopheles_sialome/links/cluster-b/anopheline-sialome-cds-pep-larger-orf90-50SimCLTL40.txt", 5)</f>
        <v>5</v>
      </c>
      <c r="CN661">
        <f>HYPERLINK("http://exon.niaid.nih.gov/transcriptome/Anopheles_sialome/links/cluster-b/anopheline-sialome-cds-pep-larger-orf95-50SimCLU32.txt", 32)</f>
        <v>32</v>
      </c>
      <c r="CO661">
        <f>HYPERLINK("http://exon.niaid.nih.gov/transcriptome/Anopheles_sialome/links/cluster-b/anopheline-sialome-cds-pep-larger-orf95-50SimCLTL32.txt", 5)</f>
        <v>5</v>
      </c>
    </row>
    <row r="662" spans="1:93">
      <c r="A662" s="2" t="str">
        <f>HYPERLINK("http://exon.niaid.nih.gov/transcriptome/Anopheles_sialome/links/cds/anochris_55.3kDa-cds.txt","anochris_55.3kDa")</f>
        <v>anochris_55.3kDa</v>
      </c>
      <c r="B662">
        <v>1545</v>
      </c>
      <c r="C662" t="s">
        <v>30</v>
      </c>
      <c r="D662" t="s">
        <v>4</v>
      </c>
      <c r="E662" t="s">
        <v>5</v>
      </c>
      <c r="F662" t="s">
        <v>1</v>
      </c>
      <c r="G662" t="str">
        <f>HYPERLINK("http://exon.niaid.nih.gov/transcriptome/Anopheles_sialome/links/pep/anochris_55.3kDa-pep.txt","anochris_55.3kDa")</f>
        <v>anochris_55.3kDa</v>
      </c>
      <c r="H662">
        <v>514</v>
      </c>
      <c r="I662">
        <v>0</v>
      </c>
      <c r="J662" s="3" t="str">
        <f>HYPERLINK("http://exon.niaid.nih.gov/transcriptome/Anopheles_sialome/links/Sigp/anochris_55.3kDa-SigP.txt","SIG")</f>
        <v>SIG</v>
      </c>
      <c r="K662" t="s">
        <v>689</v>
      </c>
      <c r="L662">
        <v>55.918999999999997</v>
      </c>
      <c r="M662">
        <v>5.87</v>
      </c>
      <c r="N662">
        <v>53.622</v>
      </c>
      <c r="O662">
        <v>5.75</v>
      </c>
      <c r="P662" t="s">
        <v>702</v>
      </c>
      <c r="Q662" s="3">
        <v>0</v>
      </c>
      <c r="R662" t="s">
        <v>128</v>
      </c>
      <c r="S662" t="s">
        <v>128</v>
      </c>
      <c r="T662" t="s">
        <v>128</v>
      </c>
      <c r="U662" t="s">
        <v>128</v>
      </c>
      <c r="V662" t="s">
        <v>128</v>
      </c>
      <c r="W662" s="3" t="str">
        <f>HYPERLINK("http://exon.niaid.nih.gov/transcriptome/Anopheles_sialome/links/netoglyc/anochris_55.3kDa-netoglyc.txt","0")</f>
        <v>0</v>
      </c>
      <c r="X662">
        <v>16.3</v>
      </c>
      <c r="Y662">
        <v>7</v>
      </c>
      <c r="Z662">
        <v>2.5</v>
      </c>
      <c r="AA662" t="s">
        <v>654</v>
      </c>
      <c r="AB662" t="s">
        <v>703</v>
      </c>
      <c r="AC662" s="2" t="str">
        <f>HYPERLINK("http://exon.niaid.nih.gov/transcriptome/Anopheles_sialome/links/DIPTERA/anochris_55.3kDa-DIPTERA.txt","AGAP005822-PA")</f>
        <v>AGAP005822-PA</v>
      </c>
      <c r="AD662" t="str">
        <f t="shared" si="232"/>
        <v>0.0</v>
      </c>
      <c r="AE662" t="str">
        <f t="shared" si="233"/>
        <v>gi|116126635</v>
      </c>
      <c r="AF662">
        <v>80</v>
      </c>
      <c r="AG662">
        <v>88</v>
      </c>
      <c r="AH662">
        <v>100</v>
      </c>
      <c r="AI662" t="s">
        <v>2285</v>
      </c>
      <c r="AJ662" s="2" t="str">
        <f>HYPERLINK("http://exon.niaid.nih.gov/transcriptome/Anopheles_sialome/links/CULICOMORPHA/anochris_55.3kDa-CULICOMORPHA.txt","AGAP005822-PA")</f>
        <v>AGAP005822-PA</v>
      </c>
      <c r="AK662" t="str">
        <f t="shared" si="234"/>
        <v>0.0</v>
      </c>
      <c r="AL662" t="str">
        <f t="shared" si="235"/>
        <v>gi|116126635</v>
      </c>
      <c r="AM662">
        <v>80</v>
      </c>
      <c r="AN662">
        <v>88</v>
      </c>
      <c r="AO662">
        <v>100</v>
      </c>
      <c r="AP662" t="s">
        <v>2285</v>
      </c>
      <c r="AQ662" s="2" t="str">
        <f>HYPERLINK("http://exon.niaid.nih.gov/transcriptome/Anopheles_sialome/links/NR-LIGHT/anochris_55.3kDa-NR-LIGHT.txt","AGAP005822-PA")</f>
        <v>AGAP005822-PA</v>
      </c>
      <c r="AR662" t="str">
        <f t="shared" si="236"/>
        <v>0.0</v>
      </c>
      <c r="AS662" t="str">
        <f t="shared" si="237"/>
        <v>gi|118787092</v>
      </c>
      <c r="AT662">
        <v>80</v>
      </c>
      <c r="AU662">
        <v>88</v>
      </c>
      <c r="AV662">
        <v>100</v>
      </c>
      <c r="AW662" t="s">
        <v>2285</v>
      </c>
      <c r="AX662" s="2" t="str">
        <f>HYPERLINK("http://exon.niaid.nih.gov/transcriptome/Anopheles_sialome/links/CDD/anochris_55.3kDa-CDD.txt","RTX")</f>
        <v>RTX</v>
      </c>
      <c r="AY662" t="str">
        <f>HYPERLINK("http://www.ncbi.nlm.nih.gov/Structure/cdd/cddsrv.cgi?uid=pfam02382&amp;version=v4.0","1.1")</f>
        <v>1.1</v>
      </c>
      <c r="AZ662" t="s">
        <v>2295</v>
      </c>
      <c r="BA662" s="2" t="str">
        <f>HYPERLINK("http://exon.niaid.nih.gov/transcriptome/Anopheles_sialome/links/KOG/anochris_55.3kDa-KOG.txt","Chaperonin complex component, TCP-1 eta subunit (CCT7)")</f>
        <v>Chaperonin complex component, TCP-1 eta subunit (CCT7)</v>
      </c>
      <c r="BB662" t="str">
        <f>HYPERLINK("http://www.ncbi.nlm.nih.gov/Structure/cdd/cddsrv.cgi?uid=KOG0361","1.4")</f>
        <v>1.4</v>
      </c>
      <c r="BC662" t="s">
        <v>2296</v>
      </c>
      <c r="BD662" t="str">
        <f>HYPERLINK("http://exon.niaid.nih.gov/transcriptome/Anopheles_sialome/links/KOG/anochris_55.3kDa-KOG.txt","KOG0361")</f>
        <v>KOG0361</v>
      </c>
      <c r="BE662" t="str">
        <f>HYPERLINK("http://exon.niaid.nih.gov/transcriptome/Anopheles_sialome/links/PFAM/anochris_55.3kDa-PFAM.txt","RTX")</f>
        <v>RTX</v>
      </c>
      <c r="BF662" t="str">
        <f>HYPERLINK("http://pfam.sanger.ac.uk/family?acc=PF02382","0.21")</f>
        <v>0.21</v>
      </c>
      <c r="BG662" s="2" t="str">
        <f>HYPERLINK("http://exon.niaid.nih.gov/transcriptome/Anopheles_sialome/links/SMART/anochris_55.3kDa-SMART.txt","UME")</f>
        <v>UME</v>
      </c>
      <c r="BH662" t="str">
        <f>HYPERLINK("http://smart.embl-heidelberg.de/smart/do_annotation.pl?DOMAIN=UME&amp;BLAST=DUMMY","0.60")</f>
        <v>0.60</v>
      </c>
      <c r="BI662" t="str">
        <f>HYPERLINK("http://exon.niaid.nih.gov/transcriptome/Anopheles_sialome/links/TICK-BLOCKS/anochris_55.3kDa-TICK-BLOCKS.txt","56_kDa_family |")</f>
        <v>56_kDa_family |</v>
      </c>
      <c r="BJ662" s="2" t="s">
        <v>2288</v>
      </c>
      <c r="BK662" t="s">
        <v>701</v>
      </c>
      <c r="BL662">
        <f>HYPERLINK("http://exon.niaid.nih.gov/transcriptome/Anopheles_sialome/links/cluster-b/anopheline-sialome-cds-pep-larger-orf25-50SimCLU8.txt", 8)</f>
        <v>8</v>
      </c>
      <c r="BM662">
        <f>HYPERLINK("http://exon.niaid.nih.gov/transcriptome/Anopheles_sialome/links/cluster-b/anopheline-sialome-cds-pep-larger-orf25-50SimCLTL8.txt", 35)</f>
        <v>35</v>
      </c>
      <c r="BN662">
        <f>HYPERLINK("http://exon.niaid.nih.gov/transcriptome/Anopheles_sialome/links/cluster-b/anopheline-sialome-cds-pep-larger-orf30-50SimCLU17.txt", 17)</f>
        <v>17</v>
      </c>
      <c r="BO662">
        <f>HYPERLINK("http://exon.niaid.nih.gov/transcriptome/Anopheles_sialome/links/cluster-b/anopheline-sialome-cds-pep-larger-orf30-50SimCLTL17.txt", 16)</f>
        <v>16</v>
      </c>
      <c r="BP662">
        <f>HYPERLINK("http://exon.niaid.nih.gov/transcriptome/Anopheles_sialome/links/cluster-b/anopheline-sialome-cds-pep-larger-orf35-50SimCLU19.txt", 19)</f>
        <v>19</v>
      </c>
      <c r="BQ662">
        <f>HYPERLINK("http://exon.niaid.nih.gov/transcriptome/Anopheles_sialome/links/cluster-b/anopheline-sialome-cds-pep-larger-orf35-50SimCLTL19.txt", 16)</f>
        <v>16</v>
      </c>
      <c r="BR662">
        <f>HYPERLINK("http://exon.niaid.nih.gov/transcriptome/Anopheles_sialome/links/cluster-b/anopheline-sialome-cds-pep-larger-orf40-50SimCLU24.txt", 24)</f>
        <v>24</v>
      </c>
      <c r="BS662">
        <f>HYPERLINK("http://exon.niaid.nih.gov/transcriptome/Anopheles_sialome/links/cluster-b/anopheline-sialome-cds-pep-larger-orf40-50SimCLTL24.txt", 16)</f>
        <v>16</v>
      </c>
      <c r="BT662">
        <f>HYPERLINK("http://exon.niaid.nih.gov/transcriptome/Anopheles_sialome/links/cluster-b/anopheline-sialome-cds-pep-larger-orf45-50SimCLU28.txt", 28)</f>
        <v>28</v>
      </c>
      <c r="BU662">
        <f>HYPERLINK("http://exon.niaid.nih.gov/transcriptome/Anopheles_sialome/links/cluster-b/anopheline-sialome-cds-pep-larger-orf45-50SimCLTL28.txt", 16)</f>
        <v>16</v>
      </c>
      <c r="BV662">
        <f>HYPERLINK("http://exon.niaid.nih.gov/transcriptome/Anopheles_sialome/links/cluster-b/anopheline-sialome-cds-pep-larger-orf50-50SimCLU29.txt", 29)</f>
        <v>29</v>
      </c>
      <c r="BW662">
        <f>HYPERLINK("http://exon.niaid.nih.gov/transcriptome/Anopheles_sialome/links/cluster-b/anopheline-sialome-cds-pep-larger-orf50-50SimCLTL29.txt", 16)</f>
        <v>16</v>
      </c>
      <c r="BX662">
        <f>HYPERLINK("http://exon.niaid.nih.gov/transcriptome/Anopheles_sialome/links/cluster-b/anopheline-sialome-cds-pep-larger-orf55-50SimCLU28.txt", 28)</f>
        <v>28</v>
      </c>
      <c r="BY662">
        <f>HYPERLINK("http://exon.niaid.nih.gov/transcriptome/Anopheles_sialome/links/cluster-b/anopheline-sialome-cds-pep-larger-orf55-50SimCLTL28.txt", 16)</f>
        <v>16</v>
      </c>
      <c r="BZ662">
        <f>HYPERLINK("http://exon.niaid.nih.gov/transcriptome/Anopheles_sialome/links/cluster-b/anopheline-sialome-cds-pep-larger-orf60-50SimCLU24.txt", 24)</f>
        <v>24</v>
      </c>
      <c r="CA662">
        <f>HYPERLINK("http://exon.niaid.nih.gov/transcriptome/Anopheles_sialome/links/cluster-b/anopheline-sialome-cds-pep-larger-orf60-50SimCLTL24.txt", 16)</f>
        <v>16</v>
      </c>
      <c r="CB662">
        <f>HYPERLINK("http://exon.niaid.nih.gov/transcriptome/Anopheles_sialome/links/cluster-b/anopheline-sialome-cds-pep-larger-orf65-50SimCLU22.txt", 22)</f>
        <v>22</v>
      </c>
      <c r="CC662">
        <f>HYPERLINK("http://exon.niaid.nih.gov/transcriptome/Anopheles_sialome/links/cluster-b/anopheline-sialome-cds-pep-larger-orf65-50SimCLTL22.txt", 16)</f>
        <v>16</v>
      </c>
      <c r="CD662">
        <f>HYPERLINK("http://exon.niaid.nih.gov/transcriptome/Anopheles_sialome/links/cluster-b/anopheline-sialome-cds-pep-larger-orf70-50SimCLU21.txt", 21)</f>
        <v>21</v>
      </c>
      <c r="CE662">
        <f>HYPERLINK("http://exon.niaid.nih.gov/transcriptome/Anopheles_sialome/links/cluster-b/anopheline-sialome-cds-pep-larger-orf70-50SimCLTL21.txt", 16)</f>
        <v>16</v>
      </c>
      <c r="CF662">
        <f>HYPERLINK("http://exon.niaid.nih.gov/transcriptome/Anopheles_sialome/links/cluster-b/anopheline-sialome-cds-pep-larger-orf75-50SimCLU21.txt", 21)</f>
        <v>21</v>
      </c>
      <c r="CG662">
        <f>HYPERLINK("http://exon.niaid.nih.gov/transcriptome/Anopheles_sialome/links/cluster-b/anopheline-sialome-cds-pep-larger-orf75-50SimCLTL21.txt", 14)</f>
        <v>14</v>
      </c>
      <c r="CH662">
        <f>HYPERLINK("http://exon.niaid.nih.gov/transcriptome/Anopheles_sialome/links/cluster-b/anopheline-sialome-cds-pep-larger-orf80-50SimCLU21.txt", 21)</f>
        <v>21</v>
      </c>
      <c r="CI662">
        <f>HYPERLINK("http://exon.niaid.nih.gov/transcriptome/Anopheles_sialome/links/cluster-b/anopheline-sialome-cds-pep-larger-orf80-50SimCLTL21.txt", 12)</f>
        <v>12</v>
      </c>
      <c r="CJ662">
        <f>HYPERLINK("http://exon.niaid.nih.gov/transcriptome/Anopheles_sialome/links/cluster-b/anopheline-sialome-cds-pep-larger-orf85-50SimCLU15.txt", 15)</f>
        <v>15</v>
      </c>
      <c r="CK662">
        <f>HYPERLINK("http://exon.niaid.nih.gov/transcriptome/Anopheles_sialome/links/cluster-b/anopheline-sialome-cds-pep-larger-orf85-50SimCLTL15.txt", 11)</f>
        <v>11</v>
      </c>
      <c r="CL662">
        <v>109</v>
      </c>
      <c r="CM662">
        <v>1</v>
      </c>
      <c r="CN662">
        <v>83</v>
      </c>
      <c r="CO662">
        <v>1</v>
      </c>
    </row>
    <row r="663" spans="1:93">
      <c r="A663" s="2" t="str">
        <f>HYPERLINK("http://exon.niaid.nih.gov/transcriptome/Anopheles_sialome/links/cds/anoepi_55.3kDa-cds.txt","anoepi_55.3kDa")</f>
        <v>anoepi_55.3kDa</v>
      </c>
      <c r="B663">
        <v>1548</v>
      </c>
      <c r="C663" t="s">
        <v>31</v>
      </c>
      <c r="D663" t="s">
        <v>4</v>
      </c>
      <c r="E663" t="s">
        <v>5</v>
      </c>
      <c r="F663" t="s">
        <v>1</v>
      </c>
      <c r="G663" t="str">
        <f>HYPERLINK("http://exon.niaid.nih.gov/transcriptome/Anopheles_sialome/links/pep/anoepi_55.3kDa-pep.txt","anoepi_55.3kDa")</f>
        <v>anoepi_55.3kDa</v>
      </c>
      <c r="H663">
        <v>515</v>
      </c>
      <c r="I663">
        <v>0</v>
      </c>
      <c r="J663" s="3" t="str">
        <f>HYPERLINK("http://exon.niaid.nih.gov/transcriptome/Anopheles_sialome/links/Sigp/anoepi_55.3kDa-SigP.txt","SIG")</f>
        <v>SIG</v>
      </c>
      <c r="K663" t="s">
        <v>695</v>
      </c>
      <c r="L663">
        <v>56.116</v>
      </c>
      <c r="M663">
        <v>7.6</v>
      </c>
      <c r="N663">
        <v>53.72</v>
      </c>
      <c r="O663">
        <v>6.99</v>
      </c>
      <c r="P663" t="s">
        <v>705</v>
      </c>
      <c r="Q663" s="3">
        <v>0</v>
      </c>
      <c r="R663" t="s">
        <v>128</v>
      </c>
      <c r="S663" t="s">
        <v>128</v>
      </c>
      <c r="T663" t="s">
        <v>128</v>
      </c>
      <c r="U663" t="s">
        <v>128</v>
      </c>
      <c r="V663" t="s">
        <v>128</v>
      </c>
      <c r="W663" s="3" t="str">
        <f>HYPERLINK("http://exon.niaid.nih.gov/transcriptome/Anopheles_sialome/links/netoglyc/anoepi_55.3kDa-netoglyc.txt","1")</f>
        <v>1</v>
      </c>
      <c r="X663">
        <v>13.8</v>
      </c>
      <c r="Y663">
        <v>7.2</v>
      </c>
      <c r="Z663">
        <v>2.2999999999999998</v>
      </c>
      <c r="AA663" t="s">
        <v>654</v>
      </c>
      <c r="AB663" t="s">
        <v>706</v>
      </c>
      <c r="AC663" s="2" t="str">
        <f>HYPERLINK("http://exon.niaid.nih.gov/transcriptome/Anopheles_sialome/links/DIPTERA/anoepi_55.3kDa-DIPTERA.txt","AGAP005822-PA")</f>
        <v>AGAP005822-PA</v>
      </c>
      <c r="AD663" t="str">
        <f t="shared" si="232"/>
        <v>0.0</v>
      </c>
      <c r="AE663" t="str">
        <f t="shared" si="233"/>
        <v>gi|116126635</v>
      </c>
      <c r="AF663">
        <v>79</v>
      </c>
      <c r="AG663">
        <v>87</v>
      </c>
      <c r="AH663">
        <v>101</v>
      </c>
      <c r="AI663" t="s">
        <v>2285</v>
      </c>
      <c r="AJ663" s="2" t="str">
        <f>HYPERLINK("http://exon.niaid.nih.gov/transcriptome/Anopheles_sialome/links/CULICOMORPHA/anoepi_55.3kDa-CULICOMORPHA.txt","AGAP005822-PA")</f>
        <v>AGAP005822-PA</v>
      </c>
      <c r="AK663" t="str">
        <f t="shared" si="234"/>
        <v>0.0</v>
      </c>
      <c r="AL663" t="str">
        <f t="shared" si="235"/>
        <v>gi|116126635</v>
      </c>
      <c r="AM663">
        <v>79</v>
      </c>
      <c r="AN663">
        <v>87</v>
      </c>
      <c r="AO663">
        <v>101</v>
      </c>
      <c r="AP663" t="s">
        <v>2285</v>
      </c>
      <c r="AQ663" s="2" t="str">
        <f>HYPERLINK("http://exon.niaid.nih.gov/transcriptome/Anopheles_sialome/links/NR-LIGHT/anoepi_55.3kDa-NR-LIGHT.txt","AGAP005822-PA")</f>
        <v>AGAP005822-PA</v>
      </c>
      <c r="AR663" t="str">
        <f t="shared" si="236"/>
        <v>0.0</v>
      </c>
      <c r="AS663" t="str">
        <f t="shared" si="237"/>
        <v>gi|118787092</v>
      </c>
      <c r="AT663">
        <v>79</v>
      </c>
      <c r="AU663">
        <v>87</v>
      </c>
      <c r="AV663">
        <v>101</v>
      </c>
      <c r="AW663" t="s">
        <v>2285</v>
      </c>
      <c r="AX663" s="2" t="str">
        <f>HYPERLINK("http://exon.niaid.nih.gov/transcriptome/Anopheles_sialome/links/CDD/anoepi_55.3kDa-CDD.txt","PLN03146")</f>
        <v>PLN03146</v>
      </c>
      <c r="AY663" t="str">
        <f>HYPERLINK("http://www.ncbi.nlm.nih.gov/Structure/cdd/cddsrv.cgi?uid=PLN03146&amp;version=v4.0","1.5")</f>
        <v>1.5</v>
      </c>
      <c r="AZ663" t="s">
        <v>2297</v>
      </c>
      <c r="BA663" s="2" t="str">
        <f>HYPERLINK("http://exon.niaid.nih.gov/transcriptome/Anopheles_sialome/links/KOG/anoepi_55.3kDa-KOG.txt","Mitochondrial glycerol-3-phosphate acyltransferase GPAT")</f>
        <v>Mitochondrial glycerol-3-phosphate acyltransferase GPAT</v>
      </c>
      <c r="BB663" t="str">
        <f>HYPERLINK("http://www.ncbi.nlm.nih.gov/Structure/cdd/cddsrv.cgi?uid=KOG3729","2.3")</f>
        <v>2.3</v>
      </c>
      <c r="BC663" t="s">
        <v>2298</v>
      </c>
      <c r="BD663" t="str">
        <f>HYPERLINK("http://exon.niaid.nih.gov/transcriptome/Anopheles_sialome/links/KOG/anoepi_55.3kDa-KOG.txt","KOG3729")</f>
        <v>KOG3729</v>
      </c>
      <c r="BE663" t="str">
        <f>HYPERLINK("http://exon.niaid.nih.gov/transcriptome/Anopheles_sialome/links/PFAM/anoepi_55.3kDa-PFAM.txt","Lipoprotein_7")</f>
        <v>Lipoprotein_7</v>
      </c>
      <c r="BF663" t="str">
        <f>HYPERLINK("http://pfam.sanger.ac.uk/family?acc=PF01540","0.11")</f>
        <v>0.11</v>
      </c>
      <c r="BG663" s="2" t="str">
        <f>HYPERLINK("http://exon.niaid.nih.gov/transcriptome/Anopheles_sialome/links/SMART/anoepi_55.3kDa-SMART.txt","Tubulin")</f>
        <v>Tubulin</v>
      </c>
      <c r="BH663" t="str">
        <f>HYPERLINK("http://smart.embl-heidelberg.de/smart/do_annotation.pl?DOMAIN=Tubulin&amp;BLAST=DUMMY","0.72")</f>
        <v>0.72</v>
      </c>
      <c r="BI663" t="str">
        <f>HYPERLINK("http://exon.niaid.nih.gov/transcriptome/Anopheles_sialome/links/TICK-BLOCKS/anoepi_55.3kDa-TICK-BLOCKS.txt","56_kDa_family |")</f>
        <v>56_kDa_family |</v>
      </c>
      <c r="BJ663" s="2" t="s">
        <v>2288</v>
      </c>
      <c r="BK663" t="s">
        <v>704</v>
      </c>
      <c r="BL663">
        <f>HYPERLINK("http://exon.niaid.nih.gov/transcriptome/Anopheles_sialome/links/cluster-b/anopheline-sialome-cds-pep-larger-orf25-50SimCLU8.txt", 8)</f>
        <v>8</v>
      </c>
      <c r="BM663">
        <f>HYPERLINK("http://exon.niaid.nih.gov/transcriptome/Anopheles_sialome/links/cluster-b/anopheline-sialome-cds-pep-larger-orf25-50SimCLTL8.txt", 35)</f>
        <v>35</v>
      </c>
      <c r="BN663">
        <f>HYPERLINK("http://exon.niaid.nih.gov/transcriptome/Anopheles_sialome/links/cluster-b/anopheline-sialome-cds-pep-larger-orf30-50SimCLU17.txt", 17)</f>
        <v>17</v>
      </c>
      <c r="BO663">
        <f>HYPERLINK("http://exon.niaid.nih.gov/transcriptome/Anopheles_sialome/links/cluster-b/anopheline-sialome-cds-pep-larger-orf30-50SimCLTL17.txt", 16)</f>
        <v>16</v>
      </c>
      <c r="BP663">
        <f>HYPERLINK("http://exon.niaid.nih.gov/transcriptome/Anopheles_sialome/links/cluster-b/anopheline-sialome-cds-pep-larger-orf35-50SimCLU19.txt", 19)</f>
        <v>19</v>
      </c>
      <c r="BQ663">
        <f>HYPERLINK("http://exon.niaid.nih.gov/transcriptome/Anopheles_sialome/links/cluster-b/anopheline-sialome-cds-pep-larger-orf35-50SimCLTL19.txt", 16)</f>
        <v>16</v>
      </c>
      <c r="BR663">
        <f>HYPERLINK("http://exon.niaid.nih.gov/transcriptome/Anopheles_sialome/links/cluster-b/anopheline-sialome-cds-pep-larger-orf40-50SimCLU24.txt", 24)</f>
        <v>24</v>
      </c>
      <c r="BS663">
        <f>HYPERLINK("http://exon.niaid.nih.gov/transcriptome/Anopheles_sialome/links/cluster-b/anopheline-sialome-cds-pep-larger-orf40-50SimCLTL24.txt", 16)</f>
        <v>16</v>
      </c>
      <c r="BT663">
        <f>HYPERLINK("http://exon.niaid.nih.gov/transcriptome/Anopheles_sialome/links/cluster-b/anopheline-sialome-cds-pep-larger-orf45-50SimCLU28.txt", 28)</f>
        <v>28</v>
      </c>
      <c r="BU663">
        <f>HYPERLINK("http://exon.niaid.nih.gov/transcriptome/Anopheles_sialome/links/cluster-b/anopheline-sialome-cds-pep-larger-orf45-50SimCLTL28.txt", 16)</f>
        <v>16</v>
      </c>
      <c r="BV663">
        <f>HYPERLINK("http://exon.niaid.nih.gov/transcriptome/Anopheles_sialome/links/cluster-b/anopheline-sialome-cds-pep-larger-orf50-50SimCLU29.txt", 29)</f>
        <v>29</v>
      </c>
      <c r="BW663">
        <f>HYPERLINK("http://exon.niaid.nih.gov/transcriptome/Anopheles_sialome/links/cluster-b/anopheline-sialome-cds-pep-larger-orf50-50SimCLTL29.txt", 16)</f>
        <v>16</v>
      </c>
      <c r="BX663">
        <f>HYPERLINK("http://exon.niaid.nih.gov/transcriptome/Anopheles_sialome/links/cluster-b/anopheline-sialome-cds-pep-larger-orf55-50SimCLU28.txt", 28)</f>
        <v>28</v>
      </c>
      <c r="BY663">
        <f>HYPERLINK("http://exon.niaid.nih.gov/transcriptome/Anopheles_sialome/links/cluster-b/anopheline-sialome-cds-pep-larger-orf55-50SimCLTL28.txt", 16)</f>
        <v>16</v>
      </c>
      <c r="BZ663">
        <f>HYPERLINK("http://exon.niaid.nih.gov/transcriptome/Anopheles_sialome/links/cluster-b/anopheline-sialome-cds-pep-larger-orf60-50SimCLU24.txt", 24)</f>
        <v>24</v>
      </c>
      <c r="CA663">
        <f>HYPERLINK("http://exon.niaid.nih.gov/transcriptome/Anopheles_sialome/links/cluster-b/anopheline-sialome-cds-pep-larger-orf60-50SimCLTL24.txt", 16)</f>
        <v>16</v>
      </c>
      <c r="CB663">
        <f>HYPERLINK("http://exon.niaid.nih.gov/transcriptome/Anopheles_sialome/links/cluster-b/anopheline-sialome-cds-pep-larger-orf65-50SimCLU22.txt", 22)</f>
        <v>22</v>
      </c>
      <c r="CC663">
        <f>HYPERLINK("http://exon.niaid.nih.gov/transcriptome/Anopheles_sialome/links/cluster-b/anopheline-sialome-cds-pep-larger-orf65-50SimCLTL22.txt", 16)</f>
        <v>16</v>
      </c>
      <c r="CD663">
        <f>HYPERLINK("http://exon.niaid.nih.gov/transcriptome/Anopheles_sialome/links/cluster-b/anopheline-sialome-cds-pep-larger-orf70-50SimCLU21.txt", 21)</f>
        <v>21</v>
      </c>
      <c r="CE663">
        <f>HYPERLINK("http://exon.niaid.nih.gov/transcriptome/Anopheles_sialome/links/cluster-b/anopheline-sialome-cds-pep-larger-orf70-50SimCLTL21.txt", 16)</f>
        <v>16</v>
      </c>
      <c r="CF663">
        <f>HYPERLINK("http://exon.niaid.nih.gov/transcriptome/Anopheles_sialome/links/cluster-b/anopheline-sialome-cds-pep-larger-orf75-50SimCLU21.txt", 21)</f>
        <v>21</v>
      </c>
      <c r="CG663">
        <f>HYPERLINK("http://exon.niaid.nih.gov/transcriptome/Anopheles_sialome/links/cluster-b/anopheline-sialome-cds-pep-larger-orf75-50SimCLTL21.txt", 14)</f>
        <v>14</v>
      </c>
      <c r="CH663">
        <f>HYPERLINK("http://exon.niaid.nih.gov/transcriptome/Anopheles_sialome/links/cluster-b/anopheline-sialome-cds-pep-larger-orf80-50SimCLU21.txt", 21)</f>
        <v>21</v>
      </c>
      <c r="CI663">
        <f>HYPERLINK("http://exon.niaid.nih.gov/transcriptome/Anopheles_sialome/links/cluster-b/anopheline-sialome-cds-pep-larger-orf80-50SimCLTL21.txt", 12)</f>
        <v>12</v>
      </c>
      <c r="CJ663">
        <f>HYPERLINK("http://exon.niaid.nih.gov/transcriptome/Anopheles_sialome/links/cluster-b/anopheline-sialome-cds-pep-larger-orf85-50SimCLU15.txt", 15)</f>
        <v>15</v>
      </c>
      <c r="CK663">
        <f>HYPERLINK("http://exon.niaid.nih.gov/transcriptome/Anopheles_sialome/links/cluster-b/anopheline-sialome-cds-pep-larger-orf85-50SimCLTL15.txt", 11)</f>
        <v>11</v>
      </c>
      <c r="CL663">
        <v>110</v>
      </c>
      <c r="CM663">
        <v>1</v>
      </c>
      <c r="CN663">
        <v>84</v>
      </c>
      <c r="CO663">
        <v>1</v>
      </c>
    </row>
    <row r="664" spans="1:93">
      <c r="A664" s="2" t="str">
        <f>HYPERLINK("http://exon.niaid.nih.gov/transcriptome/Anopheles_sialome/links/cds/anofun_55.3kDa-cds.txt","anofun_55.3kDa")</f>
        <v>anofun_55.3kDa</v>
      </c>
      <c r="B664">
        <v>1548</v>
      </c>
      <c r="C664" t="s">
        <v>32</v>
      </c>
      <c r="D664" t="s">
        <v>4</v>
      </c>
      <c r="E664" t="s">
        <v>5</v>
      </c>
      <c r="F664" t="s">
        <v>1</v>
      </c>
      <c r="G664" t="str">
        <f>HYPERLINK("http://exon.niaid.nih.gov/transcriptome/Anopheles_sialome/links/pep/anofun_55.3kDa-pep.txt","anofun_55.3kDa")</f>
        <v>anofun_55.3kDa</v>
      </c>
      <c r="H664">
        <v>515</v>
      </c>
      <c r="I664">
        <v>0</v>
      </c>
      <c r="J664" s="3" t="str">
        <f>HYPERLINK("http://exon.niaid.nih.gov/transcriptome/Anopheles_sialome/links/Sigp/anofun_55.3kDa-SigP.txt","SIG")</f>
        <v>SIG</v>
      </c>
      <c r="K664" t="s">
        <v>708</v>
      </c>
      <c r="L664">
        <v>56.56</v>
      </c>
      <c r="M664">
        <v>6.34</v>
      </c>
      <c r="N664">
        <v>54.000999999999998</v>
      </c>
      <c r="O664">
        <v>5.8</v>
      </c>
      <c r="P664" t="s">
        <v>709</v>
      </c>
      <c r="Q664" s="3">
        <v>0</v>
      </c>
      <c r="R664" t="s">
        <v>128</v>
      </c>
      <c r="S664" t="s">
        <v>128</v>
      </c>
      <c r="T664" t="s">
        <v>128</v>
      </c>
      <c r="U664" t="s">
        <v>128</v>
      </c>
      <c r="V664" t="s">
        <v>128</v>
      </c>
      <c r="W664" s="3" t="str">
        <f>HYPERLINK("http://exon.niaid.nih.gov/transcriptome/Anopheles_sialome/links/netoglyc/anofun_55.3kDa-netoglyc.txt","0")</f>
        <v>0</v>
      </c>
      <c r="X664">
        <v>15.7</v>
      </c>
      <c r="Y664">
        <v>5.6</v>
      </c>
      <c r="Z664">
        <v>2.5</v>
      </c>
      <c r="AA664" t="s">
        <v>654</v>
      </c>
      <c r="AB664" t="s">
        <v>128</v>
      </c>
      <c r="AC664" s="2" t="str">
        <f>HYPERLINK("http://exon.niaid.nih.gov/transcriptome/Anopheles_sialome/links/DIPTERA/anofun_55.3kDa-DIPTERA.txt","putative 53.7 kDa salivary protein")</f>
        <v>putative 53.7 kDa salivary protein</v>
      </c>
      <c r="AD664" t="str">
        <f>HYPERLINK("http://www.ncbi.nlm.nih.gov/sutils/blink.cgi?pid=27372903","0.0")</f>
        <v>0.0</v>
      </c>
      <c r="AE664" t="str">
        <f>HYPERLINK("http://www.ncbi.nlm.nih.gov/protein/27372903","gi|27372903")</f>
        <v>gi|27372903</v>
      </c>
      <c r="AF664">
        <v>78</v>
      </c>
      <c r="AG664">
        <v>89</v>
      </c>
      <c r="AH664">
        <v>100</v>
      </c>
      <c r="AI664" t="s">
        <v>2271</v>
      </c>
      <c r="AJ664" s="2" t="str">
        <f>HYPERLINK("http://exon.niaid.nih.gov/transcriptome/Anopheles_sialome/links/CULICOMORPHA/anofun_55.3kDa-CULICOMORPHA.txt","putative 53.7 kDa salivary protein")</f>
        <v>putative 53.7 kDa salivary protein</v>
      </c>
      <c r="AK664" t="str">
        <f>HYPERLINK("http://www.ncbi.nlm.nih.gov/sutils/blink.cgi?pid=27372903","0.0")</f>
        <v>0.0</v>
      </c>
      <c r="AL664" t="str">
        <f>HYPERLINK("http://www.ncbi.nlm.nih.gov/protein/27372903","gi|27372903")</f>
        <v>gi|27372903</v>
      </c>
      <c r="AM664">
        <v>78</v>
      </c>
      <c r="AN664">
        <v>89</v>
      </c>
      <c r="AO664">
        <v>100</v>
      </c>
      <c r="AP664" t="s">
        <v>2271</v>
      </c>
      <c r="AQ664" s="2" t="str">
        <f>HYPERLINK("http://exon.niaid.nih.gov/transcriptome/Anopheles_sialome/links/NR-LIGHT/anofun_55.3kDa-NR-LIGHT.txt","putative 53.7 kDa salivary protein")</f>
        <v>putative 53.7 kDa salivary protein</v>
      </c>
      <c r="AR664" t="str">
        <f>HYPERLINK("http://www.ncbi.nlm.nih.gov/sutils/blink.cgi?pid=27372903","0.0")</f>
        <v>0.0</v>
      </c>
      <c r="AS664" t="str">
        <f>HYPERLINK("http://www.ncbi.nlm.nih.gov/protein/27372903","gi|27372903")</f>
        <v>gi|27372903</v>
      </c>
      <c r="AT664">
        <v>78</v>
      </c>
      <c r="AU664">
        <v>89</v>
      </c>
      <c r="AV664">
        <v>100</v>
      </c>
      <c r="AW664" t="s">
        <v>2271</v>
      </c>
      <c r="AX664" s="2" t="str">
        <f>HYPERLINK("http://exon.niaid.nih.gov/transcriptome/Anopheles_sialome/links/CDD/anofun_55.3kDa-CDD.txt","RTX")</f>
        <v>RTX</v>
      </c>
      <c r="AY664" t="str">
        <f>HYPERLINK("http://www.ncbi.nlm.nih.gov/Structure/cdd/cddsrv.cgi?uid=pfam02382&amp;version=v4.0","0.091")</f>
        <v>0.091</v>
      </c>
      <c r="AZ664" t="s">
        <v>2299</v>
      </c>
      <c r="BA664" s="2" t="str">
        <f>HYPERLINK("http://exon.niaid.nih.gov/transcriptome/Anopheles_sialome/links/KOG/anofun_55.3kDa-KOG.txt","Protein kinase ATM/Tel1, involved in telomere length regulation and DNA repair")</f>
        <v>Protein kinase ATM/Tel1, involved in telomere length regulation and DNA repair</v>
      </c>
      <c r="BB664" t="str">
        <f>HYPERLINK("http://www.ncbi.nlm.nih.gov/Structure/cdd/cddsrv.cgi?uid=KOG0892","6.8")</f>
        <v>6.8</v>
      </c>
      <c r="BC664" t="s">
        <v>2300</v>
      </c>
      <c r="BD664" t="str">
        <f>HYPERLINK("http://exon.niaid.nih.gov/transcriptome/Anopheles_sialome/links/KOG/anofun_55.3kDa-KOG.txt","KOG0892")</f>
        <v>KOG0892</v>
      </c>
      <c r="BE664" t="str">
        <f>HYPERLINK("http://exon.niaid.nih.gov/transcriptome/Anopheles_sialome/links/PFAM/anofun_55.3kDa-PFAM.txt","RTX")</f>
        <v>RTX</v>
      </c>
      <c r="BF664" t="str">
        <f>HYPERLINK("http://pfam.sanger.ac.uk/family?acc=PF02382","0.017")</f>
        <v>0.017</v>
      </c>
      <c r="BG664" s="2" t="str">
        <f>HYPERLINK("http://exon.niaid.nih.gov/transcriptome/Anopheles_sialome/links/SMART/anofun_55.3kDa-SMART.txt","Candida_ALS_N")</f>
        <v>Candida_ALS_N</v>
      </c>
      <c r="BH664" t="str">
        <f>HYPERLINK("http://smart.embl-heidelberg.de/smart/do_annotation.pl?DOMAIN=Candida_ALS_N&amp;BLAST=DUMMY","0.27")</f>
        <v>0.27</v>
      </c>
      <c r="BI664" t="str">
        <f>HYPERLINK("http://exon.niaid.nih.gov/transcriptome/Anopheles_sialome/links/TICK-BLOCKS/anofun_55.3kDa-TICK-BLOCKS.txt","56_kDa_family |")</f>
        <v>56_kDa_family |</v>
      </c>
      <c r="BJ664" s="2" t="s">
        <v>2288</v>
      </c>
      <c r="BK664" t="s">
        <v>707</v>
      </c>
      <c r="BL664">
        <f>HYPERLINK("http://exon.niaid.nih.gov/transcriptome/Anopheles_sialome/links/cluster-b/anopheline-sialome-cds-pep-larger-orf25-50SimCLU8.txt", 8)</f>
        <v>8</v>
      </c>
      <c r="BM664">
        <f>HYPERLINK("http://exon.niaid.nih.gov/transcriptome/Anopheles_sialome/links/cluster-b/anopheline-sialome-cds-pep-larger-orf25-50SimCLTL8.txt", 35)</f>
        <v>35</v>
      </c>
      <c r="BN664">
        <f>HYPERLINK("http://exon.niaid.nih.gov/transcriptome/Anopheles_sialome/links/cluster-b/anopheline-sialome-cds-pep-larger-orf30-50SimCLU17.txt", 17)</f>
        <v>17</v>
      </c>
      <c r="BO664">
        <f>HYPERLINK("http://exon.niaid.nih.gov/transcriptome/Anopheles_sialome/links/cluster-b/anopheline-sialome-cds-pep-larger-orf30-50SimCLTL17.txt", 16)</f>
        <v>16</v>
      </c>
      <c r="BP664">
        <f>HYPERLINK("http://exon.niaid.nih.gov/transcriptome/Anopheles_sialome/links/cluster-b/anopheline-sialome-cds-pep-larger-orf35-50SimCLU19.txt", 19)</f>
        <v>19</v>
      </c>
      <c r="BQ664">
        <f>HYPERLINK("http://exon.niaid.nih.gov/transcriptome/Anopheles_sialome/links/cluster-b/anopheline-sialome-cds-pep-larger-orf35-50SimCLTL19.txt", 16)</f>
        <v>16</v>
      </c>
      <c r="BR664">
        <f>HYPERLINK("http://exon.niaid.nih.gov/transcriptome/Anopheles_sialome/links/cluster-b/anopheline-sialome-cds-pep-larger-orf40-50SimCLU24.txt", 24)</f>
        <v>24</v>
      </c>
      <c r="BS664">
        <f>HYPERLINK("http://exon.niaid.nih.gov/transcriptome/Anopheles_sialome/links/cluster-b/anopheline-sialome-cds-pep-larger-orf40-50SimCLTL24.txt", 16)</f>
        <v>16</v>
      </c>
      <c r="BT664">
        <f>HYPERLINK("http://exon.niaid.nih.gov/transcriptome/Anopheles_sialome/links/cluster-b/anopheline-sialome-cds-pep-larger-orf45-50SimCLU28.txt", 28)</f>
        <v>28</v>
      </c>
      <c r="BU664">
        <f>HYPERLINK("http://exon.niaid.nih.gov/transcriptome/Anopheles_sialome/links/cluster-b/anopheline-sialome-cds-pep-larger-orf45-50SimCLTL28.txt", 16)</f>
        <v>16</v>
      </c>
      <c r="BV664">
        <f>HYPERLINK("http://exon.niaid.nih.gov/transcriptome/Anopheles_sialome/links/cluster-b/anopheline-sialome-cds-pep-larger-orf50-50SimCLU29.txt", 29)</f>
        <v>29</v>
      </c>
      <c r="BW664">
        <f>HYPERLINK("http://exon.niaid.nih.gov/transcriptome/Anopheles_sialome/links/cluster-b/anopheline-sialome-cds-pep-larger-orf50-50SimCLTL29.txt", 16)</f>
        <v>16</v>
      </c>
      <c r="BX664">
        <f>HYPERLINK("http://exon.niaid.nih.gov/transcriptome/Anopheles_sialome/links/cluster-b/anopheline-sialome-cds-pep-larger-orf55-50SimCLU28.txt", 28)</f>
        <v>28</v>
      </c>
      <c r="BY664">
        <f>HYPERLINK("http://exon.niaid.nih.gov/transcriptome/Anopheles_sialome/links/cluster-b/anopheline-sialome-cds-pep-larger-orf55-50SimCLTL28.txt", 16)</f>
        <v>16</v>
      </c>
      <c r="BZ664">
        <f>HYPERLINK("http://exon.niaid.nih.gov/transcriptome/Anopheles_sialome/links/cluster-b/anopheline-sialome-cds-pep-larger-orf60-50SimCLU24.txt", 24)</f>
        <v>24</v>
      </c>
      <c r="CA664">
        <f>HYPERLINK("http://exon.niaid.nih.gov/transcriptome/Anopheles_sialome/links/cluster-b/anopheline-sialome-cds-pep-larger-orf60-50SimCLTL24.txt", 16)</f>
        <v>16</v>
      </c>
      <c r="CB664">
        <f>HYPERLINK("http://exon.niaid.nih.gov/transcriptome/Anopheles_sialome/links/cluster-b/anopheline-sialome-cds-pep-larger-orf65-50SimCLU22.txt", 22)</f>
        <v>22</v>
      </c>
      <c r="CC664">
        <f>HYPERLINK("http://exon.niaid.nih.gov/transcriptome/Anopheles_sialome/links/cluster-b/anopheline-sialome-cds-pep-larger-orf65-50SimCLTL22.txt", 16)</f>
        <v>16</v>
      </c>
      <c r="CD664">
        <f>HYPERLINK("http://exon.niaid.nih.gov/transcriptome/Anopheles_sialome/links/cluster-b/anopheline-sialome-cds-pep-larger-orf70-50SimCLU21.txt", 21)</f>
        <v>21</v>
      </c>
      <c r="CE664">
        <f>HYPERLINK("http://exon.niaid.nih.gov/transcriptome/Anopheles_sialome/links/cluster-b/anopheline-sialome-cds-pep-larger-orf70-50SimCLTL21.txt", 16)</f>
        <v>16</v>
      </c>
      <c r="CF664">
        <f>HYPERLINK("http://exon.niaid.nih.gov/transcriptome/Anopheles_sialome/links/cluster-b/anopheline-sialome-cds-pep-larger-orf75-50SimCLU21.txt", 21)</f>
        <v>21</v>
      </c>
      <c r="CG664">
        <f>HYPERLINK("http://exon.niaid.nih.gov/transcriptome/Anopheles_sialome/links/cluster-b/anopheline-sialome-cds-pep-larger-orf75-50SimCLTL21.txt", 14)</f>
        <v>14</v>
      </c>
      <c r="CH664">
        <f>HYPERLINK("http://exon.niaid.nih.gov/transcriptome/Anopheles_sialome/links/cluster-b/anopheline-sialome-cds-pep-larger-orf80-50SimCLU21.txt", 21)</f>
        <v>21</v>
      </c>
      <c r="CI664">
        <f>HYPERLINK("http://exon.niaid.nih.gov/transcriptome/Anopheles_sialome/links/cluster-b/anopheline-sialome-cds-pep-larger-orf80-50SimCLTL21.txt", 12)</f>
        <v>12</v>
      </c>
      <c r="CJ664">
        <f>HYPERLINK("http://exon.niaid.nih.gov/transcriptome/Anopheles_sialome/links/cluster-b/anopheline-sialome-cds-pep-larger-orf85-50SimCLU15.txt", 15)</f>
        <v>15</v>
      </c>
      <c r="CK664">
        <f>HYPERLINK("http://exon.niaid.nih.gov/transcriptome/Anopheles_sialome/links/cluster-b/anopheline-sialome-cds-pep-larger-orf85-50SimCLTL15.txt", 11)</f>
        <v>11</v>
      </c>
      <c r="CL664">
        <f>HYPERLINK("http://exon.niaid.nih.gov/transcriptome/Anopheles_sialome/links/cluster-b/anopheline-sialome-cds-pep-larger-orf90-50SimCLU53.txt", 53)</f>
        <v>53</v>
      </c>
      <c r="CM664">
        <f>HYPERLINK("http://exon.niaid.nih.gov/transcriptome/Anopheles_sialome/links/cluster-b/anopheline-sialome-cds-pep-larger-orf90-50SimCLTL53.txt", 3)</f>
        <v>3</v>
      </c>
      <c r="CN664">
        <v>85</v>
      </c>
      <c r="CO664">
        <v>1</v>
      </c>
    </row>
    <row r="665" spans="1:93">
      <c r="A665" s="2" t="str">
        <f>HYPERLINK("http://exon.niaid.nih.gov/transcriptome/Anopheles_sialome/links/cds/anomin_55.3kDa-cds.txt","anomin_55.3kDa")</f>
        <v>anomin_55.3kDa</v>
      </c>
      <c r="B665">
        <v>1548</v>
      </c>
      <c r="C665" t="s">
        <v>33</v>
      </c>
      <c r="D665" t="s">
        <v>4</v>
      </c>
      <c r="E665" t="s">
        <v>5</v>
      </c>
      <c r="F665" t="s">
        <v>1</v>
      </c>
      <c r="G665" t="str">
        <f>HYPERLINK("http://exon.niaid.nih.gov/transcriptome/Anopheles_sialome/links/pep/anomin_55.3kDa-pep.txt","anomin_55.3kDa")</f>
        <v>anomin_55.3kDa</v>
      </c>
      <c r="H665">
        <v>515</v>
      </c>
      <c r="I665">
        <v>0</v>
      </c>
      <c r="J665" s="3" t="str">
        <f>HYPERLINK("http://exon.niaid.nih.gov/transcriptome/Anopheles_sialome/links/Sigp/anomin_55.3kDa-SigP.txt","SIG")</f>
        <v>SIG</v>
      </c>
      <c r="K665" t="s">
        <v>708</v>
      </c>
      <c r="L665">
        <v>56.738999999999997</v>
      </c>
      <c r="M665">
        <v>8.43</v>
      </c>
      <c r="N665">
        <v>54.133000000000003</v>
      </c>
      <c r="O665">
        <v>8.18</v>
      </c>
      <c r="P665" t="s">
        <v>711</v>
      </c>
      <c r="Q665" s="3">
        <v>0</v>
      </c>
      <c r="R665" t="s">
        <v>128</v>
      </c>
      <c r="S665" t="s">
        <v>128</v>
      </c>
      <c r="T665" t="s">
        <v>128</v>
      </c>
      <c r="U665" t="s">
        <v>128</v>
      </c>
      <c r="V665" t="s">
        <v>128</v>
      </c>
      <c r="W665" s="3" t="str">
        <f>HYPERLINK("http://exon.niaid.nih.gov/transcriptome/Anopheles_sialome/links/netoglyc/anomin_55.3kDa-netoglyc.txt","0")</f>
        <v>0</v>
      </c>
      <c r="X665">
        <v>15.9</v>
      </c>
      <c r="Y665">
        <v>5.8</v>
      </c>
      <c r="Z665">
        <v>2.5</v>
      </c>
      <c r="AA665" t="s">
        <v>654</v>
      </c>
      <c r="AB665" t="s">
        <v>128</v>
      </c>
      <c r="AC665" s="2" t="str">
        <f>HYPERLINK("http://exon.niaid.nih.gov/transcriptome/Anopheles_sialome/links/DIPTERA/anomin_55.3kDa-DIPTERA.txt","putative 53.7 kDa salivary protein")</f>
        <v>putative 53.7 kDa salivary protein</v>
      </c>
      <c r="AD665" t="str">
        <f>HYPERLINK("http://www.ncbi.nlm.nih.gov/sutils/blink.cgi?pid=27372903","0.0")</f>
        <v>0.0</v>
      </c>
      <c r="AE665" t="str">
        <f>HYPERLINK("http://www.ncbi.nlm.nih.gov/protein/27372903","gi|27372903")</f>
        <v>gi|27372903</v>
      </c>
      <c r="AF665">
        <v>78</v>
      </c>
      <c r="AG665">
        <v>89</v>
      </c>
      <c r="AH665">
        <v>100</v>
      </c>
      <c r="AI665" t="s">
        <v>2271</v>
      </c>
      <c r="AJ665" s="2" t="str">
        <f>HYPERLINK("http://exon.niaid.nih.gov/transcriptome/Anopheles_sialome/links/CULICOMORPHA/anomin_55.3kDa-CULICOMORPHA.txt","putative 53.7 kDa salivary protein")</f>
        <v>putative 53.7 kDa salivary protein</v>
      </c>
      <c r="AK665" t="str">
        <f>HYPERLINK("http://www.ncbi.nlm.nih.gov/sutils/blink.cgi?pid=27372903","0.0")</f>
        <v>0.0</v>
      </c>
      <c r="AL665" t="str">
        <f>HYPERLINK("http://www.ncbi.nlm.nih.gov/protein/27372903","gi|27372903")</f>
        <v>gi|27372903</v>
      </c>
      <c r="AM665">
        <v>78</v>
      </c>
      <c r="AN665">
        <v>89</v>
      </c>
      <c r="AO665">
        <v>100</v>
      </c>
      <c r="AP665" t="s">
        <v>2271</v>
      </c>
      <c r="AQ665" s="2" t="str">
        <f>HYPERLINK("http://exon.niaid.nih.gov/transcriptome/Anopheles_sialome/links/NR-LIGHT/anomin_55.3kDa-NR-LIGHT.txt","putative 53.7 kDa salivary protein")</f>
        <v>putative 53.7 kDa salivary protein</v>
      </c>
      <c r="AR665" t="str">
        <f>HYPERLINK("http://www.ncbi.nlm.nih.gov/sutils/blink.cgi?pid=27372903","0.0")</f>
        <v>0.0</v>
      </c>
      <c r="AS665" t="str">
        <f>HYPERLINK("http://www.ncbi.nlm.nih.gov/protein/27372903","gi|27372903")</f>
        <v>gi|27372903</v>
      </c>
      <c r="AT665">
        <v>78</v>
      </c>
      <c r="AU665">
        <v>89</v>
      </c>
      <c r="AV665">
        <v>100</v>
      </c>
      <c r="AW665" t="s">
        <v>2271</v>
      </c>
      <c r="AX665" s="2" t="str">
        <f>HYPERLINK("http://exon.niaid.nih.gov/transcriptome/Anopheles_sialome/links/CDD/anomin_55.3kDa-CDD.txt","RTX")</f>
        <v>RTX</v>
      </c>
      <c r="AY665" t="str">
        <f>HYPERLINK("http://www.ncbi.nlm.nih.gov/Structure/cdd/cddsrv.cgi?uid=pfam02382&amp;version=v4.0","0.20")</f>
        <v>0.20</v>
      </c>
      <c r="AZ665" t="s">
        <v>2301</v>
      </c>
      <c r="BA665" s="2" t="str">
        <f>HYPERLINK("http://exon.niaid.nih.gov/transcriptome/Anopheles_sialome/links/KOG/anomin_55.3kDa-KOG.txt","Diphthamide biosynthesis protein")</f>
        <v>Diphthamide biosynthesis protein</v>
      </c>
      <c r="BB665" t="str">
        <f>HYPERLINK("http://www.ncbi.nlm.nih.gov/Structure/cdd/cddsrv.cgi?uid=KOG2648","4.1")</f>
        <v>4.1</v>
      </c>
      <c r="BC665" t="s">
        <v>2260</v>
      </c>
      <c r="BD665" t="str">
        <f>HYPERLINK("http://exon.niaid.nih.gov/transcriptome/Anopheles_sialome/links/KOG/anomin_55.3kDa-KOG.txt","KOG2648")</f>
        <v>KOG2648</v>
      </c>
      <c r="BE665" t="str">
        <f>HYPERLINK("http://exon.niaid.nih.gov/transcriptome/Anopheles_sialome/links/PFAM/anomin_55.3kDa-PFAM.txt","RTX")</f>
        <v>RTX</v>
      </c>
      <c r="BF665" t="str">
        <f>HYPERLINK("http://pfam.sanger.ac.uk/family?acc=PF02382","0.038")</f>
        <v>0.038</v>
      </c>
      <c r="BG665" s="2" t="str">
        <f>HYPERLINK("http://exon.niaid.nih.gov/transcriptome/Anopheles_sialome/links/SMART/anomin_55.3kDa-SMART.txt","Candida_ALS_N")</f>
        <v>Candida_ALS_N</v>
      </c>
      <c r="BH665" t="str">
        <f>HYPERLINK("http://smart.embl-heidelberg.de/smart/do_annotation.pl?DOMAIN=Candida_ALS_N&amp;BLAST=DUMMY","0.20")</f>
        <v>0.20</v>
      </c>
      <c r="BI665" t="s">
        <v>128</v>
      </c>
      <c r="BJ665" s="2" t="s">
        <v>128</v>
      </c>
      <c r="BK665" t="s">
        <v>710</v>
      </c>
      <c r="BL665">
        <f>HYPERLINK("http://exon.niaid.nih.gov/transcriptome/Anopheles_sialome/links/cluster-b/anopheline-sialome-cds-pep-larger-orf25-50SimCLU8.txt", 8)</f>
        <v>8</v>
      </c>
      <c r="BM665">
        <f>HYPERLINK("http://exon.niaid.nih.gov/transcriptome/Anopheles_sialome/links/cluster-b/anopheline-sialome-cds-pep-larger-orf25-50SimCLTL8.txt", 35)</f>
        <v>35</v>
      </c>
      <c r="BN665">
        <f>HYPERLINK("http://exon.niaid.nih.gov/transcriptome/Anopheles_sialome/links/cluster-b/anopheline-sialome-cds-pep-larger-orf30-50SimCLU17.txt", 17)</f>
        <v>17</v>
      </c>
      <c r="BO665">
        <f>HYPERLINK("http://exon.niaid.nih.gov/transcriptome/Anopheles_sialome/links/cluster-b/anopheline-sialome-cds-pep-larger-orf30-50SimCLTL17.txt", 16)</f>
        <v>16</v>
      </c>
      <c r="BP665">
        <f>HYPERLINK("http://exon.niaid.nih.gov/transcriptome/Anopheles_sialome/links/cluster-b/anopheline-sialome-cds-pep-larger-orf35-50SimCLU19.txt", 19)</f>
        <v>19</v>
      </c>
      <c r="BQ665">
        <f>HYPERLINK("http://exon.niaid.nih.gov/transcriptome/Anopheles_sialome/links/cluster-b/anopheline-sialome-cds-pep-larger-orf35-50SimCLTL19.txt", 16)</f>
        <v>16</v>
      </c>
      <c r="BR665">
        <f>HYPERLINK("http://exon.niaid.nih.gov/transcriptome/Anopheles_sialome/links/cluster-b/anopheline-sialome-cds-pep-larger-orf40-50SimCLU24.txt", 24)</f>
        <v>24</v>
      </c>
      <c r="BS665">
        <f>HYPERLINK("http://exon.niaid.nih.gov/transcriptome/Anopheles_sialome/links/cluster-b/anopheline-sialome-cds-pep-larger-orf40-50SimCLTL24.txt", 16)</f>
        <v>16</v>
      </c>
      <c r="BT665">
        <f>HYPERLINK("http://exon.niaid.nih.gov/transcriptome/Anopheles_sialome/links/cluster-b/anopheline-sialome-cds-pep-larger-orf45-50SimCLU28.txt", 28)</f>
        <v>28</v>
      </c>
      <c r="BU665">
        <f>HYPERLINK("http://exon.niaid.nih.gov/transcriptome/Anopheles_sialome/links/cluster-b/anopheline-sialome-cds-pep-larger-orf45-50SimCLTL28.txt", 16)</f>
        <v>16</v>
      </c>
      <c r="BV665">
        <f>HYPERLINK("http://exon.niaid.nih.gov/transcriptome/Anopheles_sialome/links/cluster-b/anopheline-sialome-cds-pep-larger-orf50-50SimCLU29.txt", 29)</f>
        <v>29</v>
      </c>
      <c r="BW665">
        <f>HYPERLINK("http://exon.niaid.nih.gov/transcriptome/Anopheles_sialome/links/cluster-b/anopheline-sialome-cds-pep-larger-orf50-50SimCLTL29.txt", 16)</f>
        <v>16</v>
      </c>
      <c r="BX665">
        <f>HYPERLINK("http://exon.niaid.nih.gov/transcriptome/Anopheles_sialome/links/cluster-b/anopheline-sialome-cds-pep-larger-orf55-50SimCLU28.txt", 28)</f>
        <v>28</v>
      </c>
      <c r="BY665">
        <f>HYPERLINK("http://exon.niaid.nih.gov/transcriptome/Anopheles_sialome/links/cluster-b/anopheline-sialome-cds-pep-larger-orf55-50SimCLTL28.txt", 16)</f>
        <v>16</v>
      </c>
      <c r="BZ665">
        <f>HYPERLINK("http://exon.niaid.nih.gov/transcriptome/Anopheles_sialome/links/cluster-b/anopheline-sialome-cds-pep-larger-orf60-50SimCLU24.txt", 24)</f>
        <v>24</v>
      </c>
      <c r="CA665">
        <f>HYPERLINK("http://exon.niaid.nih.gov/transcriptome/Anopheles_sialome/links/cluster-b/anopheline-sialome-cds-pep-larger-orf60-50SimCLTL24.txt", 16)</f>
        <v>16</v>
      </c>
      <c r="CB665">
        <f>HYPERLINK("http://exon.niaid.nih.gov/transcriptome/Anopheles_sialome/links/cluster-b/anopheline-sialome-cds-pep-larger-orf65-50SimCLU22.txt", 22)</f>
        <v>22</v>
      </c>
      <c r="CC665">
        <f>HYPERLINK("http://exon.niaid.nih.gov/transcriptome/Anopheles_sialome/links/cluster-b/anopheline-sialome-cds-pep-larger-orf65-50SimCLTL22.txt", 16)</f>
        <v>16</v>
      </c>
      <c r="CD665">
        <f>HYPERLINK("http://exon.niaid.nih.gov/transcriptome/Anopheles_sialome/links/cluster-b/anopheline-sialome-cds-pep-larger-orf70-50SimCLU21.txt", 21)</f>
        <v>21</v>
      </c>
      <c r="CE665">
        <f>HYPERLINK("http://exon.niaid.nih.gov/transcriptome/Anopheles_sialome/links/cluster-b/anopheline-sialome-cds-pep-larger-orf70-50SimCLTL21.txt", 16)</f>
        <v>16</v>
      </c>
      <c r="CF665">
        <f>HYPERLINK("http://exon.niaid.nih.gov/transcriptome/Anopheles_sialome/links/cluster-b/anopheline-sialome-cds-pep-larger-orf75-50SimCLU21.txt", 21)</f>
        <v>21</v>
      </c>
      <c r="CG665">
        <f>HYPERLINK("http://exon.niaid.nih.gov/transcriptome/Anopheles_sialome/links/cluster-b/anopheline-sialome-cds-pep-larger-orf75-50SimCLTL21.txt", 14)</f>
        <v>14</v>
      </c>
      <c r="CH665">
        <f>HYPERLINK("http://exon.niaid.nih.gov/transcriptome/Anopheles_sialome/links/cluster-b/anopheline-sialome-cds-pep-larger-orf80-50SimCLU21.txt", 21)</f>
        <v>21</v>
      </c>
      <c r="CI665">
        <f>HYPERLINK("http://exon.niaid.nih.gov/transcriptome/Anopheles_sialome/links/cluster-b/anopheline-sialome-cds-pep-larger-orf80-50SimCLTL21.txt", 12)</f>
        <v>12</v>
      </c>
      <c r="CJ665">
        <f>HYPERLINK("http://exon.niaid.nih.gov/transcriptome/Anopheles_sialome/links/cluster-b/anopheline-sialome-cds-pep-larger-orf85-50SimCLU15.txt", 15)</f>
        <v>15</v>
      </c>
      <c r="CK665">
        <f>HYPERLINK("http://exon.niaid.nih.gov/transcriptome/Anopheles_sialome/links/cluster-b/anopheline-sialome-cds-pep-larger-orf85-50SimCLTL15.txt", 11)</f>
        <v>11</v>
      </c>
      <c r="CL665">
        <f>HYPERLINK("http://exon.niaid.nih.gov/transcriptome/Anopheles_sialome/links/cluster-b/anopheline-sialome-cds-pep-larger-orf90-50SimCLU53.txt", 53)</f>
        <v>53</v>
      </c>
      <c r="CM665">
        <f>HYPERLINK("http://exon.niaid.nih.gov/transcriptome/Anopheles_sialome/links/cluster-b/anopheline-sialome-cds-pep-larger-orf90-50SimCLTL53.txt", 3)</f>
        <v>3</v>
      </c>
      <c r="CN665">
        <f>HYPERLINK("http://exon.niaid.nih.gov/transcriptome/Anopheles_sialome/links/cluster-b/anopheline-sialome-cds-pep-larger-orf95-50SimCLU52.txt", 52)</f>
        <v>52</v>
      </c>
      <c r="CO665">
        <f>HYPERLINK("http://exon.niaid.nih.gov/transcriptome/Anopheles_sialome/links/cluster-b/anopheline-sialome-cds-pep-larger-orf95-50SimCLTL52.txt", 2)</f>
        <v>2</v>
      </c>
    </row>
    <row r="666" spans="1:93">
      <c r="A666" s="2" t="str">
        <f>HYPERLINK("http://exon.niaid.nih.gov/transcriptome/Anopheles_sialome/links/cds/anocul_55.3kDa-cds.txt","anocul_55.3kDa")</f>
        <v>anocul_55.3kDa</v>
      </c>
      <c r="B666">
        <v>1548</v>
      </c>
      <c r="C666" t="s">
        <v>34</v>
      </c>
      <c r="D666" t="s">
        <v>4</v>
      </c>
      <c r="E666" t="s">
        <v>5</v>
      </c>
      <c r="F666" t="s">
        <v>1</v>
      </c>
      <c r="G666" t="str">
        <f>HYPERLINK("http://exon.niaid.nih.gov/transcriptome/Anopheles_sialome/links/pep/anocul_55.3kDa-pep.txt","anocul_55.3kDa")</f>
        <v>anocul_55.3kDa</v>
      </c>
      <c r="H666">
        <v>515</v>
      </c>
      <c r="I666">
        <v>0</v>
      </c>
      <c r="J666" s="3" t="str">
        <f>HYPERLINK("http://exon.niaid.nih.gov/transcriptome/Anopheles_sialome/links/Sigp/anocul_55.3kDa-SigP.txt","SIG")</f>
        <v>SIG</v>
      </c>
      <c r="K666" t="s">
        <v>708</v>
      </c>
      <c r="L666">
        <v>56.457000000000001</v>
      </c>
      <c r="M666">
        <v>7.05</v>
      </c>
      <c r="N666">
        <v>53.871000000000002</v>
      </c>
      <c r="O666">
        <v>6.95</v>
      </c>
      <c r="P666" t="s">
        <v>713</v>
      </c>
      <c r="Q666" s="3">
        <v>0</v>
      </c>
      <c r="R666" t="s">
        <v>128</v>
      </c>
      <c r="S666" t="s">
        <v>128</v>
      </c>
      <c r="T666" t="s">
        <v>128</v>
      </c>
      <c r="U666" t="s">
        <v>128</v>
      </c>
      <c r="V666" t="s">
        <v>128</v>
      </c>
      <c r="W666" s="3" t="str">
        <f>HYPERLINK("http://exon.niaid.nih.gov/transcriptome/Anopheles_sialome/links/netoglyc/anocul_55.3kDa-netoglyc.txt","0")</f>
        <v>0</v>
      </c>
      <c r="X666">
        <v>16.899999999999999</v>
      </c>
      <c r="Y666">
        <v>6.4</v>
      </c>
      <c r="Z666">
        <v>2.5</v>
      </c>
      <c r="AA666" t="s">
        <v>654</v>
      </c>
      <c r="AB666" t="s">
        <v>128</v>
      </c>
      <c r="AC666" s="2" t="str">
        <f>HYPERLINK("http://exon.niaid.nih.gov/transcriptome/Anopheles_sialome/links/DIPTERA/anocul_55.3kDa-DIPTERA.txt","putative 53.7 kDa salivary protein")</f>
        <v>putative 53.7 kDa salivary protein</v>
      </c>
      <c r="AD666" t="str">
        <f>HYPERLINK("http://www.ncbi.nlm.nih.gov/sutils/blink.cgi?pid=27372903","0.0")</f>
        <v>0.0</v>
      </c>
      <c r="AE666" t="str">
        <f>HYPERLINK("http://www.ncbi.nlm.nih.gov/protein/27372903","gi|27372903")</f>
        <v>gi|27372903</v>
      </c>
      <c r="AF666">
        <v>77</v>
      </c>
      <c r="AG666">
        <v>89</v>
      </c>
      <c r="AH666">
        <v>99</v>
      </c>
      <c r="AI666" t="s">
        <v>2271</v>
      </c>
      <c r="AJ666" s="2" t="str">
        <f>HYPERLINK("http://exon.niaid.nih.gov/transcriptome/Anopheles_sialome/links/CULICOMORPHA/anocul_55.3kDa-CULICOMORPHA.txt","putative 53.7 kDa salivary protein")</f>
        <v>putative 53.7 kDa salivary protein</v>
      </c>
      <c r="AK666" t="str">
        <f>HYPERLINK("http://www.ncbi.nlm.nih.gov/sutils/blink.cgi?pid=27372903","0.0")</f>
        <v>0.0</v>
      </c>
      <c r="AL666" t="str">
        <f>HYPERLINK("http://www.ncbi.nlm.nih.gov/protein/27372903","gi|27372903")</f>
        <v>gi|27372903</v>
      </c>
      <c r="AM666">
        <v>77</v>
      </c>
      <c r="AN666">
        <v>89</v>
      </c>
      <c r="AO666">
        <v>99</v>
      </c>
      <c r="AP666" t="s">
        <v>2271</v>
      </c>
      <c r="AQ666" s="2" t="str">
        <f>HYPERLINK("http://exon.niaid.nih.gov/transcriptome/Anopheles_sialome/links/NR-LIGHT/anocul_55.3kDa-NR-LIGHT.txt","putative 53.7 kDa salivary protein")</f>
        <v>putative 53.7 kDa salivary protein</v>
      </c>
      <c r="AR666" t="str">
        <f>HYPERLINK("http://www.ncbi.nlm.nih.gov/sutils/blink.cgi?pid=27372903","0.0")</f>
        <v>0.0</v>
      </c>
      <c r="AS666" t="str">
        <f>HYPERLINK("http://www.ncbi.nlm.nih.gov/protein/27372903","gi|27372903")</f>
        <v>gi|27372903</v>
      </c>
      <c r="AT666">
        <v>77</v>
      </c>
      <c r="AU666">
        <v>89</v>
      </c>
      <c r="AV666">
        <v>99</v>
      </c>
      <c r="AW666" t="s">
        <v>2271</v>
      </c>
      <c r="AX666" s="2" t="str">
        <f>HYPERLINK("http://exon.niaid.nih.gov/transcriptome/Anopheles_sialome/links/CDD/anocul_55.3kDa-CDD.txt","RTX")</f>
        <v>RTX</v>
      </c>
      <c r="AY666" t="str">
        <f>HYPERLINK("http://www.ncbi.nlm.nih.gov/Structure/cdd/cddsrv.cgi?uid=pfam02382&amp;version=v4.0","0.009")</f>
        <v>0.009</v>
      </c>
      <c r="AZ666" t="s">
        <v>2302</v>
      </c>
      <c r="BA666" s="2" t="str">
        <f>HYPERLINK("http://exon.niaid.nih.gov/transcriptome/Anopheles_sialome/links/KOG/anocul_55.3kDa-KOG.txt","DNA recombinational repair protein BRCA2")</f>
        <v>DNA recombinational repair protein BRCA2</v>
      </c>
      <c r="BB666" t="str">
        <f>HYPERLINK("http://www.ncbi.nlm.nih.gov/Structure/cdd/cddsrv.cgi?uid=KOG4751","0.46")</f>
        <v>0.46</v>
      </c>
      <c r="BC666" t="s">
        <v>2290</v>
      </c>
      <c r="BD666" t="str">
        <f>HYPERLINK("http://exon.niaid.nih.gov/transcriptome/Anopheles_sialome/links/KOG/anocul_55.3kDa-KOG.txt","KOG4751")</f>
        <v>KOG4751</v>
      </c>
      <c r="BE666" t="str">
        <f>HYPERLINK("http://exon.niaid.nih.gov/transcriptome/Anopheles_sialome/links/PFAM/anocul_55.3kDa-PFAM.txt","RTX")</f>
        <v>RTX</v>
      </c>
      <c r="BF666" t="str">
        <f>HYPERLINK("http://pfam.sanger.ac.uk/family?acc=PF02382","0.002")</f>
        <v>0.002</v>
      </c>
      <c r="BG666" s="2" t="str">
        <f>HYPERLINK("http://exon.niaid.nih.gov/transcriptome/Anopheles_sialome/links/SMART/anocul_55.3kDa-SMART.txt","Candida_ALS_N")</f>
        <v>Candida_ALS_N</v>
      </c>
      <c r="BH666" t="str">
        <f>HYPERLINK("http://smart.embl-heidelberg.de/smart/do_annotation.pl?DOMAIN=Candida_ALS_N&amp;BLAST=DUMMY","0.29")</f>
        <v>0.29</v>
      </c>
      <c r="BI666" t="s">
        <v>128</v>
      </c>
      <c r="BJ666" s="2" t="s">
        <v>128</v>
      </c>
      <c r="BK666" t="s">
        <v>712</v>
      </c>
      <c r="BL666">
        <f>HYPERLINK("http://exon.niaid.nih.gov/transcriptome/Anopheles_sialome/links/cluster-b/anopheline-sialome-cds-pep-larger-orf25-50SimCLU8.txt", 8)</f>
        <v>8</v>
      </c>
      <c r="BM666">
        <f>HYPERLINK("http://exon.niaid.nih.gov/transcriptome/Anopheles_sialome/links/cluster-b/anopheline-sialome-cds-pep-larger-orf25-50SimCLTL8.txt", 35)</f>
        <v>35</v>
      </c>
      <c r="BN666">
        <f>HYPERLINK("http://exon.niaid.nih.gov/transcriptome/Anopheles_sialome/links/cluster-b/anopheline-sialome-cds-pep-larger-orf30-50SimCLU17.txt", 17)</f>
        <v>17</v>
      </c>
      <c r="BO666">
        <f>HYPERLINK("http://exon.niaid.nih.gov/transcriptome/Anopheles_sialome/links/cluster-b/anopheline-sialome-cds-pep-larger-orf30-50SimCLTL17.txt", 16)</f>
        <v>16</v>
      </c>
      <c r="BP666">
        <f>HYPERLINK("http://exon.niaid.nih.gov/transcriptome/Anopheles_sialome/links/cluster-b/anopheline-sialome-cds-pep-larger-orf35-50SimCLU19.txt", 19)</f>
        <v>19</v>
      </c>
      <c r="BQ666">
        <f>HYPERLINK("http://exon.niaid.nih.gov/transcriptome/Anopheles_sialome/links/cluster-b/anopheline-sialome-cds-pep-larger-orf35-50SimCLTL19.txt", 16)</f>
        <v>16</v>
      </c>
      <c r="BR666">
        <f>HYPERLINK("http://exon.niaid.nih.gov/transcriptome/Anopheles_sialome/links/cluster-b/anopheline-sialome-cds-pep-larger-orf40-50SimCLU24.txt", 24)</f>
        <v>24</v>
      </c>
      <c r="BS666">
        <f>HYPERLINK("http://exon.niaid.nih.gov/transcriptome/Anopheles_sialome/links/cluster-b/anopheline-sialome-cds-pep-larger-orf40-50SimCLTL24.txt", 16)</f>
        <v>16</v>
      </c>
      <c r="BT666">
        <f>HYPERLINK("http://exon.niaid.nih.gov/transcriptome/Anopheles_sialome/links/cluster-b/anopheline-sialome-cds-pep-larger-orf45-50SimCLU28.txt", 28)</f>
        <v>28</v>
      </c>
      <c r="BU666">
        <f>HYPERLINK("http://exon.niaid.nih.gov/transcriptome/Anopheles_sialome/links/cluster-b/anopheline-sialome-cds-pep-larger-orf45-50SimCLTL28.txt", 16)</f>
        <v>16</v>
      </c>
      <c r="BV666">
        <f>HYPERLINK("http://exon.niaid.nih.gov/transcriptome/Anopheles_sialome/links/cluster-b/anopheline-sialome-cds-pep-larger-orf50-50SimCLU29.txt", 29)</f>
        <v>29</v>
      </c>
      <c r="BW666">
        <f>HYPERLINK("http://exon.niaid.nih.gov/transcriptome/Anopheles_sialome/links/cluster-b/anopheline-sialome-cds-pep-larger-orf50-50SimCLTL29.txt", 16)</f>
        <v>16</v>
      </c>
      <c r="BX666">
        <f>HYPERLINK("http://exon.niaid.nih.gov/transcriptome/Anopheles_sialome/links/cluster-b/anopheline-sialome-cds-pep-larger-orf55-50SimCLU28.txt", 28)</f>
        <v>28</v>
      </c>
      <c r="BY666">
        <f>HYPERLINK("http://exon.niaid.nih.gov/transcriptome/Anopheles_sialome/links/cluster-b/anopheline-sialome-cds-pep-larger-orf55-50SimCLTL28.txt", 16)</f>
        <v>16</v>
      </c>
      <c r="BZ666">
        <f>HYPERLINK("http://exon.niaid.nih.gov/transcriptome/Anopheles_sialome/links/cluster-b/anopheline-sialome-cds-pep-larger-orf60-50SimCLU24.txt", 24)</f>
        <v>24</v>
      </c>
      <c r="CA666">
        <f>HYPERLINK("http://exon.niaid.nih.gov/transcriptome/Anopheles_sialome/links/cluster-b/anopheline-sialome-cds-pep-larger-orf60-50SimCLTL24.txt", 16)</f>
        <v>16</v>
      </c>
      <c r="CB666">
        <f>HYPERLINK("http://exon.niaid.nih.gov/transcriptome/Anopheles_sialome/links/cluster-b/anopheline-sialome-cds-pep-larger-orf65-50SimCLU22.txt", 22)</f>
        <v>22</v>
      </c>
      <c r="CC666">
        <f>HYPERLINK("http://exon.niaid.nih.gov/transcriptome/Anopheles_sialome/links/cluster-b/anopheline-sialome-cds-pep-larger-orf65-50SimCLTL22.txt", 16)</f>
        <v>16</v>
      </c>
      <c r="CD666">
        <f>HYPERLINK("http://exon.niaid.nih.gov/transcriptome/Anopheles_sialome/links/cluster-b/anopheline-sialome-cds-pep-larger-orf70-50SimCLU21.txt", 21)</f>
        <v>21</v>
      </c>
      <c r="CE666">
        <f>HYPERLINK("http://exon.niaid.nih.gov/transcriptome/Anopheles_sialome/links/cluster-b/anopheline-sialome-cds-pep-larger-orf70-50SimCLTL21.txt", 16)</f>
        <v>16</v>
      </c>
      <c r="CF666">
        <f>HYPERLINK("http://exon.niaid.nih.gov/transcriptome/Anopheles_sialome/links/cluster-b/anopheline-sialome-cds-pep-larger-orf75-50SimCLU21.txt", 21)</f>
        <v>21</v>
      </c>
      <c r="CG666">
        <f>HYPERLINK("http://exon.niaid.nih.gov/transcriptome/Anopheles_sialome/links/cluster-b/anopheline-sialome-cds-pep-larger-orf75-50SimCLTL21.txt", 14)</f>
        <v>14</v>
      </c>
      <c r="CH666">
        <f>HYPERLINK("http://exon.niaid.nih.gov/transcriptome/Anopheles_sialome/links/cluster-b/anopheline-sialome-cds-pep-larger-orf80-50SimCLU21.txt", 21)</f>
        <v>21</v>
      </c>
      <c r="CI666">
        <f>HYPERLINK("http://exon.niaid.nih.gov/transcriptome/Anopheles_sialome/links/cluster-b/anopheline-sialome-cds-pep-larger-orf80-50SimCLTL21.txt", 12)</f>
        <v>12</v>
      </c>
      <c r="CJ666">
        <f>HYPERLINK("http://exon.niaid.nih.gov/transcriptome/Anopheles_sialome/links/cluster-b/anopheline-sialome-cds-pep-larger-orf85-50SimCLU15.txt", 15)</f>
        <v>15</v>
      </c>
      <c r="CK666">
        <f>HYPERLINK("http://exon.niaid.nih.gov/transcriptome/Anopheles_sialome/links/cluster-b/anopheline-sialome-cds-pep-larger-orf85-50SimCLTL15.txt", 11)</f>
        <v>11</v>
      </c>
      <c r="CL666">
        <f>HYPERLINK("http://exon.niaid.nih.gov/transcriptome/Anopheles_sialome/links/cluster-b/anopheline-sialome-cds-pep-larger-orf90-50SimCLU53.txt", 53)</f>
        <v>53</v>
      </c>
      <c r="CM666">
        <f>HYPERLINK("http://exon.niaid.nih.gov/transcriptome/Anopheles_sialome/links/cluster-b/anopheline-sialome-cds-pep-larger-orf90-50SimCLTL53.txt", 3)</f>
        <v>3</v>
      </c>
      <c r="CN666">
        <f>HYPERLINK("http://exon.niaid.nih.gov/transcriptome/Anopheles_sialome/links/cluster-b/anopheline-sialome-cds-pep-larger-orf95-50SimCLU52.txt", 52)</f>
        <v>52</v>
      </c>
      <c r="CO666">
        <f>HYPERLINK("http://exon.niaid.nih.gov/transcriptome/Anopheles_sialome/links/cluster-b/anopheline-sialome-cds-pep-larger-orf95-50SimCLTL52.txt", 2)</f>
        <v>2</v>
      </c>
    </row>
    <row r="667" spans="1:93">
      <c r="A667" s="2" t="str">
        <f>HYPERLINK("http://exon.niaid.nih.gov/transcriptome/Anopheles_sialome/links/cds/anoste_55.3kDa-cds.txt","anoste_55.3kDa")</f>
        <v>anoste_55.3kDa</v>
      </c>
      <c r="B667">
        <v>1551</v>
      </c>
      <c r="C667" t="s">
        <v>35</v>
      </c>
      <c r="D667" t="s">
        <v>4</v>
      </c>
      <c r="E667" t="s">
        <v>5</v>
      </c>
      <c r="F667" t="s">
        <v>1</v>
      </c>
      <c r="G667" t="str">
        <f>HYPERLINK("http://exon.niaid.nih.gov/transcriptome/Anopheles_sialome/links/pep/anoste_55.3kDa-pep.txt","anoste_55.3kDa")</f>
        <v>anoste_55.3kDa</v>
      </c>
      <c r="H667">
        <v>516</v>
      </c>
      <c r="I667">
        <v>0</v>
      </c>
      <c r="J667" s="3" t="str">
        <f>HYPERLINK("http://exon.niaid.nih.gov/transcriptome/Anopheles_sialome/links/Sigp/anoste_55.3kDa-SigP.txt","SIG")</f>
        <v>SIG</v>
      </c>
      <c r="K667" t="s">
        <v>715</v>
      </c>
      <c r="L667">
        <v>56.386000000000003</v>
      </c>
      <c r="M667">
        <v>5.85</v>
      </c>
      <c r="N667">
        <v>53.625</v>
      </c>
      <c r="O667">
        <v>5.35</v>
      </c>
      <c r="P667" t="s">
        <v>716</v>
      </c>
      <c r="Q667" s="3">
        <v>0</v>
      </c>
      <c r="R667" t="s">
        <v>128</v>
      </c>
      <c r="S667" t="s">
        <v>128</v>
      </c>
      <c r="T667" t="s">
        <v>128</v>
      </c>
      <c r="U667" t="s">
        <v>128</v>
      </c>
      <c r="V667" t="s">
        <v>128</v>
      </c>
      <c r="W667" s="3" t="str">
        <f>HYPERLINK("http://exon.niaid.nih.gov/transcriptome/Anopheles_sialome/links/netoglyc/anoste_55.3kDa-netoglyc.txt","0")</f>
        <v>0</v>
      </c>
      <c r="X667">
        <v>15.5</v>
      </c>
      <c r="Y667">
        <v>7.2</v>
      </c>
      <c r="Z667">
        <v>2.5</v>
      </c>
      <c r="AA667" t="s">
        <v>654</v>
      </c>
      <c r="AB667" t="s">
        <v>128</v>
      </c>
      <c r="AC667" s="2" t="str">
        <f>HYPERLINK("http://exon.niaid.nih.gov/transcriptome/Anopheles_sialome/links/DIPTERA/anoste_55.3kDa-DIPTERA.txt","putative 53.7 kDa salivary protein")</f>
        <v>putative 53.7 kDa salivary protein</v>
      </c>
      <c r="AD667" t="str">
        <f>HYPERLINK("http://www.ncbi.nlm.nih.gov/sutils/blink.cgi?pid=27372903","0.0")</f>
        <v>0.0</v>
      </c>
      <c r="AE667" t="str">
        <f>HYPERLINK("http://www.ncbi.nlm.nih.gov/protein/27372903","gi|27372903")</f>
        <v>gi|27372903</v>
      </c>
      <c r="AF667">
        <v>99</v>
      </c>
      <c r="AG667">
        <v>99</v>
      </c>
      <c r="AH667">
        <v>100</v>
      </c>
      <c r="AI667" t="s">
        <v>2271</v>
      </c>
      <c r="AJ667" s="2" t="str">
        <f>HYPERLINK("http://exon.niaid.nih.gov/transcriptome/Anopheles_sialome/links/CULICOMORPHA/anoste_55.3kDa-CULICOMORPHA.txt","putative 53.7 kDa salivary protein")</f>
        <v>putative 53.7 kDa salivary protein</v>
      </c>
      <c r="AK667" t="str">
        <f>HYPERLINK("http://www.ncbi.nlm.nih.gov/sutils/blink.cgi?pid=27372903","0.0")</f>
        <v>0.0</v>
      </c>
      <c r="AL667" t="str">
        <f>HYPERLINK("http://www.ncbi.nlm.nih.gov/protein/27372903","gi|27372903")</f>
        <v>gi|27372903</v>
      </c>
      <c r="AM667">
        <v>99</v>
      </c>
      <c r="AN667">
        <v>99</v>
      </c>
      <c r="AO667">
        <v>100</v>
      </c>
      <c r="AP667" t="s">
        <v>2271</v>
      </c>
      <c r="AQ667" s="2" t="str">
        <f>HYPERLINK("http://exon.niaid.nih.gov/transcriptome/Anopheles_sialome/links/NR-LIGHT/anoste_55.3kDa-NR-LIGHT.txt","putative 53.7 kDa salivary protein")</f>
        <v>putative 53.7 kDa salivary protein</v>
      </c>
      <c r="AR667" t="str">
        <f>HYPERLINK("http://www.ncbi.nlm.nih.gov/sutils/blink.cgi?pid=27372903","0.0")</f>
        <v>0.0</v>
      </c>
      <c r="AS667" t="str">
        <f>HYPERLINK("http://www.ncbi.nlm.nih.gov/protein/27372903","gi|27372903")</f>
        <v>gi|27372903</v>
      </c>
      <c r="AT667">
        <v>99</v>
      </c>
      <c r="AU667">
        <v>99</v>
      </c>
      <c r="AV667">
        <v>100</v>
      </c>
      <c r="AW667" t="s">
        <v>2271</v>
      </c>
      <c r="AX667" s="2" t="str">
        <f>HYPERLINK("http://exon.niaid.nih.gov/transcriptome/Anopheles_sialome/links/CDD/anoste_55.3kDa-CDD.txt","RTX")</f>
        <v>RTX</v>
      </c>
      <c r="AY667" t="str">
        <f>HYPERLINK("http://www.ncbi.nlm.nih.gov/Structure/cdd/cddsrv.cgi?uid=pfam02382&amp;version=v4.0","0.023")</f>
        <v>0.023</v>
      </c>
      <c r="AZ667" t="s">
        <v>2303</v>
      </c>
      <c r="BA667" s="2" t="str">
        <f>HYPERLINK("http://exon.niaid.nih.gov/transcriptome/Anopheles_sialome/links/KOG/anoste_55.3kDa-KOG.txt","Uncharacterized conserved protein")</f>
        <v>Uncharacterized conserved protein</v>
      </c>
      <c r="BB667" t="str">
        <f>HYPERLINK("http://www.ncbi.nlm.nih.gov/Structure/cdd/cddsrv.cgi?uid=KOG2433","1.8")</f>
        <v>1.8</v>
      </c>
      <c r="BC667" t="s">
        <v>2304</v>
      </c>
      <c r="BD667" t="str">
        <f>HYPERLINK("http://exon.niaid.nih.gov/transcriptome/Anopheles_sialome/links/KOG/anoste_55.3kDa-KOG.txt","KOG2433")</f>
        <v>KOG2433</v>
      </c>
      <c r="BE667" t="str">
        <f>HYPERLINK("http://exon.niaid.nih.gov/transcriptome/Anopheles_sialome/links/PFAM/anoste_55.3kDa-PFAM.txt","RTX")</f>
        <v>RTX</v>
      </c>
      <c r="BF667" t="str">
        <f>HYPERLINK("http://pfam.sanger.ac.uk/family?acc=PF02382","0.004")</f>
        <v>0.004</v>
      </c>
      <c r="BG667" s="2" t="str">
        <f>HYPERLINK("http://exon.niaid.nih.gov/transcriptome/Anopheles_sialome/links/SMART/anoste_55.3kDa-SMART.txt","Candida_ALS_N")</f>
        <v>Candida_ALS_N</v>
      </c>
      <c r="BH667" t="str">
        <f>HYPERLINK("http://smart.embl-heidelberg.de/smart/do_annotation.pl?DOMAIN=Candida_ALS_N&amp;BLAST=DUMMY","0.27")</f>
        <v>0.27</v>
      </c>
      <c r="BI667" t="str">
        <f>HYPERLINK("http://exon.niaid.nih.gov/transcriptome/Anopheles_sialome/links/TICK-BLOCKS/anoste_55.3kDa-TICK-BLOCKS.txt","56_kDa_family |")</f>
        <v>56_kDa_family |</v>
      </c>
      <c r="BJ667" s="2" t="s">
        <v>2288</v>
      </c>
      <c r="BK667" t="s">
        <v>714</v>
      </c>
      <c r="BL667">
        <f>HYPERLINK("http://exon.niaid.nih.gov/transcriptome/Anopheles_sialome/links/cluster-b/anopheline-sialome-cds-pep-larger-orf25-50SimCLU8.txt", 8)</f>
        <v>8</v>
      </c>
      <c r="BM667">
        <f>HYPERLINK("http://exon.niaid.nih.gov/transcriptome/Anopheles_sialome/links/cluster-b/anopheline-sialome-cds-pep-larger-orf25-50SimCLTL8.txt", 35)</f>
        <v>35</v>
      </c>
      <c r="BN667">
        <f>HYPERLINK("http://exon.niaid.nih.gov/transcriptome/Anopheles_sialome/links/cluster-b/anopheline-sialome-cds-pep-larger-orf30-50SimCLU17.txt", 17)</f>
        <v>17</v>
      </c>
      <c r="BO667">
        <f>HYPERLINK("http://exon.niaid.nih.gov/transcriptome/Anopheles_sialome/links/cluster-b/anopheline-sialome-cds-pep-larger-orf30-50SimCLTL17.txt", 16)</f>
        <v>16</v>
      </c>
      <c r="BP667">
        <f>HYPERLINK("http://exon.niaid.nih.gov/transcriptome/Anopheles_sialome/links/cluster-b/anopheline-sialome-cds-pep-larger-orf35-50SimCLU19.txt", 19)</f>
        <v>19</v>
      </c>
      <c r="BQ667">
        <f>HYPERLINK("http://exon.niaid.nih.gov/transcriptome/Anopheles_sialome/links/cluster-b/anopheline-sialome-cds-pep-larger-orf35-50SimCLTL19.txt", 16)</f>
        <v>16</v>
      </c>
      <c r="BR667">
        <f>HYPERLINK("http://exon.niaid.nih.gov/transcriptome/Anopheles_sialome/links/cluster-b/anopheline-sialome-cds-pep-larger-orf40-50SimCLU24.txt", 24)</f>
        <v>24</v>
      </c>
      <c r="BS667">
        <f>HYPERLINK("http://exon.niaid.nih.gov/transcriptome/Anopheles_sialome/links/cluster-b/anopheline-sialome-cds-pep-larger-orf40-50SimCLTL24.txt", 16)</f>
        <v>16</v>
      </c>
      <c r="BT667">
        <f>HYPERLINK("http://exon.niaid.nih.gov/transcriptome/Anopheles_sialome/links/cluster-b/anopheline-sialome-cds-pep-larger-orf45-50SimCLU28.txt", 28)</f>
        <v>28</v>
      </c>
      <c r="BU667">
        <f>HYPERLINK("http://exon.niaid.nih.gov/transcriptome/Anopheles_sialome/links/cluster-b/anopheline-sialome-cds-pep-larger-orf45-50SimCLTL28.txt", 16)</f>
        <v>16</v>
      </c>
      <c r="BV667">
        <f>HYPERLINK("http://exon.niaid.nih.gov/transcriptome/Anopheles_sialome/links/cluster-b/anopheline-sialome-cds-pep-larger-orf50-50SimCLU29.txt", 29)</f>
        <v>29</v>
      </c>
      <c r="BW667">
        <f>HYPERLINK("http://exon.niaid.nih.gov/transcriptome/Anopheles_sialome/links/cluster-b/anopheline-sialome-cds-pep-larger-orf50-50SimCLTL29.txt", 16)</f>
        <v>16</v>
      </c>
      <c r="BX667">
        <f>HYPERLINK("http://exon.niaid.nih.gov/transcriptome/Anopheles_sialome/links/cluster-b/anopheline-sialome-cds-pep-larger-orf55-50SimCLU28.txt", 28)</f>
        <v>28</v>
      </c>
      <c r="BY667">
        <f>HYPERLINK("http://exon.niaid.nih.gov/transcriptome/Anopheles_sialome/links/cluster-b/anopheline-sialome-cds-pep-larger-orf55-50SimCLTL28.txt", 16)</f>
        <v>16</v>
      </c>
      <c r="BZ667">
        <f>HYPERLINK("http://exon.niaid.nih.gov/transcriptome/Anopheles_sialome/links/cluster-b/anopheline-sialome-cds-pep-larger-orf60-50SimCLU24.txt", 24)</f>
        <v>24</v>
      </c>
      <c r="CA667">
        <f>HYPERLINK("http://exon.niaid.nih.gov/transcriptome/Anopheles_sialome/links/cluster-b/anopheline-sialome-cds-pep-larger-orf60-50SimCLTL24.txt", 16)</f>
        <v>16</v>
      </c>
      <c r="CB667">
        <f>HYPERLINK("http://exon.niaid.nih.gov/transcriptome/Anopheles_sialome/links/cluster-b/anopheline-sialome-cds-pep-larger-orf65-50SimCLU22.txt", 22)</f>
        <v>22</v>
      </c>
      <c r="CC667">
        <f>HYPERLINK("http://exon.niaid.nih.gov/transcriptome/Anopheles_sialome/links/cluster-b/anopheline-sialome-cds-pep-larger-orf65-50SimCLTL22.txt", 16)</f>
        <v>16</v>
      </c>
      <c r="CD667">
        <f>HYPERLINK("http://exon.niaid.nih.gov/transcriptome/Anopheles_sialome/links/cluster-b/anopheline-sialome-cds-pep-larger-orf70-50SimCLU21.txt", 21)</f>
        <v>21</v>
      </c>
      <c r="CE667">
        <f>HYPERLINK("http://exon.niaid.nih.gov/transcriptome/Anopheles_sialome/links/cluster-b/anopheline-sialome-cds-pep-larger-orf70-50SimCLTL21.txt", 16)</f>
        <v>16</v>
      </c>
      <c r="CF667">
        <f>HYPERLINK("http://exon.niaid.nih.gov/transcriptome/Anopheles_sialome/links/cluster-b/anopheline-sialome-cds-pep-larger-orf75-50SimCLU21.txt", 21)</f>
        <v>21</v>
      </c>
      <c r="CG667">
        <f>HYPERLINK("http://exon.niaid.nih.gov/transcriptome/Anopheles_sialome/links/cluster-b/anopheline-sialome-cds-pep-larger-orf75-50SimCLTL21.txt", 14)</f>
        <v>14</v>
      </c>
      <c r="CH667">
        <f>HYPERLINK("http://exon.niaid.nih.gov/transcriptome/Anopheles_sialome/links/cluster-b/anopheline-sialome-cds-pep-larger-orf80-50SimCLU21.txt", 21)</f>
        <v>21</v>
      </c>
      <c r="CI667">
        <f>HYPERLINK("http://exon.niaid.nih.gov/transcriptome/Anopheles_sialome/links/cluster-b/anopheline-sialome-cds-pep-larger-orf80-50SimCLTL21.txt", 12)</f>
        <v>12</v>
      </c>
      <c r="CJ667">
        <f>HYPERLINK("http://exon.niaid.nih.gov/transcriptome/Anopheles_sialome/links/cluster-b/anopheline-sialome-cds-pep-larger-orf85-50SimCLU15.txt", 15)</f>
        <v>15</v>
      </c>
      <c r="CK667">
        <f>HYPERLINK("http://exon.niaid.nih.gov/transcriptome/Anopheles_sialome/links/cluster-b/anopheline-sialome-cds-pep-larger-orf85-50SimCLTL15.txt", 11)</f>
        <v>11</v>
      </c>
      <c r="CL667">
        <v>111</v>
      </c>
      <c r="CM667">
        <v>1</v>
      </c>
      <c r="CN667">
        <v>86</v>
      </c>
      <c r="CO667">
        <v>1</v>
      </c>
    </row>
    <row r="668" spans="1:93">
      <c r="A668" s="2" t="str">
        <f>HYPERLINK("http://exon.niaid.nih.gov/transcriptome/Anopheles_sialome/links/cds/anodir_55.3kDa-cds.txt","anodir_55.3kDa")</f>
        <v>anodir_55.3kDa</v>
      </c>
      <c r="B668">
        <v>1545</v>
      </c>
      <c r="C668" t="s">
        <v>36</v>
      </c>
      <c r="D668" t="s">
        <v>4</v>
      </c>
      <c r="E668" t="s">
        <v>5</v>
      </c>
      <c r="F668" t="s">
        <v>1</v>
      </c>
      <c r="G668" t="str">
        <f>HYPERLINK("http://exon.niaid.nih.gov/transcriptome/Anopheles_sialome/links/pep/anodir_55.3kDa-pep.txt","anodir_55.3kDa")</f>
        <v>anodir_55.3kDa</v>
      </c>
      <c r="H668">
        <v>514</v>
      </c>
      <c r="I668">
        <v>0</v>
      </c>
      <c r="J668" s="3" t="str">
        <f>HYPERLINK("http://exon.niaid.nih.gov/transcriptome/Anopheles_sialome/links/Sigp/anodir_55.3kDa-SigP.txt","SIG")</f>
        <v>SIG</v>
      </c>
      <c r="K668" t="s">
        <v>718</v>
      </c>
      <c r="L668">
        <v>55.688000000000002</v>
      </c>
      <c r="M668">
        <v>9.59</v>
      </c>
      <c r="N668">
        <v>53.887999999999998</v>
      </c>
      <c r="O668">
        <v>9.5500000000000007</v>
      </c>
      <c r="P668" t="s">
        <v>719</v>
      </c>
      <c r="Q668" s="3">
        <v>0</v>
      </c>
      <c r="R668" t="s">
        <v>128</v>
      </c>
      <c r="S668" t="s">
        <v>128</v>
      </c>
      <c r="T668" t="s">
        <v>128</v>
      </c>
      <c r="U668" t="s">
        <v>128</v>
      </c>
      <c r="V668" t="s">
        <v>128</v>
      </c>
      <c r="W668" s="3" t="str">
        <f>HYPERLINK("http://exon.niaid.nih.gov/transcriptome/Anopheles_sialome/links/netoglyc/anodir_55.3kDa-netoglyc.txt","0")</f>
        <v>0</v>
      </c>
      <c r="X668">
        <v>14</v>
      </c>
      <c r="Y668">
        <v>7.2</v>
      </c>
      <c r="Z668">
        <v>2.7</v>
      </c>
      <c r="AA668" t="s">
        <v>654</v>
      </c>
      <c r="AB668" t="s">
        <v>128</v>
      </c>
      <c r="AC668" s="2" t="str">
        <f>HYPERLINK("http://exon.niaid.nih.gov/transcriptome/Anopheles_sialome/links/DIPTERA/anodir_55.3kDa-DIPTERA.txt","putative 53.7 kDa salivary protein")</f>
        <v>putative 53.7 kDa salivary protein</v>
      </c>
      <c r="AD668" t="str">
        <f>HYPERLINK("http://www.ncbi.nlm.nih.gov/sutils/blink.cgi?pid=27372903","0.0")</f>
        <v>0.0</v>
      </c>
      <c r="AE668" t="str">
        <f>HYPERLINK("http://www.ncbi.nlm.nih.gov/protein/27372903","gi|27372903")</f>
        <v>gi|27372903</v>
      </c>
      <c r="AF668">
        <v>69</v>
      </c>
      <c r="AG668">
        <v>82</v>
      </c>
      <c r="AH668">
        <v>98</v>
      </c>
      <c r="AI668" t="s">
        <v>2271</v>
      </c>
      <c r="AJ668" s="2" t="str">
        <f>HYPERLINK("http://exon.niaid.nih.gov/transcriptome/Anopheles_sialome/links/CULICOMORPHA/anodir_55.3kDa-CULICOMORPHA.txt","putative 53.7 kDa salivary protein")</f>
        <v>putative 53.7 kDa salivary protein</v>
      </c>
      <c r="AK668" t="str">
        <f>HYPERLINK("http://www.ncbi.nlm.nih.gov/sutils/blink.cgi?pid=27372903","0.0")</f>
        <v>0.0</v>
      </c>
      <c r="AL668" t="str">
        <f>HYPERLINK("http://www.ncbi.nlm.nih.gov/protein/27372903","gi|27372903")</f>
        <v>gi|27372903</v>
      </c>
      <c r="AM668">
        <v>69</v>
      </c>
      <c r="AN668">
        <v>82</v>
      </c>
      <c r="AO668">
        <v>98</v>
      </c>
      <c r="AP668" t="s">
        <v>2271</v>
      </c>
      <c r="AQ668" s="2" t="str">
        <f>HYPERLINK("http://exon.niaid.nih.gov/transcriptome/Anopheles_sialome/links/NR-LIGHT/anodir_55.3kDa-NR-LIGHT.txt","putative 53.7 kDa salivary protein")</f>
        <v>putative 53.7 kDa salivary protein</v>
      </c>
      <c r="AR668" t="str">
        <f>HYPERLINK("http://www.ncbi.nlm.nih.gov/sutils/blink.cgi?pid=27372903","0.0")</f>
        <v>0.0</v>
      </c>
      <c r="AS668" t="str">
        <f>HYPERLINK("http://www.ncbi.nlm.nih.gov/protein/27372903","gi|27372903")</f>
        <v>gi|27372903</v>
      </c>
      <c r="AT668">
        <v>69</v>
      </c>
      <c r="AU668">
        <v>82</v>
      </c>
      <c r="AV668">
        <v>98</v>
      </c>
      <c r="AW668" t="s">
        <v>2271</v>
      </c>
      <c r="AX668" s="2" t="str">
        <f>HYPERLINK("http://exon.niaid.nih.gov/transcriptome/Anopheles_sialome/links/CDD/anodir_55.3kDa-CDD.txt","PRK06663")</f>
        <v>PRK06663</v>
      </c>
      <c r="AY668" t="str">
        <f>HYPERLINK("http://www.ncbi.nlm.nih.gov/Structure/cdd/cddsrv.cgi?uid=PRK06663&amp;version=v4.0","0.100")</f>
        <v>0.100</v>
      </c>
      <c r="AZ668" t="s">
        <v>2305</v>
      </c>
      <c r="BA668" s="2" t="str">
        <f>HYPERLINK("http://exon.niaid.nih.gov/transcriptome/Anopheles_sialome/links/KOG/anodir_55.3kDa-KOG.txt","Collagens (type XV)")</f>
        <v>Collagens (type XV)</v>
      </c>
      <c r="BB668" t="str">
        <f>HYPERLINK("http://www.ncbi.nlm.nih.gov/Structure/cdd/cddsrv.cgi?uid=KOG3546","0.025")</f>
        <v>0.025</v>
      </c>
      <c r="BC668" t="s">
        <v>2306</v>
      </c>
      <c r="BD668" t="str">
        <f>HYPERLINK("http://exon.niaid.nih.gov/transcriptome/Anopheles_sialome/links/KOG/anodir_55.3kDa-KOG.txt","KOG3546")</f>
        <v>KOG3546</v>
      </c>
      <c r="BE668" t="str">
        <f>HYPERLINK("http://exon.niaid.nih.gov/transcriptome/Anopheles_sialome/links/PFAM/anodir_55.3kDa-PFAM.txt","Peptidase_S64")</f>
        <v>Peptidase_S64</v>
      </c>
      <c r="BF668" t="str">
        <f>HYPERLINK("http://pfam.sanger.ac.uk/family?acc=PF08192","0.23")</f>
        <v>0.23</v>
      </c>
      <c r="BG668" s="2" t="str">
        <f>HYPERLINK("http://exon.niaid.nih.gov/transcriptome/Anopheles_sialome/links/SMART/anodir_55.3kDa-SMART.txt","Candida_ALS_N")</f>
        <v>Candida_ALS_N</v>
      </c>
      <c r="BH668" t="str">
        <f>HYPERLINK("http://smart.embl-heidelberg.de/smart/do_annotation.pl?DOMAIN=Candida_ALS_N&amp;BLAST=DUMMY","0.15")</f>
        <v>0.15</v>
      </c>
      <c r="BI668" t="str">
        <f>HYPERLINK("http://exon.niaid.nih.gov/transcriptome/Anopheles_sialome/links/TICK-BLOCKS/anodir_55.3kDa-TICK-BLOCKS.txt","56_kDa_family |")</f>
        <v>56_kDa_family |</v>
      </c>
      <c r="BJ668" s="2" t="s">
        <v>2288</v>
      </c>
      <c r="BK668" t="s">
        <v>717</v>
      </c>
      <c r="BL668">
        <f>HYPERLINK("http://exon.niaid.nih.gov/transcriptome/Anopheles_sialome/links/cluster-b/anopheline-sialome-cds-pep-larger-orf25-50SimCLU8.txt", 8)</f>
        <v>8</v>
      </c>
      <c r="BM668">
        <f>HYPERLINK("http://exon.niaid.nih.gov/transcriptome/Anopheles_sialome/links/cluster-b/anopheline-sialome-cds-pep-larger-orf25-50SimCLTL8.txt", 35)</f>
        <v>35</v>
      </c>
      <c r="BN668">
        <f>HYPERLINK("http://exon.niaid.nih.gov/transcriptome/Anopheles_sialome/links/cluster-b/anopheline-sialome-cds-pep-larger-orf30-50SimCLU17.txt", 17)</f>
        <v>17</v>
      </c>
      <c r="BO668">
        <f>HYPERLINK("http://exon.niaid.nih.gov/transcriptome/Anopheles_sialome/links/cluster-b/anopheline-sialome-cds-pep-larger-orf30-50SimCLTL17.txt", 16)</f>
        <v>16</v>
      </c>
      <c r="BP668">
        <f>HYPERLINK("http://exon.niaid.nih.gov/transcriptome/Anopheles_sialome/links/cluster-b/anopheline-sialome-cds-pep-larger-orf35-50SimCLU19.txt", 19)</f>
        <v>19</v>
      </c>
      <c r="BQ668">
        <f>HYPERLINK("http://exon.niaid.nih.gov/transcriptome/Anopheles_sialome/links/cluster-b/anopheline-sialome-cds-pep-larger-orf35-50SimCLTL19.txt", 16)</f>
        <v>16</v>
      </c>
      <c r="BR668">
        <f>HYPERLINK("http://exon.niaid.nih.gov/transcriptome/Anopheles_sialome/links/cluster-b/anopheline-sialome-cds-pep-larger-orf40-50SimCLU24.txt", 24)</f>
        <v>24</v>
      </c>
      <c r="BS668">
        <f>HYPERLINK("http://exon.niaid.nih.gov/transcriptome/Anopheles_sialome/links/cluster-b/anopheline-sialome-cds-pep-larger-orf40-50SimCLTL24.txt", 16)</f>
        <v>16</v>
      </c>
      <c r="BT668">
        <f>HYPERLINK("http://exon.niaid.nih.gov/transcriptome/Anopheles_sialome/links/cluster-b/anopheline-sialome-cds-pep-larger-orf45-50SimCLU28.txt", 28)</f>
        <v>28</v>
      </c>
      <c r="BU668">
        <f>HYPERLINK("http://exon.niaid.nih.gov/transcriptome/Anopheles_sialome/links/cluster-b/anopheline-sialome-cds-pep-larger-orf45-50SimCLTL28.txt", 16)</f>
        <v>16</v>
      </c>
      <c r="BV668">
        <f>HYPERLINK("http://exon.niaid.nih.gov/transcriptome/Anopheles_sialome/links/cluster-b/anopheline-sialome-cds-pep-larger-orf50-50SimCLU29.txt", 29)</f>
        <v>29</v>
      </c>
      <c r="BW668">
        <f>HYPERLINK("http://exon.niaid.nih.gov/transcriptome/Anopheles_sialome/links/cluster-b/anopheline-sialome-cds-pep-larger-orf50-50SimCLTL29.txt", 16)</f>
        <v>16</v>
      </c>
      <c r="BX668">
        <f>HYPERLINK("http://exon.niaid.nih.gov/transcriptome/Anopheles_sialome/links/cluster-b/anopheline-sialome-cds-pep-larger-orf55-50SimCLU28.txt", 28)</f>
        <v>28</v>
      </c>
      <c r="BY668">
        <f>HYPERLINK("http://exon.niaid.nih.gov/transcriptome/Anopheles_sialome/links/cluster-b/anopheline-sialome-cds-pep-larger-orf55-50SimCLTL28.txt", 16)</f>
        <v>16</v>
      </c>
      <c r="BZ668">
        <f>HYPERLINK("http://exon.niaid.nih.gov/transcriptome/Anopheles_sialome/links/cluster-b/anopheline-sialome-cds-pep-larger-orf60-50SimCLU24.txt", 24)</f>
        <v>24</v>
      </c>
      <c r="CA668">
        <f>HYPERLINK("http://exon.niaid.nih.gov/transcriptome/Anopheles_sialome/links/cluster-b/anopheline-sialome-cds-pep-larger-orf60-50SimCLTL24.txt", 16)</f>
        <v>16</v>
      </c>
      <c r="CB668">
        <f>HYPERLINK("http://exon.niaid.nih.gov/transcriptome/Anopheles_sialome/links/cluster-b/anopheline-sialome-cds-pep-larger-orf65-50SimCLU22.txt", 22)</f>
        <v>22</v>
      </c>
      <c r="CC668">
        <f>HYPERLINK("http://exon.niaid.nih.gov/transcriptome/Anopheles_sialome/links/cluster-b/anopheline-sialome-cds-pep-larger-orf65-50SimCLTL22.txt", 16)</f>
        <v>16</v>
      </c>
      <c r="CD668">
        <f>HYPERLINK("http://exon.niaid.nih.gov/transcriptome/Anopheles_sialome/links/cluster-b/anopheline-sialome-cds-pep-larger-orf70-50SimCLU21.txt", 21)</f>
        <v>21</v>
      </c>
      <c r="CE668">
        <f>HYPERLINK("http://exon.niaid.nih.gov/transcriptome/Anopheles_sialome/links/cluster-b/anopheline-sialome-cds-pep-larger-orf70-50SimCLTL21.txt", 16)</f>
        <v>16</v>
      </c>
      <c r="CF668">
        <f>HYPERLINK("http://exon.niaid.nih.gov/transcriptome/Anopheles_sialome/links/cluster-b/anopheline-sialome-cds-pep-larger-orf75-50SimCLU21.txt", 21)</f>
        <v>21</v>
      </c>
      <c r="CG668">
        <f>HYPERLINK("http://exon.niaid.nih.gov/transcriptome/Anopheles_sialome/links/cluster-b/anopheline-sialome-cds-pep-larger-orf75-50SimCLTL21.txt", 14)</f>
        <v>14</v>
      </c>
      <c r="CH668">
        <f>HYPERLINK("http://exon.niaid.nih.gov/transcriptome/Anopheles_sialome/links/cluster-b/anopheline-sialome-cds-pep-larger-orf80-50SimCLU21.txt", 21)</f>
        <v>21</v>
      </c>
      <c r="CI668">
        <f>HYPERLINK("http://exon.niaid.nih.gov/transcriptome/Anopheles_sialome/links/cluster-b/anopheline-sialome-cds-pep-larger-orf80-50SimCLTL21.txt", 12)</f>
        <v>12</v>
      </c>
      <c r="CJ668">
        <v>117</v>
      </c>
      <c r="CK668">
        <v>1</v>
      </c>
      <c r="CL668">
        <v>112</v>
      </c>
      <c r="CM668">
        <v>1</v>
      </c>
      <c r="CN668">
        <v>87</v>
      </c>
      <c r="CO668">
        <v>1</v>
      </c>
    </row>
    <row r="669" spans="1:93">
      <c r="A669" s="2" t="str">
        <f>HYPERLINK("http://exon.niaid.nih.gov/transcriptome/Anopheles_sialome/links/cds/anoatro_55.3kDa-cds.txt","anoatro_55.3kDa")</f>
        <v>anoatro_55.3kDa</v>
      </c>
      <c r="B669">
        <v>1560</v>
      </c>
      <c r="C669" t="s">
        <v>37</v>
      </c>
      <c r="D669" t="s">
        <v>7</v>
      </c>
      <c r="E669" t="s">
        <v>5</v>
      </c>
      <c r="F669" t="s">
        <v>1</v>
      </c>
      <c r="G669" t="str">
        <f>HYPERLINK("http://exon.niaid.nih.gov/transcriptome/Anopheles_sialome/links/pep/anoatro_55.3kDa-pep.txt","anoatro_55.3kDa")</f>
        <v>anoatro_55.3kDa</v>
      </c>
      <c r="H669">
        <v>519</v>
      </c>
      <c r="I669">
        <v>0</v>
      </c>
      <c r="J669" s="3" t="str">
        <f>HYPERLINK("http://exon.niaid.nih.gov/transcriptome/Anopheles_sialome/links/Sigp/anoatro_55.3kDa-SigP.txt","SIG")</f>
        <v>SIG</v>
      </c>
      <c r="K669" t="s">
        <v>708</v>
      </c>
      <c r="L669">
        <v>56.469000000000001</v>
      </c>
      <c r="M669">
        <v>8.7200000000000006</v>
      </c>
      <c r="N669">
        <v>53.997999999999998</v>
      </c>
      <c r="O669">
        <v>8.19</v>
      </c>
      <c r="P669" t="s">
        <v>721</v>
      </c>
      <c r="Q669" s="3">
        <v>0</v>
      </c>
      <c r="R669" t="s">
        <v>128</v>
      </c>
      <c r="S669" t="s">
        <v>128</v>
      </c>
      <c r="T669" t="s">
        <v>128</v>
      </c>
      <c r="U669" t="s">
        <v>128</v>
      </c>
      <c r="V669" t="s">
        <v>128</v>
      </c>
      <c r="W669" s="3" t="str">
        <f>HYPERLINK("http://exon.niaid.nih.gov/transcriptome/Anopheles_sialome/links/netoglyc/anoatro_55.3kDa-netoglyc.txt","0")</f>
        <v>0</v>
      </c>
      <c r="X669">
        <v>14.8</v>
      </c>
      <c r="Y669">
        <v>6.4</v>
      </c>
      <c r="Z669">
        <v>2.5</v>
      </c>
      <c r="AA669" t="s">
        <v>654</v>
      </c>
      <c r="AB669" t="s">
        <v>128</v>
      </c>
      <c r="AC669" s="2" t="str">
        <f>HYPERLINK("http://exon.niaid.nih.gov/transcriptome/Anopheles_sialome/links/DIPTERA/anoatro_55.3kDa-DIPTERA.txt","putative 53.7 kDa salivary protein")</f>
        <v>putative 53.7 kDa salivary protein</v>
      </c>
      <c r="AD669" t="str">
        <f>HYPERLINK("http://www.ncbi.nlm.nih.gov/sutils/blink.cgi?pid=668460597","0.0")</f>
        <v>0.0</v>
      </c>
      <c r="AE669" t="str">
        <f>HYPERLINK("http://www.ncbi.nlm.nih.gov/protein/668460597","gi|668460597")</f>
        <v>gi|668460597</v>
      </c>
      <c r="AF669">
        <v>80</v>
      </c>
      <c r="AG669">
        <v>88</v>
      </c>
      <c r="AH669">
        <v>100</v>
      </c>
      <c r="AI669" t="s">
        <v>2277</v>
      </c>
      <c r="AJ669" s="2" t="str">
        <f>HYPERLINK("http://exon.niaid.nih.gov/transcriptome/Anopheles_sialome/links/CULICOMORPHA/anoatro_55.3kDa-CULICOMORPHA.txt","putative 53.7 kDa salivary protein")</f>
        <v>putative 53.7 kDa salivary protein</v>
      </c>
      <c r="AK669" t="str">
        <f>HYPERLINK("http://www.ncbi.nlm.nih.gov/sutils/blink.cgi?pid=668460597","0.0")</f>
        <v>0.0</v>
      </c>
      <c r="AL669" t="str">
        <f>HYPERLINK("http://www.ncbi.nlm.nih.gov/protein/668460597","gi|668460597")</f>
        <v>gi|668460597</v>
      </c>
      <c r="AM669">
        <v>80</v>
      </c>
      <c r="AN669">
        <v>88</v>
      </c>
      <c r="AO669">
        <v>100</v>
      </c>
      <c r="AP669" t="s">
        <v>2277</v>
      </c>
      <c r="AQ669" s="2" t="str">
        <f>HYPERLINK("http://exon.niaid.nih.gov/transcriptome/Anopheles_sialome/links/NR-LIGHT/anoatro_55.3kDa-NR-LIGHT.txt","putative 53.7 kDa salivary protein")</f>
        <v>putative 53.7 kDa salivary protein</v>
      </c>
      <c r="AR669" t="str">
        <f>HYPERLINK("http://www.ncbi.nlm.nih.gov/sutils/blink.cgi?pid=668460597","0.0")</f>
        <v>0.0</v>
      </c>
      <c r="AS669" t="str">
        <f>HYPERLINK("http://www.ncbi.nlm.nih.gov/protein/668460597","gi|668460597")</f>
        <v>gi|668460597</v>
      </c>
      <c r="AT669">
        <v>80</v>
      </c>
      <c r="AU669">
        <v>88</v>
      </c>
      <c r="AV669">
        <v>100</v>
      </c>
      <c r="AW669" t="s">
        <v>2277</v>
      </c>
      <c r="AX669" s="2" t="str">
        <f>HYPERLINK("http://exon.niaid.nih.gov/transcriptome/Anopheles_sialome/links/CDD/anoatro_55.3kDa-CDD.txt","HisH")</f>
        <v>HisH</v>
      </c>
      <c r="AY669" t="str">
        <f>HYPERLINK("http://www.ncbi.nlm.nih.gov/Structure/cdd/cddsrv.cgi?uid=COG0118&amp;version=v4.0","1.1")</f>
        <v>1.1</v>
      </c>
      <c r="AZ669" t="s">
        <v>2307</v>
      </c>
      <c r="BA669" s="2" t="str">
        <f>HYPERLINK("http://exon.niaid.nih.gov/transcriptome/Anopheles_sialome/links/KOG/anoatro_55.3kDa-KOG.txt","Phosphorylase kinase gamma subunit")</f>
        <v>Phosphorylase kinase gamma subunit</v>
      </c>
      <c r="BB669" t="str">
        <f>HYPERLINK("http://www.ncbi.nlm.nih.gov/Structure/cdd/cddsrv.cgi?uid=KOG0599","0.27")</f>
        <v>0.27</v>
      </c>
      <c r="BC669" t="s">
        <v>2308</v>
      </c>
      <c r="BD669" t="str">
        <f>HYPERLINK("http://exon.niaid.nih.gov/transcriptome/Anopheles_sialome/links/KOG/anoatro_55.3kDa-KOG.txt","KOG0599")</f>
        <v>KOG0599</v>
      </c>
      <c r="BE669" t="str">
        <f>HYPERLINK("http://exon.niaid.nih.gov/transcriptome/Anopheles_sialome/links/PFAM/anoatro_55.3kDa-PFAM.txt","DevR")</f>
        <v>DevR</v>
      </c>
      <c r="BF669" t="str">
        <f>HYPERLINK("http://pfam.sanger.ac.uk/family?acc=PF01905","0.60")</f>
        <v>0.60</v>
      </c>
      <c r="BG669" s="2" t="str">
        <f>HYPERLINK("http://exon.niaid.nih.gov/transcriptome/Anopheles_sialome/links/SMART/anoatro_55.3kDa-SMART.txt","Candida_ALS_N")</f>
        <v>Candida_ALS_N</v>
      </c>
      <c r="BH669" t="str">
        <f>HYPERLINK("http://smart.embl-heidelberg.de/smart/do_annotation.pl?DOMAIN=Candida_ALS_N&amp;BLAST=DUMMY","0.66")</f>
        <v>0.66</v>
      </c>
      <c r="BI669" t="str">
        <f>HYPERLINK("http://exon.niaid.nih.gov/transcriptome/Anopheles_sialome/links/TICK-BLOCKS/anoatro_55.3kDa-TICK-BLOCKS.txt","56_kDa_family |")</f>
        <v>56_kDa_family |</v>
      </c>
      <c r="BJ669" s="2" t="s">
        <v>2288</v>
      </c>
      <c r="BK669" t="s">
        <v>720</v>
      </c>
      <c r="BL669">
        <f>HYPERLINK("http://exon.niaid.nih.gov/transcriptome/Anopheles_sialome/links/cluster-b/anopheline-sialome-cds-pep-larger-orf25-50SimCLU8.txt", 8)</f>
        <v>8</v>
      </c>
      <c r="BM669">
        <f>HYPERLINK("http://exon.niaid.nih.gov/transcriptome/Anopheles_sialome/links/cluster-b/anopheline-sialome-cds-pep-larger-orf25-50SimCLTL8.txt", 35)</f>
        <v>35</v>
      </c>
      <c r="BN669">
        <f>HYPERLINK("http://exon.niaid.nih.gov/transcriptome/Anopheles_sialome/links/cluster-b/anopheline-sialome-cds-pep-larger-orf30-50SimCLU17.txt", 17)</f>
        <v>17</v>
      </c>
      <c r="BO669">
        <f>HYPERLINK("http://exon.niaid.nih.gov/transcriptome/Anopheles_sialome/links/cluster-b/anopheline-sialome-cds-pep-larger-orf30-50SimCLTL17.txt", 16)</f>
        <v>16</v>
      </c>
      <c r="BP669">
        <f>HYPERLINK("http://exon.niaid.nih.gov/transcriptome/Anopheles_sialome/links/cluster-b/anopheline-sialome-cds-pep-larger-orf35-50SimCLU19.txt", 19)</f>
        <v>19</v>
      </c>
      <c r="BQ669">
        <f>HYPERLINK("http://exon.niaid.nih.gov/transcriptome/Anopheles_sialome/links/cluster-b/anopheline-sialome-cds-pep-larger-orf35-50SimCLTL19.txt", 16)</f>
        <v>16</v>
      </c>
      <c r="BR669">
        <f>HYPERLINK("http://exon.niaid.nih.gov/transcriptome/Anopheles_sialome/links/cluster-b/anopheline-sialome-cds-pep-larger-orf40-50SimCLU24.txt", 24)</f>
        <v>24</v>
      </c>
      <c r="BS669">
        <f>HYPERLINK("http://exon.niaid.nih.gov/transcriptome/Anopheles_sialome/links/cluster-b/anopheline-sialome-cds-pep-larger-orf40-50SimCLTL24.txt", 16)</f>
        <v>16</v>
      </c>
      <c r="BT669">
        <f>HYPERLINK("http://exon.niaid.nih.gov/transcriptome/Anopheles_sialome/links/cluster-b/anopheline-sialome-cds-pep-larger-orf45-50SimCLU28.txt", 28)</f>
        <v>28</v>
      </c>
      <c r="BU669">
        <f>HYPERLINK("http://exon.niaid.nih.gov/transcriptome/Anopheles_sialome/links/cluster-b/anopheline-sialome-cds-pep-larger-orf45-50SimCLTL28.txt", 16)</f>
        <v>16</v>
      </c>
      <c r="BV669">
        <f>HYPERLINK("http://exon.niaid.nih.gov/transcriptome/Anopheles_sialome/links/cluster-b/anopheline-sialome-cds-pep-larger-orf50-50SimCLU29.txt", 29)</f>
        <v>29</v>
      </c>
      <c r="BW669">
        <f>HYPERLINK("http://exon.niaid.nih.gov/transcriptome/Anopheles_sialome/links/cluster-b/anopheline-sialome-cds-pep-larger-orf50-50SimCLTL29.txt", 16)</f>
        <v>16</v>
      </c>
      <c r="BX669">
        <f>HYPERLINK("http://exon.niaid.nih.gov/transcriptome/Anopheles_sialome/links/cluster-b/anopheline-sialome-cds-pep-larger-orf55-50SimCLU28.txt", 28)</f>
        <v>28</v>
      </c>
      <c r="BY669">
        <f>HYPERLINK("http://exon.niaid.nih.gov/transcriptome/Anopheles_sialome/links/cluster-b/anopheline-sialome-cds-pep-larger-orf55-50SimCLTL28.txt", 16)</f>
        <v>16</v>
      </c>
      <c r="BZ669">
        <f>HYPERLINK("http://exon.niaid.nih.gov/transcriptome/Anopheles_sialome/links/cluster-b/anopheline-sialome-cds-pep-larger-orf60-50SimCLU24.txt", 24)</f>
        <v>24</v>
      </c>
      <c r="CA669">
        <f>HYPERLINK("http://exon.niaid.nih.gov/transcriptome/Anopheles_sialome/links/cluster-b/anopheline-sialome-cds-pep-larger-orf60-50SimCLTL24.txt", 16)</f>
        <v>16</v>
      </c>
      <c r="CB669">
        <f>HYPERLINK("http://exon.niaid.nih.gov/transcriptome/Anopheles_sialome/links/cluster-b/anopheline-sialome-cds-pep-larger-orf65-50SimCLU22.txt", 22)</f>
        <v>22</v>
      </c>
      <c r="CC669">
        <f>HYPERLINK("http://exon.niaid.nih.gov/transcriptome/Anopheles_sialome/links/cluster-b/anopheline-sialome-cds-pep-larger-orf65-50SimCLTL22.txt", 16)</f>
        <v>16</v>
      </c>
      <c r="CD669">
        <f>HYPERLINK("http://exon.niaid.nih.gov/transcriptome/Anopheles_sialome/links/cluster-b/anopheline-sialome-cds-pep-larger-orf70-50SimCLU21.txt", 21)</f>
        <v>21</v>
      </c>
      <c r="CE669">
        <f>HYPERLINK("http://exon.niaid.nih.gov/transcriptome/Anopheles_sialome/links/cluster-b/anopheline-sialome-cds-pep-larger-orf70-50SimCLTL21.txt", 16)</f>
        <v>16</v>
      </c>
      <c r="CF669">
        <f>HYPERLINK("http://exon.niaid.nih.gov/transcriptome/Anopheles_sialome/links/cluster-b/anopheline-sialome-cds-pep-larger-orf75-50SimCLU21.txt", 21)</f>
        <v>21</v>
      </c>
      <c r="CG669">
        <f>HYPERLINK("http://exon.niaid.nih.gov/transcriptome/Anopheles_sialome/links/cluster-b/anopheline-sialome-cds-pep-larger-orf75-50SimCLTL21.txt", 14)</f>
        <v>14</v>
      </c>
      <c r="CH669">
        <f>HYPERLINK("http://exon.niaid.nih.gov/transcriptome/Anopheles_sialome/links/cluster-b/anopheline-sialome-cds-pep-larger-orf80-50SimCLU62.txt", 62)</f>
        <v>62</v>
      </c>
      <c r="CI669">
        <f>HYPERLINK("http://exon.niaid.nih.gov/transcriptome/Anopheles_sialome/links/cluster-b/anopheline-sialome-cds-pep-larger-orf80-50SimCLTL62.txt", 2)</f>
        <v>2</v>
      </c>
      <c r="CJ669">
        <f>HYPERLINK("http://exon.niaid.nih.gov/transcriptome/Anopheles_sialome/links/cluster-b/anopheline-sialome-cds-pep-larger-orf85-50SimCLU58.txt", 58)</f>
        <v>58</v>
      </c>
      <c r="CK669">
        <f>HYPERLINK("http://exon.niaid.nih.gov/transcriptome/Anopheles_sialome/links/cluster-b/anopheline-sialome-cds-pep-larger-orf85-50SimCLTL58.txt", 2)</f>
        <v>2</v>
      </c>
      <c r="CL669">
        <v>113</v>
      </c>
      <c r="CM669">
        <v>1</v>
      </c>
      <c r="CN669">
        <v>88</v>
      </c>
      <c r="CO669">
        <v>1</v>
      </c>
    </row>
    <row r="670" spans="1:93">
      <c r="A670" s="2" t="str">
        <f>HYPERLINK("http://exon.niaid.nih.gov/transcriptome/Anopheles_sialome/links/cds/anosin_55.3kDa-cds.txt","anosin_55.3kDa")</f>
        <v>anosin_55.3kDa</v>
      </c>
      <c r="B670">
        <v>1560</v>
      </c>
      <c r="C670" t="s">
        <v>38</v>
      </c>
      <c r="D670" t="s">
        <v>4</v>
      </c>
      <c r="E670" t="s">
        <v>5</v>
      </c>
      <c r="F670" t="s">
        <v>1</v>
      </c>
      <c r="G670" t="str">
        <f>HYPERLINK("http://exon.niaid.nih.gov/transcriptome/Anopheles_sialome/links/pep/anosin_55.3kDa-pep.txt","anosin_55.3kDa")</f>
        <v>anosin_55.3kDa</v>
      </c>
      <c r="H670">
        <v>519</v>
      </c>
      <c r="I670">
        <v>0</v>
      </c>
      <c r="J670" s="3" t="str">
        <f>HYPERLINK("http://exon.niaid.nih.gov/transcriptome/Anopheles_sialome/links/Sigp/anosin_55.3kDa-SigP.txt","SIG")</f>
        <v>SIG</v>
      </c>
      <c r="K670" t="s">
        <v>708</v>
      </c>
      <c r="L670">
        <v>56.48</v>
      </c>
      <c r="M670">
        <v>6.05</v>
      </c>
      <c r="N670">
        <v>54.009</v>
      </c>
      <c r="O670">
        <v>5.68</v>
      </c>
      <c r="P670" t="s">
        <v>723</v>
      </c>
      <c r="Q670" s="3">
        <v>0</v>
      </c>
      <c r="R670" t="s">
        <v>128</v>
      </c>
      <c r="S670" t="s">
        <v>128</v>
      </c>
      <c r="T670" t="s">
        <v>128</v>
      </c>
      <c r="U670" t="s">
        <v>128</v>
      </c>
      <c r="V670" t="s">
        <v>128</v>
      </c>
      <c r="W670" s="3" t="str">
        <f>HYPERLINK("http://exon.niaid.nih.gov/transcriptome/Anopheles_sialome/links/netoglyc/anosin_55.3kDa-netoglyc.txt","0")</f>
        <v>0</v>
      </c>
      <c r="X670">
        <v>13.3</v>
      </c>
      <c r="Y670">
        <v>6.6</v>
      </c>
      <c r="Z670">
        <v>2.7</v>
      </c>
      <c r="AA670" t="s">
        <v>654</v>
      </c>
      <c r="AB670" t="s">
        <v>128</v>
      </c>
      <c r="AC670" s="2" t="str">
        <f>HYPERLINK("http://exon.niaid.nih.gov/transcriptome/Anopheles_sialome/links/DIPTERA/anosin_55.3kDa-DIPTERA.txt","putative 53.7 kDa salivary protein")</f>
        <v>putative 53.7 kDa salivary protein</v>
      </c>
      <c r="AD670" t="str">
        <f>HYPERLINK("http://www.ncbi.nlm.nih.gov/sutils/blink.cgi?pid=668460597","0.0")</f>
        <v>0.0</v>
      </c>
      <c r="AE670" t="str">
        <f>HYPERLINK("http://www.ncbi.nlm.nih.gov/protein/668460597","gi|668460597")</f>
        <v>gi|668460597</v>
      </c>
      <c r="AF670">
        <v>99</v>
      </c>
      <c r="AG670">
        <v>100</v>
      </c>
      <c r="AH670">
        <v>100</v>
      </c>
      <c r="AI670" t="s">
        <v>2277</v>
      </c>
      <c r="AJ670" s="2" t="str">
        <f>HYPERLINK("http://exon.niaid.nih.gov/transcriptome/Anopheles_sialome/links/CULICOMORPHA/anosin_55.3kDa-CULICOMORPHA.txt","putative 53.7 kDa salivary protein")</f>
        <v>putative 53.7 kDa salivary protein</v>
      </c>
      <c r="AK670" t="str">
        <f>HYPERLINK("http://www.ncbi.nlm.nih.gov/sutils/blink.cgi?pid=668460597","0.0")</f>
        <v>0.0</v>
      </c>
      <c r="AL670" t="str">
        <f>HYPERLINK("http://www.ncbi.nlm.nih.gov/protein/668460597","gi|668460597")</f>
        <v>gi|668460597</v>
      </c>
      <c r="AM670">
        <v>99</v>
      </c>
      <c r="AN670">
        <v>100</v>
      </c>
      <c r="AO670">
        <v>100</v>
      </c>
      <c r="AP670" t="s">
        <v>2277</v>
      </c>
      <c r="AQ670" s="2" t="str">
        <f>HYPERLINK("http://exon.niaid.nih.gov/transcriptome/Anopheles_sialome/links/NR-LIGHT/anosin_55.3kDa-NR-LIGHT.txt","putative 53.7 kDa salivary protein")</f>
        <v>putative 53.7 kDa salivary protein</v>
      </c>
      <c r="AR670" t="str">
        <f>HYPERLINK("http://www.ncbi.nlm.nih.gov/sutils/blink.cgi?pid=668460597","0.0")</f>
        <v>0.0</v>
      </c>
      <c r="AS670" t="str">
        <f>HYPERLINK("http://www.ncbi.nlm.nih.gov/protein/668460597","gi|668460597")</f>
        <v>gi|668460597</v>
      </c>
      <c r="AT670">
        <v>99</v>
      </c>
      <c r="AU670">
        <v>100</v>
      </c>
      <c r="AV670">
        <v>100</v>
      </c>
      <c r="AW670" t="s">
        <v>2277</v>
      </c>
      <c r="AX670" s="2" t="str">
        <f>HYPERLINK("http://exon.niaid.nih.gov/transcriptome/Anopheles_sialome/links/CDD/anosin_55.3kDa-CDD.txt","PRK08084")</f>
        <v>PRK08084</v>
      </c>
      <c r="AY670" t="str">
        <f>HYPERLINK("http://www.ncbi.nlm.nih.gov/Structure/cdd/cddsrv.cgi?uid=PRK08084&amp;version=v4.0","0.20")</f>
        <v>0.20</v>
      </c>
      <c r="AZ670" t="s">
        <v>2309</v>
      </c>
      <c r="BA670" s="2" t="str">
        <f>HYPERLINK("http://exon.niaid.nih.gov/transcriptome/Anopheles_sialome/links/KOG/anosin_55.3kDa-KOG.txt","Predicted ATP-dependent protease PIL, contains LON domain")</f>
        <v>Predicted ATP-dependent protease PIL, contains LON domain</v>
      </c>
      <c r="BB670" t="str">
        <f>HYPERLINK("http://www.ncbi.nlm.nih.gov/Structure/cdd/cddsrv.cgi?uid=KOG1400","1.1")</f>
        <v>1.1</v>
      </c>
      <c r="BC670" t="s">
        <v>2310</v>
      </c>
      <c r="BD670" t="str">
        <f>HYPERLINK("http://exon.niaid.nih.gov/transcriptome/Anopheles_sialome/links/KOG/anosin_55.3kDa-KOG.txt","KOG1400")</f>
        <v>KOG1400</v>
      </c>
      <c r="BE670" t="str">
        <f>HYPERLINK("http://exon.niaid.nih.gov/transcriptome/Anopheles_sialome/links/PFAM/anosin_55.3kDa-PFAM.txt","APG17")</f>
        <v>APG17</v>
      </c>
      <c r="BF670" t="str">
        <f>HYPERLINK("http://pfam.sanger.ac.uk/family?acc=PF04108","0.27")</f>
        <v>0.27</v>
      </c>
      <c r="BG670" s="2" t="str">
        <f>HYPERLINK("http://exon.niaid.nih.gov/transcriptome/Anopheles_sialome/links/SMART/anosin_55.3kDa-SMART.txt","Candida_ALS_N")</f>
        <v>Candida_ALS_N</v>
      </c>
      <c r="BH670" t="str">
        <f>HYPERLINK("http://smart.embl-heidelberg.de/smart/do_annotation.pl?DOMAIN=Candida_ALS_N&amp;BLAST=DUMMY","1.4")</f>
        <v>1.4</v>
      </c>
      <c r="BI670" t="str">
        <f>HYPERLINK("http://exon.niaid.nih.gov/transcriptome/Anopheles_sialome/links/TICK-BLOCKS/anosin_55.3kDa-TICK-BLOCKS.txt","56_kDa_family |")</f>
        <v>56_kDa_family |</v>
      </c>
      <c r="BJ670" s="2" t="s">
        <v>2288</v>
      </c>
      <c r="BK670" t="s">
        <v>722</v>
      </c>
      <c r="BL670">
        <f>HYPERLINK("http://exon.niaid.nih.gov/transcriptome/Anopheles_sialome/links/cluster-b/anopheline-sialome-cds-pep-larger-orf25-50SimCLU8.txt", 8)</f>
        <v>8</v>
      </c>
      <c r="BM670">
        <f>HYPERLINK("http://exon.niaid.nih.gov/transcriptome/Anopheles_sialome/links/cluster-b/anopheline-sialome-cds-pep-larger-orf25-50SimCLTL8.txt", 35)</f>
        <v>35</v>
      </c>
      <c r="BN670">
        <f>HYPERLINK("http://exon.niaid.nih.gov/transcriptome/Anopheles_sialome/links/cluster-b/anopheline-sialome-cds-pep-larger-orf30-50SimCLU17.txt", 17)</f>
        <v>17</v>
      </c>
      <c r="BO670">
        <f>HYPERLINK("http://exon.niaid.nih.gov/transcriptome/Anopheles_sialome/links/cluster-b/anopheline-sialome-cds-pep-larger-orf30-50SimCLTL17.txt", 16)</f>
        <v>16</v>
      </c>
      <c r="BP670">
        <f>HYPERLINK("http://exon.niaid.nih.gov/transcriptome/Anopheles_sialome/links/cluster-b/anopheline-sialome-cds-pep-larger-orf35-50SimCLU19.txt", 19)</f>
        <v>19</v>
      </c>
      <c r="BQ670">
        <f>HYPERLINK("http://exon.niaid.nih.gov/transcriptome/Anopheles_sialome/links/cluster-b/anopheline-sialome-cds-pep-larger-orf35-50SimCLTL19.txt", 16)</f>
        <v>16</v>
      </c>
      <c r="BR670">
        <f>HYPERLINK("http://exon.niaid.nih.gov/transcriptome/Anopheles_sialome/links/cluster-b/anopheline-sialome-cds-pep-larger-orf40-50SimCLU24.txt", 24)</f>
        <v>24</v>
      </c>
      <c r="BS670">
        <f>HYPERLINK("http://exon.niaid.nih.gov/transcriptome/Anopheles_sialome/links/cluster-b/anopheline-sialome-cds-pep-larger-orf40-50SimCLTL24.txt", 16)</f>
        <v>16</v>
      </c>
      <c r="BT670">
        <f>HYPERLINK("http://exon.niaid.nih.gov/transcriptome/Anopheles_sialome/links/cluster-b/anopheline-sialome-cds-pep-larger-orf45-50SimCLU28.txt", 28)</f>
        <v>28</v>
      </c>
      <c r="BU670">
        <f>HYPERLINK("http://exon.niaid.nih.gov/transcriptome/Anopheles_sialome/links/cluster-b/anopheline-sialome-cds-pep-larger-orf45-50SimCLTL28.txt", 16)</f>
        <v>16</v>
      </c>
      <c r="BV670">
        <f>HYPERLINK("http://exon.niaid.nih.gov/transcriptome/Anopheles_sialome/links/cluster-b/anopheline-sialome-cds-pep-larger-orf50-50SimCLU29.txt", 29)</f>
        <v>29</v>
      </c>
      <c r="BW670">
        <f>HYPERLINK("http://exon.niaid.nih.gov/transcriptome/Anopheles_sialome/links/cluster-b/anopheline-sialome-cds-pep-larger-orf50-50SimCLTL29.txt", 16)</f>
        <v>16</v>
      </c>
      <c r="BX670">
        <f>HYPERLINK("http://exon.niaid.nih.gov/transcriptome/Anopheles_sialome/links/cluster-b/anopheline-sialome-cds-pep-larger-orf55-50SimCLU28.txt", 28)</f>
        <v>28</v>
      </c>
      <c r="BY670">
        <f>HYPERLINK("http://exon.niaid.nih.gov/transcriptome/Anopheles_sialome/links/cluster-b/anopheline-sialome-cds-pep-larger-orf55-50SimCLTL28.txt", 16)</f>
        <v>16</v>
      </c>
      <c r="BZ670">
        <f>HYPERLINK("http://exon.niaid.nih.gov/transcriptome/Anopheles_sialome/links/cluster-b/anopheline-sialome-cds-pep-larger-orf60-50SimCLU24.txt", 24)</f>
        <v>24</v>
      </c>
      <c r="CA670">
        <f>HYPERLINK("http://exon.niaid.nih.gov/transcriptome/Anopheles_sialome/links/cluster-b/anopheline-sialome-cds-pep-larger-orf60-50SimCLTL24.txt", 16)</f>
        <v>16</v>
      </c>
      <c r="CB670">
        <f>HYPERLINK("http://exon.niaid.nih.gov/transcriptome/Anopheles_sialome/links/cluster-b/anopheline-sialome-cds-pep-larger-orf65-50SimCLU22.txt", 22)</f>
        <v>22</v>
      </c>
      <c r="CC670">
        <f>HYPERLINK("http://exon.niaid.nih.gov/transcriptome/Anopheles_sialome/links/cluster-b/anopheline-sialome-cds-pep-larger-orf65-50SimCLTL22.txt", 16)</f>
        <v>16</v>
      </c>
      <c r="CD670">
        <f>HYPERLINK("http://exon.niaid.nih.gov/transcriptome/Anopheles_sialome/links/cluster-b/anopheline-sialome-cds-pep-larger-orf70-50SimCLU21.txt", 21)</f>
        <v>21</v>
      </c>
      <c r="CE670">
        <f>HYPERLINK("http://exon.niaid.nih.gov/transcriptome/Anopheles_sialome/links/cluster-b/anopheline-sialome-cds-pep-larger-orf70-50SimCLTL21.txt", 16)</f>
        <v>16</v>
      </c>
      <c r="CF670">
        <f>HYPERLINK("http://exon.niaid.nih.gov/transcriptome/Anopheles_sialome/links/cluster-b/anopheline-sialome-cds-pep-larger-orf75-50SimCLU21.txt", 21)</f>
        <v>21</v>
      </c>
      <c r="CG670">
        <f>HYPERLINK("http://exon.niaid.nih.gov/transcriptome/Anopheles_sialome/links/cluster-b/anopheline-sialome-cds-pep-larger-orf75-50SimCLTL21.txt", 14)</f>
        <v>14</v>
      </c>
      <c r="CH670">
        <f>HYPERLINK("http://exon.niaid.nih.gov/transcriptome/Anopheles_sialome/links/cluster-b/anopheline-sialome-cds-pep-larger-orf80-50SimCLU62.txt", 62)</f>
        <v>62</v>
      </c>
      <c r="CI670">
        <f>HYPERLINK("http://exon.niaid.nih.gov/transcriptome/Anopheles_sialome/links/cluster-b/anopheline-sialome-cds-pep-larger-orf80-50SimCLTL62.txt", 2)</f>
        <v>2</v>
      </c>
      <c r="CJ670">
        <f>HYPERLINK("http://exon.niaid.nih.gov/transcriptome/Anopheles_sialome/links/cluster-b/anopheline-sialome-cds-pep-larger-orf85-50SimCLU58.txt", 58)</f>
        <v>58</v>
      </c>
      <c r="CK670">
        <f>HYPERLINK("http://exon.niaid.nih.gov/transcriptome/Anopheles_sialome/links/cluster-b/anopheline-sialome-cds-pep-larger-orf85-50SimCLTL58.txt", 2)</f>
        <v>2</v>
      </c>
      <c r="CL670">
        <v>114</v>
      </c>
      <c r="CM670">
        <v>1</v>
      </c>
      <c r="CN670">
        <v>89</v>
      </c>
      <c r="CO670">
        <v>1</v>
      </c>
    </row>
    <row r="671" spans="1:93">
      <c r="A671" s="2" t="str">
        <f>HYPERLINK("http://exon.niaid.nih.gov/transcriptome/Anopheles_sialome/links/cds/anoalb_55.3kDa-cds.txt","anoalb_55.3kDa")</f>
        <v>anoalb_55.3kDa</v>
      </c>
      <c r="B671">
        <v>1569</v>
      </c>
      <c r="C671" t="s">
        <v>39</v>
      </c>
      <c r="D671" t="s">
        <v>7</v>
      </c>
      <c r="E671" t="s">
        <v>5</v>
      </c>
      <c r="F671" t="s">
        <v>1</v>
      </c>
      <c r="G671" t="str">
        <f>HYPERLINK("http://exon.niaid.nih.gov/transcriptome/Anopheles_sialome/links/pep/anoalb_55.3kDa-pep.txt","anoalb_55.3kDa")</f>
        <v>anoalb_55.3kDa</v>
      </c>
      <c r="H671">
        <v>522</v>
      </c>
      <c r="I671">
        <v>0</v>
      </c>
      <c r="J671" s="3" t="str">
        <f>HYPERLINK("http://exon.niaid.nih.gov/transcriptome/Anopheles_sialome/links/Sigp/anoalb_55.3kDa-SigP.txt","SIG")</f>
        <v>SIG</v>
      </c>
      <c r="K671" t="s">
        <v>652</v>
      </c>
      <c r="L671">
        <v>56.37</v>
      </c>
      <c r="M671">
        <v>7.6</v>
      </c>
      <c r="N671">
        <v>54.417000000000002</v>
      </c>
      <c r="O671">
        <v>7.76</v>
      </c>
      <c r="P671" t="s">
        <v>725</v>
      </c>
      <c r="Q671" s="3" t="str">
        <f>HYPERLINK("http://exon.niaid.nih.gov/transcriptome/Anopheles_sialome/links/tmhmm/anoalb_55.3kDa-tmhmm.txt","1")</f>
        <v>1</v>
      </c>
      <c r="R671">
        <v>4.2</v>
      </c>
      <c r="S671">
        <v>94.8</v>
      </c>
      <c r="T671">
        <v>1</v>
      </c>
      <c r="U671" t="s">
        <v>128</v>
      </c>
      <c r="V671">
        <v>495</v>
      </c>
      <c r="W671" s="3" t="str">
        <f>HYPERLINK("http://exon.niaid.nih.gov/transcriptome/Anopheles_sialome/links/netoglyc/anoalb_55.3kDa-netoglyc.txt","0")</f>
        <v>0</v>
      </c>
      <c r="X671">
        <v>13.4</v>
      </c>
      <c r="Y671">
        <v>7.7</v>
      </c>
      <c r="Z671">
        <v>2.5</v>
      </c>
      <c r="AA671" t="s">
        <v>654</v>
      </c>
      <c r="AB671" t="s">
        <v>128</v>
      </c>
      <c r="AC671" s="2" t="str">
        <f>HYPERLINK("http://exon.niaid.nih.gov/transcriptome/Anopheles_sialome/links/DIPTERA/anoalb_55.3kDa-DIPTERA.txt","putative 53.7 kDa salivary protein")</f>
        <v>putative 53.7 kDa salivary protein</v>
      </c>
      <c r="AD671" t="str">
        <f>HYPERLINK("http://www.ncbi.nlm.nih.gov/sutils/blink.cgi?pid=668460597","1E-150")</f>
        <v>1E-150</v>
      </c>
      <c r="AE671" t="str">
        <f>HYPERLINK("http://www.ncbi.nlm.nih.gov/protein/668460597","gi|668460597")</f>
        <v>gi|668460597</v>
      </c>
      <c r="AF671">
        <v>56</v>
      </c>
      <c r="AG671">
        <v>71</v>
      </c>
      <c r="AH671">
        <v>100</v>
      </c>
      <c r="AI671" t="s">
        <v>2277</v>
      </c>
      <c r="AJ671" s="2" t="str">
        <f>HYPERLINK("http://exon.niaid.nih.gov/transcriptome/Anopheles_sialome/links/CULICOMORPHA/anoalb_55.3kDa-CULICOMORPHA.txt","putative 53.7 kDa salivary protein")</f>
        <v>putative 53.7 kDa salivary protein</v>
      </c>
      <c r="AK671" t="str">
        <f>HYPERLINK("http://www.ncbi.nlm.nih.gov/sutils/blink.cgi?pid=668460597","1E-151")</f>
        <v>1E-151</v>
      </c>
      <c r="AL671" t="str">
        <f>HYPERLINK("http://www.ncbi.nlm.nih.gov/protein/668460597","gi|668460597")</f>
        <v>gi|668460597</v>
      </c>
      <c r="AM671">
        <v>56</v>
      </c>
      <c r="AN671">
        <v>71</v>
      </c>
      <c r="AO671">
        <v>100</v>
      </c>
      <c r="AP671" t="s">
        <v>2277</v>
      </c>
      <c r="AQ671" s="2" t="str">
        <f>HYPERLINK("http://exon.niaid.nih.gov/transcriptome/Anopheles_sialome/links/NR-LIGHT/anoalb_55.3kDa-NR-LIGHT.txt","putative 53.7 kDa salivary protein")</f>
        <v>putative 53.7 kDa salivary protein</v>
      </c>
      <c r="AR671" t="str">
        <f>HYPERLINK("http://www.ncbi.nlm.nih.gov/sutils/blink.cgi?pid=668460597","1E-149")</f>
        <v>1E-149</v>
      </c>
      <c r="AS671" t="str">
        <f>HYPERLINK("http://www.ncbi.nlm.nih.gov/protein/668460597","gi|668460597")</f>
        <v>gi|668460597</v>
      </c>
      <c r="AT671">
        <v>56</v>
      </c>
      <c r="AU671">
        <v>71</v>
      </c>
      <c r="AV671">
        <v>100</v>
      </c>
      <c r="AW671" t="s">
        <v>2277</v>
      </c>
      <c r="AX671" s="2" t="str">
        <f>HYPERLINK("http://exon.niaid.nih.gov/transcriptome/Anopheles_sialome/links/CDD/anoalb_55.3kDa-CDD.txt","COG4223")</f>
        <v>COG4223</v>
      </c>
      <c r="AY671" t="str">
        <f>HYPERLINK("http://www.ncbi.nlm.nih.gov/Structure/cdd/cddsrv.cgi?uid=COG4223&amp;version=v4.0","0.28")</f>
        <v>0.28</v>
      </c>
      <c r="AZ671" t="s">
        <v>2311</v>
      </c>
      <c r="BA671" s="2" t="str">
        <f>HYPERLINK("http://exon.niaid.nih.gov/transcriptome/Anopheles_sialome/links/KOG/anoalb_55.3kDa-KOG.txt","Cytoplasmic protein Max-1, contains PH, MyTH4 and FERM domains")</f>
        <v>Cytoplasmic protein Max-1, contains PH, MyTH4 and FERM domains</v>
      </c>
      <c r="BB671" t="str">
        <f>HYPERLINK("http://www.ncbi.nlm.nih.gov/Structure/cdd/cddsrv.cgi?uid=KOG0248","1.4")</f>
        <v>1.4</v>
      </c>
      <c r="BC671" t="s">
        <v>2312</v>
      </c>
      <c r="BD671" t="str">
        <f>HYPERLINK("http://exon.niaid.nih.gov/transcriptome/Anopheles_sialome/links/KOG/anoalb_55.3kDa-KOG.txt","KOG0248")</f>
        <v>KOG0248</v>
      </c>
      <c r="BE671" t="str">
        <f>HYPERLINK("http://exon.niaid.nih.gov/transcriptome/Anopheles_sialome/links/PFAM/anoalb_55.3kDa-PFAM.txt","BROMI")</f>
        <v>BROMI</v>
      </c>
      <c r="BF671" t="str">
        <f>HYPERLINK("http://pfam.sanger.ac.uk/family?acc=PF14961","0.53")</f>
        <v>0.53</v>
      </c>
      <c r="BG671" s="2" t="str">
        <f>HYPERLINK("http://exon.niaid.nih.gov/transcriptome/Anopheles_sialome/links/SMART/anoalb_55.3kDa-SMART.txt","Cpn10")</f>
        <v>Cpn10</v>
      </c>
      <c r="BH671" t="str">
        <f>HYPERLINK("http://smart.embl-heidelberg.de/smart/do_annotation.pl?DOMAIN=Cpn10&amp;BLAST=DUMMY","0.72")</f>
        <v>0.72</v>
      </c>
      <c r="BI671" t="str">
        <f>HYPERLINK("http://exon.niaid.nih.gov/transcriptome/Anopheles_sialome/links/TICK-BLOCKS/anoalb_55.3kDa-TICK-BLOCKS.txt","Aegyptin_mosquito_stringent_pattern |Aegyptin_Culicoides_40pct |")</f>
        <v>Aegyptin_mosquito_stringent_pattern |Aegyptin_Culicoides_40pct |</v>
      </c>
      <c r="BJ671" s="2" t="s">
        <v>2313</v>
      </c>
      <c r="BK671" t="s">
        <v>724</v>
      </c>
      <c r="BL671">
        <f>HYPERLINK("http://exon.niaid.nih.gov/transcriptome/Anopheles_sialome/links/cluster-b/anopheline-sialome-cds-pep-larger-orf25-50SimCLU8.txt", 8)</f>
        <v>8</v>
      </c>
      <c r="BM671">
        <f>HYPERLINK("http://exon.niaid.nih.gov/transcriptome/Anopheles_sialome/links/cluster-b/anopheline-sialome-cds-pep-larger-orf25-50SimCLTL8.txt", 35)</f>
        <v>35</v>
      </c>
      <c r="BN671">
        <f>HYPERLINK("http://exon.niaid.nih.gov/transcriptome/Anopheles_sialome/links/cluster-b/anopheline-sialome-cds-pep-larger-orf30-50SimCLU17.txt", 17)</f>
        <v>17</v>
      </c>
      <c r="BO671">
        <f>HYPERLINK("http://exon.niaid.nih.gov/transcriptome/Anopheles_sialome/links/cluster-b/anopheline-sialome-cds-pep-larger-orf30-50SimCLTL17.txt", 16)</f>
        <v>16</v>
      </c>
      <c r="BP671">
        <f>HYPERLINK("http://exon.niaid.nih.gov/transcriptome/Anopheles_sialome/links/cluster-b/anopheline-sialome-cds-pep-larger-orf35-50SimCLU19.txt", 19)</f>
        <v>19</v>
      </c>
      <c r="BQ671">
        <f>HYPERLINK("http://exon.niaid.nih.gov/transcriptome/Anopheles_sialome/links/cluster-b/anopheline-sialome-cds-pep-larger-orf35-50SimCLTL19.txt", 16)</f>
        <v>16</v>
      </c>
      <c r="BR671">
        <f>HYPERLINK("http://exon.niaid.nih.gov/transcriptome/Anopheles_sialome/links/cluster-b/anopheline-sialome-cds-pep-larger-orf40-50SimCLU24.txt", 24)</f>
        <v>24</v>
      </c>
      <c r="BS671">
        <f>HYPERLINK("http://exon.niaid.nih.gov/transcriptome/Anopheles_sialome/links/cluster-b/anopheline-sialome-cds-pep-larger-orf40-50SimCLTL24.txt", 16)</f>
        <v>16</v>
      </c>
      <c r="BT671">
        <f>HYPERLINK("http://exon.niaid.nih.gov/transcriptome/Anopheles_sialome/links/cluster-b/anopheline-sialome-cds-pep-larger-orf45-50SimCLU28.txt", 28)</f>
        <v>28</v>
      </c>
      <c r="BU671">
        <f>HYPERLINK("http://exon.niaid.nih.gov/transcriptome/Anopheles_sialome/links/cluster-b/anopheline-sialome-cds-pep-larger-orf45-50SimCLTL28.txt", 16)</f>
        <v>16</v>
      </c>
      <c r="BV671">
        <f>HYPERLINK("http://exon.niaid.nih.gov/transcriptome/Anopheles_sialome/links/cluster-b/anopheline-sialome-cds-pep-larger-orf50-50SimCLU29.txt", 29)</f>
        <v>29</v>
      </c>
      <c r="BW671">
        <f>HYPERLINK("http://exon.niaid.nih.gov/transcriptome/Anopheles_sialome/links/cluster-b/anopheline-sialome-cds-pep-larger-orf50-50SimCLTL29.txt", 16)</f>
        <v>16</v>
      </c>
      <c r="BX671">
        <f>HYPERLINK("http://exon.niaid.nih.gov/transcriptome/Anopheles_sialome/links/cluster-b/anopheline-sialome-cds-pep-larger-orf55-50SimCLU28.txt", 28)</f>
        <v>28</v>
      </c>
      <c r="BY671">
        <f>HYPERLINK("http://exon.niaid.nih.gov/transcriptome/Anopheles_sialome/links/cluster-b/anopheline-sialome-cds-pep-larger-orf55-50SimCLTL28.txt", 16)</f>
        <v>16</v>
      </c>
      <c r="BZ671">
        <f>HYPERLINK("http://exon.niaid.nih.gov/transcriptome/Anopheles_sialome/links/cluster-b/anopheline-sialome-cds-pep-larger-orf60-50SimCLU24.txt", 24)</f>
        <v>24</v>
      </c>
      <c r="CA671">
        <f>HYPERLINK("http://exon.niaid.nih.gov/transcriptome/Anopheles_sialome/links/cluster-b/anopheline-sialome-cds-pep-larger-orf60-50SimCLTL24.txt", 16)</f>
        <v>16</v>
      </c>
      <c r="CB671">
        <f>HYPERLINK("http://exon.niaid.nih.gov/transcriptome/Anopheles_sialome/links/cluster-b/anopheline-sialome-cds-pep-larger-orf65-50SimCLU22.txt", 22)</f>
        <v>22</v>
      </c>
      <c r="CC671">
        <f>HYPERLINK("http://exon.niaid.nih.gov/transcriptome/Anopheles_sialome/links/cluster-b/anopheline-sialome-cds-pep-larger-orf65-50SimCLTL22.txt", 16)</f>
        <v>16</v>
      </c>
      <c r="CD671">
        <f>HYPERLINK("http://exon.niaid.nih.gov/transcriptome/Anopheles_sialome/links/cluster-b/anopheline-sialome-cds-pep-larger-orf70-50SimCLU21.txt", 21)</f>
        <v>21</v>
      </c>
      <c r="CE671">
        <f>HYPERLINK("http://exon.niaid.nih.gov/transcriptome/Anopheles_sialome/links/cluster-b/anopheline-sialome-cds-pep-larger-orf70-50SimCLTL21.txt", 16)</f>
        <v>16</v>
      </c>
      <c r="CF671">
        <f>HYPERLINK("http://exon.niaid.nih.gov/transcriptome/Anopheles_sialome/links/cluster-b/anopheline-sialome-cds-pep-larger-orf75-50SimCLU56.txt", 56)</f>
        <v>56</v>
      </c>
      <c r="CG671">
        <f>HYPERLINK("http://exon.niaid.nih.gov/transcriptome/Anopheles_sialome/links/cluster-b/anopheline-sialome-cds-pep-larger-orf75-50SimCLTL56.txt", 2)</f>
        <v>2</v>
      </c>
      <c r="CH671">
        <f>HYPERLINK("http://exon.niaid.nih.gov/transcriptome/Anopheles_sialome/links/cluster-b/anopheline-sialome-cds-pep-larger-orf80-50SimCLU63.txt", 63)</f>
        <v>63</v>
      </c>
      <c r="CI671">
        <f>HYPERLINK("http://exon.niaid.nih.gov/transcriptome/Anopheles_sialome/links/cluster-b/anopheline-sialome-cds-pep-larger-orf80-50SimCLTL63.txt", 2)</f>
        <v>2</v>
      </c>
      <c r="CJ671">
        <f>HYPERLINK("http://exon.niaid.nih.gov/transcriptome/Anopheles_sialome/links/cluster-b/anopheline-sialome-cds-pep-larger-orf85-50SimCLU59.txt", 59)</f>
        <v>59</v>
      </c>
      <c r="CK671">
        <f>HYPERLINK("http://exon.niaid.nih.gov/transcriptome/Anopheles_sialome/links/cluster-b/anopheline-sialome-cds-pep-larger-orf85-50SimCLTL59.txt", 2)</f>
        <v>2</v>
      </c>
      <c r="CL671">
        <v>115</v>
      </c>
      <c r="CM671">
        <v>1</v>
      </c>
      <c r="CN671">
        <v>90</v>
      </c>
      <c r="CO671">
        <v>1</v>
      </c>
    </row>
    <row r="672" spans="1:93">
      <c r="A672" s="2" t="str">
        <f>HYPERLINK("http://exon.niaid.nih.gov/transcriptome/Anopheles_sialome/links/cds/anodar_55.3kDa-cds.txt","anodar_55.3kDa")</f>
        <v>anodar_55.3kDa</v>
      </c>
      <c r="B672">
        <v>1551</v>
      </c>
      <c r="C672" t="s">
        <v>4</v>
      </c>
      <c r="D672" s="8" t="s">
        <v>3178</v>
      </c>
      <c r="E672" t="s">
        <v>5</v>
      </c>
      <c r="F672" t="s">
        <v>1</v>
      </c>
      <c r="G672" t="str">
        <f>HYPERLINK("http://exon.niaid.nih.gov/transcriptome/Anopheles_sialome/links/pep/anodar_55.3kDa-pep.txt","anodar_55.3kDa")</f>
        <v>anodar_55.3kDa</v>
      </c>
      <c r="H672">
        <v>516</v>
      </c>
      <c r="I672">
        <v>1</v>
      </c>
      <c r="J672" s="3" t="str">
        <f>HYPERLINK("http://exon.niaid.nih.gov/transcriptome/Anopheles_sialome/links/Sigp/anodar_55.3kDa-SigP.txt","SIG")</f>
        <v>SIG</v>
      </c>
      <c r="K672" t="s">
        <v>718</v>
      </c>
      <c r="L672">
        <v>55.606999999999999</v>
      </c>
      <c r="M672">
        <v>7.63</v>
      </c>
      <c r="N672">
        <v>54.057000000000002</v>
      </c>
      <c r="O672">
        <v>7.61</v>
      </c>
      <c r="P672" t="s">
        <v>727</v>
      </c>
      <c r="Q672" s="3">
        <v>0</v>
      </c>
      <c r="R672" t="s">
        <v>128</v>
      </c>
      <c r="S672" t="s">
        <v>128</v>
      </c>
      <c r="T672" t="s">
        <v>128</v>
      </c>
      <c r="U672" t="s">
        <v>128</v>
      </c>
      <c r="V672" t="s">
        <v>128</v>
      </c>
      <c r="W672" s="3" t="str">
        <f>HYPERLINK("http://exon.niaid.nih.gov/transcriptome/Anopheles_sialome/links/netoglyc/anodar_55.3kDa-netoglyc.txt","0")</f>
        <v>0</v>
      </c>
      <c r="X672">
        <v>13.6</v>
      </c>
      <c r="Y672">
        <v>7.8</v>
      </c>
      <c r="Z672">
        <v>3.1</v>
      </c>
      <c r="AA672" t="s">
        <v>654</v>
      </c>
      <c r="AB672" t="s">
        <v>128</v>
      </c>
      <c r="AC672" s="2" t="str">
        <f>HYPERLINK("http://exon.niaid.nih.gov/transcriptome/Anopheles_sialome/links/DIPTERA/anodar_55.3kDa-DIPTERA.txt","putative 53.7 kDa salivary protein")</f>
        <v>putative 53.7 kDa salivary protein</v>
      </c>
      <c r="AD672" t="str">
        <f>HYPERLINK("http://www.ncbi.nlm.nih.gov/sutils/blink.cgi?pid=668460597","1E-145")</f>
        <v>1E-145</v>
      </c>
      <c r="AE672" t="str">
        <f>HYPERLINK("http://www.ncbi.nlm.nih.gov/protein/668460597","gi|668460597")</f>
        <v>gi|668460597</v>
      </c>
      <c r="AF672">
        <v>55</v>
      </c>
      <c r="AG672">
        <v>70</v>
      </c>
      <c r="AH672">
        <v>99</v>
      </c>
      <c r="AI672" t="s">
        <v>2277</v>
      </c>
      <c r="AJ672" s="2" t="str">
        <f>HYPERLINK("http://exon.niaid.nih.gov/transcriptome/Anopheles_sialome/links/CULICOMORPHA/anodar_55.3kDa-CULICOMORPHA.txt","putative 53.7 kDa salivary protein")</f>
        <v>putative 53.7 kDa salivary protein</v>
      </c>
      <c r="AK672" t="str">
        <f>HYPERLINK("http://www.ncbi.nlm.nih.gov/sutils/blink.cgi?pid=668460597","1E-146")</f>
        <v>1E-146</v>
      </c>
      <c r="AL672" t="str">
        <f>HYPERLINK("http://www.ncbi.nlm.nih.gov/protein/668460597","gi|668460597")</f>
        <v>gi|668460597</v>
      </c>
      <c r="AM672">
        <v>55</v>
      </c>
      <c r="AN672">
        <v>70</v>
      </c>
      <c r="AO672">
        <v>99</v>
      </c>
      <c r="AP672" t="s">
        <v>2277</v>
      </c>
      <c r="AQ672" s="2" t="str">
        <f>HYPERLINK("http://exon.niaid.nih.gov/transcriptome/Anopheles_sialome/links/NR-LIGHT/anodar_55.3kDa-NR-LIGHT.txt","putative 53.7 kDa salivary protein")</f>
        <v>putative 53.7 kDa salivary protein</v>
      </c>
      <c r="AR672" t="str">
        <f>HYPERLINK("http://www.ncbi.nlm.nih.gov/sutils/blink.cgi?pid=668460597","1E-145")</f>
        <v>1E-145</v>
      </c>
      <c r="AS672" t="str">
        <f>HYPERLINK("http://www.ncbi.nlm.nih.gov/protein/668460597","gi|668460597")</f>
        <v>gi|668460597</v>
      </c>
      <c r="AT672">
        <v>55</v>
      </c>
      <c r="AU672">
        <v>70</v>
      </c>
      <c r="AV672">
        <v>99</v>
      </c>
      <c r="AW672" t="s">
        <v>2277</v>
      </c>
      <c r="AX672" s="2" t="str">
        <f>HYPERLINK("http://exon.niaid.nih.gov/transcriptome/Anopheles_sialome/links/CDD/anodar_55.3kDa-CDD.txt","PhoQ_Sensor")</f>
        <v>PhoQ_Sensor</v>
      </c>
      <c r="AY672" t="str">
        <f>HYPERLINK("http://www.ncbi.nlm.nih.gov/Structure/cdd/cddsrv.cgi?uid=pfam08918&amp;version=v4.0","1.8")</f>
        <v>1.8</v>
      </c>
      <c r="AZ672" t="s">
        <v>2314</v>
      </c>
      <c r="BA672" s="2" t="str">
        <f>HYPERLINK("http://exon.niaid.nih.gov/transcriptome/Anopheles_sialome/links/KOG/anodar_55.3kDa-KOG.txt","Membrane-associated hematopoietic protein")</f>
        <v>Membrane-associated hematopoietic protein</v>
      </c>
      <c r="BB672" t="str">
        <f>HYPERLINK("http://www.ncbi.nlm.nih.gov/Structure/cdd/cddsrv.cgi?uid=KOG1917","0.26")</f>
        <v>0.26</v>
      </c>
      <c r="BC672" t="s">
        <v>2310</v>
      </c>
      <c r="BD672" t="str">
        <f>HYPERLINK("http://exon.niaid.nih.gov/transcriptome/Anopheles_sialome/links/KOG/anodar_55.3kDa-KOG.txt","KOG1917")</f>
        <v>KOG1917</v>
      </c>
      <c r="BE672" t="str">
        <f>HYPERLINK("http://exon.niaid.nih.gov/transcriptome/Anopheles_sialome/links/PFAM/anodar_55.3kDa-PFAM.txt","PhoQ_Sensor")</f>
        <v>PhoQ_Sensor</v>
      </c>
      <c r="BF672" t="str">
        <f>HYPERLINK("http://pfam.sanger.ac.uk/family?acc=PF08918","0.34")</f>
        <v>0.34</v>
      </c>
      <c r="BG672" s="2" t="str">
        <f>HYPERLINK("http://exon.niaid.nih.gov/transcriptome/Anopheles_sialome/links/SMART/anodar_55.3kDa-SMART.txt","Candida_ALS_N")</f>
        <v>Candida_ALS_N</v>
      </c>
      <c r="BH672" t="str">
        <f>HYPERLINK("http://smart.embl-heidelberg.de/smart/do_annotation.pl?DOMAIN=Candida_ALS_N&amp;BLAST=DUMMY","1.6")</f>
        <v>1.6</v>
      </c>
      <c r="BI672" t="str">
        <f>HYPERLINK("http://exon.niaid.nih.gov/transcriptome/Anopheles_sialome/links/TICK-BLOCKS/anodar_55.3kDa-TICK-BLOCKS.txt","Aegyptin_mosquito_stringent_pattern |")</f>
        <v>Aegyptin_mosquito_stringent_pattern |</v>
      </c>
      <c r="BJ672" s="2" t="s">
        <v>2315</v>
      </c>
      <c r="BK672" t="s">
        <v>726</v>
      </c>
      <c r="BL672">
        <f>HYPERLINK("http://exon.niaid.nih.gov/transcriptome/Anopheles_sialome/links/cluster-b/anopheline-sialome-cds-pep-larger-orf25-50SimCLU8.txt", 8)</f>
        <v>8</v>
      </c>
      <c r="BM672">
        <f>HYPERLINK("http://exon.niaid.nih.gov/transcriptome/Anopheles_sialome/links/cluster-b/anopheline-sialome-cds-pep-larger-orf25-50SimCLTL8.txt", 35)</f>
        <v>35</v>
      </c>
      <c r="BN672">
        <f>HYPERLINK("http://exon.niaid.nih.gov/transcriptome/Anopheles_sialome/links/cluster-b/anopheline-sialome-cds-pep-larger-orf30-50SimCLU17.txt", 17)</f>
        <v>17</v>
      </c>
      <c r="BO672">
        <f>HYPERLINK("http://exon.niaid.nih.gov/transcriptome/Anopheles_sialome/links/cluster-b/anopheline-sialome-cds-pep-larger-orf30-50SimCLTL17.txt", 16)</f>
        <v>16</v>
      </c>
      <c r="BP672">
        <f>HYPERLINK("http://exon.niaid.nih.gov/transcriptome/Anopheles_sialome/links/cluster-b/anopheline-sialome-cds-pep-larger-orf35-50SimCLU19.txt", 19)</f>
        <v>19</v>
      </c>
      <c r="BQ672">
        <f>HYPERLINK("http://exon.niaid.nih.gov/transcriptome/Anopheles_sialome/links/cluster-b/anopheline-sialome-cds-pep-larger-orf35-50SimCLTL19.txt", 16)</f>
        <v>16</v>
      </c>
      <c r="BR672">
        <f>HYPERLINK("http://exon.niaid.nih.gov/transcriptome/Anopheles_sialome/links/cluster-b/anopheline-sialome-cds-pep-larger-orf40-50SimCLU24.txt", 24)</f>
        <v>24</v>
      </c>
      <c r="BS672">
        <f>HYPERLINK("http://exon.niaid.nih.gov/transcriptome/Anopheles_sialome/links/cluster-b/anopheline-sialome-cds-pep-larger-orf40-50SimCLTL24.txt", 16)</f>
        <v>16</v>
      </c>
      <c r="BT672">
        <f>HYPERLINK("http://exon.niaid.nih.gov/transcriptome/Anopheles_sialome/links/cluster-b/anopheline-sialome-cds-pep-larger-orf45-50SimCLU28.txt", 28)</f>
        <v>28</v>
      </c>
      <c r="BU672">
        <f>HYPERLINK("http://exon.niaid.nih.gov/transcriptome/Anopheles_sialome/links/cluster-b/anopheline-sialome-cds-pep-larger-orf45-50SimCLTL28.txt", 16)</f>
        <v>16</v>
      </c>
      <c r="BV672">
        <f>HYPERLINK("http://exon.niaid.nih.gov/transcriptome/Anopheles_sialome/links/cluster-b/anopheline-sialome-cds-pep-larger-orf50-50SimCLU29.txt", 29)</f>
        <v>29</v>
      </c>
      <c r="BW672">
        <f>HYPERLINK("http://exon.niaid.nih.gov/transcriptome/Anopheles_sialome/links/cluster-b/anopheline-sialome-cds-pep-larger-orf50-50SimCLTL29.txt", 16)</f>
        <v>16</v>
      </c>
      <c r="BX672">
        <f>HYPERLINK("http://exon.niaid.nih.gov/transcriptome/Anopheles_sialome/links/cluster-b/anopheline-sialome-cds-pep-larger-orf55-50SimCLU28.txt", 28)</f>
        <v>28</v>
      </c>
      <c r="BY672">
        <f>HYPERLINK("http://exon.niaid.nih.gov/transcriptome/Anopheles_sialome/links/cluster-b/anopheline-sialome-cds-pep-larger-orf55-50SimCLTL28.txt", 16)</f>
        <v>16</v>
      </c>
      <c r="BZ672">
        <f>HYPERLINK("http://exon.niaid.nih.gov/transcriptome/Anopheles_sialome/links/cluster-b/anopheline-sialome-cds-pep-larger-orf60-50SimCLU24.txt", 24)</f>
        <v>24</v>
      </c>
      <c r="CA672">
        <f>HYPERLINK("http://exon.niaid.nih.gov/transcriptome/Anopheles_sialome/links/cluster-b/anopheline-sialome-cds-pep-larger-orf60-50SimCLTL24.txt", 16)</f>
        <v>16</v>
      </c>
      <c r="CB672">
        <f>HYPERLINK("http://exon.niaid.nih.gov/transcriptome/Anopheles_sialome/links/cluster-b/anopheline-sialome-cds-pep-larger-orf65-50SimCLU22.txt", 22)</f>
        <v>22</v>
      </c>
      <c r="CC672">
        <f>HYPERLINK("http://exon.niaid.nih.gov/transcriptome/Anopheles_sialome/links/cluster-b/anopheline-sialome-cds-pep-larger-orf65-50SimCLTL22.txt", 16)</f>
        <v>16</v>
      </c>
      <c r="CD672">
        <f>HYPERLINK("http://exon.niaid.nih.gov/transcriptome/Anopheles_sialome/links/cluster-b/anopheline-sialome-cds-pep-larger-orf70-50SimCLU21.txt", 21)</f>
        <v>21</v>
      </c>
      <c r="CE672">
        <f>HYPERLINK("http://exon.niaid.nih.gov/transcriptome/Anopheles_sialome/links/cluster-b/anopheline-sialome-cds-pep-larger-orf70-50SimCLTL21.txt", 16)</f>
        <v>16</v>
      </c>
      <c r="CF672">
        <f>HYPERLINK("http://exon.niaid.nih.gov/transcriptome/Anopheles_sialome/links/cluster-b/anopheline-sialome-cds-pep-larger-orf75-50SimCLU56.txt", 56)</f>
        <v>56</v>
      </c>
      <c r="CG672">
        <f>HYPERLINK("http://exon.niaid.nih.gov/transcriptome/Anopheles_sialome/links/cluster-b/anopheline-sialome-cds-pep-larger-orf75-50SimCLTL56.txt", 2)</f>
        <v>2</v>
      </c>
      <c r="CH672">
        <f>HYPERLINK("http://exon.niaid.nih.gov/transcriptome/Anopheles_sialome/links/cluster-b/anopheline-sialome-cds-pep-larger-orf80-50SimCLU63.txt", 63)</f>
        <v>63</v>
      </c>
      <c r="CI672">
        <f>HYPERLINK("http://exon.niaid.nih.gov/transcriptome/Anopheles_sialome/links/cluster-b/anopheline-sialome-cds-pep-larger-orf80-50SimCLTL63.txt", 2)</f>
        <v>2</v>
      </c>
      <c r="CJ672">
        <f>HYPERLINK("http://exon.niaid.nih.gov/transcriptome/Anopheles_sialome/links/cluster-b/anopheline-sialome-cds-pep-larger-orf85-50SimCLU59.txt", 59)</f>
        <v>59</v>
      </c>
      <c r="CK672">
        <f>HYPERLINK("http://exon.niaid.nih.gov/transcriptome/Anopheles_sialome/links/cluster-b/anopheline-sialome-cds-pep-larger-orf85-50SimCLTL59.txt", 2)</f>
        <v>2</v>
      </c>
      <c r="CL672">
        <v>116</v>
      </c>
      <c r="CM672">
        <v>1</v>
      </c>
      <c r="CN672">
        <v>91</v>
      </c>
      <c r="CO672">
        <v>1</v>
      </c>
    </row>
    <row r="673" spans="1:93">
      <c r="A673" s="11" t="s">
        <v>3220</v>
      </c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10"/>
      <c r="BV673" s="10"/>
      <c r="BW673" s="10"/>
      <c r="BX673" s="10"/>
      <c r="BY673" s="10"/>
      <c r="BZ673" s="10"/>
      <c r="CA673" s="10"/>
      <c r="CB673" s="10"/>
      <c r="CC673" s="10"/>
      <c r="CD673" s="10"/>
      <c r="CE673" s="10"/>
      <c r="CF673" s="10"/>
      <c r="CG673" s="10"/>
      <c r="CH673" s="10"/>
      <c r="CI673" s="10"/>
      <c r="CJ673" s="10"/>
      <c r="CK673" s="10"/>
      <c r="CL673" s="10"/>
      <c r="CM673" s="10"/>
      <c r="CN673" s="10"/>
      <c r="CO673" s="10"/>
    </row>
    <row r="674" spans="1:93">
      <c r="A674" s="14" t="s">
        <v>3138</v>
      </c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3"/>
      <c r="AX674" s="13"/>
      <c r="AY674" s="13"/>
      <c r="AZ674" s="13"/>
      <c r="BA674" s="13"/>
      <c r="BB674" s="13"/>
      <c r="BC674" s="13"/>
      <c r="BD674" s="13"/>
      <c r="BE674" s="13"/>
      <c r="BF674" s="13"/>
      <c r="BG674" s="13"/>
      <c r="BH674" s="13"/>
      <c r="BI674" s="13"/>
      <c r="BJ674" s="13"/>
      <c r="BK674" s="13"/>
      <c r="BL674" s="13"/>
      <c r="BM674" s="13"/>
      <c r="BN674" s="13"/>
      <c r="BO674" s="13"/>
      <c r="BP674" s="13"/>
      <c r="BQ674" s="13"/>
      <c r="BR674" s="13"/>
      <c r="BS674" s="13"/>
      <c r="BT674" s="13"/>
      <c r="BU674" s="13"/>
      <c r="BV674" s="13"/>
      <c r="BW674" s="13"/>
      <c r="BX674" s="13"/>
      <c r="BY674" s="13"/>
      <c r="BZ674" s="13"/>
      <c r="CA674" s="13"/>
      <c r="CB674" s="13"/>
      <c r="CC674" s="13"/>
      <c r="CD674" s="13"/>
      <c r="CE674" s="13"/>
      <c r="CF674" s="13"/>
      <c r="CG674" s="13"/>
      <c r="CH674" s="13"/>
      <c r="CI674" s="13"/>
      <c r="CJ674" s="13"/>
      <c r="CK674" s="13"/>
      <c r="CL674" s="13"/>
      <c r="CM674" s="13"/>
      <c r="CN674" s="13"/>
      <c r="CO674" s="13"/>
    </row>
    <row r="675" spans="1:93">
      <c r="A675" s="2" t="str">
        <f>HYPERLINK("http://exon.niaid.nih.gov/transcriptome/Anopheles_sialome/links/cds/anoga_cE5-anophelin-cds.txt","anoga_cE5-anophelin")</f>
        <v>anoga_cE5-anophelin</v>
      </c>
      <c r="B675">
        <v>312</v>
      </c>
      <c r="C675" t="s">
        <v>134</v>
      </c>
      <c r="D675" t="s">
        <v>4</v>
      </c>
      <c r="E675" t="s">
        <v>5</v>
      </c>
      <c r="F675" t="s">
        <v>1</v>
      </c>
      <c r="G675" t="str">
        <f>HYPERLINK("http://exon.niaid.nih.gov/transcriptome/Anopheles_sialome/links/pep/anoga_cE5-anophelin-pep.txt","anoga_cE5-anophelin")</f>
        <v>anoga_cE5-anophelin</v>
      </c>
      <c r="H675">
        <v>103</v>
      </c>
      <c r="I675">
        <v>2</v>
      </c>
      <c r="J675" s="3" t="str">
        <f>HYPERLINK("http://exon.niaid.nih.gov/transcriptome/Anopheles_sialome/links/Sigp/anoga_cE5-anophelin-SigP.txt","SIG")</f>
        <v>SIG</v>
      </c>
      <c r="K675" t="s">
        <v>689</v>
      </c>
      <c r="L675">
        <v>11.225</v>
      </c>
      <c r="M675">
        <v>3.98</v>
      </c>
      <c r="N675">
        <v>8.9420000000000002</v>
      </c>
      <c r="O675">
        <v>3.9</v>
      </c>
      <c r="P675" t="s">
        <v>957</v>
      </c>
      <c r="Q675" s="3" t="str">
        <f>HYPERLINK("http://exon.niaid.nih.gov/transcriptome/Anopheles_sialome/links/tmhmm/anoga_cE5-anophelin-tmhmm.txt","1")</f>
        <v>1</v>
      </c>
      <c r="R675">
        <v>16.5</v>
      </c>
      <c r="S675">
        <v>78.599999999999994</v>
      </c>
      <c r="T675">
        <v>4.9000000000000004</v>
      </c>
      <c r="U675" t="s">
        <v>128</v>
      </c>
      <c r="V675">
        <v>81</v>
      </c>
      <c r="W675" s="3" t="str">
        <f>HYPERLINK("http://exon.niaid.nih.gov/transcriptome/Anopheles_sialome/links/netoglyc/anoga_cE5-anophelin-netoglyc.txt","10")</f>
        <v>10</v>
      </c>
      <c r="X675">
        <v>17.5</v>
      </c>
      <c r="Y675">
        <v>2.9</v>
      </c>
      <c r="Z675">
        <v>7.8</v>
      </c>
      <c r="AA675" t="s">
        <v>654</v>
      </c>
      <c r="AB675" t="s">
        <v>128</v>
      </c>
      <c r="AC675" s="2" t="str">
        <f>HYPERLINK("http://exon.niaid.nih.gov/transcriptome/Anopheles_sialome/links/DIPTERA/anoga_cE5-anophelin-DIPTERA.txt","AGAP008004-PA")</f>
        <v>AGAP008004-PA</v>
      </c>
      <c r="AD675" t="str">
        <f>HYPERLINK("http://www.ncbi.nlm.nih.gov/sutils/blink.cgi?pid=116123248","8E-053")</f>
        <v>8E-053</v>
      </c>
      <c r="AE675" t="str">
        <f t="shared" ref="AE675:AE681" si="238">HYPERLINK("http://www.ncbi.nlm.nih.gov/protein/116123248","gi|116123248")</f>
        <v>gi|116123248</v>
      </c>
      <c r="AF675">
        <v>100</v>
      </c>
      <c r="AG675">
        <v>100</v>
      </c>
      <c r="AH675">
        <v>100</v>
      </c>
      <c r="AI675" t="s">
        <v>2285</v>
      </c>
      <c r="AJ675" s="2" t="str">
        <f>HYPERLINK("http://exon.niaid.nih.gov/transcriptome/Anopheles_sialome/links/CULICOMORPHA/anoga_cE5-anophelin-CULICOMORPHA.txt","AGAP008004-PA")</f>
        <v>AGAP008004-PA</v>
      </c>
      <c r="AK675" t="str">
        <f>HYPERLINK("http://www.ncbi.nlm.nih.gov/sutils/blink.cgi?pid=116123248","1E-053")</f>
        <v>1E-053</v>
      </c>
      <c r="AL675" t="str">
        <f t="shared" ref="AL675:AL681" si="239">HYPERLINK("http://www.ncbi.nlm.nih.gov/protein/116123248","gi|116123248")</f>
        <v>gi|116123248</v>
      </c>
      <c r="AM675">
        <v>100</v>
      </c>
      <c r="AN675">
        <v>100</v>
      </c>
      <c r="AO675">
        <v>100</v>
      </c>
      <c r="AP675" t="s">
        <v>2285</v>
      </c>
      <c r="AQ675" s="2" t="str">
        <f>HYPERLINK("http://exon.niaid.nih.gov/transcriptome/Anopheles_sialome/links/NR-LIGHT/anoga_cE5-anophelin-NR-LIGHT.txt","AGAP008004-PA")</f>
        <v>AGAP008004-PA</v>
      </c>
      <c r="AR675" t="str">
        <f>HYPERLINK("http://www.ncbi.nlm.nih.gov/sutils/blink.cgi?pid=118789501","2E-052")</f>
        <v>2E-052</v>
      </c>
      <c r="AS675" t="str">
        <f t="shared" ref="AS675:AS681" si="240">HYPERLINK("http://www.ncbi.nlm.nih.gov/protein/118789501","gi|118789501")</f>
        <v>gi|118789501</v>
      </c>
      <c r="AT675">
        <v>100</v>
      </c>
      <c r="AU675">
        <v>100</v>
      </c>
      <c r="AV675">
        <v>100</v>
      </c>
      <c r="AW675" t="s">
        <v>2285</v>
      </c>
      <c r="AX675" s="2" t="str">
        <f>HYPERLINK("http://exon.niaid.nih.gov/transcriptome/Anopheles_sialome/links/CDD/anoga_cE5-anophelin-CDD.txt","Anophelin")</f>
        <v>Anophelin</v>
      </c>
      <c r="AY675" t="str">
        <f>HYPERLINK("http://www.ncbi.nlm.nih.gov/Structure/cdd/cddsrv.cgi?uid=pfam10731&amp;version=v4.0","2E-020")</f>
        <v>2E-020</v>
      </c>
      <c r="AZ675" t="s">
        <v>2434</v>
      </c>
      <c r="BA675" s="2" t="str">
        <f>HYPERLINK("http://exon.niaid.nih.gov/transcriptome/Anopheles_sialome/links/KOG/anoga_cE5-anophelin-KOG.txt","Phosphoinositide 3-kinase")</f>
        <v>Phosphoinositide 3-kinase</v>
      </c>
      <c r="BB675" t="str">
        <f>HYPERLINK("http://www.ncbi.nlm.nih.gov/Structure/cdd/cddsrv.cgi?uid=KOG0905","0.004")</f>
        <v>0.004</v>
      </c>
      <c r="BC675" t="s">
        <v>2292</v>
      </c>
      <c r="BD675" t="str">
        <f>HYPERLINK("http://exon.niaid.nih.gov/transcriptome/Anopheles_sialome/links/KOG/anoga_cE5-anophelin-KOG.txt","KOG0905")</f>
        <v>KOG0905</v>
      </c>
      <c r="BE675" t="str">
        <f>HYPERLINK("http://exon.niaid.nih.gov/transcriptome/Anopheles_sialome/links/PFAM/anoga_cE5-anophelin-PFAM.txt","Anophelin")</f>
        <v>Anophelin</v>
      </c>
      <c r="BF675" t="str">
        <f>HYPERLINK("http://pfam.sanger.ac.uk/family?acc=PF10731","5E-021")</f>
        <v>5E-021</v>
      </c>
      <c r="BG675" s="2" t="str">
        <f>HYPERLINK("http://exon.niaid.nih.gov/transcriptome/Anopheles_sialome/links/SMART/anoga_cE5-anophelin-SMART.txt","AgrB")</f>
        <v>AgrB</v>
      </c>
      <c r="BH675" t="str">
        <f>HYPERLINK("http://smart.embl-heidelberg.de/smart/do_annotation.pl?DOMAIN=AgrB&amp;BLAST=DUMMY","1.2")</f>
        <v>1.2</v>
      </c>
      <c r="BI675" t="s">
        <v>128</v>
      </c>
      <c r="BJ675" s="2" t="s">
        <v>128</v>
      </c>
      <c r="BK675" t="s">
        <v>956</v>
      </c>
      <c r="BL675">
        <f>HYPERLINK("http://exon.niaid.nih.gov/transcriptome/Anopheles_sialome/links/cluster-b/anopheline-sialome-cds-pep-larger-orf25-50SimCLU1.txt", 1)</f>
        <v>1</v>
      </c>
      <c r="BM675">
        <f>HYPERLINK("http://exon.niaid.nih.gov/transcriptome/Anopheles_sialome/links/cluster-b/anopheline-sialome-cds-pep-larger-orf25-50SimCLTL1.txt", 165)</f>
        <v>165</v>
      </c>
      <c r="BN675">
        <f>HYPERLINK("http://exon.niaid.nih.gov/transcriptome/Anopheles_sialome/links/cluster-b/anopheline-sialome-cds-pep-larger-orf30-50SimCLU1.txt", 1)</f>
        <v>1</v>
      </c>
      <c r="BO675">
        <f>HYPERLINK("http://exon.niaid.nih.gov/transcriptome/Anopheles_sialome/links/cluster-b/anopheline-sialome-cds-pep-larger-orf30-50SimCLTL1.txt", 165)</f>
        <v>165</v>
      </c>
      <c r="BP675">
        <f>HYPERLINK("http://exon.niaid.nih.gov/transcriptome/Anopheles_sialome/links/cluster-b/anopheline-sialome-cds-pep-larger-orf35-50SimCLU4.txt", 4)</f>
        <v>4</v>
      </c>
      <c r="BQ675">
        <f>HYPERLINK("http://exon.niaid.nih.gov/transcriptome/Anopheles_sialome/links/cluster-b/anopheline-sialome-cds-pep-larger-orf35-50SimCLTL4.txt", 76)</f>
        <v>76</v>
      </c>
      <c r="BR675">
        <f>HYPERLINK("http://exon.niaid.nih.gov/transcriptome/Anopheles_sialome/links/cluster-b/anopheline-sialome-cds-pep-larger-orf40-50SimCLU18.txt", 18)</f>
        <v>18</v>
      </c>
      <c r="BS675">
        <f>HYPERLINK("http://exon.niaid.nih.gov/transcriptome/Anopheles_sialome/links/cluster-b/anopheline-sialome-cds-pep-larger-orf40-50SimCLTL18.txt", 18)</f>
        <v>18</v>
      </c>
      <c r="BT675">
        <f>HYPERLINK("http://exon.niaid.nih.gov/transcriptome/Anopheles_sialome/links/cluster-b/anopheline-sialome-cds-pep-larger-orf45-50SimCLU18.txt", 18)</f>
        <v>18</v>
      </c>
      <c r="BU675">
        <f>HYPERLINK("http://exon.niaid.nih.gov/transcriptome/Anopheles_sialome/links/cluster-b/anopheline-sialome-cds-pep-larger-orf45-50SimCLTL18.txt", 18)</f>
        <v>18</v>
      </c>
      <c r="BV675">
        <f>HYPERLINK("http://exon.niaid.nih.gov/transcriptome/Anopheles_sialome/links/cluster-b/anopheline-sialome-cds-pep-larger-orf50-50SimCLU17.txt", 17)</f>
        <v>17</v>
      </c>
      <c r="BW675">
        <f>HYPERLINK("http://exon.niaid.nih.gov/transcriptome/Anopheles_sialome/links/cluster-b/anopheline-sialome-cds-pep-larger-orf50-50SimCLTL17.txt", 18)</f>
        <v>18</v>
      </c>
      <c r="BX675">
        <f>HYPERLINK("http://exon.niaid.nih.gov/transcriptome/Anopheles_sialome/links/cluster-b/anopheline-sialome-cds-pep-larger-orf55-50SimCLU18.txt", 18)</f>
        <v>18</v>
      </c>
      <c r="BY675">
        <f>HYPERLINK("http://exon.niaid.nih.gov/transcriptome/Anopheles_sialome/links/cluster-b/anopheline-sialome-cds-pep-larger-orf55-50SimCLTL18.txt", 18)</f>
        <v>18</v>
      </c>
      <c r="BZ675">
        <f>HYPERLINK("http://exon.niaid.nih.gov/transcriptome/Anopheles_sialome/links/cluster-b/anopheline-sialome-cds-pep-larger-orf60-50SimCLU17.txt", 17)</f>
        <v>17</v>
      </c>
      <c r="CA675">
        <f>HYPERLINK("http://exon.niaid.nih.gov/transcriptome/Anopheles_sialome/links/cluster-b/anopheline-sialome-cds-pep-larger-orf60-50SimCLTL17.txt", 18)</f>
        <v>18</v>
      </c>
      <c r="CB675">
        <f>HYPERLINK("http://exon.niaid.nih.gov/transcriptome/Anopheles_sialome/links/cluster-b/anopheline-sialome-cds-pep-larger-orf65-50SimCLU30.txt", 30)</f>
        <v>30</v>
      </c>
      <c r="CC675">
        <f>HYPERLINK("http://exon.niaid.nih.gov/transcriptome/Anopheles_sialome/links/cluster-b/anopheline-sialome-cds-pep-larger-orf65-50SimCLTL30.txt", 14)</f>
        <v>14</v>
      </c>
      <c r="CD675">
        <f>HYPERLINK("http://exon.niaid.nih.gov/transcriptome/Anopheles_sialome/links/cluster-b/anopheline-sialome-cds-pep-larger-orf70-50SimCLU37.txt", 37)</f>
        <v>37</v>
      </c>
      <c r="CE675">
        <f>HYPERLINK("http://exon.niaid.nih.gov/transcriptome/Anopheles_sialome/links/cluster-b/anopheline-sialome-cds-pep-larger-orf70-50SimCLTL37.txt", 12)</f>
        <v>12</v>
      </c>
      <c r="CF675">
        <f>HYPERLINK("http://exon.niaid.nih.gov/transcriptome/Anopheles_sialome/links/cluster-b/anopheline-sialome-cds-pep-larger-orf75-50SimCLU37.txt", 37)</f>
        <v>37</v>
      </c>
      <c r="CG675">
        <f>HYPERLINK("http://exon.niaid.nih.gov/transcriptome/Anopheles_sialome/links/cluster-b/anopheline-sialome-cds-pep-larger-orf75-50SimCLTL37.txt", 7)</f>
        <v>7</v>
      </c>
      <c r="CH675">
        <f>HYPERLINK("http://exon.niaid.nih.gov/transcriptome/Anopheles_sialome/links/cluster-b/anopheline-sialome-cds-pep-larger-orf80-50SimCLU33.txt", 33)</f>
        <v>33</v>
      </c>
      <c r="CI675">
        <f>HYPERLINK("http://exon.niaid.nih.gov/transcriptome/Anopheles_sialome/links/cluster-b/anopheline-sialome-cds-pep-larger-orf80-50SimCLTL33.txt", 6)</f>
        <v>6</v>
      </c>
      <c r="CJ675">
        <f>HYPERLINK("http://exon.niaid.nih.gov/transcriptome/Anopheles_sialome/links/cluster-b/anopheline-sialome-cds-pep-larger-orf85-50SimCLU28.txt", 28)</f>
        <v>28</v>
      </c>
      <c r="CK675">
        <f>HYPERLINK("http://exon.niaid.nih.gov/transcriptome/Anopheles_sialome/links/cluster-b/anopheline-sialome-cds-pep-larger-orf85-50SimCLTL28.txt", 6)</f>
        <v>6</v>
      </c>
      <c r="CL675">
        <f>HYPERLINK("http://exon.niaid.nih.gov/transcriptome/Anopheles_sialome/links/cluster-b/anopheline-sialome-cds-pep-larger-orf90-50SimCLU19.txt", 19)</f>
        <v>19</v>
      </c>
      <c r="CM675">
        <f>HYPERLINK("http://exon.niaid.nih.gov/transcriptome/Anopheles_sialome/links/cluster-b/anopheline-sialome-cds-pep-larger-orf90-50SimCLTL19.txt", 6)</f>
        <v>6</v>
      </c>
      <c r="CN675">
        <f>HYPERLINK("http://exon.niaid.nih.gov/transcriptome/Anopheles_sialome/links/cluster-b/anopheline-sialome-cds-pep-larger-orf95-50SimCLU7.txt", 7)</f>
        <v>7</v>
      </c>
      <c r="CO675">
        <f>HYPERLINK("http://exon.niaid.nih.gov/transcriptome/Anopheles_sialome/links/cluster-b/anopheline-sialome-cds-pep-larger-orf95-50SimCLTL7.txt", 6)</f>
        <v>6</v>
      </c>
    </row>
    <row r="676" spans="1:93">
      <c r="A676" s="2" t="str">
        <f>HYPERLINK("http://exon.niaid.nih.gov/transcriptome/Anopheles_sialome/links/cds/anocol_cE5-anophelin-cds.txt","anocol_cE5-anophelin")</f>
        <v>anocol_cE5-anophelin</v>
      </c>
      <c r="B676">
        <v>312</v>
      </c>
      <c r="C676" t="s">
        <v>135</v>
      </c>
      <c r="D676" t="s">
        <v>4</v>
      </c>
      <c r="E676" t="s">
        <v>5</v>
      </c>
      <c r="F676" t="s">
        <v>1</v>
      </c>
      <c r="G676" t="str">
        <f>HYPERLINK("http://exon.niaid.nih.gov/transcriptome/Anopheles_sialome/links/pep/anocol_cE5-anophelin-pep.txt","anocol_cE5-anophelin")</f>
        <v>anocol_cE5-anophelin</v>
      </c>
      <c r="H676">
        <v>103</v>
      </c>
      <c r="I676">
        <v>2</v>
      </c>
      <c r="J676" s="3" t="str">
        <f>HYPERLINK("http://exon.niaid.nih.gov/transcriptome/Anopheles_sialome/links/Sigp/anocol_cE5-anophelin-SigP.txt","SIG")</f>
        <v>SIG</v>
      </c>
      <c r="K676" t="s">
        <v>689</v>
      </c>
      <c r="L676">
        <v>11.173999999999999</v>
      </c>
      <c r="M676">
        <v>3.98</v>
      </c>
      <c r="N676">
        <v>8.9420000000000002</v>
      </c>
      <c r="O676">
        <v>3.9</v>
      </c>
      <c r="P676" t="s">
        <v>957</v>
      </c>
      <c r="Q676" s="3" t="str">
        <f>HYPERLINK("http://exon.niaid.nih.gov/transcriptome/Anopheles_sialome/links/tmhmm/anocol_cE5-anophelin-tmhmm.txt","1")</f>
        <v>1</v>
      </c>
      <c r="R676">
        <v>16.5</v>
      </c>
      <c r="S676">
        <v>78.599999999999994</v>
      </c>
      <c r="T676">
        <v>4.9000000000000004</v>
      </c>
      <c r="U676" t="s">
        <v>128</v>
      </c>
      <c r="V676">
        <v>81</v>
      </c>
      <c r="W676" s="3" t="str">
        <f>HYPERLINK("http://exon.niaid.nih.gov/transcriptome/Anopheles_sialome/links/netoglyc/anocol_cE5-anophelin-netoglyc.txt","10")</f>
        <v>10</v>
      </c>
      <c r="X676">
        <v>17.5</v>
      </c>
      <c r="Y676">
        <v>2.9</v>
      </c>
      <c r="Z676">
        <v>7.8</v>
      </c>
      <c r="AA676" t="s">
        <v>654</v>
      </c>
      <c r="AB676" t="s">
        <v>128</v>
      </c>
      <c r="AC676" s="2" t="str">
        <f>HYPERLINK("http://exon.niaid.nih.gov/transcriptome/Anopheles_sialome/links/DIPTERA/anocol_cE5-anophelin-DIPTERA.txt","AGAP008004-PA")</f>
        <v>AGAP008004-PA</v>
      </c>
      <c r="AD676" t="str">
        <f>HYPERLINK("http://www.ncbi.nlm.nih.gov/sutils/blink.cgi?pid=116123248","8E-053")</f>
        <v>8E-053</v>
      </c>
      <c r="AE676" t="str">
        <f t="shared" si="238"/>
        <v>gi|116123248</v>
      </c>
      <c r="AF676">
        <v>100</v>
      </c>
      <c r="AG676">
        <v>100</v>
      </c>
      <c r="AH676">
        <v>100</v>
      </c>
      <c r="AI676" t="s">
        <v>2285</v>
      </c>
      <c r="AJ676" s="2" t="str">
        <f>HYPERLINK("http://exon.niaid.nih.gov/transcriptome/Anopheles_sialome/links/CULICOMORPHA/anocol_cE5-anophelin-CULICOMORPHA.txt","AGAP008004-PA")</f>
        <v>AGAP008004-PA</v>
      </c>
      <c r="AK676" t="str">
        <f>HYPERLINK("http://www.ncbi.nlm.nih.gov/sutils/blink.cgi?pid=116123248","1E-053")</f>
        <v>1E-053</v>
      </c>
      <c r="AL676" t="str">
        <f t="shared" si="239"/>
        <v>gi|116123248</v>
      </c>
      <c r="AM676">
        <v>100</v>
      </c>
      <c r="AN676">
        <v>100</v>
      </c>
      <c r="AO676">
        <v>100</v>
      </c>
      <c r="AP676" t="s">
        <v>2285</v>
      </c>
      <c r="AQ676" s="2" t="str">
        <f>HYPERLINK("http://exon.niaid.nih.gov/transcriptome/Anopheles_sialome/links/NR-LIGHT/anocol_cE5-anophelin-NR-LIGHT.txt","AGAP008004-PA")</f>
        <v>AGAP008004-PA</v>
      </c>
      <c r="AR676" t="str">
        <f>HYPERLINK("http://www.ncbi.nlm.nih.gov/sutils/blink.cgi?pid=118789501","2E-052")</f>
        <v>2E-052</v>
      </c>
      <c r="AS676" t="str">
        <f t="shared" si="240"/>
        <v>gi|118789501</v>
      </c>
      <c r="AT676">
        <v>100</v>
      </c>
      <c r="AU676">
        <v>100</v>
      </c>
      <c r="AV676">
        <v>100</v>
      </c>
      <c r="AW676" t="s">
        <v>2285</v>
      </c>
      <c r="AX676" s="2" t="str">
        <f>HYPERLINK("http://exon.niaid.nih.gov/transcriptome/Anopheles_sialome/links/CDD/anocol_cE5-anophelin-CDD.txt","Anophelin")</f>
        <v>Anophelin</v>
      </c>
      <c r="AY676" t="str">
        <f>HYPERLINK("http://www.ncbi.nlm.nih.gov/Structure/cdd/cddsrv.cgi?uid=pfam10731&amp;version=v4.0","2E-020")</f>
        <v>2E-020</v>
      </c>
      <c r="AZ676" t="s">
        <v>2434</v>
      </c>
      <c r="BA676" s="2" t="str">
        <f>HYPERLINK("http://exon.niaid.nih.gov/transcriptome/Anopheles_sialome/links/KOG/anocol_cE5-anophelin-KOG.txt","Phosphoinositide 3-kinase")</f>
        <v>Phosphoinositide 3-kinase</v>
      </c>
      <c r="BB676" t="str">
        <f>HYPERLINK("http://www.ncbi.nlm.nih.gov/Structure/cdd/cddsrv.cgi?uid=KOG0905","0.004")</f>
        <v>0.004</v>
      </c>
      <c r="BC676" t="s">
        <v>2292</v>
      </c>
      <c r="BD676" t="str">
        <f>HYPERLINK("http://exon.niaid.nih.gov/transcriptome/Anopheles_sialome/links/KOG/anocol_cE5-anophelin-KOG.txt","KOG0905")</f>
        <v>KOG0905</v>
      </c>
      <c r="BE676" t="str">
        <f>HYPERLINK("http://exon.niaid.nih.gov/transcriptome/Anopheles_sialome/links/PFAM/anocol_cE5-anophelin-PFAM.txt","Anophelin")</f>
        <v>Anophelin</v>
      </c>
      <c r="BF676" t="str">
        <f>HYPERLINK("http://pfam.sanger.ac.uk/family?acc=PF10731","5E-021")</f>
        <v>5E-021</v>
      </c>
      <c r="BG676" s="2" t="str">
        <f>HYPERLINK("http://exon.niaid.nih.gov/transcriptome/Anopheles_sialome/links/SMART/anocol_cE5-anophelin-SMART.txt","AgrB")</f>
        <v>AgrB</v>
      </c>
      <c r="BH676" t="str">
        <f>HYPERLINK("http://smart.embl-heidelberg.de/smart/do_annotation.pl?DOMAIN=AgrB&amp;BLAST=DUMMY","1.2")</f>
        <v>1.2</v>
      </c>
      <c r="BI676" t="s">
        <v>128</v>
      </c>
      <c r="BJ676" s="2" t="s">
        <v>128</v>
      </c>
      <c r="BK676" t="s">
        <v>958</v>
      </c>
      <c r="BL676">
        <f>HYPERLINK("http://exon.niaid.nih.gov/transcriptome/Anopheles_sialome/links/cluster-b/anopheline-sialome-cds-pep-larger-orf25-50SimCLU1.txt", 1)</f>
        <v>1</v>
      </c>
      <c r="BM676">
        <f>HYPERLINK("http://exon.niaid.nih.gov/transcriptome/Anopheles_sialome/links/cluster-b/anopheline-sialome-cds-pep-larger-orf25-50SimCLTL1.txt", 165)</f>
        <v>165</v>
      </c>
      <c r="BN676">
        <f>HYPERLINK("http://exon.niaid.nih.gov/transcriptome/Anopheles_sialome/links/cluster-b/anopheline-sialome-cds-pep-larger-orf30-50SimCLU1.txt", 1)</f>
        <v>1</v>
      </c>
      <c r="BO676">
        <f>HYPERLINK("http://exon.niaid.nih.gov/transcriptome/Anopheles_sialome/links/cluster-b/anopheline-sialome-cds-pep-larger-orf30-50SimCLTL1.txt", 165)</f>
        <v>165</v>
      </c>
      <c r="BP676">
        <f>HYPERLINK("http://exon.niaid.nih.gov/transcriptome/Anopheles_sialome/links/cluster-b/anopheline-sialome-cds-pep-larger-orf35-50SimCLU4.txt", 4)</f>
        <v>4</v>
      </c>
      <c r="BQ676">
        <f>HYPERLINK("http://exon.niaid.nih.gov/transcriptome/Anopheles_sialome/links/cluster-b/anopheline-sialome-cds-pep-larger-orf35-50SimCLTL4.txt", 76)</f>
        <v>76</v>
      </c>
      <c r="BR676">
        <f>HYPERLINK("http://exon.niaid.nih.gov/transcriptome/Anopheles_sialome/links/cluster-b/anopheline-sialome-cds-pep-larger-orf40-50SimCLU18.txt", 18)</f>
        <v>18</v>
      </c>
      <c r="BS676">
        <f>HYPERLINK("http://exon.niaid.nih.gov/transcriptome/Anopheles_sialome/links/cluster-b/anopheline-sialome-cds-pep-larger-orf40-50SimCLTL18.txt", 18)</f>
        <v>18</v>
      </c>
      <c r="BT676">
        <f>HYPERLINK("http://exon.niaid.nih.gov/transcriptome/Anopheles_sialome/links/cluster-b/anopheline-sialome-cds-pep-larger-orf45-50SimCLU18.txt", 18)</f>
        <v>18</v>
      </c>
      <c r="BU676">
        <f>HYPERLINK("http://exon.niaid.nih.gov/transcriptome/Anopheles_sialome/links/cluster-b/anopheline-sialome-cds-pep-larger-orf45-50SimCLTL18.txt", 18)</f>
        <v>18</v>
      </c>
      <c r="BV676">
        <f>HYPERLINK("http://exon.niaid.nih.gov/transcriptome/Anopheles_sialome/links/cluster-b/anopheline-sialome-cds-pep-larger-orf50-50SimCLU17.txt", 17)</f>
        <v>17</v>
      </c>
      <c r="BW676">
        <f>HYPERLINK("http://exon.niaid.nih.gov/transcriptome/Anopheles_sialome/links/cluster-b/anopheline-sialome-cds-pep-larger-orf50-50SimCLTL17.txt", 18)</f>
        <v>18</v>
      </c>
      <c r="BX676">
        <f>HYPERLINK("http://exon.niaid.nih.gov/transcriptome/Anopheles_sialome/links/cluster-b/anopheline-sialome-cds-pep-larger-orf55-50SimCLU18.txt", 18)</f>
        <v>18</v>
      </c>
      <c r="BY676">
        <f>HYPERLINK("http://exon.niaid.nih.gov/transcriptome/Anopheles_sialome/links/cluster-b/anopheline-sialome-cds-pep-larger-orf55-50SimCLTL18.txt", 18)</f>
        <v>18</v>
      </c>
      <c r="BZ676">
        <f>HYPERLINK("http://exon.niaid.nih.gov/transcriptome/Anopheles_sialome/links/cluster-b/anopheline-sialome-cds-pep-larger-orf60-50SimCLU17.txt", 17)</f>
        <v>17</v>
      </c>
      <c r="CA676">
        <f>HYPERLINK("http://exon.niaid.nih.gov/transcriptome/Anopheles_sialome/links/cluster-b/anopheline-sialome-cds-pep-larger-orf60-50SimCLTL17.txt", 18)</f>
        <v>18</v>
      </c>
      <c r="CB676">
        <f>HYPERLINK("http://exon.niaid.nih.gov/transcriptome/Anopheles_sialome/links/cluster-b/anopheline-sialome-cds-pep-larger-orf65-50SimCLU30.txt", 30)</f>
        <v>30</v>
      </c>
      <c r="CC676">
        <f>HYPERLINK("http://exon.niaid.nih.gov/transcriptome/Anopheles_sialome/links/cluster-b/anopheline-sialome-cds-pep-larger-orf65-50SimCLTL30.txt", 14)</f>
        <v>14</v>
      </c>
      <c r="CD676">
        <f>HYPERLINK("http://exon.niaid.nih.gov/transcriptome/Anopheles_sialome/links/cluster-b/anopheline-sialome-cds-pep-larger-orf70-50SimCLU37.txt", 37)</f>
        <v>37</v>
      </c>
      <c r="CE676">
        <f>HYPERLINK("http://exon.niaid.nih.gov/transcriptome/Anopheles_sialome/links/cluster-b/anopheline-sialome-cds-pep-larger-orf70-50SimCLTL37.txt", 12)</f>
        <v>12</v>
      </c>
      <c r="CF676">
        <f>HYPERLINK("http://exon.niaid.nih.gov/transcriptome/Anopheles_sialome/links/cluster-b/anopheline-sialome-cds-pep-larger-orf75-50SimCLU37.txt", 37)</f>
        <v>37</v>
      </c>
      <c r="CG676">
        <f>HYPERLINK("http://exon.niaid.nih.gov/transcriptome/Anopheles_sialome/links/cluster-b/anopheline-sialome-cds-pep-larger-orf75-50SimCLTL37.txt", 7)</f>
        <v>7</v>
      </c>
      <c r="CH676">
        <f>HYPERLINK("http://exon.niaid.nih.gov/transcriptome/Anopheles_sialome/links/cluster-b/anopheline-sialome-cds-pep-larger-orf80-50SimCLU33.txt", 33)</f>
        <v>33</v>
      </c>
      <c r="CI676">
        <f>HYPERLINK("http://exon.niaid.nih.gov/transcriptome/Anopheles_sialome/links/cluster-b/anopheline-sialome-cds-pep-larger-orf80-50SimCLTL33.txt", 6)</f>
        <v>6</v>
      </c>
      <c r="CJ676">
        <f>HYPERLINK("http://exon.niaid.nih.gov/transcriptome/Anopheles_sialome/links/cluster-b/anopheline-sialome-cds-pep-larger-orf85-50SimCLU28.txt", 28)</f>
        <v>28</v>
      </c>
      <c r="CK676">
        <f>HYPERLINK("http://exon.niaid.nih.gov/transcriptome/Anopheles_sialome/links/cluster-b/anopheline-sialome-cds-pep-larger-orf85-50SimCLTL28.txt", 6)</f>
        <v>6</v>
      </c>
      <c r="CL676">
        <f>HYPERLINK("http://exon.niaid.nih.gov/transcriptome/Anopheles_sialome/links/cluster-b/anopheline-sialome-cds-pep-larger-orf90-50SimCLU19.txt", 19)</f>
        <v>19</v>
      </c>
      <c r="CM676">
        <f>HYPERLINK("http://exon.niaid.nih.gov/transcriptome/Anopheles_sialome/links/cluster-b/anopheline-sialome-cds-pep-larger-orf90-50SimCLTL19.txt", 6)</f>
        <v>6</v>
      </c>
      <c r="CN676">
        <f>HYPERLINK("http://exon.niaid.nih.gov/transcriptome/Anopheles_sialome/links/cluster-b/anopheline-sialome-cds-pep-larger-orf95-50SimCLU7.txt", 7)</f>
        <v>7</v>
      </c>
      <c r="CO676">
        <f>HYPERLINK("http://exon.niaid.nih.gov/transcriptome/Anopheles_sialome/links/cluster-b/anopheline-sialome-cds-pep-larger-orf95-50SimCLTL7.txt", 6)</f>
        <v>6</v>
      </c>
    </row>
    <row r="677" spans="1:93">
      <c r="A677" s="2" t="str">
        <f>HYPERLINK("http://exon.niaid.nih.gov/transcriptome/Anopheles_sialome/links/cds/anoara_cE5-anophelin-cds.txt","anoara_cE5-anophelin")</f>
        <v>anoara_cE5-anophelin</v>
      </c>
      <c r="B677">
        <v>312</v>
      </c>
      <c r="C677" t="s">
        <v>136</v>
      </c>
      <c r="D677" t="s">
        <v>4</v>
      </c>
      <c r="E677" t="s">
        <v>5</v>
      </c>
      <c r="F677" t="s">
        <v>1</v>
      </c>
      <c r="G677" t="str">
        <f>HYPERLINK("http://exon.niaid.nih.gov/transcriptome/Anopheles_sialome/links/pep/anoara_cE5-anophelin-pep.txt","anoara_cE5-anophelin")</f>
        <v>anoara_cE5-anophelin</v>
      </c>
      <c r="H677">
        <v>103</v>
      </c>
      <c r="I677">
        <v>2</v>
      </c>
      <c r="J677" s="3" t="str">
        <f>HYPERLINK("http://exon.niaid.nih.gov/transcriptome/Anopheles_sialome/links/Sigp/anoara_cE5-anophelin-SigP.txt","SIG")</f>
        <v>SIG</v>
      </c>
      <c r="K677" t="s">
        <v>689</v>
      </c>
      <c r="L677">
        <v>11.173999999999999</v>
      </c>
      <c r="M677">
        <v>3.98</v>
      </c>
      <c r="N677">
        <v>8.9420000000000002</v>
      </c>
      <c r="O677">
        <v>3.9</v>
      </c>
      <c r="P677" t="s">
        <v>957</v>
      </c>
      <c r="Q677" s="3" t="str">
        <f>HYPERLINK("http://exon.niaid.nih.gov/transcriptome/Anopheles_sialome/links/tmhmm/anoara_cE5-anophelin-tmhmm.txt","1")</f>
        <v>1</v>
      </c>
      <c r="R677">
        <v>16.5</v>
      </c>
      <c r="S677">
        <v>78.599999999999994</v>
      </c>
      <c r="T677">
        <v>4.9000000000000004</v>
      </c>
      <c r="U677" t="s">
        <v>128</v>
      </c>
      <c r="V677">
        <v>81</v>
      </c>
      <c r="W677" s="3" t="str">
        <f>HYPERLINK("http://exon.niaid.nih.gov/transcriptome/Anopheles_sialome/links/netoglyc/anoara_cE5-anophelin-netoglyc.txt","10")</f>
        <v>10</v>
      </c>
      <c r="X677">
        <v>17.5</v>
      </c>
      <c r="Y677">
        <v>2.9</v>
      </c>
      <c r="Z677">
        <v>7.8</v>
      </c>
      <c r="AA677" t="s">
        <v>654</v>
      </c>
      <c r="AB677" t="s">
        <v>128</v>
      </c>
      <c r="AC677" s="2" t="str">
        <f>HYPERLINK("http://exon.niaid.nih.gov/transcriptome/Anopheles_sialome/links/DIPTERA/anoara_cE5-anophelin-DIPTERA.txt","AGAP008004-PA")</f>
        <v>AGAP008004-PA</v>
      </c>
      <c r="AD677" t="str">
        <f>HYPERLINK("http://www.ncbi.nlm.nih.gov/sutils/blink.cgi?pid=116123248","8E-053")</f>
        <v>8E-053</v>
      </c>
      <c r="AE677" t="str">
        <f t="shared" si="238"/>
        <v>gi|116123248</v>
      </c>
      <c r="AF677">
        <v>100</v>
      </c>
      <c r="AG677">
        <v>100</v>
      </c>
      <c r="AH677">
        <v>100</v>
      </c>
      <c r="AI677" t="s">
        <v>2285</v>
      </c>
      <c r="AJ677" s="2" t="str">
        <f>HYPERLINK("http://exon.niaid.nih.gov/transcriptome/Anopheles_sialome/links/CULICOMORPHA/anoara_cE5-anophelin-CULICOMORPHA.txt","AGAP008004-PA")</f>
        <v>AGAP008004-PA</v>
      </c>
      <c r="AK677" t="str">
        <f>HYPERLINK("http://www.ncbi.nlm.nih.gov/sutils/blink.cgi?pid=116123248","1E-053")</f>
        <v>1E-053</v>
      </c>
      <c r="AL677" t="str">
        <f t="shared" si="239"/>
        <v>gi|116123248</v>
      </c>
      <c r="AM677">
        <v>100</v>
      </c>
      <c r="AN677">
        <v>100</v>
      </c>
      <c r="AO677">
        <v>100</v>
      </c>
      <c r="AP677" t="s">
        <v>2285</v>
      </c>
      <c r="AQ677" s="2" t="str">
        <f>HYPERLINK("http://exon.niaid.nih.gov/transcriptome/Anopheles_sialome/links/NR-LIGHT/anoara_cE5-anophelin-NR-LIGHT.txt","AGAP008004-PA")</f>
        <v>AGAP008004-PA</v>
      </c>
      <c r="AR677" t="str">
        <f>HYPERLINK("http://www.ncbi.nlm.nih.gov/sutils/blink.cgi?pid=118789501","2E-052")</f>
        <v>2E-052</v>
      </c>
      <c r="AS677" t="str">
        <f t="shared" si="240"/>
        <v>gi|118789501</v>
      </c>
      <c r="AT677">
        <v>100</v>
      </c>
      <c r="AU677">
        <v>100</v>
      </c>
      <c r="AV677">
        <v>100</v>
      </c>
      <c r="AW677" t="s">
        <v>2285</v>
      </c>
      <c r="AX677" s="2" t="str">
        <f>HYPERLINK("http://exon.niaid.nih.gov/transcriptome/Anopheles_sialome/links/CDD/anoara_cE5-anophelin-CDD.txt","Anophelin")</f>
        <v>Anophelin</v>
      </c>
      <c r="AY677" t="str">
        <f>HYPERLINK("http://www.ncbi.nlm.nih.gov/Structure/cdd/cddsrv.cgi?uid=pfam10731&amp;version=v4.0","2E-020")</f>
        <v>2E-020</v>
      </c>
      <c r="AZ677" t="s">
        <v>2434</v>
      </c>
      <c r="BA677" s="2" t="str">
        <f>HYPERLINK("http://exon.niaid.nih.gov/transcriptome/Anopheles_sialome/links/KOG/anoara_cE5-anophelin-KOG.txt","Phosphoinositide 3-kinase")</f>
        <v>Phosphoinositide 3-kinase</v>
      </c>
      <c r="BB677" t="str">
        <f>HYPERLINK("http://www.ncbi.nlm.nih.gov/Structure/cdd/cddsrv.cgi?uid=KOG0905","0.004")</f>
        <v>0.004</v>
      </c>
      <c r="BC677" t="s">
        <v>2292</v>
      </c>
      <c r="BD677" t="str">
        <f>HYPERLINK("http://exon.niaid.nih.gov/transcriptome/Anopheles_sialome/links/KOG/anoara_cE5-anophelin-KOG.txt","KOG0905")</f>
        <v>KOG0905</v>
      </c>
      <c r="BE677" t="str">
        <f>HYPERLINK("http://exon.niaid.nih.gov/transcriptome/Anopheles_sialome/links/PFAM/anoara_cE5-anophelin-PFAM.txt","Anophelin")</f>
        <v>Anophelin</v>
      </c>
      <c r="BF677" t="str">
        <f>HYPERLINK("http://pfam.sanger.ac.uk/family?acc=PF10731","5E-021")</f>
        <v>5E-021</v>
      </c>
      <c r="BG677" s="2" t="str">
        <f>HYPERLINK("http://exon.niaid.nih.gov/transcriptome/Anopheles_sialome/links/SMART/anoara_cE5-anophelin-SMART.txt","AgrB")</f>
        <v>AgrB</v>
      </c>
      <c r="BH677" t="str">
        <f>HYPERLINK("http://smart.embl-heidelberg.de/smart/do_annotation.pl?DOMAIN=AgrB&amp;BLAST=DUMMY","1.2")</f>
        <v>1.2</v>
      </c>
      <c r="BI677" t="s">
        <v>128</v>
      </c>
      <c r="BJ677" s="2" t="s">
        <v>128</v>
      </c>
      <c r="BK677" t="s">
        <v>959</v>
      </c>
      <c r="BL677">
        <f>HYPERLINK("http://exon.niaid.nih.gov/transcriptome/Anopheles_sialome/links/cluster-b/anopheline-sialome-cds-pep-larger-orf25-50SimCLU1.txt", 1)</f>
        <v>1</v>
      </c>
      <c r="BM677">
        <f>HYPERLINK("http://exon.niaid.nih.gov/transcriptome/Anopheles_sialome/links/cluster-b/anopheline-sialome-cds-pep-larger-orf25-50SimCLTL1.txt", 165)</f>
        <v>165</v>
      </c>
      <c r="BN677">
        <f>HYPERLINK("http://exon.niaid.nih.gov/transcriptome/Anopheles_sialome/links/cluster-b/anopheline-sialome-cds-pep-larger-orf30-50SimCLU1.txt", 1)</f>
        <v>1</v>
      </c>
      <c r="BO677">
        <f>HYPERLINK("http://exon.niaid.nih.gov/transcriptome/Anopheles_sialome/links/cluster-b/anopheline-sialome-cds-pep-larger-orf30-50SimCLTL1.txt", 165)</f>
        <v>165</v>
      </c>
      <c r="BP677">
        <f>HYPERLINK("http://exon.niaid.nih.gov/transcriptome/Anopheles_sialome/links/cluster-b/anopheline-sialome-cds-pep-larger-orf35-50SimCLU4.txt", 4)</f>
        <v>4</v>
      </c>
      <c r="BQ677">
        <f>HYPERLINK("http://exon.niaid.nih.gov/transcriptome/Anopheles_sialome/links/cluster-b/anopheline-sialome-cds-pep-larger-orf35-50SimCLTL4.txt", 76)</f>
        <v>76</v>
      </c>
      <c r="BR677">
        <f>HYPERLINK("http://exon.niaid.nih.gov/transcriptome/Anopheles_sialome/links/cluster-b/anopheline-sialome-cds-pep-larger-orf40-50SimCLU18.txt", 18)</f>
        <v>18</v>
      </c>
      <c r="BS677">
        <f>HYPERLINK("http://exon.niaid.nih.gov/transcriptome/Anopheles_sialome/links/cluster-b/anopheline-sialome-cds-pep-larger-orf40-50SimCLTL18.txt", 18)</f>
        <v>18</v>
      </c>
      <c r="BT677">
        <f>HYPERLINK("http://exon.niaid.nih.gov/transcriptome/Anopheles_sialome/links/cluster-b/anopheline-sialome-cds-pep-larger-orf45-50SimCLU18.txt", 18)</f>
        <v>18</v>
      </c>
      <c r="BU677">
        <f>HYPERLINK("http://exon.niaid.nih.gov/transcriptome/Anopheles_sialome/links/cluster-b/anopheline-sialome-cds-pep-larger-orf45-50SimCLTL18.txt", 18)</f>
        <v>18</v>
      </c>
      <c r="BV677">
        <f>HYPERLINK("http://exon.niaid.nih.gov/transcriptome/Anopheles_sialome/links/cluster-b/anopheline-sialome-cds-pep-larger-orf50-50SimCLU17.txt", 17)</f>
        <v>17</v>
      </c>
      <c r="BW677">
        <f>HYPERLINK("http://exon.niaid.nih.gov/transcriptome/Anopheles_sialome/links/cluster-b/anopheline-sialome-cds-pep-larger-orf50-50SimCLTL17.txt", 18)</f>
        <v>18</v>
      </c>
      <c r="BX677">
        <f>HYPERLINK("http://exon.niaid.nih.gov/transcriptome/Anopheles_sialome/links/cluster-b/anopheline-sialome-cds-pep-larger-orf55-50SimCLU18.txt", 18)</f>
        <v>18</v>
      </c>
      <c r="BY677">
        <f>HYPERLINK("http://exon.niaid.nih.gov/transcriptome/Anopheles_sialome/links/cluster-b/anopheline-sialome-cds-pep-larger-orf55-50SimCLTL18.txt", 18)</f>
        <v>18</v>
      </c>
      <c r="BZ677">
        <f>HYPERLINK("http://exon.niaid.nih.gov/transcriptome/Anopheles_sialome/links/cluster-b/anopheline-sialome-cds-pep-larger-orf60-50SimCLU17.txt", 17)</f>
        <v>17</v>
      </c>
      <c r="CA677">
        <f>HYPERLINK("http://exon.niaid.nih.gov/transcriptome/Anopheles_sialome/links/cluster-b/anopheline-sialome-cds-pep-larger-orf60-50SimCLTL17.txt", 18)</f>
        <v>18</v>
      </c>
      <c r="CB677">
        <f>HYPERLINK("http://exon.niaid.nih.gov/transcriptome/Anopheles_sialome/links/cluster-b/anopheline-sialome-cds-pep-larger-orf65-50SimCLU30.txt", 30)</f>
        <v>30</v>
      </c>
      <c r="CC677">
        <f>HYPERLINK("http://exon.niaid.nih.gov/transcriptome/Anopheles_sialome/links/cluster-b/anopheline-sialome-cds-pep-larger-orf65-50SimCLTL30.txt", 14)</f>
        <v>14</v>
      </c>
      <c r="CD677">
        <f>HYPERLINK("http://exon.niaid.nih.gov/transcriptome/Anopheles_sialome/links/cluster-b/anopheline-sialome-cds-pep-larger-orf70-50SimCLU37.txt", 37)</f>
        <v>37</v>
      </c>
      <c r="CE677">
        <f>HYPERLINK("http://exon.niaid.nih.gov/transcriptome/Anopheles_sialome/links/cluster-b/anopheline-sialome-cds-pep-larger-orf70-50SimCLTL37.txt", 12)</f>
        <v>12</v>
      </c>
      <c r="CF677">
        <f>HYPERLINK("http://exon.niaid.nih.gov/transcriptome/Anopheles_sialome/links/cluster-b/anopheline-sialome-cds-pep-larger-orf75-50SimCLU37.txt", 37)</f>
        <v>37</v>
      </c>
      <c r="CG677">
        <f>HYPERLINK("http://exon.niaid.nih.gov/transcriptome/Anopheles_sialome/links/cluster-b/anopheline-sialome-cds-pep-larger-orf75-50SimCLTL37.txt", 7)</f>
        <v>7</v>
      </c>
      <c r="CH677">
        <f>HYPERLINK("http://exon.niaid.nih.gov/transcriptome/Anopheles_sialome/links/cluster-b/anopheline-sialome-cds-pep-larger-orf80-50SimCLU33.txt", 33)</f>
        <v>33</v>
      </c>
      <c r="CI677">
        <f>HYPERLINK("http://exon.niaid.nih.gov/transcriptome/Anopheles_sialome/links/cluster-b/anopheline-sialome-cds-pep-larger-orf80-50SimCLTL33.txt", 6)</f>
        <v>6</v>
      </c>
      <c r="CJ677">
        <f>HYPERLINK("http://exon.niaid.nih.gov/transcriptome/Anopheles_sialome/links/cluster-b/anopheline-sialome-cds-pep-larger-orf85-50SimCLU28.txt", 28)</f>
        <v>28</v>
      </c>
      <c r="CK677">
        <f>HYPERLINK("http://exon.niaid.nih.gov/transcriptome/Anopheles_sialome/links/cluster-b/anopheline-sialome-cds-pep-larger-orf85-50SimCLTL28.txt", 6)</f>
        <v>6</v>
      </c>
      <c r="CL677">
        <f>HYPERLINK("http://exon.niaid.nih.gov/transcriptome/Anopheles_sialome/links/cluster-b/anopheline-sialome-cds-pep-larger-orf90-50SimCLU19.txt", 19)</f>
        <v>19</v>
      </c>
      <c r="CM677">
        <f>HYPERLINK("http://exon.niaid.nih.gov/transcriptome/Anopheles_sialome/links/cluster-b/anopheline-sialome-cds-pep-larger-orf90-50SimCLTL19.txt", 6)</f>
        <v>6</v>
      </c>
      <c r="CN677">
        <f>HYPERLINK("http://exon.niaid.nih.gov/transcriptome/Anopheles_sialome/links/cluster-b/anopheline-sialome-cds-pep-larger-orf95-50SimCLU7.txt", 7)</f>
        <v>7</v>
      </c>
      <c r="CO677">
        <f>HYPERLINK("http://exon.niaid.nih.gov/transcriptome/Anopheles_sialome/links/cluster-b/anopheline-sialome-cds-pep-larger-orf95-50SimCLTL7.txt", 6)</f>
        <v>6</v>
      </c>
    </row>
    <row r="678" spans="1:93">
      <c r="A678" s="2" t="str">
        <f>HYPERLINK("http://exon.niaid.nih.gov/transcriptome/Anopheles_sialome/links/cds/anoqua_cE5-anophelin-cds.txt","anoqua_cE5-anophelin")</f>
        <v>anoqua_cE5-anophelin</v>
      </c>
      <c r="B678">
        <v>312</v>
      </c>
      <c r="C678" t="s">
        <v>137</v>
      </c>
      <c r="D678" t="s">
        <v>4</v>
      </c>
      <c r="E678" t="s">
        <v>5</v>
      </c>
      <c r="F678" t="s">
        <v>1</v>
      </c>
      <c r="G678" t="str">
        <f>HYPERLINK("http://exon.niaid.nih.gov/transcriptome/Anopheles_sialome/links/pep/anoqua_cE5-anophelin-pep.txt","anoqua_cE5-anophelin")</f>
        <v>anoqua_cE5-anophelin</v>
      </c>
      <c r="H678">
        <v>103</v>
      </c>
      <c r="I678">
        <v>2</v>
      </c>
      <c r="J678" s="3" t="str">
        <f>HYPERLINK("http://exon.niaid.nih.gov/transcriptome/Anopheles_sialome/links/Sigp/anoqua_cE5-anophelin-SigP.txt","SIG")</f>
        <v>SIG</v>
      </c>
      <c r="K678" t="s">
        <v>689</v>
      </c>
      <c r="L678">
        <v>11.173999999999999</v>
      </c>
      <c r="M678">
        <v>3.98</v>
      </c>
      <c r="N678">
        <v>8.9420000000000002</v>
      </c>
      <c r="O678">
        <v>3.9</v>
      </c>
      <c r="P678" t="s">
        <v>957</v>
      </c>
      <c r="Q678" s="3" t="str">
        <f>HYPERLINK("http://exon.niaid.nih.gov/transcriptome/Anopheles_sialome/links/tmhmm/anoqua_cE5-anophelin-tmhmm.txt","1")</f>
        <v>1</v>
      </c>
      <c r="R678">
        <v>16.5</v>
      </c>
      <c r="S678">
        <v>78.599999999999994</v>
      </c>
      <c r="T678">
        <v>4.9000000000000004</v>
      </c>
      <c r="U678" t="s">
        <v>128</v>
      </c>
      <c r="V678">
        <v>81</v>
      </c>
      <c r="W678" s="3" t="str">
        <f>HYPERLINK("http://exon.niaid.nih.gov/transcriptome/Anopheles_sialome/links/netoglyc/anoqua_cE5-anophelin-netoglyc.txt","10")</f>
        <v>10</v>
      </c>
      <c r="X678">
        <v>17.5</v>
      </c>
      <c r="Y678">
        <v>2.9</v>
      </c>
      <c r="Z678">
        <v>7.8</v>
      </c>
      <c r="AA678" t="s">
        <v>654</v>
      </c>
      <c r="AB678" t="s">
        <v>128</v>
      </c>
      <c r="AC678" s="2" t="str">
        <f>HYPERLINK("http://exon.niaid.nih.gov/transcriptome/Anopheles_sialome/links/DIPTERA/anoqua_cE5-anophelin-DIPTERA.txt","AGAP008004-PA")</f>
        <v>AGAP008004-PA</v>
      </c>
      <c r="AD678" t="str">
        <f>HYPERLINK("http://www.ncbi.nlm.nih.gov/sutils/blink.cgi?pid=116123248","8E-053")</f>
        <v>8E-053</v>
      </c>
      <c r="AE678" t="str">
        <f t="shared" si="238"/>
        <v>gi|116123248</v>
      </c>
      <c r="AF678">
        <v>100</v>
      </c>
      <c r="AG678">
        <v>100</v>
      </c>
      <c r="AH678">
        <v>100</v>
      </c>
      <c r="AI678" t="s">
        <v>2285</v>
      </c>
      <c r="AJ678" s="2" t="str">
        <f>HYPERLINK("http://exon.niaid.nih.gov/transcriptome/Anopheles_sialome/links/CULICOMORPHA/anoqua_cE5-anophelin-CULICOMORPHA.txt","AGAP008004-PA")</f>
        <v>AGAP008004-PA</v>
      </c>
      <c r="AK678" t="str">
        <f>HYPERLINK("http://www.ncbi.nlm.nih.gov/sutils/blink.cgi?pid=116123248","1E-053")</f>
        <v>1E-053</v>
      </c>
      <c r="AL678" t="str">
        <f t="shared" si="239"/>
        <v>gi|116123248</v>
      </c>
      <c r="AM678">
        <v>100</v>
      </c>
      <c r="AN678">
        <v>100</v>
      </c>
      <c r="AO678">
        <v>100</v>
      </c>
      <c r="AP678" t="s">
        <v>2285</v>
      </c>
      <c r="AQ678" s="2" t="str">
        <f>HYPERLINK("http://exon.niaid.nih.gov/transcriptome/Anopheles_sialome/links/NR-LIGHT/anoqua_cE5-anophelin-NR-LIGHT.txt","AGAP008004-PA")</f>
        <v>AGAP008004-PA</v>
      </c>
      <c r="AR678" t="str">
        <f>HYPERLINK("http://www.ncbi.nlm.nih.gov/sutils/blink.cgi?pid=118789501","2E-052")</f>
        <v>2E-052</v>
      </c>
      <c r="AS678" t="str">
        <f t="shared" si="240"/>
        <v>gi|118789501</v>
      </c>
      <c r="AT678">
        <v>100</v>
      </c>
      <c r="AU678">
        <v>100</v>
      </c>
      <c r="AV678">
        <v>100</v>
      </c>
      <c r="AW678" t="s">
        <v>2285</v>
      </c>
      <c r="AX678" s="2" t="str">
        <f>HYPERLINK("http://exon.niaid.nih.gov/transcriptome/Anopheles_sialome/links/CDD/anoqua_cE5-anophelin-CDD.txt","Anophelin")</f>
        <v>Anophelin</v>
      </c>
      <c r="AY678" t="str">
        <f>HYPERLINK("http://www.ncbi.nlm.nih.gov/Structure/cdd/cddsrv.cgi?uid=pfam10731&amp;version=v4.0","2E-020")</f>
        <v>2E-020</v>
      </c>
      <c r="AZ678" t="s">
        <v>2434</v>
      </c>
      <c r="BA678" s="2" t="str">
        <f>HYPERLINK("http://exon.niaid.nih.gov/transcriptome/Anopheles_sialome/links/KOG/anoqua_cE5-anophelin-KOG.txt","Phosphoinositide 3-kinase")</f>
        <v>Phosphoinositide 3-kinase</v>
      </c>
      <c r="BB678" t="str">
        <f>HYPERLINK("http://www.ncbi.nlm.nih.gov/Structure/cdd/cddsrv.cgi?uid=KOG0905","0.004")</f>
        <v>0.004</v>
      </c>
      <c r="BC678" t="s">
        <v>2292</v>
      </c>
      <c r="BD678" t="str">
        <f>HYPERLINK("http://exon.niaid.nih.gov/transcriptome/Anopheles_sialome/links/KOG/anoqua_cE5-anophelin-KOG.txt","KOG0905")</f>
        <v>KOG0905</v>
      </c>
      <c r="BE678" t="str">
        <f>HYPERLINK("http://exon.niaid.nih.gov/transcriptome/Anopheles_sialome/links/PFAM/anoqua_cE5-anophelin-PFAM.txt","Anophelin")</f>
        <v>Anophelin</v>
      </c>
      <c r="BF678" t="str">
        <f>HYPERLINK("http://pfam.sanger.ac.uk/family?acc=PF10731","5E-021")</f>
        <v>5E-021</v>
      </c>
      <c r="BG678" s="2" t="str">
        <f>HYPERLINK("http://exon.niaid.nih.gov/transcriptome/Anopheles_sialome/links/SMART/anoqua_cE5-anophelin-SMART.txt","AgrB")</f>
        <v>AgrB</v>
      </c>
      <c r="BH678" t="str">
        <f>HYPERLINK("http://smart.embl-heidelberg.de/smart/do_annotation.pl?DOMAIN=AgrB&amp;BLAST=DUMMY","1.2")</f>
        <v>1.2</v>
      </c>
      <c r="BI678" t="s">
        <v>128</v>
      </c>
      <c r="BJ678" s="2" t="s">
        <v>128</v>
      </c>
      <c r="BK678" t="s">
        <v>960</v>
      </c>
      <c r="BL678">
        <f>HYPERLINK("http://exon.niaid.nih.gov/transcriptome/Anopheles_sialome/links/cluster-b/anopheline-sialome-cds-pep-larger-orf25-50SimCLU1.txt", 1)</f>
        <v>1</v>
      </c>
      <c r="BM678">
        <f>HYPERLINK("http://exon.niaid.nih.gov/transcriptome/Anopheles_sialome/links/cluster-b/anopheline-sialome-cds-pep-larger-orf25-50SimCLTL1.txt", 165)</f>
        <v>165</v>
      </c>
      <c r="BN678">
        <f>HYPERLINK("http://exon.niaid.nih.gov/transcriptome/Anopheles_sialome/links/cluster-b/anopheline-sialome-cds-pep-larger-orf30-50SimCLU1.txt", 1)</f>
        <v>1</v>
      </c>
      <c r="BO678">
        <f>HYPERLINK("http://exon.niaid.nih.gov/transcriptome/Anopheles_sialome/links/cluster-b/anopheline-sialome-cds-pep-larger-orf30-50SimCLTL1.txt", 165)</f>
        <v>165</v>
      </c>
      <c r="BP678">
        <f>HYPERLINK("http://exon.niaid.nih.gov/transcriptome/Anopheles_sialome/links/cluster-b/anopheline-sialome-cds-pep-larger-orf35-50SimCLU4.txt", 4)</f>
        <v>4</v>
      </c>
      <c r="BQ678">
        <f>HYPERLINK("http://exon.niaid.nih.gov/transcriptome/Anopheles_sialome/links/cluster-b/anopheline-sialome-cds-pep-larger-orf35-50SimCLTL4.txt", 76)</f>
        <v>76</v>
      </c>
      <c r="BR678">
        <f>HYPERLINK("http://exon.niaid.nih.gov/transcriptome/Anopheles_sialome/links/cluster-b/anopheline-sialome-cds-pep-larger-orf40-50SimCLU18.txt", 18)</f>
        <v>18</v>
      </c>
      <c r="BS678">
        <f>HYPERLINK("http://exon.niaid.nih.gov/transcriptome/Anopheles_sialome/links/cluster-b/anopheline-sialome-cds-pep-larger-orf40-50SimCLTL18.txt", 18)</f>
        <v>18</v>
      </c>
      <c r="BT678">
        <f>HYPERLINK("http://exon.niaid.nih.gov/transcriptome/Anopheles_sialome/links/cluster-b/anopheline-sialome-cds-pep-larger-orf45-50SimCLU18.txt", 18)</f>
        <v>18</v>
      </c>
      <c r="BU678">
        <f>HYPERLINK("http://exon.niaid.nih.gov/transcriptome/Anopheles_sialome/links/cluster-b/anopheline-sialome-cds-pep-larger-orf45-50SimCLTL18.txt", 18)</f>
        <v>18</v>
      </c>
      <c r="BV678">
        <f>HYPERLINK("http://exon.niaid.nih.gov/transcriptome/Anopheles_sialome/links/cluster-b/anopheline-sialome-cds-pep-larger-orf50-50SimCLU17.txt", 17)</f>
        <v>17</v>
      </c>
      <c r="BW678">
        <f>HYPERLINK("http://exon.niaid.nih.gov/transcriptome/Anopheles_sialome/links/cluster-b/anopheline-sialome-cds-pep-larger-orf50-50SimCLTL17.txt", 18)</f>
        <v>18</v>
      </c>
      <c r="BX678">
        <f>HYPERLINK("http://exon.niaid.nih.gov/transcriptome/Anopheles_sialome/links/cluster-b/anopheline-sialome-cds-pep-larger-orf55-50SimCLU18.txt", 18)</f>
        <v>18</v>
      </c>
      <c r="BY678">
        <f>HYPERLINK("http://exon.niaid.nih.gov/transcriptome/Anopheles_sialome/links/cluster-b/anopheline-sialome-cds-pep-larger-orf55-50SimCLTL18.txt", 18)</f>
        <v>18</v>
      </c>
      <c r="BZ678">
        <f>HYPERLINK("http://exon.niaid.nih.gov/transcriptome/Anopheles_sialome/links/cluster-b/anopheline-sialome-cds-pep-larger-orf60-50SimCLU17.txt", 17)</f>
        <v>17</v>
      </c>
      <c r="CA678">
        <f>HYPERLINK("http://exon.niaid.nih.gov/transcriptome/Anopheles_sialome/links/cluster-b/anopheline-sialome-cds-pep-larger-orf60-50SimCLTL17.txt", 18)</f>
        <v>18</v>
      </c>
      <c r="CB678">
        <f>HYPERLINK("http://exon.niaid.nih.gov/transcriptome/Anopheles_sialome/links/cluster-b/anopheline-sialome-cds-pep-larger-orf65-50SimCLU30.txt", 30)</f>
        <v>30</v>
      </c>
      <c r="CC678">
        <f>HYPERLINK("http://exon.niaid.nih.gov/transcriptome/Anopheles_sialome/links/cluster-b/anopheline-sialome-cds-pep-larger-orf65-50SimCLTL30.txt", 14)</f>
        <v>14</v>
      </c>
      <c r="CD678">
        <f>HYPERLINK("http://exon.niaid.nih.gov/transcriptome/Anopheles_sialome/links/cluster-b/anopheline-sialome-cds-pep-larger-orf70-50SimCLU37.txt", 37)</f>
        <v>37</v>
      </c>
      <c r="CE678">
        <f>HYPERLINK("http://exon.niaid.nih.gov/transcriptome/Anopheles_sialome/links/cluster-b/anopheline-sialome-cds-pep-larger-orf70-50SimCLTL37.txt", 12)</f>
        <v>12</v>
      </c>
      <c r="CF678">
        <f>HYPERLINK("http://exon.niaid.nih.gov/transcriptome/Anopheles_sialome/links/cluster-b/anopheline-sialome-cds-pep-larger-orf75-50SimCLU37.txt", 37)</f>
        <v>37</v>
      </c>
      <c r="CG678">
        <f>HYPERLINK("http://exon.niaid.nih.gov/transcriptome/Anopheles_sialome/links/cluster-b/anopheline-sialome-cds-pep-larger-orf75-50SimCLTL37.txt", 7)</f>
        <v>7</v>
      </c>
      <c r="CH678">
        <f>HYPERLINK("http://exon.niaid.nih.gov/transcriptome/Anopheles_sialome/links/cluster-b/anopheline-sialome-cds-pep-larger-orf80-50SimCLU33.txt", 33)</f>
        <v>33</v>
      </c>
      <c r="CI678">
        <f>HYPERLINK("http://exon.niaid.nih.gov/transcriptome/Anopheles_sialome/links/cluster-b/anopheline-sialome-cds-pep-larger-orf80-50SimCLTL33.txt", 6)</f>
        <v>6</v>
      </c>
      <c r="CJ678">
        <f>HYPERLINK("http://exon.niaid.nih.gov/transcriptome/Anopheles_sialome/links/cluster-b/anopheline-sialome-cds-pep-larger-orf85-50SimCLU28.txt", 28)</f>
        <v>28</v>
      </c>
      <c r="CK678">
        <f>HYPERLINK("http://exon.niaid.nih.gov/transcriptome/Anopheles_sialome/links/cluster-b/anopheline-sialome-cds-pep-larger-orf85-50SimCLTL28.txt", 6)</f>
        <v>6</v>
      </c>
      <c r="CL678">
        <f>HYPERLINK("http://exon.niaid.nih.gov/transcriptome/Anopheles_sialome/links/cluster-b/anopheline-sialome-cds-pep-larger-orf90-50SimCLU19.txt", 19)</f>
        <v>19</v>
      </c>
      <c r="CM678">
        <f>HYPERLINK("http://exon.niaid.nih.gov/transcriptome/Anopheles_sialome/links/cluster-b/anopheline-sialome-cds-pep-larger-orf90-50SimCLTL19.txt", 6)</f>
        <v>6</v>
      </c>
      <c r="CN678">
        <f>HYPERLINK("http://exon.niaid.nih.gov/transcriptome/Anopheles_sialome/links/cluster-b/anopheline-sialome-cds-pep-larger-orf95-50SimCLU7.txt", 7)</f>
        <v>7</v>
      </c>
      <c r="CO678">
        <f>HYPERLINK("http://exon.niaid.nih.gov/transcriptome/Anopheles_sialome/links/cluster-b/anopheline-sialome-cds-pep-larger-orf95-50SimCLTL7.txt", 6)</f>
        <v>6</v>
      </c>
    </row>
    <row r="679" spans="1:93">
      <c r="A679" s="2" t="str">
        <f>HYPERLINK("http://exon.niaid.nih.gov/transcriptome/Anopheles_sialome/links/cds/anomer_cE5-anophelin-cds.txt","anomer_cE5-anophelin")</f>
        <v>anomer_cE5-anophelin</v>
      </c>
      <c r="B679">
        <v>309</v>
      </c>
      <c r="C679" t="s">
        <v>138</v>
      </c>
      <c r="D679" t="s">
        <v>4</v>
      </c>
      <c r="E679" t="s">
        <v>5</v>
      </c>
      <c r="F679" t="s">
        <v>1</v>
      </c>
      <c r="G679" t="str">
        <f>HYPERLINK("http://exon.niaid.nih.gov/transcriptome/Anopheles_sialome/links/pep/anomer_cE5-anophelin-pep.txt","anomer_cE5-anophelin")</f>
        <v>anomer_cE5-anophelin</v>
      </c>
      <c r="H679">
        <v>102</v>
      </c>
      <c r="I679">
        <v>2</v>
      </c>
      <c r="J679" s="3" t="str">
        <f>HYPERLINK("http://exon.niaid.nih.gov/transcriptome/Anopheles_sialome/links/Sigp/anomer_cE5-anophelin-SigP.txt","SIG")</f>
        <v>SIG</v>
      </c>
      <c r="K679" t="s">
        <v>689</v>
      </c>
      <c r="L679">
        <v>10.977</v>
      </c>
      <c r="M679">
        <v>4.04</v>
      </c>
      <c r="N679">
        <v>8.7729999999999997</v>
      </c>
      <c r="O679">
        <v>3.95</v>
      </c>
      <c r="P679" t="s">
        <v>962</v>
      </c>
      <c r="Q679" s="3" t="str">
        <f>HYPERLINK("http://exon.niaid.nih.gov/transcriptome/Anopheles_sialome/links/tmhmm/anomer_cE5-anophelin-tmhmm.txt","1")</f>
        <v>1</v>
      </c>
      <c r="R679">
        <v>21.6</v>
      </c>
      <c r="S679">
        <v>73.5</v>
      </c>
      <c r="T679">
        <v>4.9000000000000004</v>
      </c>
      <c r="U679" t="s">
        <v>128</v>
      </c>
      <c r="V679">
        <v>75</v>
      </c>
      <c r="W679" s="3" t="str">
        <f>HYPERLINK("http://exon.niaid.nih.gov/transcriptome/Anopheles_sialome/links/netoglyc/anomer_cE5-anophelin-netoglyc.txt","8")</f>
        <v>8</v>
      </c>
      <c r="X679">
        <v>15.7</v>
      </c>
      <c r="Y679">
        <v>2.9</v>
      </c>
      <c r="Z679">
        <v>8.8000000000000007</v>
      </c>
      <c r="AA679" t="s">
        <v>654</v>
      </c>
      <c r="AB679" t="s">
        <v>128</v>
      </c>
      <c r="AC679" s="2" t="str">
        <f>HYPERLINK("http://exon.niaid.nih.gov/transcriptome/Anopheles_sialome/links/DIPTERA/anomer_cE5-anophelin-DIPTERA.txt","AGAP008004-PA")</f>
        <v>AGAP008004-PA</v>
      </c>
      <c r="AD679" t="str">
        <f>HYPERLINK("http://www.ncbi.nlm.nih.gov/sutils/blink.cgi?pid=116123248","1E-047")</f>
        <v>1E-047</v>
      </c>
      <c r="AE679" t="str">
        <f t="shared" si="238"/>
        <v>gi|116123248</v>
      </c>
      <c r="AF679">
        <v>93</v>
      </c>
      <c r="AG679">
        <v>95</v>
      </c>
      <c r="AH679">
        <v>100</v>
      </c>
      <c r="AI679" t="s">
        <v>2285</v>
      </c>
      <c r="AJ679" s="2" t="str">
        <f>HYPERLINK("http://exon.niaid.nih.gov/transcriptome/Anopheles_sialome/links/CULICOMORPHA/anomer_cE5-anophelin-CULICOMORPHA.txt","AGAP008004-PA")</f>
        <v>AGAP008004-PA</v>
      </c>
      <c r="AK679" t="str">
        <f>HYPERLINK("http://www.ncbi.nlm.nih.gov/sutils/blink.cgi?pid=116123248","2E-048")</f>
        <v>2E-048</v>
      </c>
      <c r="AL679" t="str">
        <f t="shared" si="239"/>
        <v>gi|116123248</v>
      </c>
      <c r="AM679">
        <v>93</v>
      </c>
      <c r="AN679">
        <v>95</v>
      </c>
      <c r="AO679">
        <v>100</v>
      </c>
      <c r="AP679" t="s">
        <v>2285</v>
      </c>
      <c r="AQ679" s="2" t="str">
        <f>HYPERLINK("http://exon.niaid.nih.gov/transcriptome/Anopheles_sialome/links/NR-LIGHT/anomer_cE5-anophelin-NR-LIGHT.txt","AGAP008004-PA")</f>
        <v>AGAP008004-PA</v>
      </c>
      <c r="AR679" t="str">
        <f>HYPERLINK("http://www.ncbi.nlm.nih.gov/sutils/blink.cgi?pid=118789501","3E-047")</f>
        <v>3E-047</v>
      </c>
      <c r="AS679" t="str">
        <f t="shared" si="240"/>
        <v>gi|118789501</v>
      </c>
      <c r="AT679">
        <v>93</v>
      </c>
      <c r="AU679">
        <v>95</v>
      </c>
      <c r="AV679">
        <v>100</v>
      </c>
      <c r="AW679" t="s">
        <v>2285</v>
      </c>
      <c r="AX679" s="2" t="str">
        <f>HYPERLINK("http://exon.niaid.nih.gov/transcriptome/Anopheles_sialome/links/CDD/anomer_cE5-anophelin-CDD.txt","Anophelin")</f>
        <v>Anophelin</v>
      </c>
      <c r="AY679" t="str">
        <f>HYPERLINK("http://www.ncbi.nlm.nih.gov/Structure/cdd/cddsrv.cgi?uid=pfam10731&amp;version=v4.0","1E-019")</f>
        <v>1E-019</v>
      </c>
      <c r="AZ679" t="s">
        <v>2435</v>
      </c>
      <c r="BA679" s="2" t="str">
        <f>HYPERLINK("http://exon.niaid.nih.gov/transcriptome/Anopheles_sialome/links/KOG/anomer_cE5-anophelin-KOG.txt","Phosphoinositide 3-kinase")</f>
        <v>Phosphoinositide 3-kinase</v>
      </c>
      <c r="BB679" t="str">
        <f>HYPERLINK("http://www.ncbi.nlm.nih.gov/Structure/cdd/cddsrv.cgi?uid=KOG0905","0.022")</f>
        <v>0.022</v>
      </c>
      <c r="BC679" t="s">
        <v>2292</v>
      </c>
      <c r="BD679" t="str">
        <f>HYPERLINK("http://exon.niaid.nih.gov/transcriptome/Anopheles_sialome/links/KOG/anomer_cE5-anophelin-KOG.txt","KOG0905")</f>
        <v>KOG0905</v>
      </c>
      <c r="BE679" t="str">
        <f>HYPERLINK("http://exon.niaid.nih.gov/transcriptome/Anopheles_sialome/links/PFAM/anomer_cE5-anophelin-PFAM.txt","Anophelin")</f>
        <v>Anophelin</v>
      </c>
      <c r="BF679" t="str">
        <f>HYPERLINK("http://pfam.sanger.ac.uk/family?acc=PF10731","3E-020")</f>
        <v>3E-020</v>
      </c>
      <c r="BG679" s="2" t="str">
        <f>HYPERLINK("http://exon.niaid.nih.gov/transcriptome/Anopheles_sialome/links/SMART/anomer_cE5-anophelin-SMART.txt","CysPc")</f>
        <v>CysPc</v>
      </c>
      <c r="BH679" t="str">
        <f>HYPERLINK("http://smart.embl-heidelberg.de/smart/do_annotation.pl?DOMAIN=CysPc&amp;BLAST=DUMMY","0.15")</f>
        <v>0.15</v>
      </c>
      <c r="BI679" t="s">
        <v>128</v>
      </c>
      <c r="BJ679" s="2" t="s">
        <v>128</v>
      </c>
      <c r="BK679" t="s">
        <v>961</v>
      </c>
      <c r="BL679">
        <f>HYPERLINK("http://exon.niaid.nih.gov/transcriptome/Anopheles_sialome/links/cluster-b/anopheline-sialome-cds-pep-larger-orf25-50SimCLU1.txt", 1)</f>
        <v>1</v>
      </c>
      <c r="BM679">
        <f>HYPERLINK("http://exon.niaid.nih.gov/transcriptome/Anopheles_sialome/links/cluster-b/anopheline-sialome-cds-pep-larger-orf25-50SimCLTL1.txt", 165)</f>
        <v>165</v>
      </c>
      <c r="BN679">
        <f>HYPERLINK("http://exon.niaid.nih.gov/transcriptome/Anopheles_sialome/links/cluster-b/anopheline-sialome-cds-pep-larger-orf30-50SimCLU1.txt", 1)</f>
        <v>1</v>
      </c>
      <c r="BO679">
        <f>HYPERLINK("http://exon.niaid.nih.gov/transcriptome/Anopheles_sialome/links/cluster-b/anopheline-sialome-cds-pep-larger-orf30-50SimCLTL1.txt", 165)</f>
        <v>165</v>
      </c>
      <c r="BP679">
        <f>HYPERLINK("http://exon.niaid.nih.gov/transcriptome/Anopheles_sialome/links/cluster-b/anopheline-sialome-cds-pep-larger-orf35-50SimCLU4.txt", 4)</f>
        <v>4</v>
      </c>
      <c r="BQ679">
        <f>HYPERLINK("http://exon.niaid.nih.gov/transcriptome/Anopheles_sialome/links/cluster-b/anopheline-sialome-cds-pep-larger-orf35-50SimCLTL4.txt", 76)</f>
        <v>76</v>
      </c>
      <c r="BR679">
        <f>HYPERLINK("http://exon.niaid.nih.gov/transcriptome/Anopheles_sialome/links/cluster-b/anopheline-sialome-cds-pep-larger-orf40-50SimCLU18.txt", 18)</f>
        <v>18</v>
      </c>
      <c r="BS679">
        <f>HYPERLINK("http://exon.niaid.nih.gov/transcriptome/Anopheles_sialome/links/cluster-b/anopheline-sialome-cds-pep-larger-orf40-50SimCLTL18.txt", 18)</f>
        <v>18</v>
      </c>
      <c r="BT679">
        <f>HYPERLINK("http://exon.niaid.nih.gov/transcriptome/Anopheles_sialome/links/cluster-b/anopheline-sialome-cds-pep-larger-orf45-50SimCLU18.txt", 18)</f>
        <v>18</v>
      </c>
      <c r="BU679">
        <f>HYPERLINK("http://exon.niaid.nih.gov/transcriptome/Anopheles_sialome/links/cluster-b/anopheline-sialome-cds-pep-larger-orf45-50SimCLTL18.txt", 18)</f>
        <v>18</v>
      </c>
      <c r="BV679">
        <f>HYPERLINK("http://exon.niaid.nih.gov/transcriptome/Anopheles_sialome/links/cluster-b/anopheline-sialome-cds-pep-larger-orf50-50SimCLU17.txt", 17)</f>
        <v>17</v>
      </c>
      <c r="BW679">
        <f>HYPERLINK("http://exon.niaid.nih.gov/transcriptome/Anopheles_sialome/links/cluster-b/anopheline-sialome-cds-pep-larger-orf50-50SimCLTL17.txt", 18)</f>
        <v>18</v>
      </c>
      <c r="BX679">
        <f>HYPERLINK("http://exon.niaid.nih.gov/transcriptome/Anopheles_sialome/links/cluster-b/anopheline-sialome-cds-pep-larger-orf55-50SimCLU18.txt", 18)</f>
        <v>18</v>
      </c>
      <c r="BY679">
        <f>HYPERLINK("http://exon.niaid.nih.gov/transcriptome/Anopheles_sialome/links/cluster-b/anopheline-sialome-cds-pep-larger-orf55-50SimCLTL18.txt", 18)</f>
        <v>18</v>
      </c>
      <c r="BZ679">
        <f>HYPERLINK("http://exon.niaid.nih.gov/transcriptome/Anopheles_sialome/links/cluster-b/anopheline-sialome-cds-pep-larger-orf60-50SimCLU17.txt", 17)</f>
        <v>17</v>
      </c>
      <c r="CA679">
        <f>HYPERLINK("http://exon.niaid.nih.gov/transcriptome/Anopheles_sialome/links/cluster-b/anopheline-sialome-cds-pep-larger-orf60-50SimCLTL17.txt", 18)</f>
        <v>18</v>
      </c>
      <c r="CB679">
        <f>HYPERLINK("http://exon.niaid.nih.gov/transcriptome/Anopheles_sialome/links/cluster-b/anopheline-sialome-cds-pep-larger-orf65-50SimCLU30.txt", 30)</f>
        <v>30</v>
      </c>
      <c r="CC679">
        <f>HYPERLINK("http://exon.niaid.nih.gov/transcriptome/Anopheles_sialome/links/cluster-b/anopheline-sialome-cds-pep-larger-orf65-50SimCLTL30.txt", 14)</f>
        <v>14</v>
      </c>
      <c r="CD679">
        <f>HYPERLINK("http://exon.niaid.nih.gov/transcriptome/Anopheles_sialome/links/cluster-b/anopheline-sialome-cds-pep-larger-orf70-50SimCLU37.txt", 37)</f>
        <v>37</v>
      </c>
      <c r="CE679">
        <f>HYPERLINK("http://exon.niaid.nih.gov/transcriptome/Anopheles_sialome/links/cluster-b/anopheline-sialome-cds-pep-larger-orf70-50SimCLTL37.txt", 12)</f>
        <v>12</v>
      </c>
      <c r="CF679">
        <f>HYPERLINK("http://exon.niaid.nih.gov/transcriptome/Anopheles_sialome/links/cluster-b/anopheline-sialome-cds-pep-larger-orf75-50SimCLU37.txt", 37)</f>
        <v>37</v>
      </c>
      <c r="CG679">
        <f>HYPERLINK("http://exon.niaid.nih.gov/transcriptome/Anopheles_sialome/links/cluster-b/anopheline-sialome-cds-pep-larger-orf75-50SimCLTL37.txt", 7)</f>
        <v>7</v>
      </c>
      <c r="CH679">
        <f>HYPERLINK("http://exon.niaid.nih.gov/transcriptome/Anopheles_sialome/links/cluster-b/anopheline-sialome-cds-pep-larger-orf80-50SimCLU33.txt", 33)</f>
        <v>33</v>
      </c>
      <c r="CI679">
        <f>HYPERLINK("http://exon.niaid.nih.gov/transcriptome/Anopheles_sialome/links/cluster-b/anopheline-sialome-cds-pep-larger-orf80-50SimCLTL33.txt", 6)</f>
        <v>6</v>
      </c>
      <c r="CJ679">
        <f>HYPERLINK("http://exon.niaid.nih.gov/transcriptome/Anopheles_sialome/links/cluster-b/anopheline-sialome-cds-pep-larger-orf85-50SimCLU28.txt", 28)</f>
        <v>28</v>
      </c>
      <c r="CK679">
        <f>HYPERLINK("http://exon.niaid.nih.gov/transcriptome/Anopheles_sialome/links/cluster-b/anopheline-sialome-cds-pep-larger-orf85-50SimCLTL28.txt", 6)</f>
        <v>6</v>
      </c>
      <c r="CL679">
        <f>HYPERLINK("http://exon.niaid.nih.gov/transcriptome/Anopheles_sialome/links/cluster-b/anopheline-sialome-cds-pep-larger-orf90-50SimCLU19.txt", 19)</f>
        <v>19</v>
      </c>
      <c r="CM679">
        <f>HYPERLINK("http://exon.niaid.nih.gov/transcriptome/Anopheles_sialome/links/cluster-b/anopheline-sialome-cds-pep-larger-orf90-50SimCLTL19.txt", 6)</f>
        <v>6</v>
      </c>
      <c r="CN679">
        <f>HYPERLINK("http://exon.niaid.nih.gov/transcriptome/Anopheles_sialome/links/cluster-b/anopheline-sialome-cds-pep-larger-orf95-50SimCLU7.txt", 7)</f>
        <v>7</v>
      </c>
      <c r="CO679">
        <f>HYPERLINK("http://exon.niaid.nih.gov/transcriptome/Anopheles_sialome/links/cluster-b/anopheline-sialome-cds-pep-larger-orf95-50SimCLTL7.txt", 6)</f>
        <v>6</v>
      </c>
    </row>
    <row r="680" spans="1:93">
      <c r="A680" s="2" t="str">
        <f>HYPERLINK("http://exon.niaid.nih.gov/transcriptome/Anopheles_sialome/links/cds/anomel_cE5-anophelin-cds.txt","anomel_cE5-anophelin")</f>
        <v>anomel_cE5-anophelin</v>
      </c>
      <c r="B680">
        <v>312</v>
      </c>
      <c r="C680" t="s">
        <v>4</v>
      </c>
      <c r="D680" s="8" t="s">
        <v>3178</v>
      </c>
      <c r="E680" t="s">
        <v>5</v>
      </c>
      <c r="F680" t="s">
        <v>1</v>
      </c>
      <c r="G680" t="str">
        <f>HYPERLINK("http://exon.niaid.nih.gov/transcriptome/Anopheles_sialome/links/pep/anomel_cE5-anophelin-pep.txt","anomel_cE5-anophelin")</f>
        <v>anomel_cE5-anophelin</v>
      </c>
      <c r="H680">
        <v>103</v>
      </c>
      <c r="I680">
        <v>2</v>
      </c>
      <c r="J680" s="3" t="str">
        <f>HYPERLINK("http://exon.niaid.nih.gov/transcriptome/Anopheles_sialome/links/Sigp/anomel_cE5-anophelin-SigP.txt","SIG")</f>
        <v>SIG</v>
      </c>
      <c r="K680" t="s">
        <v>689</v>
      </c>
      <c r="L680">
        <v>11.16</v>
      </c>
      <c r="M680">
        <v>3.98</v>
      </c>
      <c r="N680">
        <v>8.9420000000000002</v>
      </c>
      <c r="O680">
        <v>3.9</v>
      </c>
      <c r="P680" t="s">
        <v>964</v>
      </c>
      <c r="Q680" s="3" t="str">
        <f>HYPERLINK("http://exon.niaid.nih.gov/transcriptome/Anopheles_sialome/links/tmhmm/anomel_cE5-anophelin-tmhmm.txt","1")</f>
        <v>1</v>
      </c>
      <c r="R680">
        <v>16.5</v>
      </c>
      <c r="S680">
        <v>78.599999999999994</v>
      </c>
      <c r="T680">
        <v>4.9000000000000004</v>
      </c>
      <c r="U680" t="s">
        <v>128</v>
      </c>
      <c r="V680">
        <v>81</v>
      </c>
      <c r="W680" s="3" t="str">
        <f>HYPERLINK("http://exon.niaid.nih.gov/transcriptome/Anopheles_sialome/links/netoglyc/anomel_cE5-anophelin-netoglyc.txt","10")</f>
        <v>10</v>
      </c>
      <c r="X680">
        <v>17.5</v>
      </c>
      <c r="Y680">
        <v>2.9</v>
      </c>
      <c r="Z680">
        <v>7.8</v>
      </c>
      <c r="AA680" t="s">
        <v>654</v>
      </c>
      <c r="AB680" t="s">
        <v>128</v>
      </c>
      <c r="AC680" s="2" t="str">
        <f>HYPERLINK("http://exon.niaid.nih.gov/transcriptome/Anopheles_sialome/links/DIPTERA/anomel_cE5-anophelin-DIPTERA.txt","AGAP008004-PA")</f>
        <v>AGAP008004-PA</v>
      </c>
      <c r="AD680" t="str">
        <f>HYPERLINK("http://www.ncbi.nlm.nih.gov/sutils/blink.cgi?pid=116123248","2E-052")</f>
        <v>2E-052</v>
      </c>
      <c r="AE680" t="str">
        <f t="shared" si="238"/>
        <v>gi|116123248</v>
      </c>
      <c r="AF680">
        <v>99</v>
      </c>
      <c r="AG680">
        <v>100</v>
      </c>
      <c r="AH680">
        <v>100</v>
      </c>
      <c r="AI680" t="s">
        <v>2285</v>
      </c>
      <c r="AJ680" s="2" t="str">
        <f>HYPERLINK("http://exon.niaid.nih.gov/transcriptome/Anopheles_sialome/links/CULICOMORPHA/anomel_cE5-anophelin-CULICOMORPHA.txt","AGAP008004-PA")</f>
        <v>AGAP008004-PA</v>
      </c>
      <c r="AK680" t="str">
        <f>HYPERLINK("http://www.ncbi.nlm.nih.gov/sutils/blink.cgi?pid=116123248","3E-053")</f>
        <v>3E-053</v>
      </c>
      <c r="AL680" t="str">
        <f t="shared" si="239"/>
        <v>gi|116123248</v>
      </c>
      <c r="AM680">
        <v>99</v>
      </c>
      <c r="AN680">
        <v>100</v>
      </c>
      <c r="AO680">
        <v>100</v>
      </c>
      <c r="AP680" t="s">
        <v>2285</v>
      </c>
      <c r="AQ680" s="2" t="str">
        <f>HYPERLINK("http://exon.niaid.nih.gov/transcriptome/Anopheles_sialome/links/NR-LIGHT/anomel_cE5-anophelin-NR-LIGHT.txt","AGAP008004-PA")</f>
        <v>AGAP008004-PA</v>
      </c>
      <c r="AR680" t="str">
        <f>HYPERLINK("http://www.ncbi.nlm.nih.gov/sutils/blink.cgi?pid=118789501","5E-052")</f>
        <v>5E-052</v>
      </c>
      <c r="AS680" t="str">
        <f t="shared" si="240"/>
        <v>gi|118789501</v>
      </c>
      <c r="AT680">
        <v>99</v>
      </c>
      <c r="AU680">
        <v>100</v>
      </c>
      <c r="AV680">
        <v>100</v>
      </c>
      <c r="AW680" t="s">
        <v>2285</v>
      </c>
      <c r="AX680" s="2" t="str">
        <f>HYPERLINK("http://exon.niaid.nih.gov/transcriptome/Anopheles_sialome/links/CDD/anomel_cE5-anophelin-CDD.txt","Anophelin")</f>
        <v>Anophelin</v>
      </c>
      <c r="AY680" t="str">
        <f>HYPERLINK("http://www.ncbi.nlm.nih.gov/Structure/cdd/cddsrv.cgi?uid=pfam10731&amp;version=v4.0","2E-020")</f>
        <v>2E-020</v>
      </c>
      <c r="AZ680" t="s">
        <v>2436</v>
      </c>
      <c r="BA680" s="2" t="str">
        <f>HYPERLINK("http://exon.niaid.nih.gov/transcriptome/Anopheles_sialome/links/KOG/anomel_cE5-anophelin-KOG.txt","Phosphoinositide 3-kinase")</f>
        <v>Phosphoinositide 3-kinase</v>
      </c>
      <c r="BB680" t="str">
        <f>HYPERLINK("http://www.ncbi.nlm.nih.gov/Structure/cdd/cddsrv.cgi?uid=KOG0905","0.003")</f>
        <v>0.003</v>
      </c>
      <c r="BC680" t="s">
        <v>2292</v>
      </c>
      <c r="BD680" t="str">
        <f>HYPERLINK("http://exon.niaid.nih.gov/transcriptome/Anopheles_sialome/links/KOG/anomel_cE5-anophelin-KOG.txt","KOG0905")</f>
        <v>KOG0905</v>
      </c>
      <c r="BE680" t="str">
        <f>HYPERLINK("http://exon.niaid.nih.gov/transcriptome/Anopheles_sialome/links/PFAM/anomel_cE5-anophelin-PFAM.txt","Anophelin")</f>
        <v>Anophelin</v>
      </c>
      <c r="BF680" t="str">
        <f>HYPERLINK("http://pfam.sanger.ac.uk/family?acc=PF10731","5E-021")</f>
        <v>5E-021</v>
      </c>
      <c r="BG680" s="2" t="str">
        <f>HYPERLINK("http://exon.niaid.nih.gov/transcriptome/Anopheles_sialome/links/SMART/anomel_cE5-anophelin-SMART.txt","AgrB")</f>
        <v>AgrB</v>
      </c>
      <c r="BH680" t="str">
        <f>HYPERLINK("http://smart.embl-heidelberg.de/smart/do_annotation.pl?DOMAIN=AgrB&amp;BLAST=DUMMY","1.3")</f>
        <v>1.3</v>
      </c>
      <c r="BI680" t="s">
        <v>128</v>
      </c>
      <c r="BJ680" s="2" t="s">
        <v>128</v>
      </c>
      <c r="BK680" t="s">
        <v>963</v>
      </c>
      <c r="BL680">
        <f>HYPERLINK("http://exon.niaid.nih.gov/transcriptome/Anopheles_sialome/links/cluster-b/anopheline-sialome-cds-pep-larger-orf25-50SimCLU1.txt", 1)</f>
        <v>1</v>
      </c>
      <c r="BM680">
        <f>HYPERLINK("http://exon.niaid.nih.gov/transcriptome/Anopheles_sialome/links/cluster-b/anopheline-sialome-cds-pep-larger-orf25-50SimCLTL1.txt", 165)</f>
        <v>165</v>
      </c>
      <c r="BN680">
        <f>HYPERLINK("http://exon.niaid.nih.gov/transcriptome/Anopheles_sialome/links/cluster-b/anopheline-sialome-cds-pep-larger-orf30-50SimCLU1.txt", 1)</f>
        <v>1</v>
      </c>
      <c r="BO680">
        <f>HYPERLINK("http://exon.niaid.nih.gov/transcriptome/Anopheles_sialome/links/cluster-b/anopheline-sialome-cds-pep-larger-orf30-50SimCLTL1.txt", 165)</f>
        <v>165</v>
      </c>
      <c r="BP680">
        <f>HYPERLINK("http://exon.niaid.nih.gov/transcriptome/Anopheles_sialome/links/cluster-b/anopheline-sialome-cds-pep-larger-orf35-50SimCLU4.txt", 4)</f>
        <v>4</v>
      </c>
      <c r="BQ680">
        <f>HYPERLINK("http://exon.niaid.nih.gov/transcriptome/Anopheles_sialome/links/cluster-b/anopheline-sialome-cds-pep-larger-orf35-50SimCLTL4.txt", 76)</f>
        <v>76</v>
      </c>
      <c r="BR680">
        <f>HYPERLINK("http://exon.niaid.nih.gov/transcriptome/Anopheles_sialome/links/cluster-b/anopheline-sialome-cds-pep-larger-orf40-50SimCLU18.txt", 18)</f>
        <v>18</v>
      </c>
      <c r="BS680">
        <f>HYPERLINK("http://exon.niaid.nih.gov/transcriptome/Anopheles_sialome/links/cluster-b/anopheline-sialome-cds-pep-larger-orf40-50SimCLTL18.txt", 18)</f>
        <v>18</v>
      </c>
      <c r="BT680">
        <f>HYPERLINK("http://exon.niaid.nih.gov/transcriptome/Anopheles_sialome/links/cluster-b/anopheline-sialome-cds-pep-larger-orf45-50SimCLU18.txt", 18)</f>
        <v>18</v>
      </c>
      <c r="BU680">
        <f>HYPERLINK("http://exon.niaid.nih.gov/transcriptome/Anopheles_sialome/links/cluster-b/anopheline-sialome-cds-pep-larger-orf45-50SimCLTL18.txt", 18)</f>
        <v>18</v>
      </c>
      <c r="BV680">
        <f>HYPERLINK("http://exon.niaid.nih.gov/transcriptome/Anopheles_sialome/links/cluster-b/anopheline-sialome-cds-pep-larger-orf50-50SimCLU17.txt", 17)</f>
        <v>17</v>
      </c>
      <c r="BW680">
        <f>HYPERLINK("http://exon.niaid.nih.gov/transcriptome/Anopheles_sialome/links/cluster-b/anopheline-sialome-cds-pep-larger-orf50-50SimCLTL17.txt", 18)</f>
        <v>18</v>
      </c>
      <c r="BX680">
        <f>HYPERLINK("http://exon.niaid.nih.gov/transcriptome/Anopheles_sialome/links/cluster-b/anopheline-sialome-cds-pep-larger-orf55-50SimCLU18.txt", 18)</f>
        <v>18</v>
      </c>
      <c r="BY680">
        <f>HYPERLINK("http://exon.niaid.nih.gov/transcriptome/Anopheles_sialome/links/cluster-b/anopheline-sialome-cds-pep-larger-orf55-50SimCLTL18.txt", 18)</f>
        <v>18</v>
      </c>
      <c r="BZ680">
        <f>HYPERLINK("http://exon.niaid.nih.gov/transcriptome/Anopheles_sialome/links/cluster-b/anopheline-sialome-cds-pep-larger-orf60-50SimCLU17.txt", 17)</f>
        <v>17</v>
      </c>
      <c r="CA680">
        <f>HYPERLINK("http://exon.niaid.nih.gov/transcriptome/Anopheles_sialome/links/cluster-b/anopheline-sialome-cds-pep-larger-orf60-50SimCLTL17.txt", 18)</f>
        <v>18</v>
      </c>
      <c r="CB680">
        <f>HYPERLINK("http://exon.niaid.nih.gov/transcriptome/Anopheles_sialome/links/cluster-b/anopheline-sialome-cds-pep-larger-orf65-50SimCLU30.txt", 30)</f>
        <v>30</v>
      </c>
      <c r="CC680">
        <f>HYPERLINK("http://exon.niaid.nih.gov/transcriptome/Anopheles_sialome/links/cluster-b/anopheline-sialome-cds-pep-larger-orf65-50SimCLTL30.txt", 14)</f>
        <v>14</v>
      </c>
      <c r="CD680">
        <f>HYPERLINK("http://exon.niaid.nih.gov/transcriptome/Anopheles_sialome/links/cluster-b/anopheline-sialome-cds-pep-larger-orf70-50SimCLU37.txt", 37)</f>
        <v>37</v>
      </c>
      <c r="CE680">
        <f>HYPERLINK("http://exon.niaid.nih.gov/transcriptome/Anopheles_sialome/links/cluster-b/anopheline-sialome-cds-pep-larger-orf70-50SimCLTL37.txt", 12)</f>
        <v>12</v>
      </c>
      <c r="CF680">
        <f>HYPERLINK("http://exon.niaid.nih.gov/transcriptome/Anopheles_sialome/links/cluster-b/anopheline-sialome-cds-pep-larger-orf75-50SimCLU37.txt", 37)</f>
        <v>37</v>
      </c>
      <c r="CG680">
        <f>HYPERLINK("http://exon.niaid.nih.gov/transcriptome/Anopheles_sialome/links/cluster-b/anopheline-sialome-cds-pep-larger-orf75-50SimCLTL37.txt", 7)</f>
        <v>7</v>
      </c>
      <c r="CH680">
        <f>HYPERLINK("http://exon.niaid.nih.gov/transcriptome/Anopheles_sialome/links/cluster-b/anopheline-sialome-cds-pep-larger-orf80-50SimCLU33.txt", 33)</f>
        <v>33</v>
      </c>
      <c r="CI680">
        <f>HYPERLINK("http://exon.niaid.nih.gov/transcriptome/Anopheles_sialome/links/cluster-b/anopheline-sialome-cds-pep-larger-orf80-50SimCLTL33.txt", 6)</f>
        <v>6</v>
      </c>
      <c r="CJ680">
        <f>HYPERLINK("http://exon.niaid.nih.gov/transcriptome/Anopheles_sialome/links/cluster-b/anopheline-sialome-cds-pep-larger-orf85-50SimCLU28.txt", 28)</f>
        <v>28</v>
      </c>
      <c r="CK680">
        <f>HYPERLINK("http://exon.niaid.nih.gov/transcriptome/Anopheles_sialome/links/cluster-b/anopheline-sialome-cds-pep-larger-orf85-50SimCLTL28.txt", 6)</f>
        <v>6</v>
      </c>
      <c r="CL680">
        <f>HYPERLINK("http://exon.niaid.nih.gov/transcriptome/Anopheles_sialome/links/cluster-b/anopheline-sialome-cds-pep-larger-orf90-50SimCLU19.txt", 19)</f>
        <v>19</v>
      </c>
      <c r="CM680">
        <f>HYPERLINK("http://exon.niaid.nih.gov/transcriptome/Anopheles_sialome/links/cluster-b/anopheline-sialome-cds-pep-larger-orf90-50SimCLTL19.txt", 6)</f>
        <v>6</v>
      </c>
      <c r="CN680">
        <f>HYPERLINK("http://exon.niaid.nih.gov/transcriptome/Anopheles_sialome/links/cluster-b/anopheline-sialome-cds-pep-larger-orf95-50SimCLU7.txt", 7)</f>
        <v>7</v>
      </c>
      <c r="CO680">
        <f>HYPERLINK("http://exon.niaid.nih.gov/transcriptome/Anopheles_sialome/links/cluster-b/anopheline-sialome-cds-pep-larger-orf95-50SimCLTL7.txt", 6)</f>
        <v>6</v>
      </c>
    </row>
    <row r="681" spans="1:93">
      <c r="A681" s="2" t="str">
        <f>HYPERLINK("http://exon.niaid.nih.gov/transcriptome/Anopheles_sialome/links/cds/anochris_cE5-anophelin-cds.txt","anochris_cE5-anophelin")</f>
        <v>anochris_cE5-anophelin</v>
      </c>
      <c r="B681">
        <v>330</v>
      </c>
      <c r="C681" t="s">
        <v>4</v>
      </c>
      <c r="D681" s="8" t="s">
        <v>3178</v>
      </c>
      <c r="E681" t="s">
        <v>5</v>
      </c>
      <c r="F681" t="s">
        <v>1</v>
      </c>
      <c r="G681" t="str">
        <f>HYPERLINK("http://exon.niaid.nih.gov/transcriptome/Anopheles_sialome/links/pep/anochris_cE5-anophelin-pep.txt","anochris_cE5-anophelin")</f>
        <v>anochris_cE5-anophelin</v>
      </c>
      <c r="H681">
        <v>109</v>
      </c>
      <c r="I681">
        <v>3</v>
      </c>
      <c r="J681" s="3" t="str">
        <f>HYPERLINK("http://exon.niaid.nih.gov/transcriptome/Anopheles_sialome/links/Sigp/anochris_cE5-anophelin-SigP.txt","SIG")</f>
        <v>SIG</v>
      </c>
      <c r="K681" t="s">
        <v>689</v>
      </c>
      <c r="L681">
        <v>11.590999999999999</v>
      </c>
      <c r="M681">
        <v>3.73</v>
      </c>
      <c r="N681">
        <v>9.4160000000000004</v>
      </c>
      <c r="O681">
        <v>3.62</v>
      </c>
      <c r="P681" t="s">
        <v>966</v>
      </c>
      <c r="Q681" s="3">
        <v>0</v>
      </c>
      <c r="R681" t="s">
        <v>128</v>
      </c>
      <c r="S681" t="s">
        <v>128</v>
      </c>
      <c r="T681" t="s">
        <v>128</v>
      </c>
      <c r="U681" t="s">
        <v>128</v>
      </c>
      <c r="V681" t="s">
        <v>128</v>
      </c>
      <c r="W681" s="3" t="str">
        <f>HYPERLINK("http://exon.niaid.nih.gov/transcriptome/Anopheles_sialome/links/netoglyc/anochris_cE5-anophelin-netoglyc.txt","7")</f>
        <v>7</v>
      </c>
      <c r="X681">
        <v>19.3</v>
      </c>
      <c r="Y681">
        <v>3.7</v>
      </c>
      <c r="Z681">
        <v>8.3000000000000007</v>
      </c>
      <c r="AA681" t="s">
        <v>654</v>
      </c>
      <c r="AB681" t="s">
        <v>128</v>
      </c>
      <c r="AC681" s="2" t="str">
        <f>HYPERLINK("http://exon.niaid.nih.gov/transcriptome/Anopheles_sialome/links/DIPTERA/anochris_cE5-anophelin-DIPTERA.txt","AGAP008004-PA")</f>
        <v>AGAP008004-PA</v>
      </c>
      <c r="AD681" t="str">
        <f>HYPERLINK("http://www.ncbi.nlm.nih.gov/sutils/blink.cgi?pid=116123248","4E-028")</f>
        <v>4E-028</v>
      </c>
      <c r="AE681" t="str">
        <f t="shared" si="238"/>
        <v>gi|116123248</v>
      </c>
      <c r="AF681">
        <v>60</v>
      </c>
      <c r="AG681">
        <v>77</v>
      </c>
      <c r="AH681">
        <v>106</v>
      </c>
      <c r="AI681" t="s">
        <v>2285</v>
      </c>
      <c r="AJ681" s="2" t="str">
        <f>HYPERLINK("http://exon.niaid.nih.gov/transcriptome/Anopheles_sialome/links/CULICOMORPHA/anochris_cE5-anophelin-CULICOMORPHA.txt","AGAP008004-PA")</f>
        <v>AGAP008004-PA</v>
      </c>
      <c r="AK681" t="str">
        <f>HYPERLINK("http://www.ncbi.nlm.nih.gov/sutils/blink.cgi?pid=116123248","7E-029")</f>
        <v>7E-029</v>
      </c>
      <c r="AL681" t="str">
        <f t="shared" si="239"/>
        <v>gi|116123248</v>
      </c>
      <c r="AM681">
        <v>60</v>
      </c>
      <c r="AN681">
        <v>77</v>
      </c>
      <c r="AO681">
        <v>106</v>
      </c>
      <c r="AP681" t="s">
        <v>2285</v>
      </c>
      <c r="AQ681" s="2" t="str">
        <f>HYPERLINK("http://exon.niaid.nih.gov/transcriptome/Anopheles_sialome/links/NR-LIGHT/anochris_cE5-anophelin-NR-LIGHT.txt","AGAP008004-PA")</f>
        <v>AGAP008004-PA</v>
      </c>
      <c r="AR681" t="str">
        <f>HYPERLINK("http://www.ncbi.nlm.nih.gov/sutils/blink.cgi?pid=118789501","1E-027")</f>
        <v>1E-027</v>
      </c>
      <c r="AS681" t="str">
        <f t="shared" si="240"/>
        <v>gi|118789501</v>
      </c>
      <c r="AT681">
        <v>60</v>
      </c>
      <c r="AU681">
        <v>77</v>
      </c>
      <c r="AV681">
        <v>106</v>
      </c>
      <c r="AW681" t="s">
        <v>2285</v>
      </c>
      <c r="AX681" s="2" t="str">
        <f>HYPERLINK("http://exon.niaid.nih.gov/transcriptome/Anopheles_sialome/links/CDD/anochris_cE5-anophelin-CDD.txt","Anophelin")</f>
        <v>Anophelin</v>
      </c>
      <c r="AY681" t="str">
        <f>HYPERLINK("http://www.ncbi.nlm.nih.gov/Structure/cdd/cddsrv.cgi?uid=pfam10731&amp;version=v4.0","1E-012")</f>
        <v>1E-012</v>
      </c>
      <c r="AZ681" t="s">
        <v>2437</v>
      </c>
      <c r="BA681" s="2" t="str">
        <f>HYPERLINK("http://exon.niaid.nih.gov/transcriptome/Anopheles_sialome/links/KOG/anochris_cE5-anophelin-KOG.txt","Traf2- and Nck-interacting kinase and related germinal center kinase (GCK) family protein kinases")</f>
        <v>Traf2- and Nck-interacting kinase and related germinal center kinase (GCK) family protein kinases</v>
      </c>
      <c r="BB681" t="str">
        <f>HYPERLINK("http://www.ncbi.nlm.nih.gov/Structure/cdd/cddsrv.cgi?uid=KOG0587","0.23")</f>
        <v>0.23</v>
      </c>
      <c r="BC681" t="s">
        <v>2292</v>
      </c>
      <c r="BD681" t="str">
        <f>HYPERLINK("http://exon.niaid.nih.gov/transcriptome/Anopheles_sialome/links/KOG/anochris_cE5-anophelin-KOG.txt","KOG0587")</f>
        <v>KOG0587</v>
      </c>
      <c r="BE681" t="str">
        <f>HYPERLINK("http://exon.niaid.nih.gov/transcriptome/Anopheles_sialome/links/PFAM/anochris_cE5-anophelin-PFAM.txt","Anophelin")</f>
        <v>Anophelin</v>
      </c>
      <c r="BF681" t="str">
        <f>HYPERLINK("http://pfam.sanger.ac.uk/family?acc=PF10731","3E-013")</f>
        <v>3E-013</v>
      </c>
      <c r="BG681" s="2" t="str">
        <f>HYPERLINK("http://exon.niaid.nih.gov/transcriptome/Anopheles_sialome/links/SMART/anochris_cE5-anophelin-SMART.txt","POLBc")</f>
        <v>POLBc</v>
      </c>
      <c r="BH681" t="str">
        <f>HYPERLINK("http://smart.embl-heidelberg.de/smart/do_annotation.pl?DOMAIN=POLBc&amp;BLAST=DUMMY","2.3")</f>
        <v>2.3</v>
      </c>
      <c r="BI681" t="s">
        <v>128</v>
      </c>
      <c r="BJ681" s="2" t="s">
        <v>128</v>
      </c>
      <c r="BK681" t="s">
        <v>965</v>
      </c>
      <c r="BL681">
        <f>HYPERLINK("http://exon.niaid.nih.gov/transcriptome/Anopheles_sialome/links/cluster-b/anopheline-sialome-cds-pep-larger-orf25-50SimCLU1.txt", 1)</f>
        <v>1</v>
      </c>
      <c r="BM681">
        <f>HYPERLINK("http://exon.niaid.nih.gov/transcriptome/Anopheles_sialome/links/cluster-b/anopheline-sialome-cds-pep-larger-orf25-50SimCLTL1.txt", 165)</f>
        <v>165</v>
      </c>
      <c r="BN681">
        <f>HYPERLINK("http://exon.niaid.nih.gov/transcriptome/Anopheles_sialome/links/cluster-b/anopheline-sialome-cds-pep-larger-orf30-50SimCLU1.txt", 1)</f>
        <v>1</v>
      </c>
      <c r="BO681">
        <f>HYPERLINK("http://exon.niaid.nih.gov/transcriptome/Anopheles_sialome/links/cluster-b/anopheline-sialome-cds-pep-larger-orf30-50SimCLTL1.txt", 165)</f>
        <v>165</v>
      </c>
      <c r="BP681">
        <f>HYPERLINK("http://exon.niaid.nih.gov/transcriptome/Anopheles_sialome/links/cluster-b/anopheline-sialome-cds-pep-larger-orf35-50SimCLU4.txt", 4)</f>
        <v>4</v>
      </c>
      <c r="BQ681">
        <f>HYPERLINK("http://exon.niaid.nih.gov/transcriptome/Anopheles_sialome/links/cluster-b/anopheline-sialome-cds-pep-larger-orf35-50SimCLTL4.txt", 76)</f>
        <v>76</v>
      </c>
      <c r="BR681">
        <f>HYPERLINK("http://exon.niaid.nih.gov/transcriptome/Anopheles_sialome/links/cluster-b/anopheline-sialome-cds-pep-larger-orf40-50SimCLU18.txt", 18)</f>
        <v>18</v>
      </c>
      <c r="BS681">
        <f>HYPERLINK("http://exon.niaid.nih.gov/transcriptome/Anopheles_sialome/links/cluster-b/anopheline-sialome-cds-pep-larger-orf40-50SimCLTL18.txt", 18)</f>
        <v>18</v>
      </c>
      <c r="BT681">
        <f>HYPERLINK("http://exon.niaid.nih.gov/transcriptome/Anopheles_sialome/links/cluster-b/anopheline-sialome-cds-pep-larger-orf45-50SimCLU18.txt", 18)</f>
        <v>18</v>
      </c>
      <c r="BU681">
        <f>HYPERLINK("http://exon.niaid.nih.gov/transcriptome/Anopheles_sialome/links/cluster-b/anopheline-sialome-cds-pep-larger-orf45-50SimCLTL18.txt", 18)</f>
        <v>18</v>
      </c>
      <c r="BV681">
        <f>HYPERLINK("http://exon.niaid.nih.gov/transcriptome/Anopheles_sialome/links/cluster-b/anopheline-sialome-cds-pep-larger-orf50-50SimCLU17.txt", 17)</f>
        <v>17</v>
      </c>
      <c r="BW681">
        <f>HYPERLINK("http://exon.niaid.nih.gov/transcriptome/Anopheles_sialome/links/cluster-b/anopheline-sialome-cds-pep-larger-orf50-50SimCLTL17.txt", 18)</f>
        <v>18</v>
      </c>
      <c r="BX681">
        <f>HYPERLINK("http://exon.niaid.nih.gov/transcriptome/Anopheles_sialome/links/cluster-b/anopheline-sialome-cds-pep-larger-orf55-50SimCLU18.txt", 18)</f>
        <v>18</v>
      </c>
      <c r="BY681">
        <f>HYPERLINK("http://exon.niaid.nih.gov/transcriptome/Anopheles_sialome/links/cluster-b/anopheline-sialome-cds-pep-larger-orf55-50SimCLTL18.txt", 18)</f>
        <v>18</v>
      </c>
      <c r="BZ681">
        <f>HYPERLINK("http://exon.niaid.nih.gov/transcriptome/Anopheles_sialome/links/cluster-b/anopheline-sialome-cds-pep-larger-orf60-50SimCLU17.txt", 17)</f>
        <v>17</v>
      </c>
      <c r="CA681">
        <f>HYPERLINK("http://exon.niaid.nih.gov/transcriptome/Anopheles_sialome/links/cluster-b/anopheline-sialome-cds-pep-larger-orf60-50SimCLTL17.txt", 18)</f>
        <v>18</v>
      </c>
      <c r="CB681">
        <f>HYPERLINK("http://exon.niaid.nih.gov/transcriptome/Anopheles_sialome/links/cluster-b/anopheline-sialome-cds-pep-larger-orf65-50SimCLU30.txt", 30)</f>
        <v>30</v>
      </c>
      <c r="CC681">
        <f>HYPERLINK("http://exon.niaid.nih.gov/transcriptome/Anopheles_sialome/links/cluster-b/anopheline-sialome-cds-pep-larger-orf65-50SimCLTL30.txt", 14)</f>
        <v>14</v>
      </c>
      <c r="CD681">
        <f>HYPERLINK("http://exon.niaid.nih.gov/transcriptome/Anopheles_sialome/links/cluster-b/anopheline-sialome-cds-pep-larger-orf70-50SimCLU37.txt", 37)</f>
        <v>37</v>
      </c>
      <c r="CE681">
        <f>HYPERLINK("http://exon.niaid.nih.gov/transcriptome/Anopheles_sialome/links/cluster-b/anopheline-sialome-cds-pep-larger-orf70-50SimCLTL37.txt", 12)</f>
        <v>12</v>
      </c>
      <c r="CF681">
        <f>HYPERLINK("http://exon.niaid.nih.gov/transcriptome/Anopheles_sialome/links/cluster-b/anopheline-sialome-cds-pep-larger-orf75-50SimCLU37.txt", 37)</f>
        <v>37</v>
      </c>
      <c r="CG681">
        <f>HYPERLINK("http://exon.niaid.nih.gov/transcriptome/Anopheles_sialome/links/cluster-b/anopheline-sialome-cds-pep-larger-orf75-50SimCLTL37.txt", 7)</f>
        <v>7</v>
      </c>
      <c r="CH681">
        <v>118</v>
      </c>
      <c r="CI681">
        <v>1</v>
      </c>
      <c r="CJ681">
        <v>131</v>
      </c>
      <c r="CK681">
        <v>1</v>
      </c>
      <c r="CL681">
        <v>144</v>
      </c>
      <c r="CM681">
        <v>1</v>
      </c>
      <c r="CN681">
        <v>137</v>
      </c>
      <c r="CO681">
        <v>1</v>
      </c>
    </row>
    <row r="682" spans="1:93">
      <c r="A682" s="2" t="str">
        <f>HYPERLINK("http://exon.niaid.nih.gov/transcriptome/Anopheles_sialome/links/cds/anoepi_cE5-anophelin-cds.txt","anoepi_cE5-anophelin")</f>
        <v>anoepi_cE5-anophelin</v>
      </c>
      <c r="B682">
        <v>309</v>
      </c>
      <c r="C682" t="s">
        <v>4</v>
      </c>
      <c r="D682" s="8" t="s">
        <v>3178</v>
      </c>
      <c r="E682" t="s">
        <v>5</v>
      </c>
      <c r="F682" t="s">
        <v>1</v>
      </c>
      <c r="G682" t="str">
        <f>HYPERLINK("http://exon.niaid.nih.gov/transcriptome/Anopheles_sialome/links/pep/anoepi_cE5-anophelin-pep.txt","anoepi_cE5-anophelin")</f>
        <v>anoepi_cE5-anophelin</v>
      </c>
      <c r="H682">
        <v>102</v>
      </c>
      <c r="I682">
        <v>1</v>
      </c>
      <c r="J682" s="3" t="str">
        <f>HYPERLINK("http://exon.niaid.nih.gov/transcriptome/Anopheles_sialome/links/Sigp/anoepi_cE5-anophelin-SigP.txt","SIG")</f>
        <v>SIG</v>
      </c>
      <c r="K682" t="s">
        <v>689</v>
      </c>
      <c r="L682">
        <v>11.066000000000001</v>
      </c>
      <c r="M682">
        <v>4.12</v>
      </c>
      <c r="N682">
        <v>8.8680000000000003</v>
      </c>
      <c r="O682">
        <v>4.03</v>
      </c>
      <c r="P682" t="s">
        <v>968</v>
      </c>
      <c r="Q682" s="3">
        <v>0</v>
      </c>
      <c r="R682" t="s">
        <v>128</v>
      </c>
      <c r="S682" t="s">
        <v>128</v>
      </c>
      <c r="T682" t="s">
        <v>128</v>
      </c>
      <c r="U682" t="s">
        <v>128</v>
      </c>
      <c r="V682" t="s">
        <v>128</v>
      </c>
      <c r="W682" s="3" t="str">
        <f>HYPERLINK("http://exon.niaid.nih.gov/transcriptome/Anopheles_sialome/links/netoglyc/anoepi_cE5-anophelin-netoglyc.txt","2")</f>
        <v>2</v>
      </c>
      <c r="X682">
        <v>12.7</v>
      </c>
      <c r="Y682">
        <v>3.9</v>
      </c>
      <c r="Z682">
        <v>6.9</v>
      </c>
      <c r="AA682" t="s">
        <v>654</v>
      </c>
      <c r="AB682" t="s">
        <v>128</v>
      </c>
      <c r="AC682" s="2" t="str">
        <f>HYPERLINK("http://exon.niaid.nih.gov/transcriptome/Anopheles_sialome/links/DIPTERA/anoepi_cE5-anophelin-DIPTERA.txt","anophelin-like funestolin")</f>
        <v>anophelin-like funestolin</v>
      </c>
      <c r="AD682" t="str">
        <f>HYPERLINK("http://www.ncbi.nlm.nih.gov/sutils/blink.cgi?pid=114864955","8E-021")</f>
        <v>8E-021</v>
      </c>
      <c r="AE682" t="str">
        <f>HYPERLINK("http://www.ncbi.nlm.nih.gov/protein/114864955","gi|114864955")</f>
        <v>gi|114864955</v>
      </c>
      <c r="AF682">
        <v>50</v>
      </c>
      <c r="AG682">
        <v>68</v>
      </c>
      <c r="AH682">
        <v>100</v>
      </c>
      <c r="AI682" t="s">
        <v>2266</v>
      </c>
      <c r="AJ682" s="2" t="str">
        <f>HYPERLINK("http://exon.niaid.nih.gov/transcriptome/Anopheles_sialome/links/CULICOMORPHA/anoepi_cE5-anophelin-CULICOMORPHA.txt","anophelin-like funestolin")</f>
        <v>anophelin-like funestolin</v>
      </c>
      <c r="AK682" t="str">
        <f>HYPERLINK("http://www.ncbi.nlm.nih.gov/sutils/blink.cgi?pid=114864955","1E-021")</f>
        <v>1E-021</v>
      </c>
      <c r="AL682" t="str">
        <f>HYPERLINK("http://www.ncbi.nlm.nih.gov/protein/114864955","gi|114864955")</f>
        <v>gi|114864955</v>
      </c>
      <c r="AM682">
        <v>50</v>
      </c>
      <c r="AN682">
        <v>68</v>
      </c>
      <c r="AO682">
        <v>100</v>
      </c>
      <c r="AP682" t="s">
        <v>2266</v>
      </c>
      <c r="AQ682" s="2" t="str">
        <f>HYPERLINK("http://exon.niaid.nih.gov/transcriptome/Anopheles_sialome/links/NR-LIGHT/anoepi_cE5-anophelin-NR-LIGHT.txt","anophelin-like funestolin")</f>
        <v>anophelin-like funestolin</v>
      </c>
      <c r="AR682" t="str">
        <f>HYPERLINK("http://www.ncbi.nlm.nih.gov/sutils/blink.cgi?pid=114864955","2E-020")</f>
        <v>2E-020</v>
      </c>
      <c r="AS682" t="str">
        <f>HYPERLINK("http://www.ncbi.nlm.nih.gov/protein/114864955","gi|114864955")</f>
        <v>gi|114864955</v>
      </c>
      <c r="AT682">
        <v>50</v>
      </c>
      <c r="AU682">
        <v>68</v>
      </c>
      <c r="AV682">
        <v>100</v>
      </c>
      <c r="AW682" t="s">
        <v>2266</v>
      </c>
      <c r="AX682" s="2" t="str">
        <f>HYPERLINK("http://exon.niaid.nih.gov/transcriptome/Anopheles_sialome/links/CDD/anoepi_cE5-anophelin-CDD.txt","Anophelin")</f>
        <v>Anophelin</v>
      </c>
      <c r="AY682" t="str">
        <f>HYPERLINK("http://www.ncbi.nlm.nih.gov/Structure/cdd/cddsrv.cgi?uid=pfam10731&amp;version=v4.0","9E-013")</f>
        <v>9E-013</v>
      </c>
      <c r="AZ682" t="s">
        <v>2438</v>
      </c>
      <c r="BA682" s="2" t="str">
        <f>HYPERLINK("http://exon.niaid.nih.gov/transcriptome/Anopheles_sialome/links/KOG/anoepi_cE5-anophelin-KOG.txt","Adenosine monophosphate deaminase")</f>
        <v>Adenosine monophosphate deaminase</v>
      </c>
      <c r="BB682" t="str">
        <f>HYPERLINK("http://www.ncbi.nlm.nih.gov/Structure/cdd/cddsrv.cgi?uid=KOG1096","0.19")</f>
        <v>0.19</v>
      </c>
      <c r="BC682" t="s">
        <v>2398</v>
      </c>
      <c r="BD682" t="str">
        <f>HYPERLINK("http://exon.niaid.nih.gov/transcriptome/Anopheles_sialome/links/KOG/anoepi_cE5-anophelin-KOG.txt","KOG1096")</f>
        <v>KOG1096</v>
      </c>
      <c r="BE682" t="str">
        <f>HYPERLINK("http://exon.niaid.nih.gov/transcriptome/Anopheles_sialome/links/PFAM/anoepi_cE5-anophelin-PFAM.txt","Anophelin")</f>
        <v>Anophelin</v>
      </c>
      <c r="BF682" t="str">
        <f>HYPERLINK("http://pfam.sanger.ac.uk/family?acc=PF10731","2E-013")</f>
        <v>2E-013</v>
      </c>
      <c r="BG682" s="2" t="str">
        <f>HYPERLINK("http://exon.niaid.nih.gov/transcriptome/Anopheles_sialome/links/SMART/anoepi_cE5-anophelin-SMART.txt","YccV-like")</f>
        <v>YccV-like</v>
      </c>
      <c r="BH682" t="str">
        <f>HYPERLINK("http://smart.embl-heidelberg.de/smart/do_annotation.pl?DOMAIN=YccV-like&amp;BLAST=DUMMY","1.2")</f>
        <v>1.2</v>
      </c>
      <c r="BI682" t="s">
        <v>128</v>
      </c>
      <c r="BJ682" s="2" t="s">
        <v>128</v>
      </c>
      <c r="BK682" t="s">
        <v>967</v>
      </c>
      <c r="BL682">
        <f>HYPERLINK("http://exon.niaid.nih.gov/transcriptome/Anopheles_sialome/links/cluster-b/anopheline-sialome-cds-pep-larger-orf25-50SimCLU1.txt", 1)</f>
        <v>1</v>
      </c>
      <c r="BM682">
        <f>HYPERLINK("http://exon.niaid.nih.gov/transcriptome/Anopheles_sialome/links/cluster-b/anopheline-sialome-cds-pep-larger-orf25-50SimCLTL1.txt", 165)</f>
        <v>165</v>
      </c>
      <c r="BN682">
        <f>HYPERLINK("http://exon.niaid.nih.gov/transcriptome/Anopheles_sialome/links/cluster-b/anopheline-sialome-cds-pep-larger-orf30-50SimCLU1.txt", 1)</f>
        <v>1</v>
      </c>
      <c r="BO682">
        <f>HYPERLINK("http://exon.niaid.nih.gov/transcriptome/Anopheles_sialome/links/cluster-b/anopheline-sialome-cds-pep-larger-orf30-50SimCLTL1.txt", 165)</f>
        <v>165</v>
      </c>
      <c r="BP682">
        <f>HYPERLINK("http://exon.niaid.nih.gov/transcriptome/Anopheles_sialome/links/cluster-b/anopheline-sialome-cds-pep-larger-orf35-50SimCLU4.txt", 4)</f>
        <v>4</v>
      </c>
      <c r="BQ682">
        <f>HYPERLINK("http://exon.niaid.nih.gov/transcriptome/Anopheles_sialome/links/cluster-b/anopheline-sialome-cds-pep-larger-orf35-50SimCLTL4.txt", 76)</f>
        <v>76</v>
      </c>
      <c r="BR682">
        <f>HYPERLINK("http://exon.niaid.nih.gov/transcriptome/Anopheles_sialome/links/cluster-b/anopheline-sialome-cds-pep-larger-orf40-50SimCLU18.txt", 18)</f>
        <v>18</v>
      </c>
      <c r="BS682">
        <f>HYPERLINK("http://exon.niaid.nih.gov/transcriptome/Anopheles_sialome/links/cluster-b/anopheline-sialome-cds-pep-larger-orf40-50SimCLTL18.txt", 18)</f>
        <v>18</v>
      </c>
      <c r="BT682">
        <f>HYPERLINK("http://exon.niaid.nih.gov/transcriptome/Anopheles_sialome/links/cluster-b/anopheline-sialome-cds-pep-larger-orf45-50SimCLU18.txt", 18)</f>
        <v>18</v>
      </c>
      <c r="BU682">
        <f>HYPERLINK("http://exon.niaid.nih.gov/transcriptome/Anopheles_sialome/links/cluster-b/anopheline-sialome-cds-pep-larger-orf45-50SimCLTL18.txt", 18)</f>
        <v>18</v>
      </c>
      <c r="BV682">
        <f>HYPERLINK("http://exon.niaid.nih.gov/transcriptome/Anopheles_sialome/links/cluster-b/anopheline-sialome-cds-pep-larger-orf50-50SimCLU17.txt", 17)</f>
        <v>17</v>
      </c>
      <c r="BW682">
        <f>HYPERLINK("http://exon.niaid.nih.gov/transcriptome/Anopheles_sialome/links/cluster-b/anopheline-sialome-cds-pep-larger-orf50-50SimCLTL17.txt", 18)</f>
        <v>18</v>
      </c>
      <c r="BX682">
        <f>HYPERLINK("http://exon.niaid.nih.gov/transcriptome/Anopheles_sialome/links/cluster-b/anopheline-sialome-cds-pep-larger-orf55-50SimCLU18.txt", 18)</f>
        <v>18</v>
      </c>
      <c r="BY682">
        <f>HYPERLINK("http://exon.niaid.nih.gov/transcriptome/Anopheles_sialome/links/cluster-b/anopheline-sialome-cds-pep-larger-orf55-50SimCLTL18.txt", 18)</f>
        <v>18</v>
      </c>
      <c r="BZ682">
        <f>HYPERLINK("http://exon.niaid.nih.gov/transcriptome/Anopheles_sialome/links/cluster-b/anopheline-sialome-cds-pep-larger-orf60-50SimCLU17.txt", 17)</f>
        <v>17</v>
      </c>
      <c r="CA682">
        <f>HYPERLINK("http://exon.niaid.nih.gov/transcriptome/Anopheles_sialome/links/cluster-b/anopheline-sialome-cds-pep-larger-orf60-50SimCLTL17.txt", 18)</f>
        <v>18</v>
      </c>
      <c r="CB682">
        <f>HYPERLINK("http://exon.niaid.nih.gov/transcriptome/Anopheles_sialome/links/cluster-b/anopheline-sialome-cds-pep-larger-orf65-50SimCLU30.txt", 30)</f>
        <v>30</v>
      </c>
      <c r="CC682">
        <f>HYPERLINK("http://exon.niaid.nih.gov/transcriptome/Anopheles_sialome/links/cluster-b/anopheline-sialome-cds-pep-larger-orf65-50SimCLTL30.txt", 14)</f>
        <v>14</v>
      </c>
      <c r="CD682">
        <f>HYPERLINK("http://exon.niaid.nih.gov/transcriptome/Anopheles_sialome/links/cluster-b/anopheline-sialome-cds-pep-larger-orf70-50SimCLU37.txt", 37)</f>
        <v>37</v>
      </c>
      <c r="CE682">
        <f>HYPERLINK("http://exon.niaid.nih.gov/transcriptome/Anopheles_sialome/links/cluster-b/anopheline-sialome-cds-pep-larger-orf70-50SimCLTL37.txt", 12)</f>
        <v>12</v>
      </c>
      <c r="CF682">
        <v>97</v>
      </c>
      <c r="CG682">
        <v>1</v>
      </c>
      <c r="CH682">
        <v>119</v>
      </c>
      <c r="CI682">
        <v>1</v>
      </c>
      <c r="CJ682">
        <v>132</v>
      </c>
      <c r="CK682">
        <v>1</v>
      </c>
      <c r="CL682">
        <v>145</v>
      </c>
      <c r="CM682">
        <v>1</v>
      </c>
      <c r="CN682">
        <v>138</v>
      </c>
      <c r="CO682">
        <v>1</v>
      </c>
    </row>
    <row r="683" spans="1:93">
      <c r="A683" s="2" t="str">
        <f>HYPERLINK("http://exon.niaid.nih.gov/transcriptome/Anopheles_sialome/links/cds/anofun_cE5-anophelin-cds.txt","anofun_cE5-anophelin")</f>
        <v>anofun_cE5-anophelin</v>
      </c>
      <c r="B683">
        <v>309</v>
      </c>
      <c r="C683" t="s">
        <v>139</v>
      </c>
      <c r="D683" t="s">
        <v>4</v>
      </c>
      <c r="E683" t="s">
        <v>5</v>
      </c>
      <c r="F683" t="s">
        <v>1</v>
      </c>
      <c r="G683" t="str">
        <f>HYPERLINK("http://exon.niaid.nih.gov/transcriptome/Anopheles_sialome/links/pep/anofun_cE5-anophelin-pep.txt","anofun_cE5-anophelin")</f>
        <v>anofun_cE5-anophelin</v>
      </c>
      <c r="H683">
        <v>102</v>
      </c>
      <c r="I683">
        <v>3</v>
      </c>
      <c r="J683" s="3" t="str">
        <f>HYPERLINK("http://exon.niaid.nih.gov/transcriptome/Anopheles_sialome/links/Sigp/anofun_cE5-anophelin-SigP.txt","SIG")</f>
        <v>SIG</v>
      </c>
      <c r="K683" t="s">
        <v>689</v>
      </c>
      <c r="L683">
        <v>11.137</v>
      </c>
      <c r="M683">
        <v>3.99</v>
      </c>
      <c r="N683">
        <v>8.9809999999999999</v>
      </c>
      <c r="O683">
        <v>3.89</v>
      </c>
      <c r="P683" t="s">
        <v>970</v>
      </c>
      <c r="Q683" s="3">
        <v>0</v>
      </c>
      <c r="R683" t="s">
        <v>128</v>
      </c>
      <c r="S683" t="s">
        <v>128</v>
      </c>
      <c r="T683" t="s">
        <v>128</v>
      </c>
      <c r="U683" t="s">
        <v>128</v>
      </c>
      <c r="V683" t="s">
        <v>128</v>
      </c>
      <c r="W683" s="3" t="str">
        <f>HYPERLINK("http://exon.niaid.nih.gov/transcriptome/Anopheles_sialome/links/netoglyc/anofun_cE5-anophelin-netoglyc.txt","10")</f>
        <v>10</v>
      </c>
      <c r="X683">
        <v>16.7</v>
      </c>
      <c r="Y683">
        <v>2.9</v>
      </c>
      <c r="Z683">
        <v>8.8000000000000007</v>
      </c>
      <c r="AA683" t="s">
        <v>654</v>
      </c>
      <c r="AB683" t="s">
        <v>128</v>
      </c>
      <c r="AC683" s="2" t="str">
        <f>HYPERLINK("http://exon.niaid.nih.gov/transcriptome/Anopheles_sialome/links/DIPTERA/anofun_cE5-anophelin-DIPTERA.txt","anophelin-like funestolin")</f>
        <v>anophelin-like funestolin</v>
      </c>
      <c r="AD683" t="str">
        <f>HYPERLINK("http://www.ncbi.nlm.nih.gov/sutils/blink.cgi?pid=114864955","2E-053")</f>
        <v>2E-053</v>
      </c>
      <c r="AE683" t="str">
        <f>HYPERLINK("http://www.ncbi.nlm.nih.gov/protein/114864955","gi|114864955")</f>
        <v>gi|114864955</v>
      </c>
      <c r="AF683">
        <v>99</v>
      </c>
      <c r="AG683">
        <v>100</v>
      </c>
      <c r="AH683">
        <v>100</v>
      </c>
      <c r="AI683" t="s">
        <v>2266</v>
      </c>
      <c r="AJ683" s="2" t="str">
        <f>HYPERLINK("http://exon.niaid.nih.gov/transcriptome/Anopheles_sialome/links/CULICOMORPHA/anofun_cE5-anophelin-CULICOMORPHA.txt","anophelin-like funestolin")</f>
        <v>anophelin-like funestolin</v>
      </c>
      <c r="AK683" t="str">
        <f>HYPERLINK("http://www.ncbi.nlm.nih.gov/sutils/blink.cgi?pid=114864955","3E-054")</f>
        <v>3E-054</v>
      </c>
      <c r="AL683" t="str">
        <f>HYPERLINK("http://www.ncbi.nlm.nih.gov/protein/114864955","gi|114864955")</f>
        <v>gi|114864955</v>
      </c>
      <c r="AM683">
        <v>99</v>
      </c>
      <c r="AN683">
        <v>100</v>
      </c>
      <c r="AO683">
        <v>100</v>
      </c>
      <c r="AP683" t="s">
        <v>2266</v>
      </c>
      <c r="AQ683" s="2" t="str">
        <f>HYPERLINK("http://exon.niaid.nih.gov/transcriptome/Anopheles_sialome/links/NR-LIGHT/anofun_cE5-anophelin-NR-LIGHT.txt","anophelin-like funestolin")</f>
        <v>anophelin-like funestolin</v>
      </c>
      <c r="AR683" t="str">
        <f>HYPERLINK("http://www.ncbi.nlm.nih.gov/sutils/blink.cgi?pid=114864955","5E-053")</f>
        <v>5E-053</v>
      </c>
      <c r="AS683" t="str">
        <f>HYPERLINK("http://www.ncbi.nlm.nih.gov/protein/114864955","gi|114864955")</f>
        <v>gi|114864955</v>
      </c>
      <c r="AT683">
        <v>99</v>
      </c>
      <c r="AU683">
        <v>100</v>
      </c>
      <c r="AV683">
        <v>100</v>
      </c>
      <c r="AW683" t="s">
        <v>2266</v>
      </c>
      <c r="AX683" s="2" t="str">
        <f>HYPERLINK("http://exon.niaid.nih.gov/transcriptome/Anopheles_sialome/links/CDD/anofun_cE5-anophelin-CDD.txt","Anophelin")</f>
        <v>Anophelin</v>
      </c>
      <c r="AY683" t="str">
        <f>HYPERLINK("http://www.ncbi.nlm.nih.gov/Structure/cdd/cddsrv.cgi?uid=pfam10731&amp;version=v4.0","9E-020")</f>
        <v>9E-020</v>
      </c>
      <c r="AZ683" t="s">
        <v>2439</v>
      </c>
      <c r="BA683" s="2" t="str">
        <f>HYPERLINK("http://exon.niaid.nih.gov/transcriptome/Anopheles_sialome/links/KOG/anofun_cE5-anophelin-KOG.txt","Predicted ubiquitin-protein ligase/hyperplastic discs protein, HECT superfamily")</f>
        <v>Predicted ubiquitin-protein ligase/hyperplastic discs protein, HECT superfamily</v>
      </c>
      <c r="BB683" t="str">
        <f>HYPERLINK("http://www.ncbi.nlm.nih.gov/Structure/cdd/cddsrv.cgi?uid=KOG0943","0.028")</f>
        <v>0.028</v>
      </c>
      <c r="BC683" t="s">
        <v>2296</v>
      </c>
      <c r="BD683" t="str">
        <f>HYPERLINK("http://exon.niaid.nih.gov/transcriptome/Anopheles_sialome/links/KOG/anofun_cE5-anophelin-KOG.txt","KOG0943")</f>
        <v>KOG0943</v>
      </c>
      <c r="BE683" t="str">
        <f>HYPERLINK("http://exon.niaid.nih.gov/transcriptome/Anopheles_sialome/links/PFAM/anofun_cE5-anophelin-PFAM.txt","Anophelin")</f>
        <v>Anophelin</v>
      </c>
      <c r="BF683" t="str">
        <f>HYPERLINK("http://pfam.sanger.ac.uk/family?acc=PF10731","2E-020")</f>
        <v>2E-020</v>
      </c>
      <c r="BG683" s="2" t="str">
        <f>HYPERLINK("http://exon.niaid.nih.gov/transcriptome/Anopheles_sialome/links/SMART/anofun_cE5-anophelin-SMART.txt","SEC14")</f>
        <v>SEC14</v>
      </c>
      <c r="BH683" t="str">
        <f>HYPERLINK("http://smart.embl-heidelberg.de/smart/do_annotation.pl?DOMAIN=SEC14&amp;BLAST=DUMMY","0.23")</f>
        <v>0.23</v>
      </c>
      <c r="BI683" t="s">
        <v>128</v>
      </c>
      <c r="BJ683" s="2" t="s">
        <v>128</v>
      </c>
      <c r="BK683" t="s">
        <v>969</v>
      </c>
      <c r="BL683">
        <f>HYPERLINK("http://exon.niaid.nih.gov/transcriptome/Anopheles_sialome/links/cluster-b/anopheline-sialome-cds-pep-larger-orf25-50SimCLU1.txt", 1)</f>
        <v>1</v>
      </c>
      <c r="BM683">
        <f>HYPERLINK("http://exon.niaid.nih.gov/transcriptome/Anopheles_sialome/links/cluster-b/anopheline-sialome-cds-pep-larger-orf25-50SimCLTL1.txt", 165)</f>
        <v>165</v>
      </c>
      <c r="BN683">
        <f>HYPERLINK("http://exon.niaid.nih.gov/transcriptome/Anopheles_sialome/links/cluster-b/anopheline-sialome-cds-pep-larger-orf30-50SimCLU1.txt", 1)</f>
        <v>1</v>
      </c>
      <c r="BO683">
        <f>HYPERLINK("http://exon.niaid.nih.gov/transcriptome/Anopheles_sialome/links/cluster-b/anopheline-sialome-cds-pep-larger-orf30-50SimCLTL1.txt", 165)</f>
        <v>165</v>
      </c>
      <c r="BP683">
        <f>HYPERLINK("http://exon.niaid.nih.gov/transcriptome/Anopheles_sialome/links/cluster-b/anopheline-sialome-cds-pep-larger-orf35-50SimCLU4.txt", 4)</f>
        <v>4</v>
      </c>
      <c r="BQ683">
        <f>HYPERLINK("http://exon.niaid.nih.gov/transcriptome/Anopheles_sialome/links/cluster-b/anopheline-sialome-cds-pep-larger-orf35-50SimCLTL4.txt", 76)</f>
        <v>76</v>
      </c>
      <c r="BR683">
        <f>HYPERLINK("http://exon.niaid.nih.gov/transcriptome/Anopheles_sialome/links/cluster-b/anopheline-sialome-cds-pep-larger-orf40-50SimCLU18.txt", 18)</f>
        <v>18</v>
      </c>
      <c r="BS683">
        <f>HYPERLINK("http://exon.niaid.nih.gov/transcriptome/Anopheles_sialome/links/cluster-b/anopheline-sialome-cds-pep-larger-orf40-50SimCLTL18.txt", 18)</f>
        <v>18</v>
      </c>
      <c r="BT683">
        <f>HYPERLINK("http://exon.niaid.nih.gov/transcriptome/Anopheles_sialome/links/cluster-b/anopheline-sialome-cds-pep-larger-orf45-50SimCLU18.txt", 18)</f>
        <v>18</v>
      </c>
      <c r="BU683">
        <f>HYPERLINK("http://exon.niaid.nih.gov/transcriptome/Anopheles_sialome/links/cluster-b/anopheline-sialome-cds-pep-larger-orf45-50SimCLTL18.txt", 18)</f>
        <v>18</v>
      </c>
      <c r="BV683">
        <f>HYPERLINK("http://exon.niaid.nih.gov/transcriptome/Anopheles_sialome/links/cluster-b/anopheline-sialome-cds-pep-larger-orf50-50SimCLU17.txt", 17)</f>
        <v>17</v>
      </c>
      <c r="BW683">
        <f>HYPERLINK("http://exon.niaid.nih.gov/transcriptome/Anopheles_sialome/links/cluster-b/anopheline-sialome-cds-pep-larger-orf50-50SimCLTL17.txt", 18)</f>
        <v>18</v>
      </c>
      <c r="BX683">
        <f>HYPERLINK("http://exon.niaid.nih.gov/transcriptome/Anopheles_sialome/links/cluster-b/anopheline-sialome-cds-pep-larger-orf55-50SimCLU18.txt", 18)</f>
        <v>18</v>
      </c>
      <c r="BY683">
        <f>HYPERLINK("http://exon.niaid.nih.gov/transcriptome/Anopheles_sialome/links/cluster-b/anopheline-sialome-cds-pep-larger-orf55-50SimCLTL18.txt", 18)</f>
        <v>18</v>
      </c>
      <c r="BZ683">
        <f>HYPERLINK("http://exon.niaid.nih.gov/transcriptome/Anopheles_sialome/links/cluster-b/anopheline-sialome-cds-pep-larger-orf60-50SimCLU17.txt", 17)</f>
        <v>17</v>
      </c>
      <c r="CA683">
        <f>HYPERLINK("http://exon.niaid.nih.gov/transcriptome/Anopheles_sialome/links/cluster-b/anopheline-sialome-cds-pep-larger-orf60-50SimCLTL17.txt", 18)</f>
        <v>18</v>
      </c>
      <c r="CB683">
        <f>HYPERLINK("http://exon.niaid.nih.gov/transcriptome/Anopheles_sialome/links/cluster-b/anopheline-sialome-cds-pep-larger-orf65-50SimCLU30.txt", 30)</f>
        <v>30</v>
      </c>
      <c r="CC683">
        <f>HYPERLINK("http://exon.niaid.nih.gov/transcriptome/Anopheles_sialome/links/cluster-b/anopheline-sialome-cds-pep-larger-orf65-50SimCLTL30.txt", 14)</f>
        <v>14</v>
      </c>
      <c r="CD683">
        <f>HYPERLINK("http://exon.niaid.nih.gov/transcriptome/Anopheles_sialome/links/cluster-b/anopheline-sialome-cds-pep-larger-orf70-50SimCLU37.txt", 37)</f>
        <v>37</v>
      </c>
      <c r="CE683">
        <f>HYPERLINK("http://exon.niaid.nih.gov/transcriptome/Anopheles_sialome/links/cluster-b/anopheline-sialome-cds-pep-larger-orf70-50SimCLTL37.txt", 12)</f>
        <v>12</v>
      </c>
      <c r="CF683">
        <f>HYPERLINK("http://exon.niaid.nih.gov/transcriptome/Anopheles_sialome/links/cluster-b/anopheline-sialome-cds-pep-larger-orf75-50SimCLU53.txt", 53)</f>
        <v>53</v>
      </c>
      <c r="CG683">
        <f>HYPERLINK("http://exon.niaid.nih.gov/transcriptome/Anopheles_sialome/links/cluster-b/anopheline-sialome-cds-pep-larger-orf75-50SimCLTL53.txt", 3)</f>
        <v>3</v>
      </c>
      <c r="CH683">
        <v>120</v>
      </c>
      <c r="CI683">
        <v>1</v>
      </c>
      <c r="CJ683">
        <v>133</v>
      </c>
      <c r="CK683">
        <v>1</v>
      </c>
      <c r="CL683">
        <v>146</v>
      </c>
      <c r="CM683">
        <v>1</v>
      </c>
      <c r="CN683">
        <v>139</v>
      </c>
      <c r="CO683">
        <v>1</v>
      </c>
    </row>
    <row r="684" spans="1:93">
      <c r="A684" s="2" t="str">
        <f>HYPERLINK("http://exon.niaid.nih.gov/transcriptome/Anopheles_sialome/links/cds/anomin_cE5-anophelin-cds.txt","anomin_cE5-anophelin")</f>
        <v>anomin_cE5-anophelin</v>
      </c>
      <c r="B684">
        <v>291</v>
      </c>
      <c r="C684" t="s">
        <v>140</v>
      </c>
      <c r="D684" t="s">
        <v>4</v>
      </c>
      <c r="E684" t="s">
        <v>5</v>
      </c>
      <c r="F684" t="s">
        <v>1</v>
      </c>
      <c r="G684" t="str">
        <f>HYPERLINK("http://exon.niaid.nih.gov/transcriptome/Anopheles_sialome/links/pep/anomin_cE5-anophelin-pep.txt","anomin_cE5-anophelin")</f>
        <v>anomin_cE5-anophelin</v>
      </c>
      <c r="H684">
        <v>96</v>
      </c>
      <c r="I684">
        <v>4</v>
      </c>
      <c r="J684" s="3" t="str">
        <f>HYPERLINK("http://exon.niaid.nih.gov/transcriptome/Anopheles_sialome/links/Sigp/anomin_cE5-anophelin-SigP.txt","SIG")</f>
        <v>SIG</v>
      </c>
      <c r="K684" t="s">
        <v>689</v>
      </c>
      <c r="L684">
        <v>10.484</v>
      </c>
      <c r="M684">
        <v>3.93</v>
      </c>
      <c r="N684">
        <v>8.3119999999999994</v>
      </c>
      <c r="O684">
        <v>3.84</v>
      </c>
      <c r="P684" t="s">
        <v>972</v>
      </c>
      <c r="Q684" s="3" t="str">
        <f>HYPERLINK("http://exon.niaid.nih.gov/transcriptome/Anopheles_sialome/links/tmhmm/anomin_cE5-anophelin-tmhmm.txt","1")</f>
        <v>1</v>
      </c>
      <c r="R684">
        <v>22.9</v>
      </c>
      <c r="S684">
        <v>71.900000000000006</v>
      </c>
      <c r="T684">
        <v>5.2</v>
      </c>
      <c r="U684" t="s">
        <v>128</v>
      </c>
      <c r="V684">
        <v>69</v>
      </c>
      <c r="W684" s="3" t="str">
        <f>HYPERLINK("http://exon.niaid.nih.gov/transcriptome/Anopheles_sialome/links/netoglyc/anomin_cE5-anophelin-netoglyc.txt","9")</f>
        <v>9</v>
      </c>
      <c r="X684">
        <v>17.7</v>
      </c>
      <c r="Y684">
        <v>2.1</v>
      </c>
      <c r="Z684">
        <v>9.4</v>
      </c>
      <c r="AA684" t="s">
        <v>654</v>
      </c>
      <c r="AB684" t="s">
        <v>128</v>
      </c>
      <c r="AC684" s="2" t="str">
        <f>HYPERLINK("http://exon.niaid.nih.gov/transcriptome/Anopheles_sialome/links/DIPTERA/anomin_cE5-anophelin-DIPTERA.txt","anophelin-like funestolin")</f>
        <v>anophelin-like funestolin</v>
      </c>
      <c r="AD684" t="str">
        <f>HYPERLINK("http://www.ncbi.nlm.nih.gov/sutils/blink.cgi?pid=114864955","7E-027")</f>
        <v>7E-027</v>
      </c>
      <c r="AE684" t="str">
        <f>HYPERLINK("http://www.ncbi.nlm.nih.gov/protein/114864955","gi|114864955")</f>
        <v>gi|114864955</v>
      </c>
      <c r="AF684">
        <v>66</v>
      </c>
      <c r="AG684">
        <v>72</v>
      </c>
      <c r="AH684">
        <v>97</v>
      </c>
      <c r="AI684" t="s">
        <v>2266</v>
      </c>
      <c r="AJ684" s="2" t="str">
        <f>HYPERLINK("http://exon.niaid.nih.gov/transcriptome/Anopheles_sialome/links/CULICOMORPHA/anomin_cE5-anophelin-CULICOMORPHA.txt","anophelin-like funestolin")</f>
        <v>anophelin-like funestolin</v>
      </c>
      <c r="AK684" t="str">
        <f>HYPERLINK("http://www.ncbi.nlm.nih.gov/sutils/blink.cgi?pid=114864955","1E-027")</f>
        <v>1E-027</v>
      </c>
      <c r="AL684" t="str">
        <f>HYPERLINK("http://www.ncbi.nlm.nih.gov/protein/114864955","gi|114864955")</f>
        <v>gi|114864955</v>
      </c>
      <c r="AM684">
        <v>66</v>
      </c>
      <c r="AN684">
        <v>72</v>
      </c>
      <c r="AO684">
        <v>97</v>
      </c>
      <c r="AP684" t="s">
        <v>2266</v>
      </c>
      <c r="AQ684" s="2" t="str">
        <f>HYPERLINK("http://exon.niaid.nih.gov/transcriptome/Anopheles_sialome/links/NR-LIGHT/anomin_cE5-anophelin-NR-LIGHT.txt","anophelin-like funestolin")</f>
        <v>anophelin-like funestolin</v>
      </c>
      <c r="AR684" t="str">
        <f>HYPERLINK("http://www.ncbi.nlm.nih.gov/sutils/blink.cgi?pid=114864955","2E-026")</f>
        <v>2E-026</v>
      </c>
      <c r="AS684" t="str">
        <f>HYPERLINK("http://www.ncbi.nlm.nih.gov/protein/114864955","gi|114864955")</f>
        <v>gi|114864955</v>
      </c>
      <c r="AT684">
        <v>66</v>
      </c>
      <c r="AU684">
        <v>72</v>
      </c>
      <c r="AV684">
        <v>97</v>
      </c>
      <c r="AW684" t="s">
        <v>2266</v>
      </c>
      <c r="AX684" s="2" t="str">
        <f>HYPERLINK("http://exon.niaid.nih.gov/transcriptome/Anopheles_sialome/links/CDD/anomin_cE5-anophelin-CDD.txt","Anophelin")</f>
        <v>Anophelin</v>
      </c>
      <c r="AY684" t="str">
        <f>HYPERLINK("http://www.ncbi.nlm.nih.gov/Structure/cdd/cddsrv.cgi?uid=pfam10731&amp;version=v4.0","2E-016")</f>
        <v>2E-016</v>
      </c>
      <c r="AZ684" t="s">
        <v>2440</v>
      </c>
      <c r="BA684" s="2" t="str">
        <f>HYPERLINK("http://exon.niaid.nih.gov/transcriptome/Anopheles_sialome/links/KOG/anomin_cE5-anophelin-KOG.txt","Protein involved in high osmolarity signaling pathway")</f>
        <v>Protein involved in high osmolarity signaling pathway</v>
      </c>
      <c r="BB684" t="str">
        <f>HYPERLINK("http://www.ncbi.nlm.nih.gov/Structure/cdd/cddsrv.cgi?uid=KOG2141","0.22")</f>
        <v>0.22</v>
      </c>
      <c r="BC684" t="s">
        <v>2292</v>
      </c>
      <c r="BD684" t="str">
        <f>HYPERLINK("http://exon.niaid.nih.gov/transcriptome/Anopheles_sialome/links/KOG/anomin_cE5-anophelin-KOG.txt","KOG2141")</f>
        <v>KOG2141</v>
      </c>
      <c r="BE684" t="str">
        <f>HYPERLINK("http://exon.niaid.nih.gov/transcriptome/Anopheles_sialome/links/PFAM/anomin_cE5-anophelin-PFAM.txt","Anophelin")</f>
        <v>Anophelin</v>
      </c>
      <c r="BF684" t="str">
        <f>HYPERLINK("http://pfam.sanger.ac.uk/family?acc=PF10731","5E-017")</f>
        <v>5E-017</v>
      </c>
      <c r="BG684" s="2" t="str">
        <f>HYPERLINK("http://exon.niaid.nih.gov/transcriptome/Anopheles_sialome/links/SMART/anomin_cE5-anophelin-SMART.txt","EPH_lbd")</f>
        <v>EPH_lbd</v>
      </c>
      <c r="BH684" t="str">
        <f>HYPERLINK("http://smart.embl-heidelberg.de/smart/do_annotation.pl?DOMAIN=EPH_lbd&amp;BLAST=DUMMY","5.4")</f>
        <v>5.4</v>
      </c>
      <c r="BI684" t="s">
        <v>128</v>
      </c>
      <c r="BJ684" s="2" t="s">
        <v>128</v>
      </c>
      <c r="BK684" t="s">
        <v>971</v>
      </c>
      <c r="BL684">
        <f>HYPERLINK("http://exon.niaid.nih.gov/transcriptome/Anopheles_sialome/links/cluster-b/anopheline-sialome-cds-pep-larger-orf25-50SimCLU1.txt", 1)</f>
        <v>1</v>
      </c>
      <c r="BM684">
        <f>HYPERLINK("http://exon.niaid.nih.gov/transcriptome/Anopheles_sialome/links/cluster-b/anopheline-sialome-cds-pep-larger-orf25-50SimCLTL1.txt", 165)</f>
        <v>165</v>
      </c>
      <c r="BN684">
        <f>HYPERLINK("http://exon.niaid.nih.gov/transcriptome/Anopheles_sialome/links/cluster-b/anopheline-sialome-cds-pep-larger-orf30-50SimCLU1.txt", 1)</f>
        <v>1</v>
      </c>
      <c r="BO684">
        <f>HYPERLINK("http://exon.niaid.nih.gov/transcriptome/Anopheles_sialome/links/cluster-b/anopheline-sialome-cds-pep-larger-orf30-50SimCLTL1.txt", 165)</f>
        <v>165</v>
      </c>
      <c r="BP684">
        <f>HYPERLINK("http://exon.niaid.nih.gov/transcriptome/Anopheles_sialome/links/cluster-b/anopheline-sialome-cds-pep-larger-orf35-50SimCLU4.txt", 4)</f>
        <v>4</v>
      </c>
      <c r="BQ684">
        <f>HYPERLINK("http://exon.niaid.nih.gov/transcriptome/Anopheles_sialome/links/cluster-b/anopheline-sialome-cds-pep-larger-orf35-50SimCLTL4.txt", 76)</f>
        <v>76</v>
      </c>
      <c r="BR684">
        <f>HYPERLINK("http://exon.niaid.nih.gov/transcriptome/Anopheles_sialome/links/cluster-b/anopheline-sialome-cds-pep-larger-orf40-50SimCLU18.txt", 18)</f>
        <v>18</v>
      </c>
      <c r="BS684">
        <f>HYPERLINK("http://exon.niaid.nih.gov/transcriptome/Anopheles_sialome/links/cluster-b/anopheline-sialome-cds-pep-larger-orf40-50SimCLTL18.txt", 18)</f>
        <v>18</v>
      </c>
      <c r="BT684">
        <f>HYPERLINK("http://exon.niaid.nih.gov/transcriptome/Anopheles_sialome/links/cluster-b/anopheline-sialome-cds-pep-larger-orf45-50SimCLU18.txt", 18)</f>
        <v>18</v>
      </c>
      <c r="BU684">
        <f>HYPERLINK("http://exon.niaid.nih.gov/transcriptome/Anopheles_sialome/links/cluster-b/anopheline-sialome-cds-pep-larger-orf45-50SimCLTL18.txt", 18)</f>
        <v>18</v>
      </c>
      <c r="BV684">
        <f>HYPERLINK("http://exon.niaid.nih.gov/transcriptome/Anopheles_sialome/links/cluster-b/anopheline-sialome-cds-pep-larger-orf50-50SimCLU17.txt", 17)</f>
        <v>17</v>
      </c>
      <c r="BW684">
        <f>HYPERLINK("http://exon.niaid.nih.gov/transcriptome/Anopheles_sialome/links/cluster-b/anopheline-sialome-cds-pep-larger-orf50-50SimCLTL17.txt", 18)</f>
        <v>18</v>
      </c>
      <c r="BX684">
        <f>HYPERLINK("http://exon.niaid.nih.gov/transcriptome/Anopheles_sialome/links/cluster-b/anopheline-sialome-cds-pep-larger-orf55-50SimCLU18.txt", 18)</f>
        <v>18</v>
      </c>
      <c r="BY684">
        <f>HYPERLINK("http://exon.niaid.nih.gov/transcriptome/Anopheles_sialome/links/cluster-b/anopheline-sialome-cds-pep-larger-orf55-50SimCLTL18.txt", 18)</f>
        <v>18</v>
      </c>
      <c r="BZ684">
        <f>HYPERLINK("http://exon.niaid.nih.gov/transcriptome/Anopheles_sialome/links/cluster-b/anopheline-sialome-cds-pep-larger-orf60-50SimCLU17.txt", 17)</f>
        <v>17</v>
      </c>
      <c r="CA684">
        <f>HYPERLINK("http://exon.niaid.nih.gov/transcriptome/Anopheles_sialome/links/cluster-b/anopheline-sialome-cds-pep-larger-orf60-50SimCLTL17.txt", 18)</f>
        <v>18</v>
      </c>
      <c r="CB684">
        <f>HYPERLINK("http://exon.niaid.nih.gov/transcriptome/Anopheles_sialome/links/cluster-b/anopheline-sialome-cds-pep-larger-orf65-50SimCLU30.txt", 30)</f>
        <v>30</v>
      </c>
      <c r="CC684">
        <f>HYPERLINK("http://exon.niaid.nih.gov/transcriptome/Anopheles_sialome/links/cluster-b/anopheline-sialome-cds-pep-larger-orf65-50SimCLTL30.txt", 14)</f>
        <v>14</v>
      </c>
      <c r="CD684">
        <f>HYPERLINK("http://exon.niaid.nih.gov/transcriptome/Anopheles_sialome/links/cluster-b/anopheline-sialome-cds-pep-larger-orf70-50SimCLU37.txt", 37)</f>
        <v>37</v>
      </c>
      <c r="CE684">
        <f>HYPERLINK("http://exon.niaid.nih.gov/transcriptome/Anopheles_sialome/links/cluster-b/anopheline-sialome-cds-pep-larger-orf70-50SimCLTL37.txt", 12)</f>
        <v>12</v>
      </c>
      <c r="CF684">
        <f>HYPERLINK("http://exon.niaid.nih.gov/transcriptome/Anopheles_sialome/links/cluster-b/anopheline-sialome-cds-pep-larger-orf75-50SimCLU53.txt", 53)</f>
        <v>53</v>
      </c>
      <c r="CG684">
        <f>HYPERLINK("http://exon.niaid.nih.gov/transcriptome/Anopheles_sialome/links/cluster-b/anopheline-sialome-cds-pep-larger-orf75-50SimCLTL53.txt", 3)</f>
        <v>3</v>
      </c>
      <c r="CH684">
        <f>HYPERLINK("http://exon.niaid.nih.gov/transcriptome/Anopheles_sialome/links/cluster-b/anopheline-sialome-cds-pep-larger-orf80-50SimCLU66.txt", 66)</f>
        <v>66</v>
      </c>
      <c r="CI684">
        <f>HYPERLINK("http://exon.niaid.nih.gov/transcriptome/Anopheles_sialome/links/cluster-b/anopheline-sialome-cds-pep-larger-orf80-50SimCLTL66.txt", 2)</f>
        <v>2</v>
      </c>
      <c r="CJ684">
        <f>HYPERLINK("http://exon.niaid.nih.gov/transcriptome/Anopheles_sialome/links/cluster-b/anopheline-sialome-cds-pep-larger-orf85-50SimCLU68.txt", 68)</f>
        <v>68</v>
      </c>
      <c r="CK684">
        <f>HYPERLINK("http://exon.niaid.nih.gov/transcriptome/Anopheles_sialome/links/cluster-b/anopheline-sialome-cds-pep-larger-orf85-50SimCLTL68.txt", 2)</f>
        <v>2</v>
      </c>
      <c r="CL684">
        <v>147</v>
      </c>
      <c r="CM684">
        <v>1</v>
      </c>
      <c r="CN684">
        <v>140</v>
      </c>
      <c r="CO684">
        <v>1</v>
      </c>
    </row>
    <row r="685" spans="1:93">
      <c r="A685" s="2" t="str">
        <f>HYPERLINK("http://exon.niaid.nih.gov/transcriptome/Anopheles_sialome/links/cds/anocul_cE5-anophelin-cds.txt","anocul_cE5-anophelin")</f>
        <v>anocul_cE5-anophelin</v>
      </c>
      <c r="B685">
        <v>306</v>
      </c>
      <c r="C685" t="s">
        <v>141</v>
      </c>
      <c r="D685" t="s">
        <v>4</v>
      </c>
      <c r="E685" t="s">
        <v>5</v>
      </c>
      <c r="F685" t="s">
        <v>1</v>
      </c>
      <c r="G685" t="str">
        <f>HYPERLINK("http://exon.niaid.nih.gov/transcriptome/Anopheles_sialome/links/pep/anocul_cE5-anophelin-pep.txt","anocul_cE5-anophelin")</f>
        <v>anocul_cE5-anophelin</v>
      </c>
      <c r="H685">
        <v>101</v>
      </c>
      <c r="I685">
        <v>3</v>
      </c>
      <c r="J685" s="3" t="str">
        <f>HYPERLINK("http://exon.niaid.nih.gov/transcriptome/Anopheles_sialome/links/Sigp/anocul_cE5-anophelin-SigP.txt","SIG")</f>
        <v>SIG</v>
      </c>
      <c r="K685" t="s">
        <v>689</v>
      </c>
      <c r="L685">
        <v>10.888999999999999</v>
      </c>
      <c r="M685">
        <v>4</v>
      </c>
      <c r="N685">
        <v>8.7319999999999993</v>
      </c>
      <c r="O685">
        <v>3.91</v>
      </c>
      <c r="P685" t="s">
        <v>974</v>
      </c>
      <c r="Q685" s="3" t="str">
        <f>HYPERLINK("http://exon.niaid.nih.gov/transcriptome/Anopheles_sialome/links/tmhmm/anocul_cE5-anophelin-tmhmm.txt","1")</f>
        <v>1</v>
      </c>
      <c r="R685">
        <v>21.8</v>
      </c>
      <c r="S685">
        <v>73.3</v>
      </c>
      <c r="T685">
        <v>5</v>
      </c>
      <c r="U685" t="s">
        <v>128</v>
      </c>
      <c r="V685">
        <v>74</v>
      </c>
      <c r="W685" s="3" t="str">
        <f>HYPERLINK("http://exon.niaid.nih.gov/transcriptome/Anopheles_sialome/links/netoglyc/anocul_cE5-anophelin-netoglyc.txt","5")</f>
        <v>5</v>
      </c>
      <c r="X685">
        <v>16.8</v>
      </c>
      <c r="Y685">
        <v>2</v>
      </c>
      <c r="Z685">
        <v>7.9</v>
      </c>
      <c r="AA685" t="s">
        <v>654</v>
      </c>
      <c r="AB685" t="s">
        <v>128</v>
      </c>
      <c r="AC685" s="2" t="str">
        <f>HYPERLINK("http://exon.niaid.nih.gov/transcriptome/Anopheles_sialome/links/DIPTERA/anocul_cE5-anophelin-DIPTERA.txt","anophelin-like funestolin")</f>
        <v>anophelin-like funestolin</v>
      </c>
      <c r="AD685" t="str">
        <f>HYPERLINK("http://www.ncbi.nlm.nih.gov/sutils/blink.cgi?pid=114864955","1E-026")</f>
        <v>1E-026</v>
      </c>
      <c r="AE685" t="str">
        <f>HYPERLINK("http://www.ncbi.nlm.nih.gov/protein/114864955","gi|114864955")</f>
        <v>gi|114864955</v>
      </c>
      <c r="AF685">
        <v>65</v>
      </c>
      <c r="AG685">
        <v>76</v>
      </c>
      <c r="AH685">
        <v>99</v>
      </c>
      <c r="AI685" t="s">
        <v>2266</v>
      </c>
      <c r="AJ685" s="2" t="str">
        <f>HYPERLINK("http://exon.niaid.nih.gov/transcriptome/Anopheles_sialome/links/CULICOMORPHA/anocul_cE5-anophelin-CULICOMORPHA.txt","anophelin-like funestolin")</f>
        <v>anophelin-like funestolin</v>
      </c>
      <c r="AK685" t="str">
        <f>HYPERLINK("http://www.ncbi.nlm.nih.gov/sutils/blink.cgi?pid=114864955","2E-027")</f>
        <v>2E-027</v>
      </c>
      <c r="AL685" t="str">
        <f>HYPERLINK("http://www.ncbi.nlm.nih.gov/protein/114864955","gi|114864955")</f>
        <v>gi|114864955</v>
      </c>
      <c r="AM685">
        <v>65</v>
      </c>
      <c r="AN685">
        <v>76</v>
      </c>
      <c r="AO685">
        <v>99</v>
      </c>
      <c r="AP685" t="s">
        <v>2266</v>
      </c>
      <c r="AQ685" s="2" t="str">
        <f>HYPERLINK("http://exon.niaid.nih.gov/transcriptome/Anopheles_sialome/links/NR-LIGHT/anocul_cE5-anophelin-NR-LIGHT.txt","anophelin-like funestolin")</f>
        <v>anophelin-like funestolin</v>
      </c>
      <c r="AR685" t="str">
        <f>HYPERLINK("http://www.ncbi.nlm.nih.gov/sutils/blink.cgi?pid=114864955","4E-026")</f>
        <v>4E-026</v>
      </c>
      <c r="AS685" t="str">
        <f>HYPERLINK("http://www.ncbi.nlm.nih.gov/protein/114864955","gi|114864955")</f>
        <v>gi|114864955</v>
      </c>
      <c r="AT685">
        <v>65</v>
      </c>
      <c r="AU685">
        <v>76</v>
      </c>
      <c r="AV685">
        <v>99</v>
      </c>
      <c r="AW685" t="s">
        <v>2266</v>
      </c>
      <c r="AX685" s="2" t="str">
        <f>HYPERLINK("http://exon.niaid.nih.gov/transcriptome/Anopheles_sialome/links/CDD/anocul_cE5-anophelin-CDD.txt","Anophelin")</f>
        <v>Anophelin</v>
      </c>
      <c r="AY685" t="str">
        <f>HYPERLINK("http://www.ncbi.nlm.nih.gov/Structure/cdd/cddsrv.cgi?uid=pfam10731&amp;version=v4.0","2E-016")</f>
        <v>2E-016</v>
      </c>
      <c r="AZ685" t="s">
        <v>2441</v>
      </c>
      <c r="BA685" s="2" t="str">
        <f>HYPERLINK("http://exon.niaid.nih.gov/transcriptome/Anopheles_sialome/links/KOG/anocul_cE5-anophelin-KOG.txt","Uncharacterized conserved protein")</f>
        <v>Uncharacterized conserved protein</v>
      </c>
      <c r="BB685" t="str">
        <f>HYPERLINK("http://www.ncbi.nlm.nih.gov/Structure/cdd/cddsrv.cgi?uid=KOG2357","1.7")</f>
        <v>1.7</v>
      </c>
      <c r="BC685" t="s">
        <v>2304</v>
      </c>
      <c r="BD685" t="str">
        <f>HYPERLINK("http://exon.niaid.nih.gov/transcriptome/Anopheles_sialome/links/KOG/anocul_cE5-anophelin-KOG.txt","KOG2357")</f>
        <v>KOG2357</v>
      </c>
      <c r="BE685" t="str">
        <f>HYPERLINK("http://exon.niaid.nih.gov/transcriptome/Anopheles_sialome/links/PFAM/anocul_cE5-anophelin-PFAM.txt","Anophelin")</f>
        <v>Anophelin</v>
      </c>
      <c r="BF685" t="str">
        <f>HYPERLINK("http://pfam.sanger.ac.uk/family?acc=PF10731","5E-017")</f>
        <v>5E-017</v>
      </c>
      <c r="BG685" s="2" t="str">
        <f>HYPERLINK("http://exon.niaid.nih.gov/transcriptome/Anopheles_sialome/links/SMART/anocul_cE5-anophelin-SMART.txt","VPS10")</f>
        <v>VPS10</v>
      </c>
      <c r="BH685" t="str">
        <f>HYPERLINK("http://smart.embl-heidelberg.de/smart/do_annotation.pl?DOMAIN=VPS10&amp;BLAST=DUMMY","0.80")</f>
        <v>0.80</v>
      </c>
      <c r="BI685" t="s">
        <v>128</v>
      </c>
      <c r="BJ685" s="2" t="s">
        <v>128</v>
      </c>
      <c r="BK685" t="s">
        <v>973</v>
      </c>
      <c r="BL685">
        <f>HYPERLINK("http://exon.niaid.nih.gov/transcriptome/Anopheles_sialome/links/cluster-b/anopheline-sialome-cds-pep-larger-orf25-50SimCLU1.txt", 1)</f>
        <v>1</v>
      </c>
      <c r="BM685">
        <f>HYPERLINK("http://exon.niaid.nih.gov/transcriptome/Anopheles_sialome/links/cluster-b/anopheline-sialome-cds-pep-larger-orf25-50SimCLTL1.txt", 165)</f>
        <v>165</v>
      </c>
      <c r="BN685">
        <f>HYPERLINK("http://exon.niaid.nih.gov/transcriptome/Anopheles_sialome/links/cluster-b/anopheline-sialome-cds-pep-larger-orf30-50SimCLU1.txt", 1)</f>
        <v>1</v>
      </c>
      <c r="BO685">
        <f>HYPERLINK("http://exon.niaid.nih.gov/transcriptome/Anopheles_sialome/links/cluster-b/anopheline-sialome-cds-pep-larger-orf30-50SimCLTL1.txt", 165)</f>
        <v>165</v>
      </c>
      <c r="BP685">
        <f>HYPERLINK("http://exon.niaid.nih.gov/transcriptome/Anopheles_sialome/links/cluster-b/anopheline-sialome-cds-pep-larger-orf35-50SimCLU4.txt", 4)</f>
        <v>4</v>
      </c>
      <c r="BQ685">
        <f>HYPERLINK("http://exon.niaid.nih.gov/transcriptome/Anopheles_sialome/links/cluster-b/anopheline-sialome-cds-pep-larger-orf35-50SimCLTL4.txt", 76)</f>
        <v>76</v>
      </c>
      <c r="BR685">
        <f>HYPERLINK("http://exon.niaid.nih.gov/transcriptome/Anopheles_sialome/links/cluster-b/anopheline-sialome-cds-pep-larger-orf40-50SimCLU18.txt", 18)</f>
        <v>18</v>
      </c>
      <c r="BS685">
        <f>HYPERLINK("http://exon.niaid.nih.gov/transcriptome/Anopheles_sialome/links/cluster-b/anopheline-sialome-cds-pep-larger-orf40-50SimCLTL18.txt", 18)</f>
        <v>18</v>
      </c>
      <c r="BT685">
        <f>HYPERLINK("http://exon.niaid.nih.gov/transcriptome/Anopheles_sialome/links/cluster-b/anopheline-sialome-cds-pep-larger-orf45-50SimCLU18.txt", 18)</f>
        <v>18</v>
      </c>
      <c r="BU685">
        <f>HYPERLINK("http://exon.niaid.nih.gov/transcriptome/Anopheles_sialome/links/cluster-b/anopheline-sialome-cds-pep-larger-orf45-50SimCLTL18.txt", 18)</f>
        <v>18</v>
      </c>
      <c r="BV685">
        <f>HYPERLINK("http://exon.niaid.nih.gov/transcriptome/Anopheles_sialome/links/cluster-b/anopheline-sialome-cds-pep-larger-orf50-50SimCLU17.txt", 17)</f>
        <v>17</v>
      </c>
      <c r="BW685">
        <f>HYPERLINK("http://exon.niaid.nih.gov/transcriptome/Anopheles_sialome/links/cluster-b/anopheline-sialome-cds-pep-larger-orf50-50SimCLTL17.txt", 18)</f>
        <v>18</v>
      </c>
      <c r="BX685">
        <f>HYPERLINK("http://exon.niaid.nih.gov/transcriptome/Anopheles_sialome/links/cluster-b/anopheline-sialome-cds-pep-larger-orf55-50SimCLU18.txt", 18)</f>
        <v>18</v>
      </c>
      <c r="BY685">
        <f>HYPERLINK("http://exon.niaid.nih.gov/transcriptome/Anopheles_sialome/links/cluster-b/anopheline-sialome-cds-pep-larger-orf55-50SimCLTL18.txt", 18)</f>
        <v>18</v>
      </c>
      <c r="BZ685">
        <f>HYPERLINK("http://exon.niaid.nih.gov/transcriptome/Anopheles_sialome/links/cluster-b/anopheline-sialome-cds-pep-larger-orf60-50SimCLU17.txt", 17)</f>
        <v>17</v>
      </c>
      <c r="CA685">
        <f>HYPERLINK("http://exon.niaid.nih.gov/transcriptome/Anopheles_sialome/links/cluster-b/anopheline-sialome-cds-pep-larger-orf60-50SimCLTL17.txt", 18)</f>
        <v>18</v>
      </c>
      <c r="CB685">
        <f>HYPERLINK("http://exon.niaid.nih.gov/transcriptome/Anopheles_sialome/links/cluster-b/anopheline-sialome-cds-pep-larger-orf65-50SimCLU30.txt", 30)</f>
        <v>30</v>
      </c>
      <c r="CC685">
        <f>HYPERLINK("http://exon.niaid.nih.gov/transcriptome/Anopheles_sialome/links/cluster-b/anopheline-sialome-cds-pep-larger-orf65-50SimCLTL30.txt", 14)</f>
        <v>14</v>
      </c>
      <c r="CD685">
        <f>HYPERLINK("http://exon.niaid.nih.gov/transcriptome/Anopheles_sialome/links/cluster-b/anopheline-sialome-cds-pep-larger-orf70-50SimCLU37.txt", 37)</f>
        <v>37</v>
      </c>
      <c r="CE685">
        <f>HYPERLINK("http://exon.niaid.nih.gov/transcriptome/Anopheles_sialome/links/cluster-b/anopheline-sialome-cds-pep-larger-orf70-50SimCLTL37.txt", 12)</f>
        <v>12</v>
      </c>
      <c r="CF685">
        <f>HYPERLINK("http://exon.niaid.nih.gov/transcriptome/Anopheles_sialome/links/cluster-b/anopheline-sialome-cds-pep-larger-orf75-50SimCLU53.txt", 53)</f>
        <v>53</v>
      </c>
      <c r="CG685">
        <f>HYPERLINK("http://exon.niaid.nih.gov/transcriptome/Anopheles_sialome/links/cluster-b/anopheline-sialome-cds-pep-larger-orf75-50SimCLTL53.txt", 3)</f>
        <v>3</v>
      </c>
      <c r="CH685">
        <f>HYPERLINK("http://exon.niaid.nih.gov/transcriptome/Anopheles_sialome/links/cluster-b/anopheline-sialome-cds-pep-larger-orf80-50SimCLU66.txt", 66)</f>
        <v>66</v>
      </c>
      <c r="CI685">
        <f>HYPERLINK("http://exon.niaid.nih.gov/transcriptome/Anopheles_sialome/links/cluster-b/anopheline-sialome-cds-pep-larger-orf80-50SimCLTL66.txt", 2)</f>
        <v>2</v>
      </c>
      <c r="CJ685">
        <f>HYPERLINK("http://exon.niaid.nih.gov/transcriptome/Anopheles_sialome/links/cluster-b/anopheline-sialome-cds-pep-larger-orf85-50SimCLU68.txt", 68)</f>
        <v>68</v>
      </c>
      <c r="CK685">
        <f>HYPERLINK("http://exon.niaid.nih.gov/transcriptome/Anopheles_sialome/links/cluster-b/anopheline-sialome-cds-pep-larger-orf85-50SimCLTL68.txt", 2)</f>
        <v>2</v>
      </c>
      <c r="CL685">
        <v>148</v>
      </c>
      <c r="CM685">
        <v>1</v>
      </c>
      <c r="CN685">
        <v>141</v>
      </c>
      <c r="CO685">
        <v>1</v>
      </c>
    </row>
    <row r="686" spans="1:93">
      <c r="A686" s="2" t="str">
        <f>HYPERLINK("http://exon.niaid.nih.gov/transcriptome/Anopheles_sialome/links/cds/anoste_cE5-anophelin-cds.txt","anoste_cE5-anophelin")</f>
        <v>anoste_cE5-anophelin</v>
      </c>
      <c r="B686">
        <v>306</v>
      </c>
      <c r="C686" t="s">
        <v>142</v>
      </c>
      <c r="D686" t="s">
        <v>4</v>
      </c>
      <c r="E686" t="s">
        <v>5</v>
      </c>
      <c r="F686" t="s">
        <v>1</v>
      </c>
      <c r="G686" t="str">
        <f>HYPERLINK("http://exon.niaid.nih.gov/transcriptome/Anopheles_sialome/links/pep/anoste_cE5-anophelin-pep.txt","anoste_cE5-anophelin")</f>
        <v>anoste_cE5-anophelin</v>
      </c>
      <c r="H686">
        <v>101</v>
      </c>
      <c r="I686">
        <v>1</v>
      </c>
      <c r="J686" s="3" t="str">
        <f>HYPERLINK("http://exon.niaid.nih.gov/transcriptome/Anopheles_sialome/links/Sigp/anoste_cE5-anophelin-SigP.txt","SIG")</f>
        <v>SIG</v>
      </c>
      <c r="K686" t="s">
        <v>689</v>
      </c>
      <c r="L686">
        <v>10.98</v>
      </c>
      <c r="M686">
        <v>4.12</v>
      </c>
      <c r="N686">
        <v>8.8689999999999998</v>
      </c>
      <c r="O686">
        <v>4.04</v>
      </c>
      <c r="P686" t="s">
        <v>976</v>
      </c>
      <c r="Q686" s="3" t="str">
        <f>HYPERLINK("http://exon.niaid.nih.gov/transcriptome/Anopheles_sialome/links/tmhmm/anoste_cE5-anophelin-tmhmm.txt","1")</f>
        <v>1</v>
      </c>
      <c r="R686">
        <v>16.8</v>
      </c>
      <c r="S686">
        <v>78.2</v>
      </c>
      <c r="T686">
        <v>5</v>
      </c>
      <c r="U686" t="s">
        <v>128</v>
      </c>
      <c r="V686">
        <v>79</v>
      </c>
      <c r="W686" s="3" t="str">
        <f>HYPERLINK("http://exon.niaid.nih.gov/transcriptome/Anopheles_sialome/links/netoglyc/anoste_cE5-anophelin-netoglyc.txt","1")</f>
        <v>1</v>
      </c>
      <c r="X686">
        <v>12.9</v>
      </c>
      <c r="Y686">
        <v>5</v>
      </c>
      <c r="Z686">
        <v>7.9</v>
      </c>
      <c r="AA686" t="s">
        <v>654</v>
      </c>
      <c r="AB686" t="s">
        <v>128</v>
      </c>
      <c r="AC686" s="2" t="str">
        <f>HYPERLINK("http://exon.niaid.nih.gov/transcriptome/Anopheles_sialome/links/DIPTERA/anoste_cE5-anophelin-DIPTERA.txt","salivary anti-thrombin anophelin")</f>
        <v>salivary anti-thrombin anophelin</v>
      </c>
      <c r="AD686" t="str">
        <f>HYPERLINK("http://www.ncbi.nlm.nih.gov/sutils/blink.cgi?pid=27372921","7E-054")</f>
        <v>7E-054</v>
      </c>
      <c r="AE686" t="str">
        <f>HYPERLINK("http://www.ncbi.nlm.nih.gov/protein/27372921","gi|27372921")</f>
        <v>gi|27372921</v>
      </c>
      <c r="AF686">
        <v>100</v>
      </c>
      <c r="AG686">
        <v>100</v>
      </c>
      <c r="AH686">
        <v>100</v>
      </c>
      <c r="AI686" t="s">
        <v>2271</v>
      </c>
      <c r="AJ686" s="2" t="str">
        <f>HYPERLINK("http://exon.niaid.nih.gov/transcriptome/Anopheles_sialome/links/CULICOMORPHA/anoste_cE5-anophelin-CULICOMORPHA.txt","salivary anti-thrombin anophelin")</f>
        <v>salivary anti-thrombin anophelin</v>
      </c>
      <c r="AK686" t="str">
        <f>HYPERLINK("http://www.ncbi.nlm.nih.gov/sutils/blink.cgi?pid=27372921","1E-054")</f>
        <v>1E-054</v>
      </c>
      <c r="AL686" t="str">
        <f>HYPERLINK("http://www.ncbi.nlm.nih.gov/protein/27372921","gi|27372921")</f>
        <v>gi|27372921</v>
      </c>
      <c r="AM686">
        <v>100</v>
      </c>
      <c r="AN686">
        <v>100</v>
      </c>
      <c r="AO686">
        <v>100</v>
      </c>
      <c r="AP686" t="s">
        <v>2271</v>
      </c>
      <c r="AQ686" s="2" t="str">
        <f>HYPERLINK("http://exon.niaid.nih.gov/transcriptome/Anopheles_sialome/links/NR-LIGHT/anoste_cE5-anophelin-NR-LIGHT.txt","salivary anti-thrombin anophelin")</f>
        <v>salivary anti-thrombin anophelin</v>
      </c>
      <c r="AR686" t="str">
        <f>HYPERLINK("http://www.ncbi.nlm.nih.gov/sutils/blink.cgi?pid=27372921","2E-053")</f>
        <v>2E-053</v>
      </c>
      <c r="AS686" t="str">
        <f>HYPERLINK("http://www.ncbi.nlm.nih.gov/protein/27372921","gi|27372921")</f>
        <v>gi|27372921</v>
      </c>
      <c r="AT686">
        <v>100</v>
      </c>
      <c r="AU686">
        <v>100</v>
      </c>
      <c r="AV686">
        <v>100</v>
      </c>
      <c r="AW686" t="s">
        <v>2271</v>
      </c>
      <c r="AX686" s="2" t="str">
        <f>HYPERLINK("http://exon.niaid.nih.gov/transcriptome/Anopheles_sialome/links/CDD/anoste_cE5-anophelin-CDD.txt","Anophelin")</f>
        <v>Anophelin</v>
      </c>
      <c r="AY686" t="str">
        <f>HYPERLINK("http://www.ncbi.nlm.nih.gov/Structure/cdd/cddsrv.cgi?uid=pfam10731&amp;version=v4.0","3E-022")</f>
        <v>3E-022</v>
      </c>
      <c r="AZ686" t="s">
        <v>2442</v>
      </c>
      <c r="BA686" s="2" t="str">
        <f>HYPERLINK("http://exon.niaid.nih.gov/transcriptome/Anopheles_sialome/links/KOG/anoste_cE5-anophelin-KOG.txt","CDK9 kinase-activating protein cyclin T")</f>
        <v>CDK9 kinase-activating protein cyclin T</v>
      </c>
      <c r="BB686" t="str">
        <f>HYPERLINK("http://www.ncbi.nlm.nih.gov/Structure/cdd/cddsrv.cgi?uid=KOG0834","0.41")</f>
        <v>0.41</v>
      </c>
      <c r="BC686" t="s">
        <v>2256</v>
      </c>
      <c r="BD686" t="str">
        <f>HYPERLINK("http://exon.niaid.nih.gov/transcriptome/Anopheles_sialome/links/KOG/anoste_cE5-anophelin-KOG.txt","KOG0834")</f>
        <v>KOG0834</v>
      </c>
      <c r="BE686" t="str">
        <f>HYPERLINK("http://exon.niaid.nih.gov/transcriptome/Anopheles_sialome/links/PFAM/anoste_cE5-anophelin-PFAM.txt","Anophelin")</f>
        <v>Anophelin</v>
      </c>
      <c r="BF686" t="str">
        <f>HYPERLINK("http://pfam.sanger.ac.uk/family?acc=PF10731","6E-023")</f>
        <v>6E-023</v>
      </c>
      <c r="BG686" s="2" t="str">
        <f>HYPERLINK("http://exon.niaid.nih.gov/transcriptome/Anopheles_sialome/links/SMART/anoste_cE5-anophelin-SMART.txt","UBCc")</f>
        <v>UBCc</v>
      </c>
      <c r="BH686" t="str">
        <f>HYPERLINK("http://smart.embl-heidelberg.de/smart/do_annotation.pl?DOMAIN=UBCc&amp;BLAST=DUMMY","1.9")</f>
        <v>1.9</v>
      </c>
      <c r="BI686" t="s">
        <v>128</v>
      </c>
      <c r="BJ686" s="2" t="s">
        <v>128</v>
      </c>
      <c r="BK686" t="s">
        <v>975</v>
      </c>
      <c r="BL686">
        <f>HYPERLINK("http://exon.niaid.nih.gov/transcriptome/Anopheles_sialome/links/cluster-b/anopheline-sialome-cds-pep-larger-orf25-50SimCLU1.txt", 1)</f>
        <v>1</v>
      </c>
      <c r="BM686">
        <f>HYPERLINK("http://exon.niaid.nih.gov/transcriptome/Anopheles_sialome/links/cluster-b/anopheline-sialome-cds-pep-larger-orf25-50SimCLTL1.txt", 165)</f>
        <v>165</v>
      </c>
      <c r="BN686">
        <f>HYPERLINK("http://exon.niaid.nih.gov/transcriptome/Anopheles_sialome/links/cluster-b/anopheline-sialome-cds-pep-larger-orf30-50SimCLU1.txt", 1)</f>
        <v>1</v>
      </c>
      <c r="BO686">
        <f>HYPERLINK("http://exon.niaid.nih.gov/transcriptome/Anopheles_sialome/links/cluster-b/anopheline-sialome-cds-pep-larger-orf30-50SimCLTL1.txt", 165)</f>
        <v>165</v>
      </c>
      <c r="BP686">
        <f>HYPERLINK("http://exon.niaid.nih.gov/transcriptome/Anopheles_sialome/links/cluster-b/anopheline-sialome-cds-pep-larger-orf35-50SimCLU4.txt", 4)</f>
        <v>4</v>
      </c>
      <c r="BQ686">
        <f>HYPERLINK("http://exon.niaid.nih.gov/transcriptome/Anopheles_sialome/links/cluster-b/anopheline-sialome-cds-pep-larger-orf35-50SimCLTL4.txt", 76)</f>
        <v>76</v>
      </c>
      <c r="BR686">
        <f>HYPERLINK("http://exon.niaid.nih.gov/transcriptome/Anopheles_sialome/links/cluster-b/anopheline-sialome-cds-pep-larger-orf40-50SimCLU18.txt", 18)</f>
        <v>18</v>
      </c>
      <c r="BS686">
        <f>HYPERLINK("http://exon.niaid.nih.gov/transcriptome/Anopheles_sialome/links/cluster-b/anopheline-sialome-cds-pep-larger-orf40-50SimCLTL18.txt", 18)</f>
        <v>18</v>
      </c>
      <c r="BT686">
        <f>HYPERLINK("http://exon.niaid.nih.gov/transcriptome/Anopheles_sialome/links/cluster-b/anopheline-sialome-cds-pep-larger-orf45-50SimCLU18.txt", 18)</f>
        <v>18</v>
      </c>
      <c r="BU686">
        <f>HYPERLINK("http://exon.niaid.nih.gov/transcriptome/Anopheles_sialome/links/cluster-b/anopheline-sialome-cds-pep-larger-orf45-50SimCLTL18.txt", 18)</f>
        <v>18</v>
      </c>
      <c r="BV686">
        <f>HYPERLINK("http://exon.niaid.nih.gov/transcriptome/Anopheles_sialome/links/cluster-b/anopheline-sialome-cds-pep-larger-orf50-50SimCLU17.txt", 17)</f>
        <v>17</v>
      </c>
      <c r="BW686">
        <f>HYPERLINK("http://exon.niaid.nih.gov/transcriptome/Anopheles_sialome/links/cluster-b/anopheline-sialome-cds-pep-larger-orf50-50SimCLTL17.txt", 18)</f>
        <v>18</v>
      </c>
      <c r="BX686">
        <f>HYPERLINK("http://exon.niaid.nih.gov/transcriptome/Anopheles_sialome/links/cluster-b/anopheline-sialome-cds-pep-larger-orf55-50SimCLU18.txt", 18)</f>
        <v>18</v>
      </c>
      <c r="BY686">
        <f>HYPERLINK("http://exon.niaid.nih.gov/transcriptome/Anopheles_sialome/links/cluster-b/anopheline-sialome-cds-pep-larger-orf55-50SimCLTL18.txt", 18)</f>
        <v>18</v>
      </c>
      <c r="BZ686">
        <f>HYPERLINK("http://exon.niaid.nih.gov/transcriptome/Anopheles_sialome/links/cluster-b/anopheline-sialome-cds-pep-larger-orf60-50SimCLU17.txt", 17)</f>
        <v>17</v>
      </c>
      <c r="CA686">
        <f>HYPERLINK("http://exon.niaid.nih.gov/transcriptome/Anopheles_sialome/links/cluster-b/anopheline-sialome-cds-pep-larger-orf60-50SimCLTL17.txt", 18)</f>
        <v>18</v>
      </c>
      <c r="CB686">
        <f>HYPERLINK("http://exon.niaid.nih.gov/transcriptome/Anopheles_sialome/links/cluster-b/anopheline-sialome-cds-pep-larger-orf65-50SimCLU30.txt", 30)</f>
        <v>30</v>
      </c>
      <c r="CC686">
        <f>HYPERLINK("http://exon.niaid.nih.gov/transcriptome/Anopheles_sialome/links/cluster-b/anopheline-sialome-cds-pep-larger-orf65-50SimCLTL30.txt", 14)</f>
        <v>14</v>
      </c>
      <c r="CD686">
        <f>HYPERLINK("http://exon.niaid.nih.gov/transcriptome/Anopheles_sialome/links/cluster-b/anopheline-sialome-cds-pep-larger-orf70-50SimCLU37.txt", 37)</f>
        <v>37</v>
      </c>
      <c r="CE686">
        <f>HYPERLINK("http://exon.niaid.nih.gov/transcriptome/Anopheles_sialome/links/cluster-b/anopheline-sialome-cds-pep-larger-orf70-50SimCLTL37.txt", 12)</f>
        <v>12</v>
      </c>
      <c r="CF686">
        <v>98</v>
      </c>
      <c r="CG686">
        <v>1</v>
      </c>
      <c r="CH686">
        <v>121</v>
      </c>
      <c r="CI686">
        <v>1</v>
      </c>
      <c r="CJ686">
        <v>134</v>
      </c>
      <c r="CK686">
        <v>1</v>
      </c>
      <c r="CL686">
        <v>149</v>
      </c>
      <c r="CM686">
        <v>1</v>
      </c>
      <c r="CN686">
        <v>142</v>
      </c>
      <c r="CO686">
        <v>1</v>
      </c>
    </row>
    <row r="687" spans="1:93">
      <c r="A687" s="2" t="str">
        <f>HYPERLINK("http://exon.niaid.nih.gov/transcriptome/Anopheles_sialome/links/cds/anofar_cE5-anophelin-cds.txt","anofar_cE5-anophelin")</f>
        <v>anofar_cE5-anophelin</v>
      </c>
      <c r="B687">
        <v>276</v>
      </c>
      <c r="C687" t="s">
        <v>4</v>
      </c>
      <c r="D687" s="8" t="s">
        <v>3178</v>
      </c>
      <c r="E687" t="s">
        <v>5</v>
      </c>
      <c r="F687" t="s">
        <v>1</v>
      </c>
      <c r="G687" t="str">
        <f>HYPERLINK("http://exon.niaid.nih.gov/transcriptome/Anopheles_sialome/links/pep/anofar_cE5-anophelin-pep.txt","anofar_cE5-anophelin")</f>
        <v>anofar_cE5-anophelin</v>
      </c>
      <c r="H687">
        <v>91</v>
      </c>
      <c r="I687">
        <v>2</v>
      </c>
      <c r="J687" s="3" t="str">
        <f>HYPERLINK("http://exon.niaid.nih.gov/transcriptome/Anopheles_sialome/links/Sigp/anofar_cE5-anophelin-SigP.txt","SIG")</f>
        <v>SIG</v>
      </c>
      <c r="K687" t="s">
        <v>689</v>
      </c>
      <c r="L687">
        <v>10.007</v>
      </c>
      <c r="M687">
        <v>4.0199999999999996</v>
      </c>
      <c r="N687">
        <v>7.8639999999999999</v>
      </c>
      <c r="O687">
        <v>3.92</v>
      </c>
      <c r="P687" t="s">
        <v>978</v>
      </c>
      <c r="Q687" s="3" t="str">
        <f>HYPERLINK("http://exon.niaid.nih.gov/transcriptome/Anopheles_sialome/links/tmhmm/anofar_cE5-anophelin-tmhmm.txt","1")</f>
        <v>1</v>
      </c>
      <c r="R687">
        <v>24.2</v>
      </c>
      <c r="S687">
        <v>70.3</v>
      </c>
      <c r="T687">
        <v>5.5</v>
      </c>
      <c r="U687" t="s">
        <v>128</v>
      </c>
      <c r="V687">
        <v>64</v>
      </c>
      <c r="W687" s="3" t="str">
        <f>HYPERLINK("http://exon.niaid.nih.gov/transcriptome/Anopheles_sialome/links/netoglyc/anofar_cE5-anophelin-netoglyc.txt","7")</f>
        <v>7</v>
      </c>
      <c r="X687">
        <v>17.600000000000001</v>
      </c>
      <c r="Y687">
        <v>3.3</v>
      </c>
      <c r="Z687">
        <v>6.6</v>
      </c>
      <c r="AA687" t="s">
        <v>654</v>
      </c>
      <c r="AB687" t="s">
        <v>128</v>
      </c>
      <c r="AC687" s="2" t="str">
        <f>HYPERLINK("http://exon.niaid.nih.gov/transcriptome/Anopheles_sialome/links/DIPTERA/anofar_cE5-anophelin-DIPTERA.txt","anophelin-like funestolin")</f>
        <v>anophelin-like funestolin</v>
      </c>
      <c r="AD687" t="str">
        <f>HYPERLINK("http://www.ncbi.nlm.nih.gov/sutils/blink.cgi?pid=114864955","5E-018")</f>
        <v>5E-018</v>
      </c>
      <c r="AE687" t="str">
        <f>HYPERLINK("http://www.ncbi.nlm.nih.gov/protein/114864955","gi|114864955")</f>
        <v>gi|114864955</v>
      </c>
      <c r="AF687">
        <v>49</v>
      </c>
      <c r="AG687">
        <v>63</v>
      </c>
      <c r="AH687">
        <v>102</v>
      </c>
      <c r="AI687" t="s">
        <v>2266</v>
      </c>
      <c r="AJ687" s="2" t="str">
        <f>HYPERLINK("http://exon.niaid.nih.gov/transcriptome/Anopheles_sialome/links/CULICOMORPHA/anofar_cE5-anophelin-CULICOMORPHA.txt","anophelin-like funestolin")</f>
        <v>anophelin-like funestolin</v>
      </c>
      <c r="AK687" t="str">
        <f>HYPERLINK("http://www.ncbi.nlm.nih.gov/sutils/blink.cgi?pid=114864955","8E-019")</f>
        <v>8E-019</v>
      </c>
      <c r="AL687" t="str">
        <f>HYPERLINK("http://www.ncbi.nlm.nih.gov/protein/114864955","gi|114864955")</f>
        <v>gi|114864955</v>
      </c>
      <c r="AM687">
        <v>49</v>
      </c>
      <c r="AN687">
        <v>63</v>
      </c>
      <c r="AO687">
        <v>102</v>
      </c>
      <c r="AP687" t="s">
        <v>2266</v>
      </c>
      <c r="AQ687" s="2" t="str">
        <f>HYPERLINK("http://exon.niaid.nih.gov/transcriptome/Anopheles_sialome/links/NR-LIGHT/anofar_cE5-anophelin-NR-LIGHT.txt","anophelin-like funestolin")</f>
        <v>anophelin-like funestolin</v>
      </c>
      <c r="AR687" t="str">
        <f>HYPERLINK("http://www.ncbi.nlm.nih.gov/sutils/blink.cgi?pid=114864955","1E-017")</f>
        <v>1E-017</v>
      </c>
      <c r="AS687" t="str">
        <f>HYPERLINK("http://www.ncbi.nlm.nih.gov/protein/114864955","gi|114864955")</f>
        <v>gi|114864955</v>
      </c>
      <c r="AT687">
        <v>49</v>
      </c>
      <c r="AU687">
        <v>63</v>
      </c>
      <c r="AV687">
        <v>102</v>
      </c>
      <c r="AW687" t="s">
        <v>2266</v>
      </c>
      <c r="AX687" s="2" t="str">
        <f>HYPERLINK("http://exon.niaid.nih.gov/transcriptome/Anopheles_sialome/links/CDD/anofar_cE5-anophelin-CDD.txt","Anophelin")</f>
        <v>Anophelin</v>
      </c>
      <c r="AY687" t="str">
        <f>HYPERLINK("http://www.ncbi.nlm.nih.gov/Structure/cdd/cddsrv.cgi?uid=pfam10731&amp;version=v4.0","6E-014")</f>
        <v>6E-014</v>
      </c>
      <c r="AZ687" t="s">
        <v>2443</v>
      </c>
      <c r="BA687" s="2" t="str">
        <f>HYPERLINK("http://exon.niaid.nih.gov/transcriptome/Anopheles_sialome/links/KOG/anofar_cE5-anophelin-KOG.txt","Beta-transducin family (WD-40 repeat) protein")</f>
        <v>Beta-transducin family (WD-40 repeat) protein</v>
      </c>
      <c r="BB687" t="str">
        <f>HYPERLINK("http://www.ncbi.nlm.nih.gov/Structure/cdd/cddsrv.cgi?uid=KOG0273","0.26")</f>
        <v>0.26</v>
      </c>
      <c r="BC687" t="s">
        <v>2444</v>
      </c>
      <c r="BD687" t="str">
        <f>HYPERLINK("http://exon.niaid.nih.gov/transcriptome/Anopheles_sialome/links/KOG/anofar_cE5-anophelin-KOG.txt","KOG0273")</f>
        <v>KOG0273</v>
      </c>
      <c r="BE687" t="str">
        <f>HYPERLINK("http://exon.niaid.nih.gov/transcriptome/Anopheles_sialome/links/PFAM/anofar_cE5-anophelin-PFAM.txt","Anophelin")</f>
        <v>Anophelin</v>
      </c>
      <c r="BF687" t="str">
        <f>HYPERLINK("http://pfam.sanger.ac.uk/family?acc=PF10731","1E-014")</f>
        <v>1E-014</v>
      </c>
      <c r="BG687" s="2" t="str">
        <f>HYPERLINK("http://exon.niaid.nih.gov/transcriptome/Anopheles_sialome/links/SMART/anofar_cE5-anophelin-SMART.txt","SEC14")</f>
        <v>SEC14</v>
      </c>
      <c r="BH687" t="str">
        <f>HYPERLINK("http://smart.embl-heidelberg.de/smart/do_annotation.pl?DOMAIN=SEC14&amp;BLAST=DUMMY","0.92")</f>
        <v>0.92</v>
      </c>
      <c r="BI687" t="s">
        <v>128</v>
      </c>
      <c r="BJ687" s="2" t="s">
        <v>128</v>
      </c>
      <c r="BK687" t="s">
        <v>977</v>
      </c>
      <c r="BL687">
        <f>HYPERLINK("http://exon.niaid.nih.gov/transcriptome/Anopheles_sialome/links/cluster-b/anopheline-sialome-cds-pep-larger-orf25-50SimCLU1.txt", 1)</f>
        <v>1</v>
      </c>
      <c r="BM687">
        <f>HYPERLINK("http://exon.niaid.nih.gov/transcriptome/Anopheles_sialome/links/cluster-b/anopheline-sialome-cds-pep-larger-orf25-50SimCLTL1.txt", 165)</f>
        <v>165</v>
      </c>
      <c r="BN687">
        <f>HYPERLINK("http://exon.niaid.nih.gov/transcriptome/Anopheles_sialome/links/cluster-b/anopheline-sialome-cds-pep-larger-orf30-50SimCLU1.txt", 1)</f>
        <v>1</v>
      </c>
      <c r="BO687">
        <f>HYPERLINK("http://exon.niaid.nih.gov/transcriptome/Anopheles_sialome/links/cluster-b/anopheline-sialome-cds-pep-larger-orf30-50SimCLTL1.txt", 165)</f>
        <v>165</v>
      </c>
      <c r="BP687">
        <f>HYPERLINK("http://exon.niaid.nih.gov/transcriptome/Anopheles_sialome/links/cluster-b/anopheline-sialome-cds-pep-larger-orf35-50SimCLU4.txt", 4)</f>
        <v>4</v>
      </c>
      <c r="BQ687">
        <f>HYPERLINK("http://exon.niaid.nih.gov/transcriptome/Anopheles_sialome/links/cluster-b/anopheline-sialome-cds-pep-larger-orf35-50SimCLTL4.txt", 76)</f>
        <v>76</v>
      </c>
      <c r="BR687">
        <f>HYPERLINK("http://exon.niaid.nih.gov/transcriptome/Anopheles_sialome/links/cluster-b/anopheline-sialome-cds-pep-larger-orf40-50SimCLU18.txt", 18)</f>
        <v>18</v>
      </c>
      <c r="BS687">
        <f>HYPERLINK("http://exon.niaid.nih.gov/transcriptome/Anopheles_sialome/links/cluster-b/anopheline-sialome-cds-pep-larger-orf40-50SimCLTL18.txt", 18)</f>
        <v>18</v>
      </c>
      <c r="BT687">
        <f>HYPERLINK("http://exon.niaid.nih.gov/transcriptome/Anopheles_sialome/links/cluster-b/anopheline-sialome-cds-pep-larger-orf45-50SimCLU18.txt", 18)</f>
        <v>18</v>
      </c>
      <c r="BU687">
        <f>HYPERLINK("http://exon.niaid.nih.gov/transcriptome/Anopheles_sialome/links/cluster-b/anopheline-sialome-cds-pep-larger-orf45-50SimCLTL18.txt", 18)</f>
        <v>18</v>
      </c>
      <c r="BV687">
        <f>HYPERLINK("http://exon.niaid.nih.gov/transcriptome/Anopheles_sialome/links/cluster-b/anopheline-sialome-cds-pep-larger-orf50-50SimCLU17.txt", 17)</f>
        <v>17</v>
      </c>
      <c r="BW687">
        <f>HYPERLINK("http://exon.niaid.nih.gov/transcriptome/Anopheles_sialome/links/cluster-b/anopheline-sialome-cds-pep-larger-orf50-50SimCLTL17.txt", 18)</f>
        <v>18</v>
      </c>
      <c r="BX687">
        <f>HYPERLINK("http://exon.niaid.nih.gov/transcriptome/Anopheles_sialome/links/cluster-b/anopheline-sialome-cds-pep-larger-orf55-50SimCLU18.txt", 18)</f>
        <v>18</v>
      </c>
      <c r="BY687">
        <f>HYPERLINK("http://exon.niaid.nih.gov/transcriptome/Anopheles_sialome/links/cluster-b/anopheline-sialome-cds-pep-larger-orf55-50SimCLTL18.txt", 18)</f>
        <v>18</v>
      </c>
      <c r="BZ687">
        <f>HYPERLINK("http://exon.niaid.nih.gov/transcriptome/Anopheles_sialome/links/cluster-b/anopheline-sialome-cds-pep-larger-orf60-50SimCLU17.txt", 17)</f>
        <v>17</v>
      </c>
      <c r="CA687">
        <f>HYPERLINK("http://exon.niaid.nih.gov/transcriptome/Anopheles_sialome/links/cluster-b/anopheline-sialome-cds-pep-larger-orf60-50SimCLTL17.txt", 18)</f>
        <v>18</v>
      </c>
      <c r="CB687">
        <f>HYPERLINK("http://exon.niaid.nih.gov/transcriptome/Anopheles_sialome/links/cluster-b/anopheline-sialome-cds-pep-larger-orf65-50SimCLU30.txt", 30)</f>
        <v>30</v>
      </c>
      <c r="CC687">
        <f>HYPERLINK("http://exon.niaid.nih.gov/transcriptome/Anopheles_sialome/links/cluster-b/anopheline-sialome-cds-pep-larger-orf65-50SimCLTL30.txt", 14)</f>
        <v>14</v>
      </c>
      <c r="CD687">
        <f>HYPERLINK("http://exon.niaid.nih.gov/transcriptome/Anopheles_sialome/links/cluster-b/anopheline-sialome-cds-pep-larger-orf70-50SimCLU46.txt", 46)</f>
        <v>46</v>
      </c>
      <c r="CE687">
        <f>HYPERLINK("http://exon.niaid.nih.gov/transcriptome/Anopheles_sialome/links/cluster-b/anopheline-sialome-cds-pep-larger-orf70-50SimCLTL46.txt", 2)</f>
        <v>2</v>
      </c>
      <c r="CF687">
        <v>99</v>
      </c>
      <c r="CG687">
        <v>1</v>
      </c>
      <c r="CH687">
        <v>122</v>
      </c>
      <c r="CI687">
        <v>1</v>
      </c>
      <c r="CJ687">
        <v>135</v>
      </c>
      <c r="CK687">
        <v>1</v>
      </c>
      <c r="CL687">
        <v>150</v>
      </c>
      <c r="CM687">
        <v>1</v>
      </c>
      <c r="CN687">
        <v>143</v>
      </c>
      <c r="CO687">
        <v>1</v>
      </c>
    </row>
    <row r="688" spans="1:93">
      <c r="A688" s="2" t="str">
        <f>HYPERLINK("http://exon.niaid.nih.gov/transcriptome/Anopheles_sialome/links/cds/anodir_cE5-anophelin-cds.txt","anodir_cE5-anophelin")</f>
        <v>anodir_cE5-anophelin</v>
      </c>
      <c r="B688">
        <v>276</v>
      </c>
      <c r="C688" t="s">
        <v>143</v>
      </c>
      <c r="D688" t="s">
        <v>4</v>
      </c>
      <c r="E688" t="s">
        <v>5</v>
      </c>
      <c r="F688" t="s">
        <v>1</v>
      </c>
      <c r="G688" t="str">
        <f>HYPERLINK("http://exon.niaid.nih.gov/transcriptome/Anopheles_sialome/links/pep/anodir_cE5-anophelin-pep.txt","anodir_cE5-anophelin")</f>
        <v>anodir_cE5-anophelin</v>
      </c>
      <c r="H688">
        <v>91</v>
      </c>
      <c r="I688">
        <v>2</v>
      </c>
      <c r="J688" s="3" t="str">
        <f>HYPERLINK("http://exon.niaid.nih.gov/transcriptome/Anopheles_sialome/links/Sigp/anodir_cE5-anophelin-SigP.txt","SIG")</f>
        <v>SIG</v>
      </c>
      <c r="K688" t="s">
        <v>689</v>
      </c>
      <c r="L688">
        <v>9.5950000000000006</v>
      </c>
      <c r="M688">
        <v>3.82</v>
      </c>
      <c r="N688">
        <v>7.3710000000000004</v>
      </c>
      <c r="O688">
        <v>3.7</v>
      </c>
      <c r="P688" t="s">
        <v>980</v>
      </c>
      <c r="Q688" s="3" t="str">
        <f>HYPERLINK("http://exon.niaid.nih.gov/transcriptome/Anopheles_sialome/links/tmhmm/anodir_cE5-anophelin-tmhmm.txt","1")</f>
        <v>1</v>
      </c>
      <c r="R688">
        <v>18.7</v>
      </c>
      <c r="S688">
        <v>75.8</v>
      </c>
      <c r="T688">
        <v>5.5</v>
      </c>
      <c r="U688" t="s">
        <v>128</v>
      </c>
      <c r="V688">
        <v>69</v>
      </c>
      <c r="W688" s="3" t="str">
        <f>HYPERLINK("http://exon.niaid.nih.gov/transcriptome/Anopheles_sialome/links/netoglyc/anodir_cE5-anophelin-netoglyc.txt","9")</f>
        <v>9</v>
      </c>
      <c r="X688">
        <v>17.600000000000001</v>
      </c>
      <c r="Y688">
        <v>6.6</v>
      </c>
      <c r="Z688">
        <v>5.5</v>
      </c>
      <c r="AA688" t="s">
        <v>654</v>
      </c>
      <c r="AB688" t="s">
        <v>128</v>
      </c>
      <c r="AC688" s="2" t="str">
        <f>HYPERLINK("http://exon.niaid.nih.gov/transcriptome/Anopheles_sialome/links/DIPTERA/anodir_cE5-anophelin-DIPTERA.txt","anophelin-like funestolin")</f>
        <v>anophelin-like funestolin</v>
      </c>
      <c r="AD688" t="str">
        <f>HYPERLINK("http://www.ncbi.nlm.nih.gov/sutils/blink.cgi?pid=114864955","2E-014")</f>
        <v>2E-014</v>
      </c>
      <c r="AE688" t="str">
        <f>HYPERLINK("http://www.ncbi.nlm.nih.gov/protein/114864955","gi|114864955")</f>
        <v>gi|114864955</v>
      </c>
      <c r="AF688">
        <v>55</v>
      </c>
      <c r="AG688">
        <v>70</v>
      </c>
      <c r="AH688">
        <v>75</v>
      </c>
      <c r="AI688" t="s">
        <v>2266</v>
      </c>
      <c r="AJ688" s="2" t="str">
        <f>HYPERLINK("http://exon.niaid.nih.gov/transcriptome/Anopheles_sialome/links/CULICOMORPHA/anodir_cE5-anophelin-CULICOMORPHA.txt","salivary anti-thrombin anophelin")</f>
        <v>salivary anti-thrombin anophelin</v>
      </c>
      <c r="AK688" t="str">
        <f>HYPERLINK("http://www.ncbi.nlm.nih.gov/sutils/blink.cgi?pid=27372921","3E-015")</f>
        <v>3E-015</v>
      </c>
      <c r="AL688" t="str">
        <f>HYPERLINK("http://www.ncbi.nlm.nih.gov/protein/27372921","gi|27372921")</f>
        <v>gi|27372921</v>
      </c>
      <c r="AM688">
        <v>49</v>
      </c>
      <c r="AN688">
        <v>60</v>
      </c>
      <c r="AO688">
        <v>101</v>
      </c>
      <c r="AP688" t="s">
        <v>2271</v>
      </c>
      <c r="AQ688" s="2" t="str">
        <f>HYPERLINK("http://exon.niaid.nih.gov/transcriptome/Anopheles_sialome/links/NR-LIGHT/anodir_cE5-anophelin-NR-LIGHT.txt","anophelin-like funestolin")</f>
        <v>anophelin-like funestolin</v>
      </c>
      <c r="AR688" t="str">
        <f>HYPERLINK("http://www.ncbi.nlm.nih.gov/sutils/blink.cgi?pid=114864955","5E-014")</f>
        <v>5E-014</v>
      </c>
      <c r="AS688" t="str">
        <f>HYPERLINK("http://www.ncbi.nlm.nih.gov/protein/114864955","gi|114864955")</f>
        <v>gi|114864955</v>
      </c>
      <c r="AT688">
        <v>55</v>
      </c>
      <c r="AU688">
        <v>70</v>
      </c>
      <c r="AV688">
        <v>75</v>
      </c>
      <c r="AW688" t="s">
        <v>2266</v>
      </c>
      <c r="AX688" s="2" t="str">
        <f>HYPERLINK("http://exon.niaid.nih.gov/transcriptome/Anopheles_sialome/links/CDD/anodir_cE5-anophelin-CDD.txt","Anophelin")</f>
        <v>Anophelin</v>
      </c>
      <c r="AY688" t="str">
        <f>HYPERLINK("http://www.ncbi.nlm.nih.gov/Structure/cdd/cddsrv.cgi?uid=pfam10731&amp;version=v4.0","4E-010")</f>
        <v>4E-010</v>
      </c>
      <c r="AZ688" t="s">
        <v>2445</v>
      </c>
      <c r="BA688" s="2" t="str">
        <f>HYPERLINK("http://exon.niaid.nih.gov/transcriptome/Anopheles_sialome/links/KOG/anodir_cE5-anophelin-KOG.txt","Beta-transducin family (WD-40 repeat) protein")</f>
        <v>Beta-transducin family (WD-40 repeat) protein</v>
      </c>
      <c r="BB688" t="str">
        <f>HYPERLINK("http://www.ncbi.nlm.nih.gov/Structure/cdd/cddsrv.cgi?uid=KOG0273","0.22")</f>
        <v>0.22</v>
      </c>
      <c r="BC688" t="s">
        <v>2444</v>
      </c>
      <c r="BD688" t="str">
        <f>HYPERLINK("http://exon.niaid.nih.gov/transcriptome/Anopheles_sialome/links/KOG/anodir_cE5-anophelin-KOG.txt","KOG0273")</f>
        <v>KOG0273</v>
      </c>
      <c r="BE688" t="str">
        <f>HYPERLINK("http://exon.niaid.nih.gov/transcriptome/Anopheles_sialome/links/PFAM/anodir_cE5-anophelin-PFAM.txt","Anophelin")</f>
        <v>Anophelin</v>
      </c>
      <c r="BF688" t="str">
        <f>HYPERLINK("http://pfam.sanger.ac.uk/family?acc=PF10731","9E-011")</f>
        <v>9E-011</v>
      </c>
      <c r="BG688" s="2" t="str">
        <f>HYPERLINK("http://exon.niaid.nih.gov/transcriptome/Anopheles_sialome/links/SMART/anodir_cE5-anophelin-SMART.txt","GIYc")</f>
        <v>GIYc</v>
      </c>
      <c r="BH688" t="str">
        <f>HYPERLINK("http://smart.embl-heidelberg.de/smart/do_annotation.pl?DOMAIN=GIYc&amp;BLAST=DUMMY","0.74")</f>
        <v>0.74</v>
      </c>
      <c r="BI688" t="s">
        <v>128</v>
      </c>
      <c r="BJ688" s="2" t="s">
        <v>128</v>
      </c>
      <c r="BK688" t="s">
        <v>979</v>
      </c>
      <c r="BL688">
        <f>HYPERLINK("http://exon.niaid.nih.gov/transcriptome/Anopheles_sialome/links/cluster-b/anopheline-sialome-cds-pep-larger-orf25-50SimCLU1.txt", 1)</f>
        <v>1</v>
      </c>
      <c r="BM688">
        <f>HYPERLINK("http://exon.niaid.nih.gov/transcriptome/Anopheles_sialome/links/cluster-b/anopheline-sialome-cds-pep-larger-orf25-50SimCLTL1.txt", 165)</f>
        <v>165</v>
      </c>
      <c r="BN688">
        <f>HYPERLINK("http://exon.niaid.nih.gov/transcriptome/Anopheles_sialome/links/cluster-b/anopheline-sialome-cds-pep-larger-orf30-50SimCLU1.txt", 1)</f>
        <v>1</v>
      </c>
      <c r="BO688">
        <f>HYPERLINK("http://exon.niaid.nih.gov/transcriptome/Anopheles_sialome/links/cluster-b/anopheline-sialome-cds-pep-larger-orf30-50SimCLTL1.txt", 165)</f>
        <v>165</v>
      </c>
      <c r="BP688">
        <f>HYPERLINK("http://exon.niaid.nih.gov/transcriptome/Anopheles_sialome/links/cluster-b/anopheline-sialome-cds-pep-larger-orf35-50SimCLU4.txt", 4)</f>
        <v>4</v>
      </c>
      <c r="BQ688">
        <f>HYPERLINK("http://exon.niaid.nih.gov/transcriptome/Anopheles_sialome/links/cluster-b/anopheline-sialome-cds-pep-larger-orf35-50SimCLTL4.txt", 76)</f>
        <v>76</v>
      </c>
      <c r="BR688">
        <f>HYPERLINK("http://exon.niaid.nih.gov/transcriptome/Anopheles_sialome/links/cluster-b/anopheline-sialome-cds-pep-larger-orf40-50SimCLU18.txt", 18)</f>
        <v>18</v>
      </c>
      <c r="BS688">
        <f>HYPERLINK("http://exon.niaid.nih.gov/transcriptome/Anopheles_sialome/links/cluster-b/anopheline-sialome-cds-pep-larger-orf40-50SimCLTL18.txt", 18)</f>
        <v>18</v>
      </c>
      <c r="BT688">
        <f>HYPERLINK("http://exon.niaid.nih.gov/transcriptome/Anopheles_sialome/links/cluster-b/anopheline-sialome-cds-pep-larger-orf45-50SimCLU18.txt", 18)</f>
        <v>18</v>
      </c>
      <c r="BU688">
        <f>HYPERLINK("http://exon.niaid.nih.gov/transcriptome/Anopheles_sialome/links/cluster-b/anopheline-sialome-cds-pep-larger-orf45-50SimCLTL18.txt", 18)</f>
        <v>18</v>
      </c>
      <c r="BV688">
        <f>HYPERLINK("http://exon.niaid.nih.gov/transcriptome/Anopheles_sialome/links/cluster-b/anopheline-sialome-cds-pep-larger-orf50-50SimCLU17.txt", 17)</f>
        <v>17</v>
      </c>
      <c r="BW688">
        <f>HYPERLINK("http://exon.niaid.nih.gov/transcriptome/Anopheles_sialome/links/cluster-b/anopheline-sialome-cds-pep-larger-orf50-50SimCLTL17.txt", 18)</f>
        <v>18</v>
      </c>
      <c r="BX688">
        <f>HYPERLINK("http://exon.niaid.nih.gov/transcriptome/Anopheles_sialome/links/cluster-b/anopheline-sialome-cds-pep-larger-orf55-50SimCLU18.txt", 18)</f>
        <v>18</v>
      </c>
      <c r="BY688">
        <f>HYPERLINK("http://exon.niaid.nih.gov/transcriptome/Anopheles_sialome/links/cluster-b/anopheline-sialome-cds-pep-larger-orf55-50SimCLTL18.txt", 18)</f>
        <v>18</v>
      </c>
      <c r="BZ688">
        <f>HYPERLINK("http://exon.niaid.nih.gov/transcriptome/Anopheles_sialome/links/cluster-b/anopheline-sialome-cds-pep-larger-orf60-50SimCLU17.txt", 17)</f>
        <v>17</v>
      </c>
      <c r="CA688">
        <f>HYPERLINK("http://exon.niaid.nih.gov/transcriptome/Anopheles_sialome/links/cluster-b/anopheline-sialome-cds-pep-larger-orf60-50SimCLTL17.txt", 18)</f>
        <v>18</v>
      </c>
      <c r="CB688">
        <f>HYPERLINK("http://exon.niaid.nih.gov/transcriptome/Anopheles_sialome/links/cluster-b/anopheline-sialome-cds-pep-larger-orf65-50SimCLU30.txt", 30)</f>
        <v>30</v>
      </c>
      <c r="CC688">
        <f>HYPERLINK("http://exon.niaid.nih.gov/transcriptome/Anopheles_sialome/links/cluster-b/anopheline-sialome-cds-pep-larger-orf65-50SimCLTL30.txt", 14)</f>
        <v>14</v>
      </c>
      <c r="CD688">
        <f>HYPERLINK("http://exon.niaid.nih.gov/transcriptome/Anopheles_sialome/links/cluster-b/anopheline-sialome-cds-pep-larger-orf70-50SimCLU46.txt", 46)</f>
        <v>46</v>
      </c>
      <c r="CE688">
        <f>HYPERLINK("http://exon.niaid.nih.gov/transcriptome/Anopheles_sialome/links/cluster-b/anopheline-sialome-cds-pep-larger-orf70-50SimCLTL46.txt", 2)</f>
        <v>2</v>
      </c>
      <c r="CF688">
        <v>100</v>
      </c>
      <c r="CG688">
        <v>1</v>
      </c>
      <c r="CH688">
        <v>123</v>
      </c>
      <c r="CI688">
        <v>1</v>
      </c>
      <c r="CJ688">
        <v>136</v>
      </c>
      <c r="CK688">
        <v>1</v>
      </c>
      <c r="CL688">
        <v>151</v>
      </c>
      <c r="CM688">
        <v>1</v>
      </c>
      <c r="CN688">
        <v>144</v>
      </c>
      <c r="CO688">
        <v>1</v>
      </c>
    </row>
    <row r="689" spans="1:93">
      <c r="A689" s="2" t="str">
        <f>HYPERLINK("http://exon.niaid.nih.gov/transcriptome/Anopheles_sialome/links/cds/anoatro_cE5-anophelin-cds.txt","anoatro_cE5-anophelin")</f>
        <v>anoatro_cE5-anophelin</v>
      </c>
      <c r="B689">
        <v>312</v>
      </c>
      <c r="C689" t="s">
        <v>4</v>
      </c>
      <c r="D689" s="8" t="s">
        <v>3178</v>
      </c>
      <c r="E689" t="s">
        <v>5</v>
      </c>
      <c r="F689" t="s">
        <v>1</v>
      </c>
      <c r="G689" t="str">
        <f>HYPERLINK("http://exon.niaid.nih.gov/transcriptome/Anopheles_sialome/links/pep/anoatro_cE5-anophelin-pep.txt","anoatro_cE5-anophelin")</f>
        <v>anoatro_cE5-anophelin</v>
      </c>
      <c r="H689">
        <v>103</v>
      </c>
      <c r="I689">
        <v>0</v>
      </c>
      <c r="J689" s="3" t="str">
        <f>HYPERLINK("http://exon.niaid.nih.gov/transcriptome/Anopheles_sialome/links/Sigp/anoatro_cE5-anophelin-SigP.txt","SIG")</f>
        <v>SIG</v>
      </c>
      <c r="K689" t="s">
        <v>689</v>
      </c>
      <c r="L689">
        <v>10.598000000000001</v>
      </c>
      <c r="M689">
        <v>3.97</v>
      </c>
      <c r="N689">
        <v>8.4909999999999997</v>
      </c>
      <c r="O689">
        <v>3.86</v>
      </c>
      <c r="P689" t="s">
        <v>982</v>
      </c>
      <c r="Q689" s="3" t="str">
        <f>HYPERLINK("http://exon.niaid.nih.gov/transcriptome/Anopheles_sialome/links/tmhmm/anoatro_cE5-anophelin-tmhmm.txt","1")</f>
        <v>1</v>
      </c>
      <c r="R689">
        <v>16.5</v>
      </c>
      <c r="S689">
        <v>78.599999999999994</v>
      </c>
      <c r="T689">
        <v>4.9000000000000004</v>
      </c>
      <c r="U689" t="s">
        <v>128</v>
      </c>
      <c r="V689">
        <v>81</v>
      </c>
      <c r="W689" s="3" t="str">
        <f>HYPERLINK("http://exon.niaid.nih.gov/transcriptome/Anopheles_sialome/links/netoglyc/anoatro_cE5-anophelin-netoglyc.txt","8")</f>
        <v>8</v>
      </c>
      <c r="X689">
        <v>17.5</v>
      </c>
      <c r="Y689">
        <v>7.8</v>
      </c>
      <c r="Z689">
        <v>3.9</v>
      </c>
      <c r="AA689" t="s">
        <v>654</v>
      </c>
      <c r="AB689" t="s">
        <v>128</v>
      </c>
      <c r="AC689" s="2" t="str">
        <f>HYPERLINK("http://exon.niaid.nih.gov/transcriptome/Anopheles_sialome/links/DIPTERA/anoatro_cE5-anophelin-DIPTERA.txt","unnamed protein product")</f>
        <v>unnamed protein product</v>
      </c>
      <c r="AD689" t="str">
        <f>HYPERLINK("http://www.ncbi.nlm.nih.gov/sutils/blink.cgi?pid=12540244","3E-012")</f>
        <v>3E-012</v>
      </c>
      <c r="AE689" t="str">
        <f>HYPERLINK("http://www.ncbi.nlm.nih.gov/protein/12540244","gi|12540244")</f>
        <v>gi|12540244</v>
      </c>
      <c r="AF689">
        <v>42</v>
      </c>
      <c r="AG689">
        <v>66</v>
      </c>
      <c r="AH689">
        <v>105</v>
      </c>
      <c r="AI689" t="s">
        <v>2281</v>
      </c>
      <c r="AJ689" s="2" t="str">
        <f>HYPERLINK("http://exon.niaid.nih.gov/transcriptome/Anopheles_sialome/links/CULICOMORPHA/anoatro_cE5-anophelin-CULICOMORPHA.txt","unnamed protein product")</f>
        <v>unnamed protein product</v>
      </c>
      <c r="AK689" t="str">
        <f>HYPERLINK("http://www.ncbi.nlm.nih.gov/sutils/blink.cgi?pid=12540244","5E-013")</f>
        <v>5E-013</v>
      </c>
      <c r="AL689" t="str">
        <f>HYPERLINK("http://www.ncbi.nlm.nih.gov/protein/12540244","gi|12540244")</f>
        <v>gi|12540244</v>
      </c>
      <c r="AM689">
        <v>42</v>
      </c>
      <c r="AN689">
        <v>66</v>
      </c>
      <c r="AO689">
        <v>105</v>
      </c>
      <c r="AP689" t="s">
        <v>2281</v>
      </c>
      <c r="AQ689" s="2" t="str">
        <f>HYPERLINK("http://exon.niaid.nih.gov/transcriptome/Anopheles_sialome/links/NR-LIGHT/anoatro_cE5-anophelin-NR-LIGHT.txt","salivary anti-thrombin peptide anophelin")</f>
        <v>salivary anti-thrombin peptide anophelin</v>
      </c>
      <c r="AR689" t="str">
        <f>HYPERLINK("http://www.ncbi.nlm.nih.gov/sutils/blink.cgi?pid=6851157","9E-012")</f>
        <v>9E-012</v>
      </c>
      <c r="AS689" t="str">
        <f>HYPERLINK("http://www.ncbi.nlm.nih.gov/protein/6851157","gi|6851157")</f>
        <v>gi|6851157</v>
      </c>
      <c r="AT689">
        <v>42</v>
      </c>
      <c r="AU689">
        <v>66</v>
      </c>
      <c r="AV689">
        <v>105</v>
      </c>
      <c r="AW689" t="s">
        <v>2281</v>
      </c>
      <c r="AX689" s="2" t="str">
        <f>HYPERLINK("http://exon.niaid.nih.gov/transcriptome/Anopheles_sialome/links/CDD/anoatro_cE5-anophelin-CDD.txt","Anophelin")</f>
        <v>Anophelin</v>
      </c>
      <c r="AY689" t="str">
        <f>HYPERLINK("http://www.ncbi.nlm.nih.gov/Structure/cdd/cddsrv.cgi?uid=pfam10731&amp;version=v4.0","5E-011")</f>
        <v>5E-011</v>
      </c>
      <c r="AZ689" t="s">
        <v>2446</v>
      </c>
      <c r="BA689" s="2" t="str">
        <f>HYPERLINK("http://exon.niaid.nih.gov/transcriptome/Anopheles_sialome/links/KOG/anoatro_cE5-anophelin-KOG.txt","Na+:iodide/myo-inositol/multivitamin symporters")</f>
        <v>Na+:iodide/myo-inositol/multivitamin symporters</v>
      </c>
      <c r="BB689" t="str">
        <f>HYPERLINK("http://www.ncbi.nlm.nih.gov/Structure/cdd/cddsrv.cgi?uid=KOG2349","0.43")</f>
        <v>0.43</v>
      </c>
      <c r="BC689" t="s">
        <v>2447</v>
      </c>
      <c r="BD689" t="str">
        <f>HYPERLINK("http://exon.niaid.nih.gov/transcriptome/Anopheles_sialome/links/KOG/anoatro_cE5-anophelin-KOG.txt","KOG2349")</f>
        <v>KOG2349</v>
      </c>
      <c r="BE689" t="str">
        <f>HYPERLINK("http://exon.niaid.nih.gov/transcriptome/Anopheles_sialome/links/PFAM/anoatro_cE5-anophelin-PFAM.txt","Anophelin")</f>
        <v>Anophelin</v>
      </c>
      <c r="BF689" t="str">
        <f>HYPERLINK("http://pfam.sanger.ac.uk/family?acc=PF10731","1E-011")</f>
        <v>1E-011</v>
      </c>
      <c r="BG689" s="2" t="str">
        <f>HYPERLINK("http://exon.niaid.nih.gov/transcriptome/Anopheles_sialome/links/SMART/anoatro_cE5-anophelin-SMART.txt","B561")</f>
        <v>B561</v>
      </c>
      <c r="BH689" t="str">
        <f>HYPERLINK("http://smart.embl-heidelberg.de/smart/do_annotation.pl?DOMAIN=B561&amp;BLAST=DUMMY","0.80")</f>
        <v>0.80</v>
      </c>
      <c r="BI689" t="s">
        <v>128</v>
      </c>
      <c r="BJ689" s="2" t="s">
        <v>128</v>
      </c>
      <c r="BK689" t="s">
        <v>981</v>
      </c>
      <c r="BL689">
        <f>HYPERLINK("http://exon.niaid.nih.gov/transcriptome/Anopheles_sialome/links/cluster-b/anopheline-sialome-cds-pep-larger-orf25-50SimCLU1.txt", 1)</f>
        <v>1</v>
      </c>
      <c r="BM689">
        <f>HYPERLINK("http://exon.niaid.nih.gov/transcriptome/Anopheles_sialome/links/cluster-b/anopheline-sialome-cds-pep-larger-orf25-50SimCLTL1.txt", 165)</f>
        <v>165</v>
      </c>
      <c r="BN689">
        <f>HYPERLINK("http://exon.niaid.nih.gov/transcriptome/Anopheles_sialome/links/cluster-b/anopheline-sialome-cds-pep-larger-orf30-50SimCLU1.txt", 1)</f>
        <v>1</v>
      </c>
      <c r="BO689">
        <f>HYPERLINK("http://exon.niaid.nih.gov/transcriptome/Anopheles_sialome/links/cluster-b/anopheline-sialome-cds-pep-larger-orf30-50SimCLTL1.txt", 165)</f>
        <v>165</v>
      </c>
      <c r="BP689">
        <f>HYPERLINK("http://exon.niaid.nih.gov/transcriptome/Anopheles_sialome/links/cluster-b/anopheline-sialome-cds-pep-larger-orf35-50SimCLU4.txt", 4)</f>
        <v>4</v>
      </c>
      <c r="BQ689">
        <f>HYPERLINK("http://exon.niaid.nih.gov/transcriptome/Anopheles_sialome/links/cluster-b/anopheline-sialome-cds-pep-larger-orf35-50SimCLTL4.txt", 76)</f>
        <v>76</v>
      </c>
      <c r="BR689">
        <f>HYPERLINK("http://exon.niaid.nih.gov/transcriptome/Anopheles_sialome/links/cluster-b/anopheline-sialome-cds-pep-larger-orf40-50SimCLU18.txt", 18)</f>
        <v>18</v>
      </c>
      <c r="BS689">
        <f>HYPERLINK("http://exon.niaid.nih.gov/transcriptome/Anopheles_sialome/links/cluster-b/anopheline-sialome-cds-pep-larger-orf40-50SimCLTL18.txt", 18)</f>
        <v>18</v>
      </c>
      <c r="BT689">
        <f>HYPERLINK("http://exon.niaid.nih.gov/transcriptome/Anopheles_sialome/links/cluster-b/anopheline-sialome-cds-pep-larger-orf45-50SimCLU18.txt", 18)</f>
        <v>18</v>
      </c>
      <c r="BU689">
        <f>HYPERLINK("http://exon.niaid.nih.gov/transcriptome/Anopheles_sialome/links/cluster-b/anopheline-sialome-cds-pep-larger-orf45-50SimCLTL18.txt", 18)</f>
        <v>18</v>
      </c>
      <c r="BV689">
        <f>HYPERLINK("http://exon.niaid.nih.gov/transcriptome/Anopheles_sialome/links/cluster-b/anopheline-sialome-cds-pep-larger-orf50-50SimCLU17.txt", 17)</f>
        <v>17</v>
      </c>
      <c r="BW689">
        <f>HYPERLINK("http://exon.niaid.nih.gov/transcriptome/Anopheles_sialome/links/cluster-b/anopheline-sialome-cds-pep-larger-orf50-50SimCLTL17.txt", 18)</f>
        <v>18</v>
      </c>
      <c r="BX689">
        <f>HYPERLINK("http://exon.niaid.nih.gov/transcriptome/Anopheles_sialome/links/cluster-b/anopheline-sialome-cds-pep-larger-orf55-50SimCLU18.txt", 18)</f>
        <v>18</v>
      </c>
      <c r="BY689">
        <f>HYPERLINK("http://exon.niaid.nih.gov/transcriptome/Anopheles_sialome/links/cluster-b/anopheline-sialome-cds-pep-larger-orf55-50SimCLTL18.txt", 18)</f>
        <v>18</v>
      </c>
      <c r="BZ689">
        <f>HYPERLINK("http://exon.niaid.nih.gov/transcriptome/Anopheles_sialome/links/cluster-b/anopheline-sialome-cds-pep-larger-orf60-50SimCLU17.txt", 17)</f>
        <v>17</v>
      </c>
      <c r="CA689">
        <f>HYPERLINK("http://exon.niaid.nih.gov/transcriptome/Anopheles_sialome/links/cluster-b/anopheline-sialome-cds-pep-larger-orf60-50SimCLTL17.txt", 18)</f>
        <v>18</v>
      </c>
      <c r="CB689">
        <v>64</v>
      </c>
      <c r="CC689">
        <v>1</v>
      </c>
      <c r="CD689">
        <v>77</v>
      </c>
      <c r="CE689">
        <v>1</v>
      </c>
      <c r="CF689">
        <v>101</v>
      </c>
      <c r="CG689">
        <v>1</v>
      </c>
      <c r="CH689">
        <v>124</v>
      </c>
      <c r="CI689">
        <v>1</v>
      </c>
      <c r="CJ689">
        <v>137</v>
      </c>
      <c r="CK689">
        <v>1</v>
      </c>
      <c r="CL689">
        <v>152</v>
      </c>
      <c r="CM689">
        <v>1</v>
      </c>
      <c r="CN689">
        <v>145</v>
      </c>
      <c r="CO689">
        <v>1</v>
      </c>
    </row>
    <row r="690" spans="1:93">
      <c r="A690" s="2" t="str">
        <f>HYPERLINK("http://exon.niaid.nih.gov/transcriptome/Anopheles_sialome/links/cds/anosin_cE5-anophelin-cds.txt","anosin_cE5-anophelin")</f>
        <v>anosin_cE5-anophelin</v>
      </c>
      <c r="B690">
        <v>270</v>
      </c>
      <c r="C690" t="s">
        <v>144</v>
      </c>
      <c r="D690" t="s">
        <v>4</v>
      </c>
      <c r="E690" t="s">
        <v>5</v>
      </c>
      <c r="F690" t="s">
        <v>1</v>
      </c>
      <c r="G690" t="str">
        <f>HYPERLINK("http://exon.niaid.nih.gov/transcriptome/Anopheles_sialome/links/pep/anosin_cE5-anophelin-pep.txt","anosin_cE5-anophelin")</f>
        <v>anosin_cE5-anophelin</v>
      </c>
      <c r="H690">
        <v>89</v>
      </c>
      <c r="I690">
        <v>1</v>
      </c>
      <c r="J690" s="3" t="str">
        <f>HYPERLINK("http://exon.niaid.nih.gov/transcriptome/Anopheles_sialome/links/Sigp/anosin_cE5-anophelin-SigP.txt","SIG")</f>
        <v>SIG</v>
      </c>
      <c r="K690" t="s">
        <v>689</v>
      </c>
      <c r="L690">
        <v>9.5709999999999997</v>
      </c>
      <c r="M690">
        <v>4.0199999999999996</v>
      </c>
      <c r="N690">
        <v>7.4139999999999997</v>
      </c>
      <c r="O690">
        <v>3.92</v>
      </c>
      <c r="P690" t="s">
        <v>984</v>
      </c>
      <c r="Q690" s="3" t="str">
        <f>HYPERLINK("http://exon.niaid.nih.gov/transcriptome/Anopheles_sialome/links/tmhmm/anosin_cE5-anophelin-tmhmm.txt","1")</f>
        <v>1</v>
      </c>
      <c r="R690">
        <v>19.100000000000001</v>
      </c>
      <c r="S690">
        <v>75.3</v>
      </c>
      <c r="T690">
        <v>5.6</v>
      </c>
      <c r="U690" t="s">
        <v>128</v>
      </c>
      <c r="V690">
        <v>67</v>
      </c>
      <c r="W690" s="3" t="str">
        <f>HYPERLINK("http://exon.niaid.nih.gov/transcriptome/Anopheles_sialome/links/netoglyc/anosin_cE5-anophelin-netoglyc.txt","5")</f>
        <v>5</v>
      </c>
      <c r="X690">
        <v>12.4</v>
      </c>
      <c r="Y690">
        <v>6.7</v>
      </c>
      <c r="Z690">
        <v>3.4</v>
      </c>
      <c r="AA690" t="s">
        <v>654</v>
      </c>
      <c r="AB690" t="s">
        <v>128</v>
      </c>
      <c r="AC690" s="2" t="str">
        <f>HYPERLINK("http://exon.niaid.nih.gov/transcriptome/Anopheles_sialome/links/DIPTERA/anosin_cE5-anophelin-DIPTERA.txt","salivary anti-thrombin peptide anophelin")</f>
        <v>salivary anti-thrombin peptide anophelin</v>
      </c>
      <c r="AD690" t="str">
        <f>HYPERLINK("http://www.ncbi.nlm.nih.gov/sutils/blink.cgi?pid=208657579","6E-011")</f>
        <v>6E-011</v>
      </c>
      <c r="AE690" t="str">
        <f>HYPERLINK("http://www.ncbi.nlm.nih.gov/protein/208657579","gi|208657579")</f>
        <v>gi|208657579</v>
      </c>
      <c r="AF690">
        <v>46</v>
      </c>
      <c r="AG690">
        <v>66</v>
      </c>
      <c r="AH690">
        <v>99</v>
      </c>
      <c r="AI690" t="s">
        <v>2283</v>
      </c>
      <c r="AJ690" s="2" t="str">
        <f>HYPERLINK("http://exon.niaid.nih.gov/transcriptome/Anopheles_sialome/links/CULICOMORPHA/anosin_cE5-anophelin-CULICOMORPHA.txt","salivary anti-thrombin peptide anophelin")</f>
        <v>salivary anti-thrombin peptide anophelin</v>
      </c>
      <c r="AK690" t="str">
        <f>HYPERLINK("http://www.ncbi.nlm.nih.gov/sutils/blink.cgi?pid=208657579","1E-011")</f>
        <v>1E-011</v>
      </c>
      <c r="AL690" t="str">
        <f>HYPERLINK("http://www.ncbi.nlm.nih.gov/protein/208657579","gi|208657579")</f>
        <v>gi|208657579</v>
      </c>
      <c r="AM690">
        <v>46</v>
      </c>
      <c r="AN690">
        <v>66</v>
      </c>
      <c r="AO690">
        <v>99</v>
      </c>
      <c r="AP690" t="s">
        <v>2283</v>
      </c>
      <c r="AQ690" s="2" t="str">
        <f>HYPERLINK("http://exon.niaid.nih.gov/transcriptome/Anopheles_sialome/links/NR-LIGHT/anosin_cE5-anophelin-NR-LIGHT.txt","salivary anti-thrombin peptide anophelin")</f>
        <v>salivary anti-thrombin peptide anophelin</v>
      </c>
      <c r="AR690" t="str">
        <f>HYPERLINK("http://www.ncbi.nlm.nih.gov/sutils/blink.cgi?pid=6851157","4E-009")</f>
        <v>4E-009</v>
      </c>
      <c r="AS690" t="str">
        <f>HYPERLINK("http://www.ncbi.nlm.nih.gov/protein/6851157","gi|6851157")</f>
        <v>gi|6851157</v>
      </c>
      <c r="AT690">
        <v>46</v>
      </c>
      <c r="AU690">
        <v>67</v>
      </c>
      <c r="AV690">
        <v>99</v>
      </c>
      <c r="AW690" t="s">
        <v>2281</v>
      </c>
      <c r="AX690" s="2" t="str">
        <f>HYPERLINK("http://exon.niaid.nih.gov/transcriptome/Anopheles_sialome/links/CDD/anosin_cE5-anophelin-CDD.txt","Anophelin")</f>
        <v>Anophelin</v>
      </c>
      <c r="AY690" t="str">
        <f>HYPERLINK("http://www.ncbi.nlm.nih.gov/Structure/cdd/cddsrv.cgi?uid=pfam10731&amp;version=v4.0","0.002")</f>
        <v>0.002</v>
      </c>
      <c r="AZ690" t="s">
        <v>2448</v>
      </c>
      <c r="BA690" s="2" t="str">
        <f>HYPERLINK("http://exon.niaid.nih.gov/transcriptome/Anopheles_sialome/links/KOG/anosin_cE5-anophelin-KOG.txt","Apoptosis inhibitor 5/fibroblast growth factor 2-interacting factor 2, and related proteins")</f>
        <v>Apoptosis inhibitor 5/fibroblast growth factor 2-interacting factor 2, and related proteins</v>
      </c>
      <c r="BB690" t="str">
        <f>HYPERLINK("http://www.ncbi.nlm.nih.gov/Structure/cdd/cddsrv.cgi?uid=KOG2213","1.0")</f>
        <v>1.0</v>
      </c>
      <c r="BC690" t="s">
        <v>2292</v>
      </c>
      <c r="BD690" t="str">
        <f>HYPERLINK("http://exon.niaid.nih.gov/transcriptome/Anopheles_sialome/links/KOG/anosin_cE5-anophelin-KOG.txt","KOG2213")</f>
        <v>KOG2213</v>
      </c>
      <c r="BE690" t="str">
        <f>HYPERLINK("http://exon.niaid.nih.gov/transcriptome/Anopheles_sialome/links/PFAM/anosin_cE5-anophelin-PFAM.txt","Anophelin")</f>
        <v>Anophelin</v>
      </c>
      <c r="BF690" t="str">
        <f>HYPERLINK("http://pfam.sanger.ac.uk/family?acc=PF10731","4E-004")</f>
        <v>4E-004</v>
      </c>
      <c r="BG690" s="2" t="str">
        <f>HYPERLINK("http://exon.niaid.nih.gov/transcriptome/Anopheles_sialome/links/SMART/anosin_cE5-anophelin-SMART.txt","Col_cuticle_N")</f>
        <v>Col_cuticle_N</v>
      </c>
      <c r="BH690" t="str">
        <f>HYPERLINK("http://smart.embl-heidelberg.de/smart/do_annotation.pl?DOMAIN=Col_cuticle_N&amp;BLAST=DUMMY","0.23")</f>
        <v>0.23</v>
      </c>
      <c r="BI690" t="s">
        <v>128</v>
      </c>
      <c r="BJ690" s="2" t="s">
        <v>128</v>
      </c>
      <c r="BK690" t="s">
        <v>983</v>
      </c>
      <c r="BL690">
        <f>HYPERLINK("http://exon.niaid.nih.gov/transcriptome/Anopheles_sialome/links/cluster-b/anopheline-sialome-cds-pep-larger-orf25-50SimCLU1.txt", 1)</f>
        <v>1</v>
      </c>
      <c r="BM690">
        <f>HYPERLINK("http://exon.niaid.nih.gov/transcriptome/Anopheles_sialome/links/cluster-b/anopheline-sialome-cds-pep-larger-orf25-50SimCLTL1.txt", 165)</f>
        <v>165</v>
      </c>
      <c r="BN690">
        <f>HYPERLINK("http://exon.niaid.nih.gov/transcriptome/Anopheles_sialome/links/cluster-b/anopheline-sialome-cds-pep-larger-orf30-50SimCLU1.txt", 1)</f>
        <v>1</v>
      </c>
      <c r="BO690">
        <f>HYPERLINK("http://exon.niaid.nih.gov/transcriptome/Anopheles_sialome/links/cluster-b/anopheline-sialome-cds-pep-larger-orf30-50SimCLTL1.txt", 165)</f>
        <v>165</v>
      </c>
      <c r="BP690">
        <f>HYPERLINK("http://exon.niaid.nih.gov/transcriptome/Anopheles_sialome/links/cluster-b/anopheline-sialome-cds-pep-larger-orf35-50SimCLU4.txt", 4)</f>
        <v>4</v>
      </c>
      <c r="BQ690">
        <f>HYPERLINK("http://exon.niaid.nih.gov/transcriptome/Anopheles_sialome/links/cluster-b/anopheline-sialome-cds-pep-larger-orf35-50SimCLTL4.txt", 76)</f>
        <v>76</v>
      </c>
      <c r="BR690">
        <f>HYPERLINK("http://exon.niaid.nih.gov/transcriptome/Anopheles_sialome/links/cluster-b/anopheline-sialome-cds-pep-larger-orf40-50SimCLU18.txt", 18)</f>
        <v>18</v>
      </c>
      <c r="BS690">
        <f>HYPERLINK("http://exon.niaid.nih.gov/transcriptome/Anopheles_sialome/links/cluster-b/anopheline-sialome-cds-pep-larger-orf40-50SimCLTL18.txt", 18)</f>
        <v>18</v>
      </c>
      <c r="BT690">
        <f>HYPERLINK("http://exon.niaid.nih.gov/transcriptome/Anopheles_sialome/links/cluster-b/anopheline-sialome-cds-pep-larger-orf45-50SimCLU18.txt", 18)</f>
        <v>18</v>
      </c>
      <c r="BU690">
        <f>HYPERLINK("http://exon.niaid.nih.gov/transcriptome/Anopheles_sialome/links/cluster-b/anopheline-sialome-cds-pep-larger-orf45-50SimCLTL18.txt", 18)</f>
        <v>18</v>
      </c>
      <c r="BV690">
        <f>HYPERLINK("http://exon.niaid.nih.gov/transcriptome/Anopheles_sialome/links/cluster-b/anopheline-sialome-cds-pep-larger-orf50-50SimCLU17.txt", 17)</f>
        <v>17</v>
      </c>
      <c r="BW690">
        <f>HYPERLINK("http://exon.niaid.nih.gov/transcriptome/Anopheles_sialome/links/cluster-b/anopheline-sialome-cds-pep-larger-orf50-50SimCLTL17.txt", 18)</f>
        <v>18</v>
      </c>
      <c r="BX690">
        <f>HYPERLINK("http://exon.niaid.nih.gov/transcriptome/Anopheles_sialome/links/cluster-b/anopheline-sialome-cds-pep-larger-orf55-50SimCLU18.txt", 18)</f>
        <v>18</v>
      </c>
      <c r="BY690">
        <f>HYPERLINK("http://exon.niaid.nih.gov/transcriptome/Anopheles_sialome/links/cluster-b/anopheline-sialome-cds-pep-larger-orf55-50SimCLTL18.txt", 18)</f>
        <v>18</v>
      </c>
      <c r="BZ690">
        <f>HYPERLINK("http://exon.niaid.nih.gov/transcriptome/Anopheles_sialome/links/cluster-b/anopheline-sialome-cds-pep-larger-orf60-50SimCLU17.txt", 17)</f>
        <v>17</v>
      </c>
      <c r="CA690">
        <f>HYPERLINK("http://exon.niaid.nih.gov/transcriptome/Anopheles_sialome/links/cluster-b/anopheline-sialome-cds-pep-larger-orf60-50SimCLTL17.txt", 18)</f>
        <v>18</v>
      </c>
      <c r="CB690">
        <v>65</v>
      </c>
      <c r="CC690">
        <v>1</v>
      </c>
      <c r="CD690">
        <v>78</v>
      </c>
      <c r="CE690">
        <v>1</v>
      </c>
      <c r="CF690">
        <v>102</v>
      </c>
      <c r="CG690">
        <v>1</v>
      </c>
      <c r="CH690">
        <v>125</v>
      </c>
      <c r="CI690">
        <v>1</v>
      </c>
      <c r="CJ690">
        <v>138</v>
      </c>
      <c r="CK690">
        <v>1</v>
      </c>
      <c r="CL690">
        <v>153</v>
      </c>
      <c r="CM690">
        <v>1</v>
      </c>
      <c r="CN690">
        <v>146</v>
      </c>
      <c r="CO690">
        <v>1</v>
      </c>
    </row>
    <row r="691" spans="1:93">
      <c r="A691" s="2" t="str">
        <f>HYPERLINK("http://exon.niaid.nih.gov/transcriptome/Anopheles_sialome/links/cds/anoalb_cE5-anophelin-cds.txt","anoalb_cE5-anophelin")</f>
        <v>anoalb_cE5-anophelin</v>
      </c>
      <c r="B691">
        <v>252</v>
      </c>
      <c r="C691" t="s">
        <v>145</v>
      </c>
      <c r="D691" t="s">
        <v>4</v>
      </c>
      <c r="E691" t="s">
        <v>5</v>
      </c>
      <c r="F691" t="s">
        <v>1</v>
      </c>
      <c r="G691" t="str">
        <f>HYPERLINK("http://exon.niaid.nih.gov/transcriptome/Anopheles_sialome/links/pep/anoalb_cE5-anophelin-pep.txt","anoalb_cE5-anophelin")</f>
        <v>anoalb_cE5-anophelin</v>
      </c>
      <c r="H691">
        <v>83</v>
      </c>
      <c r="I691">
        <v>1</v>
      </c>
      <c r="J691" s="3" t="str">
        <f>HYPERLINK("http://exon.niaid.nih.gov/transcriptome/Anopheles_sialome/links/Sigp/anoalb_cE5-anophelin-SigP.txt","SIG")</f>
        <v>SIG</v>
      </c>
      <c r="K691" t="s">
        <v>695</v>
      </c>
      <c r="L691">
        <v>8.8689999999999998</v>
      </c>
      <c r="M691">
        <v>3.97</v>
      </c>
      <c r="N691">
        <v>6.548</v>
      </c>
      <c r="O691">
        <v>3.74</v>
      </c>
      <c r="P691" t="s">
        <v>986</v>
      </c>
      <c r="Q691" s="3">
        <v>0</v>
      </c>
      <c r="R691" t="s">
        <v>128</v>
      </c>
      <c r="S691" t="s">
        <v>128</v>
      </c>
      <c r="T691" t="s">
        <v>128</v>
      </c>
      <c r="U691" t="s">
        <v>128</v>
      </c>
      <c r="V691" t="s">
        <v>128</v>
      </c>
      <c r="W691" s="3" t="str">
        <f>HYPERLINK("http://exon.niaid.nih.gov/transcriptome/Anopheles_sialome/links/netoglyc/anoalb_cE5-anophelin-netoglyc.txt","3")</f>
        <v>3</v>
      </c>
      <c r="X691">
        <v>15.7</v>
      </c>
      <c r="Y691">
        <v>4.8</v>
      </c>
      <c r="Z691">
        <v>6</v>
      </c>
      <c r="AA691" t="s">
        <v>654</v>
      </c>
      <c r="AB691" t="s">
        <v>128</v>
      </c>
      <c r="AC691" s="2" t="str">
        <f>HYPERLINK("http://exon.niaid.nih.gov/transcriptome/Anopheles_sialome/links/DIPTERA/anoalb_cE5-anophelin-DIPTERA.txt","unnamed protein product")</f>
        <v>unnamed protein product</v>
      </c>
      <c r="AD691" t="str">
        <f>HYPERLINK("http://www.ncbi.nlm.nih.gov/sutils/blink.cgi?pid=12540244","2E-040")</f>
        <v>2E-040</v>
      </c>
      <c r="AE691" t="str">
        <f>HYPERLINK("http://www.ncbi.nlm.nih.gov/protein/12540244","gi|12540244")</f>
        <v>gi|12540244</v>
      </c>
      <c r="AF691">
        <v>100</v>
      </c>
      <c r="AG691">
        <v>100</v>
      </c>
      <c r="AH691">
        <v>100</v>
      </c>
      <c r="AI691" t="s">
        <v>2281</v>
      </c>
      <c r="AJ691" s="2" t="str">
        <f>HYPERLINK("http://exon.niaid.nih.gov/transcriptome/Anopheles_sialome/links/CULICOMORPHA/anoalb_cE5-anophelin-CULICOMORPHA.txt","unnamed protein product")</f>
        <v>unnamed protein product</v>
      </c>
      <c r="AK691" t="str">
        <f>HYPERLINK("http://www.ncbi.nlm.nih.gov/sutils/blink.cgi?pid=12540244","3E-041")</f>
        <v>3E-041</v>
      </c>
      <c r="AL691" t="str">
        <f>HYPERLINK("http://www.ncbi.nlm.nih.gov/protein/12540244","gi|12540244")</f>
        <v>gi|12540244</v>
      </c>
      <c r="AM691">
        <v>100</v>
      </c>
      <c r="AN691">
        <v>100</v>
      </c>
      <c r="AO691">
        <v>100</v>
      </c>
      <c r="AP691" t="s">
        <v>2281</v>
      </c>
      <c r="AQ691" s="2" t="str">
        <f>HYPERLINK("http://exon.niaid.nih.gov/transcriptome/Anopheles_sialome/links/NR-LIGHT/anoalb_cE5-anophelin-NR-LIGHT.txt","salivary anti-thrombin peptide anophelin")</f>
        <v>salivary anti-thrombin peptide anophelin</v>
      </c>
      <c r="AR691" t="str">
        <f>HYPERLINK("http://www.ncbi.nlm.nih.gov/sutils/blink.cgi?pid=6851157","4E-040")</f>
        <v>4E-040</v>
      </c>
      <c r="AS691" t="str">
        <f>HYPERLINK("http://www.ncbi.nlm.nih.gov/protein/6851157","gi|6851157")</f>
        <v>gi|6851157</v>
      </c>
      <c r="AT691">
        <v>100</v>
      </c>
      <c r="AU691">
        <v>100</v>
      </c>
      <c r="AV691">
        <v>100</v>
      </c>
      <c r="AW691" t="s">
        <v>2281</v>
      </c>
      <c r="AX691" s="2" t="str">
        <f>HYPERLINK("http://exon.niaid.nih.gov/transcriptome/Anopheles_sialome/links/CDD/anoalb_cE5-anophelin-CDD.txt","Anophelin")</f>
        <v>Anophelin</v>
      </c>
      <c r="AY691" t="str">
        <f>HYPERLINK("http://www.ncbi.nlm.nih.gov/Structure/cdd/cddsrv.cgi?uid=pfam10731&amp;version=v4.0","2E-018")</f>
        <v>2E-018</v>
      </c>
      <c r="AZ691" t="s">
        <v>2449</v>
      </c>
      <c r="BA691" s="2" t="str">
        <f>HYPERLINK("http://exon.niaid.nih.gov/transcriptome/Anopheles_sialome/links/KOG/anoalb_cE5-anophelin-KOG.txt","Microfibrillar-associated protein MFAP1")</f>
        <v>Microfibrillar-associated protein MFAP1</v>
      </c>
      <c r="BB691" t="str">
        <f>HYPERLINK("http://www.ncbi.nlm.nih.gov/Structure/cdd/cddsrv.cgi?uid=KOG1425","1.2")</f>
        <v>1.2</v>
      </c>
      <c r="BC691" t="s">
        <v>2312</v>
      </c>
      <c r="BD691" t="str">
        <f>HYPERLINK("http://exon.niaid.nih.gov/transcriptome/Anopheles_sialome/links/KOG/anoalb_cE5-anophelin-KOG.txt","KOG1425")</f>
        <v>KOG1425</v>
      </c>
      <c r="BE691" t="str">
        <f>HYPERLINK("http://exon.niaid.nih.gov/transcriptome/Anopheles_sialome/links/PFAM/anoalb_cE5-anophelin-PFAM.txt","Anophelin")</f>
        <v>Anophelin</v>
      </c>
      <c r="BF691" t="str">
        <f>HYPERLINK("http://pfam.sanger.ac.uk/family?acc=PF10731","3E-019")</f>
        <v>3E-019</v>
      </c>
      <c r="BG691" s="2" t="str">
        <f>HYPERLINK("http://exon.niaid.nih.gov/transcriptome/Anopheles_sialome/links/SMART/anoalb_cE5-anophelin-SMART.txt","SRA")</f>
        <v>SRA</v>
      </c>
      <c r="BH691" t="str">
        <f>HYPERLINK("http://smart.embl-heidelberg.de/smart/do_annotation.pl?DOMAIN=SRA&amp;BLAST=DUMMY","1.9")</f>
        <v>1.9</v>
      </c>
      <c r="BI691" t="s">
        <v>128</v>
      </c>
      <c r="BJ691" s="2" t="s">
        <v>128</v>
      </c>
      <c r="BK691" t="s">
        <v>985</v>
      </c>
      <c r="BL691">
        <f>HYPERLINK("http://exon.niaid.nih.gov/transcriptome/Anopheles_sialome/links/cluster-b/anopheline-sialome-cds-pep-larger-orf25-50SimCLU1.txt", 1)</f>
        <v>1</v>
      </c>
      <c r="BM691">
        <f>HYPERLINK("http://exon.niaid.nih.gov/transcriptome/Anopheles_sialome/links/cluster-b/anopheline-sialome-cds-pep-larger-orf25-50SimCLTL1.txt", 165)</f>
        <v>165</v>
      </c>
      <c r="BN691">
        <f>HYPERLINK("http://exon.niaid.nih.gov/transcriptome/Anopheles_sialome/links/cluster-b/anopheline-sialome-cds-pep-larger-orf30-50SimCLU1.txt", 1)</f>
        <v>1</v>
      </c>
      <c r="BO691">
        <f>HYPERLINK("http://exon.niaid.nih.gov/transcriptome/Anopheles_sialome/links/cluster-b/anopheline-sialome-cds-pep-larger-orf30-50SimCLTL1.txt", 165)</f>
        <v>165</v>
      </c>
      <c r="BP691">
        <f>HYPERLINK("http://exon.niaid.nih.gov/transcriptome/Anopheles_sialome/links/cluster-b/anopheline-sialome-cds-pep-larger-orf35-50SimCLU4.txt", 4)</f>
        <v>4</v>
      </c>
      <c r="BQ691">
        <f>HYPERLINK("http://exon.niaid.nih.gov/transcriptome/Anopheles_sialome/links/cluster-b/anopheline-sialome-cds-pep-larger-orf35-50SimCLTL4.txt", 76)</f>
        <v>76</v>
      </c>
      <c r="BR691">
        <f>HYPERLINK("http://exon.niaid.nih.gov/transcriptome/Anopheles_sialome/links/cluster-b/anopheline-sialome-cds-pep-larger-orf40-50SimCLU18.txt", 18)</f>
        <v>18</v>
      </c>
      <c r="BS691">
        <f>HYPERLINK("http://exon.niaid.nih.gov/transcriptome/Anopheles_sialome/links/cluster-b/anopheline-sialome-cds-pep-larger-orf40-50SimCLTL18.txt", 18)</f>
        <v>18</v>
      </c>
      <c r="BT691">
        <f>HYPERLINK("http://exon.niaid.nih.gov/transcriptome/Anopheles_sialome/links/cluster-b/anopheline-sialome-cds-pep-larger-orf45-50SimCLU18.txt", 18)</f>
        <v>18</v>
      </c>
      <c r="BU691">
        <f>HYPERLINK("http://exon.niaid.nih.gov/transcriptome/Anopheles_sialome/links/cluster-b/anopheline-sialome-cds-pep-larger-orf45-50SimCLTL18.txt", 18)</f>
        <v>18</v>
      </c>
      <c r="BV691">
        <f>HYPERLINK("http://exon.niaid.nih.gov/transcriptome/Anopheles_sialome/links/cluster-b/anopheline-sialome-cds-pep-larger-orf50-50SimCLU17.txt", 17)</f>
        <v>17</v>
      </c>
      <c r="BW691">
        <f>HYPERLINK("http://exon.niaid.nih.gov/transcriptome/Anopheles_sialome/links/cluster-b/anopheline-sialome-cds-pep-larger-orf50-50SimCLTL17.txt", 18)</f>
        <v>18</v>
      </c>
      <c r="BX691">
        <f>HYPERLINK("http://exon.niaid.nih.gov/transcriptome/Anopheles_sialome/links/cluster-b/anopheline-sialome-cds-pep-larger-orf55-50SimCLU18.txt", 18)</f>
        <v>18</v>
      </c>
      <c r="BY691">
        <f>HYPERLINK("http://exon.niaid.nih.gov/transcriptome/Anopheles_sialome/links/cluster-b/anopheline-sialome-cds-pep-larger-orf55-50SimCLTL18.txt", 18)</f>
        <v>18</v>
      </c>
      <c r="BZ691">
        <f>HYPERLINK("http://exon.niaid.nih.gov/transcriptome/Anopheles_sialome/links/cluster-b/anopheline-sialome-cds-pep-larger-orf60-50SimCLU17.txt", 17)</f>
        <v>17</v>
      </c>
      <c r="CA691">
        <f>HYPERLINK("http://exon.niaid.nih.gov/transcriptome/Anopheles_sialome/links/cluster-b/anopheline-sialome-cds-pep-larger-orf60-50SimCLTL17.txt", 18)</f>
        <v>18</v>
      </c>
      <c r="CB691">
        <f>HYPERLINK("http://exon.niaid.nih.gov/transcriptome/Anopheles_sialome/links/cluster-b/anopheline-sialome-cds-pep-larger-orf65-50SimCLU44.txt", 44)</f>
        <v>44</v>
      </c>
      <c r="CC691">
        <f>HYPERLINK("http://exon.niaid.nih.gov/transcriptome/Anopheles_sialome/links/cluster-b/anopheline-sialome-cds-pep-larger-orf65-50SimCLTL44.txt", 2)</f>
        <v>2</v>
      </c>
      <c r="CD691">
        <f>HYPERLINK("http://exon.niaid.nih.gov/transcriptome/Anopheles_sialome/links/cluster-b/anopheline-sialome-cds-pep-larger-orf70-50SimCLU47.txt", 47)</f>
        <v>47</v>
      </c>
      <c r="CE691">
        <f>HYPERLINK("http://exon.niaid.nih.gov/transcriptome/Anopheles_sialome/links/cluster-b/anopheline-sialome-cds-pep-larger-orf70-50SimCLTL47.txt", 2)</f>
        <v>2</v>
      </c>
      <c r="CF691">
        <f>HYPERLINK("http://exon.niaid.nih.gov/transcriptome/Anopheles_sialome/links/cluster-b/anopheline-sialome-cds-pep-larger-orf75-50SimCLU59.txt", 59)</f>
        <v>59</v>
      </c>
      <c r="CG691">
        <f>HYPERLINK("http://exon.niaid.nih.gov/transcriptome/Anopheles_sialome/links/cluster-b/anopheline-sialome-cds-pep-larger-orf75-50SimCLTL59.txt", 2)</f>
        <v>2</v>
      </c>
      <c r="CH691">
        <f>HYPERLINK("http://exon.niaid.nih.gov/transcriptome/Anopheles_sialome/links/cluster-b/anopheline-sialome-cds-pep-larger-orf80-50SimCLU67.txt", 67)</f>
        <v>67</v>
      </c>
      <c r="CI691">
        <f>HYPERLINK("http://exon.niaid.nih.gov/transcriptome/Anopheles_sialome/links/cluster-b/anopheline-sialome-cds-pep-larger-orf80-50SimCLTL67.txt", 2)</f>
        <v>2</v>
      </c>
      <c r="CJ691">
        <f>HYPERLINK("http://exon.niaid.nih.gov/transcriptome/Anopheles_sialome/links/cluster-b/anopheline-sialome-cds-pep-larger-orf85-50SimCLU69.txt", 69)</f>
        <v>69</v>
      </c>
      <c r="CK691">
        <f>HYPERLINK("http://exon.niaid.nih.gov/transcriptome/Anopheles_sialome/links/cluster-b/anopheline-sialome-cds-pep-larger-orf85-50SimCLTL69.txt", 2)</f>
        <v>2</v>
      </c>
      <c r="CL691">
        <f>HYPERLINK("http://exon.niaid.nih.gov/transcriptome/Anopheles_sialome/links/cluster-b/anopheline-sialome-cds-pep-larger-orf90-50SimCLU66.txt", 66)</f>
        <v>66</v>
      </c>
      <c r="CM691">
        <f>HYPERLINK("http://exon.niaid.nih.gov/transcriptome/Anopheles_sialome/links/cluster-b/anopheline-sialome-cds-pep-larger-orf90-50SimCLTL66.txt", 2)</f>
        <v>2</v>
      </c>
      <c r="CN691">
        <v>147</v>
      </c>
      <c r="CO691">
        <v>1</v>
      </c>
    </row>
    <row r="692" spans="1:93">
      <c r="A692" s="2" t="str">
        <f>HYPERLINK("http://exon.niaid.nih.gov/transcriptome/Anopheles_sialome/links/cds/anodar_cE5-anophelin-cds.txt","anodar_cE5-anophelin")</f>
        <v>anodar_cE5-anophelin</v>
      </c>
      <c r="B692">
        <v>246</v>
      </c>
      <c r="C692" t="s">
        <v>146</v>
      </c>
      <c r="D692" t="s">
        <v>4</v>
      </c>
      <c r="E692" t="s">
        <v>5</v>
      </c>
      <c r="F692" t="s">
        <v>1</v>
      </c>
      <c r="G692" t="str">
        <f>HYPERLINK("http://exon.niaid.nih.gov/transcriptome/Anopheles_sialome/links/pep/anodar_cE5-anophelin-pep.txt","anodar_cE5-anophelin")</f>
        <v>anodar_cE5-anophelin</v>
      </c>
      <c r="H692">
        <v>81</v>
      </c>
      <c r="I692">
        <v>1</v>
      </c>
      <c r="J692" s="3" t="str">
        <f>HYPERLINK("http://exon.niaid.nih.gov/transcriptome/Anopheles_sialome/links/Sigp/anodar_cE5-anophelin-SigP.txt","SIG")</f>
        <v>SIG</v>
      </c>
      <c r="K692" t="s">
        <v>695</v>
      </c>
      <c r="L692">
        <v>8.7230000000000008</v>
      </c>
      <c r="M692">
        <v>4.16</v>
      </c>
      <c r="N692">
        <v>6.3840000000000003</v>
      </c>
      <c r="O692">
        <v>3.93</v>
      </c>
      <c r="P692" t="s">
        <v>988</v>
      </c>
      <c r="Q692" s="3">
        <v>0</v>
      </c>
      <c r="R692" t="s">
        <v>128</v>
      </c>
      <c r="S692" t="s">
        <v>128</v>
      </c>
      <c r="T692" t="s">
        <v>128</v>
      </c>
      <c r="U692" t="s">
        <v>128</v>
      </c>
      <c r="V692" t="s">
        <v>128</v>
      </c>
      <c r="W692" s="3" t="str">
        <f>HYPERLINK("http://exon.niaid.nih.gov/transcriptome/Anopheles_sialome/links/netoglyc/anodar_cE5-anophelin-netoglyc.txt","1")</f>
        <v>1</v>
      </c>
      <c r="X692">
        <v>11.1</v>
      </c>
      <c r="Y692">
        <v>6.2</v>
      </c>
      <c r="Z692">
        <v>6.2</v>
      </c>
      <c r="AA692" t="s">
        <v>654</v>
      </c>
      <c r="AB692" t="s">
        <v>128</v>
      </c>
      <c r="AC692" s="2" t="str">
        <f>HYPERLINK("http://exon.niaid.nih.gov/transcriptome/Anopheles_sialome/links/DIPTERA/anodar_cE5-anophelin-DIPTERA.txt","salivary anti-thrombin peptide anophelin")</f>
        <v>salivary anti-thrombin peptide anophelin</v>
      </c>
      <c r="AD692" t="str">
        <f>HYPERLINK("http://www.ncbi.nlm.nih.gov/sutils/blink.cgi?pid=208657573","2E-039")</f>
        <v>2E-039</v>
      </c>
      <c r="AE692" t="str">
        <f>HYPERLINK("http://www.ncbi.nlm.nih.gov/protein/208657573","gi|208657573")</f>
        <v>gi|208657573</v>
      </c>
      <c r="AF692">
        <v>100</v>
      </c>
      <c r="AG692">
        <v>100</v>
      </c>
      <c r="AH692">
        <v>100</v>
      </c>
      <c r="AI692" t="s">
        <v>2283</v>
      </c>
      <c r="AJ692" s="2" t="str">
        <f>HYPERLINK("http://exon.niaid.nih.gov/transcriptome/Anopheles_sialome/links/CULICOMORPHA/anodar_cE5-anophelin-CULICOMORPHA.txt","salivary anti-thrombin peptide anophelin")</f>
        <v>salivary anti-thrombin peptide anophelin</v>
      </c>
      <c r="AK692" t="str">
        <f>HYPERLINK("http://www.ncbi.nlm.nih.gov/sutils/blink.cgi?pid=208657573","3E-040")</f>
        <v>3E-040</v>
      </c>
      <c r="AL692" t="str">
        <f>HYPERLINK("http://www.ncbi.nlm.nih.gov/protein/208657573","gi|208657573")</f>
        <v>gi|208657573</v>
      </c>
      <c r="AM692">
        <v>100</v>
      </c>
      <c r="AN692">
        <v>100</v>
      </c>
      <c r="AO692">
        <v>100</v>
      </c>
      <c r="AP692" t="s">
        <v>2283</v>
      </c>
      <c r="AQ692" s="2" t="str">
        <f>HYPERLINK("http://exon.niaid.nih.gov/transcriptome/Anopheles_sialome/links/NR-LIGHT/anodar_cE5-anophelin-NR-LIGHT.txt","salivary anti-thrombin peptide anophelin")</f>
        <v>salivary anti-thrombin peptide anophelin</v>
      </c>
      <c r="AR692" t="str">
        <f>HYPERLINK("http://www.ncbi.nlm.nih.gov/sutils/blink.cgi?pid=6851157","5E-033")</f>
        <v>5E-033</v>
      </c>
      <c r="AS692" t="str">
        <f>HYPERLINK("http://www.ncbi.nlm.nih.gov/protein/6851157","gi|6851157")</f>
        <v>gi|6851157</v>
      </c>
      <c r="AT692">
        <v>86</v>
      </c>
      <c r="AU692">
        <v>90</v>
      </c>
      <c r="AV692">
        <v>100</v>
      </c>
      <c r="AW692" t="s">
        <v>2281</v>
      </c>
      <c r="AX692" s="2" t="str">
        <f>HYPERLINK("http://exon.niaid.nih.gov/transcriptome/Anopheles_sialome/links/CDD/anodar_cE5-anophelin-CDD.txt","Anophelin")</f>
        <v>Anophelin</v>
      </c>
      <c r="AY692" t="str">
        <f>HYPERLINK("http://www.ncbi.nlm.nih.gov/Structure/cdd/cddsrv.cgi?uid=pfam10731&amp;version=v4.0","2E-016")</f>
        <v>2E-016</v>
      </c>
      <c r="AZ692" t="s">
        <v>2450</v>
      </c>
      <c r="BA692" s="2" t="str">
        <f>HYPERLINK("http://exon.niaid.nih.gov/transcriptome/Anopheles_sialome/links/KOG/anodar_cE5-anophelin-KOG.txt","Karyopherin (importin) beta 3")</f>
        <v>Karyopherin (importin) beta 3</v>
      </c>
      <c r="BB692" t="str">
        <f>HYPERLINK("http://www.ncbi.nlm.nih.gov/Structure/cdd/cddsrv.cgi?uid=KOG2171","0.15")</f>
        <v>0.15</v>
      </c>
      <c r="BC692" t="s">
        <v>2451</v>
      </c>
      <c r="BD692" t="str">
        <f>HYPERLINK("http://exon.niaid.nih.gov/transcriptome/Anopheles_sialome/links/KOG/anodar_cE5-anophelin-KOG.txt","KOG2171")</f>
        <v>KOG2171</v>
      </c>
      <c r="BE692" t="str">
        <f>HYPERLINK("http://exon.niaid.nih.gov/transcriptome/Anopheles_sialome/links/PFAM/anodar_cE5-anophelin-PFAM.txt","Anophelin")</f>
        <v>Anophelin</v>
      </c>
      <c r="BF692" t="str">
        <f>HYPERLINK("http://pfam.sanger.ac.uk/family?acc=PF10731","5E-017")</f>
        <v>5E-017</v>
      </c>
      <c r="BG692" s="2" t="str">
        <f>HYPERLINK("http://exon.niaid.nih.gov/transcriptome/Anopheles_sialome/links/SMART/anodar_cE5-anophelin-SMART.txt","AKAP_110")</f>
        <v>AKAP_110</v>
      </c>
      <c r="BH692" t="str">
        <f>HYPERLINK("http://smart.embl-heidelberg.de/smart/do_annotation.pl?DOMAIN=AKAP_110&amp;BLAST=DUMMY","2.4")</f>
        <v>2.4</v>
      </c>
      <c r="BI692" t="s">
        <v>128</v>
      </c>
      <c r="BJ692" s="2" t="s">
        <v>128</v>
      </c>
      <c r="BK692" t="s">
        <v>987</v>
      </c>
      <c r="BL692">
        <f>HYPERLINK("http://exon.niaid.nih.gov/transcriptome/Anopheles_sialome/links/cluster-b/anopheline-sialome-cds-pep-larger-orf25-50SimCLU1.txt", 1)</f>
        <v>1</v>
      </c>
      <c r="BM692">
        <f>HYPERLINK("http://exon.niaid.nih.gov/transcriptome/Anopheles_sialome/links/cluster-b/anopheline-sialome-cds-pep-larger-orf25-50SimCLTL1.txt", 165)</f>
        <v>165</v>
      </c>
      <c r="BN692">
        <f>HYPERLINK("http://exon.niaid.nih.gov/transcriptome/Anopheles_sialome/links/cluster-b/anopheline-sialome-cds-pep-larger-orf30-50SimCLU1.txt", 1)</f>
        <v>1</v>
      </c>
      <c r="BO692">
        <f>HYPERLINK("http://exon.niaid.nih.gov/transcriptome/Anopheles_sialome/links/cluster-b/anopheline-sialome-cds-pep-larger-orf30-50SimCLTL1.txt", 165)</f>
        <v>165</v>
      </c>
      <c r="BP692">
        <f>HYPERLINK("http://exon.niaid.nih.gov/transcriptome/Anopheles_sialome/links/cluster-b/anopheline-sialome-cds-pep-larger-orf35-50SimCLU4.txt", 4)</f>
        <v>4</v>
      </c>
      <c r="BQ692">
        <f>HYPERLINK("http://exon.niaid.nih.gov/transcriptome/Anopheles_sialome/links/cluster-b/anopheline-sialome-cds-pep-larger-orf35-50SimCLTL4.txt", 76)</f>
        <v>76</v>
      </c>
      <c r="BR692">
        <f>HYPERLINK("http://exon.niaid.nih.gov/transcriptome/Anopheles_sialome/links/cluster-b/anopheline-sialome-cds-pep-larger-orf40-50SimCLU18.txt", 18)</f>
        <v>18</v>
      </c>
      <c r="BS692">
        <f>HYPERLINK("http://exon.niaid.nih.gov/transcriptome/Anopheles_sialome/links/cluster-b/anopheline-sialome-cds-pep-larger-orf40-50SimCLTL18.txt", 18)</f>
        <v>18</v>
      </c>
      <c r="BT692">
        <f>HYPERLINK("http://exon.niaid.nih.gov/transcriptome/Anopheles_sialome/links/cluster-b/anopheline-sialome-cds-pep-larger-orf45-50SimCLU18.txt", 18)</f>
        <v>18</v>
      </c>
      <c r="BU692">
        <f>HYPERLINK("http://exon.niaid.nih.gov/transcriptome/Anopheles_sialome/links/cluster-b/anopheline-sialome-cds-pep-larger-orf45-50SimCLTL18.txt", 18)</f>
        <v>18</v>
      </c>
      <c r="BV692">
        <f>HYPERLINK("http://exon.niaid.nih.gov/transcriptome/Anopheles_sialome/links/cluster-b/anopheline-sialome-cds-pep-larger-orf50-50SimCLU17.txt", 17)</f>
        <v>17</v>
      </c>
      <c r="BW692">
        <f>HYPERLINK("http://exon.niaid.nih.gov/transcriptome/Anopheles_sialome/links/cluster-b/anopheline-sialome-cds-pep-larger-orf50-50SimCLTL17.txt", 18)</f>
        <v>18</v>
      </c>
      <c r="BX692">
        <f>HYPERLINK("http://exon.niaid.nih.gov/transcriptome/Anopheles_sialome/links/cluster-b/anopheline-sialome-cds-pep-larger-orf55-50SimCLU18.txt", 18)</f>
        <v>18</v>
      </c>
      <c r="BY692">
        <f>HYPERLINK("http://exon.niaid.nih.gov/transcriptome/Anopheles_sialome/links/cluster-b/anopheline-sialome-cds-pep-larger-orf55-50SimCLTL18.txt", 18)</f>
        <v>18</v>
      </c>
      <c r="BZ692">
        <f>HYPERLINK("http://exon.niaid.nih.gov/transcriptome/Anopheles_sialome/links/cluster-b/anopheline-sialome-cds-pep-larger-orf60-50SimCLU17.txt", 17)</f>
        <v>17</v>
      </c>
      <c r="CA692">
        <f>HYPERLINK("http://exon.niaid.nih.gov/transcriptome/Anopheles_sialome/links/cluster-b/anopheline-sialome-cds-pep-larger-orf60-50SimCLTL17.txt", 18)</f>
        <v>18</v>
      </c>
      <c r="CB692">
        <f>HYPERLINK("http://exon.niaid.nih.gov/transcriptome/Anopheles_sialome/links/cluster-b/anopheline-sialome-cds-pep-larger-orf65-50SimCLU44.txt", 44)</f>
        <v>44</v>
      </c>
      <c r="CC692">
        <f>HYPERLINK("http://exon.niaid.nih.gov/transcriptome/Anopheles_sialome/links/cluster-b/anopheline-sialome-cds-pep-larger-orf65-50SimCLTL44.txt", 2)</f>
        <v>2</v>
      </c>
      <c r="CD692">
        <f>HYPERLINK("http://exon.niaid.nih.gov/transcriptome/Anopheles_sialome/links/cluster-b/anopheline-sialome-cds-pep-larger-orf70-50SimCLU47.txt", 47)</f>
        <v>47</v>
      </c>
      <c r="CE692">
        <f>HYPERLINK("http://exon.niaid.nih.gov/transcriptome/Anopheles_sialome/links/cluster-b/anopheline-sialome-cds-pep-larger-orf70-50SimCLTL47.txt", 2)</f>
        <v>2</v>
      </c>
      <c r="CF692">
        <f>HYPERLINK("http://exon.niaid.nih.gov/transcriptome/Anopheles_sialome/links/cluster-b/anopheline-sialome-cds-pep-larger-orf75-50SimCLU59.txt", 59)</f>
        <v>59</v>
      </c>
      <c r="CG692">
        <f>HYPERLINK("http://exon.niaid.nih.gov/transcriptome/Anopheles_sialome/links/cluster-b/anopheline-sialome-cds-pep-larger-orf75-50SimCLTL59.txt", 2)</f>
        <v>2</v>
      </c>
      <c r="CH692">
        <f>HYPERLINK("http://exon.niaid.nih.gov/transcriptome/Anopheles_sialome/links/cluster-b/anopheline-sialome-cds-pep-larger-orf80-50SimCLU67.txt", 67)</f>
        <v>67</v>
      </c>
      <c r="CI692">
        <f>HYPERLINK("http://exon.niaid.nih.gov/transcriptome/Anopheles_sialome/links/cluster-b/anopheline-sialome-cds-pep-larger-orf80-50SimCLTL67.txt", 2)</f>
        <v>2</v>
      </c>
      <c r="CJ692">
        <f>HYPERLINK("http://exon.niaid.nih.gov/transcriptome/Anopheles_sialome/links/cluster-b/anopheline-sialome-cds-pep-larger-orf85-50SimCLU69.txt", 69)</f>
        <v>69</v>
      </c>
      <c r="CK692">
        <f>HYPERLINK("http://exon.niaid.nih.gov/transcriptome/Anopheles_sialome/links/cluster-b/anopheline-sialome-cds-pep-larger-orf85-50SimCLTL69.txt", 2)</f>
        <v>2</v>
      </c>
      <c r="CL692">
        <f>HYPERLINK("http://exon.niaid.nih.gov/transcriptome/Anopheles_sialome/links/cluster-b/anopheline-sialome-cds-pep-larger-orf90-50SimCLU66.txt", 66)</f>
        <v>66</v>
      </c>
      <c r="CM692">
        <f>HYPERLINK("http://exon.niaid.nih.gov/transcriptome/Anopheles_sialome/links/cluster-b/anopheline-sialome-cds-pep-larger-orf90-50SimCLTL66.txt", 2)</f>
        <v>2</v>
      </c>
      <c r="CN692">
        <v>148</v>
      </c>
      <c r="CO692">
        <v>1</v>
      </c>
    </row>
    <row r="693" spans="1:93">
      <c r="A693" s="14" t="s">
        <v>3141</v>
      </c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3"/>
      <c r="AY693" s="13"/>
      <c r="AZ693" s="13"/>
      <c r="BA693" s="13"/>
      <c r="BB693" s="13"/>
      <c r="BC693" s="13"/>
      <c r="BD693" s="13"/>
      <c r="BE693" s="13"/>
      <c r="BF693" s="13"/>
      <c r="BG693" s="13"/>
      <c r="BH693" s="13"/>
      <c r="BI693" s="13"/>
      <c r="BJ693" s="13"/>
      <c r="BK693" s="13"/>
      <c r="BL693" s="13"/>
      <c r="BM693" s="13"/>
      <c r="BN693" s="13"/>
      <c r="BO693" s="13"/>
      <c r="BP693" s="13"/>
      <c r="BQ693" s="13"/>
      <c r="BR693" s="13"/>
      <c r="BS693" s="13"/>
      <c r="BT693" s="13"/>
      <c r="BU693" s="13"/>
      <c r="BV693" s="13"/>
      <c r="BW693" s="13"/>
      <c r="BX693" s="13"/>
      <c r="BY693" s="13"/>
      <c r="BZ693" s="13"/>
      <c r="CA693" s="13"/>
      <c r="CB693" s="13"/>
      <c r="CC693" s="13"/>
      <c r="CD693" s="13"/>
      <c r="CE693" s="13"/>
      <c r="CF693" s="13"/>
      <c r="CG693" s="13"/>
      <c r="CH693" s="13"/>
      <c r="CI693" s="13"/>
      <c r="CJ693" s="13"/>
      <c r="CK693" s="13"/>
      <c r="CL693" s="13"/>
      <c r="CM693" s="13"/>
      <c r="CN693" s="13"/>
      <c r="CO693" s="13"/>
    </row>
    <row r="694" spans="1:93">
      <c r="A694" s="5" t="s">
        <v>3142</v>
      </c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</row>
    <row r="695" spans="1:93">
      <c r="A695" s="2" t="str">
        <f>HYPERLINK("http://exon.niaid.nih.gov/transcriptome/Anopheles_sialome/links/cds/anoga_hyp4.2-cds.txt","anoga_hyp4.2")</f>
        <v>anoga_hyp4.2</v>
      </c>
      <c r="B695">
        <v>189</v>
      </c>
      <c r="C695" t="s">
        <v>240</v>
      </c>
      <c r="D695" t="s">
        <v>4</v>
      </c>
      <c r="E695" t="s">
        <v>5</v>
      </c>
      <c r="F695" t="s">
        <v>1</v>
      </c>
      <c r="G695" t="str">
        <f>HYPERLINK("http://exon.niaid.nih.gov/transcriptome/Anopheles_sialome/links/pep/anoga_hyp4.2-pep.txt","anoga_hyp4.2")</f>
        <v>anoga_hyp4.2</v>
      </c>
      <c r="H695">
        <v>62</v>
      </c>
      <c r="I695">
        <v>0</v>
      </c>
      <c r="J695" s="3" t="str">
        <f>HYPERLINK("http://exon.niaid.nih.gov/transcriptome/Anopheles_sialome/links/Sigp/anoga_hyp4.2-SigP.txt","SIG")</f>
        <v>SIG</v>
      </c>
      <c r="K695" t="s">
        <v>695</v>
      </c>
      <c r="L695">
        <v>6.7679999999999998</v>
      </c>
      <c r="M695">
        <v>5.01</v>
      </c>
      <c r="N695">
        <v>4.3959999999999999</v>
      </c>
      <c r="O695">
        <v>4.6900000000000004</v>
      </c>
      <c r="P695" t="s">
        <v>1262</v>
      </c>
      <c r="Q695" s="3" t="str">
        <f>HYPERLINK("http://exon.niaid.nih.gov/transcriptome/Anopheles_sialome/links/tmhmm/anoga_hyp4.2-tmhmm.txt","1")</f>
        <v>1</v>
      </c>
      <c r="R695">
        <v>35.5</v>
      </c>
      <c r="S695">
        <v>56.5</v>
      </c>
      <c r="T695">
        <v>8.1</v>
      </c>
      <c r="U695" t="s">
        <v>128</v>
      </c>
      <c r="V695">
        <v>35</v>
      </c>
      <c r="W695" s="3" t="str">
        <f>HYPERLINK("http://exon.niaid.nih.gov/transcriptome/Anopheles_sialome/links/netoglyc/anoga_hyp4.2-netoglyc.txt","1")</f>
        <v>1</v>
      </c>
      <c r="X695">
        <v>17.7</v>
      </c>
      <c r="Y695">
        <v>3.2</v>
      </c>
      <c r="Z695">
        <v>4.8</v>
      </c>
      <c r="AA695" t="s">
        <v>654</v>
      </c>
      <c r="AB695" t="s">
        <v>1263</v>
      </c>
      <c r="AC695" s="2" t="str">
        <f>HYPERLINK("http://exon.niaid.nih.gov/transcriptome/Anopheles_sialome/links/DIPTERA/anoga_hyp4.2-DIPTERA.txt","AGAP003473-PA")</f>
        <v>AGAP003473-PA</v>
      </c>
      <c r="AD695" t="str">
        <f>HYPERLINK("http://www.ncbi.nlm.nih.gov/sutils/blink.cgi?pid=55242637","4E-027")</f>
        <v>4E-027</v>
      </c>
      <c r="AE695" t="str">
        <f t="shared" ref="AE695:AE700" si="241">HYPERLINK("http://www.ncbi.nlm.nih.gov/protein/55242637","gi|55242637")</f>
        <v>gi|55242637</v>
      </c>
      <c r="AF695">
        <v>100</v>
      </c>
      <c r="AG695">
        <v>100</v>
      </c>
      <c r="AH695">
        <v>100</v>
      </c>
      <c r="AI695" t="s">
        <v>2285</v>
      </c>
      <c r="AJ695" s="2" t="str">
        <f>HYPERLINK("http://exon.niaid.nih.gov/transcriptome/Anopheles_sialome/links/CULICOMORPHA/anoga_hyp4.2-CULICOMORPHA.txt","AGAP003473-PA")</f>
        <v>AGAP003473-PA</v>
      </c>
      <c r="AK695" t="str">
        <f>HYPERLINK("http://www.ncbi.nlm.nih.gov/sutils/blink.cgi?pid=55242637","8E-028")</f>
        <v>8E-028</v>
      </c>
      <c r="AL695" t="str">
        <f t="shared" ref="AL695:AL700" si="242">HYPERLINK("http://www.ncbi.nlm.nih.gov/protein/55242637","gi|55242637")</f>
        <v>gi|55242637</v>
      </c>
      <c r="AM695">
        <v>100</v>
      </c>
      <c r="AN695">
        <v>100</v>
      </c>
      <c r="AO695">
        <v>100</v>
      </c>
      <c r="AP695" t="s">
        <v>2285</v>
      </c>
      <c r="AQ695" s="2" t="str">
        <f>HYPERLINK("http://exon.niaid.nih.gov/transcriptome/Anopheles_sialome/links/NR-LIGHT/anoga_hyp4.2-NR-LIGHT.txt","AGAP003473-PA")</f>
        <v>AGAP003473-PA</v>
      </c>
      <c r="AR695" t="str">
        <f>HYPERLINK("http://www.ncbi.nlm.nih.gov/sutils/blink.cgi?pid=58382210","1E-026")</f>
        <v>1E-026</v>
      </c>
      <c r="AS695" t="str">
        <f t="shared" ref="AS695:AS700" si="243">HYPERLINK("http://www.ncbi.nlm.nih.gov/protein/58382210","gi|58382210")</f>
        <v>gi|58382210</v>
      </c>
      <c r="AT695">
        <v>100</v>
      </c>
      <c r="AU695">
        <v>100</v>
      </c>
      <c r="AV695">
        <v>100</v>
      </c>
      <c r="AW695" t="s">
        <v>2285</v>
      </c>
      <c r="AX695" s="2" t="str">
        <f>HYPERLINK("http://exon.niaid.nih.gov/transcriptome/Anopheles_sialome/links/CDD/anoga_hyp4.2-CDD.txt","PHA03290")</f>
        <v>PHA03290</v>
      </c>
      <c r="AY695" t="str">
        <f>HYPERLINK("http://www.ncbi.nlm.nih.gov/Structure/cdd/cddsrv.cgi?uid=PHA03290&amp;version=v4.0","0.88")</f>
        <v>0.88</v>
      </c>
      <c r="AZ695" t="s">
        <v>2615</v>
      </c>
      <c r="BA695" s="2" t="str">
        <f>HYPERLINK("http://exon.niaid.nih.gov/transcriptome/Anopheles_sialome/links/KOG/anoga_hyp4.2-KOG.txt","Aminopeptidases of the M20 family")</f>
        <v>Aminopeptidases of the M20 family</v>
      </c>
      <c r="BB695" t="str">
        <f>HYPERLINK("http://www.ncbi.nlm.nih.gov/Structure/cdd/cddsrv.cgi?uid=KOG2194","2.9")</f>
        <v>2.9</v>
      </c>
      <c r="BC695" t="s">
        <v>2616</v>
      </c>
      <c r="BD695" t="str">
        <f>HYPERLINK("http://exon.niaid.nih.gov/transcriptome/Anopheles_sialome/links/KOG/anoga_hyp4.2-KOG.txt","KOG2194")</f>
        <v>KOG2194</v>
      </c>
      <c r="BE695" t="str">
        <f>HYPERLINK("http://exon.niaid.nih.gov/transcriptome/Anopheles_sialome/links/PFAM/anoga_hyp4.2-PFAM.txt","GSG-1")</f>
        <v>GSG-1</v>
      </c>
      <c r="BF695" t="str">
        <f>HYPERLINK("http://pfam.sanger.ac.uk/family?acc=PF07803","3.9")</f>
        <v>3.9</v>
      </c>
      <c r="BG695" s="2" t="str">
        <f>HYPERLINK("http://exon.niaid.nih.gov/transcriptome/Anopheles_sialome/links/SMART/anoga_hyp4.2-SMART.txt","B561")</f>
        <v>B561</v>
      </c>
      <c r="BH695" t="str">
        <f>HYPERLINK("http://smart.embl-heidelberg.de/smart/do_annotation.pl?DOMAIN=B561&amp;BLAST=DUMMY","1.7")</f>
        <v>1.7</v>
      </c>
      <c r="BI695" t="str">
        <f>HYPERLINK("http://exon.niaid.nih.gov/transcriptome/Anopheles_sialome/links/TICK-BLOCKS/anoga_hyp4.2-TICK-BLOCKS.txt","Hyp13_ |")</f>
        <v>Hyp13_ |</v>
      </c>
      <c r="BJ695" s="2" t="s">
        <v>2617</v>
      </c>
      <c r="BK695" t="s">
        <v>1261</v>
      </c>
      <c r="BL695">
        <f>HYPERLINK("http://exon.niaid.nih.gov/transcriptome/Anopheles_sialome/links/cluster-b/anopheline-sialome-cds-pep-larger-orf25-50SimCLU1.txt", 1)</f>
        <v>1</v>
      </c>
      <c r="BM695">
        <f>HYPERLINK("http://exon.niaid.nih.gov/transcriptome/Anopheles_sialome/links/cluster-b/anopheline-sialome-cds-pep-larger-orf25-50SimCLTL1.txt", 165)</f>
        <v>165</v>
      </c>
      <c r="BN695">
        <f>HYPERLINK("http://exon.niaid.nih.gov/transcriptome/Anopheles_sialome/links/cluster-b/anopheline-sialome-cds-pep-larger-orf30-50SimCLU1.txt", 1)</f>
        <v>1</v>
      </c>
      <c r="BO695">
        <f>HYPERLINK("http://exon.niaid.nih.gov/transcriptome/Anopheles_sialome/links/cluster-b/anopheline-sialome-cds-pep-larger-orf30-50SimCLTL1.txt", 165)</f>
        <v>165</v>
      </c>
      <c r="BP695">
        <f>HYPERLINK("http://exon.niaid.nih.gov/transcriptome/Anopheles_sialome/links/cluster-b/anopheline-sialome-cds-pep-larger-orf35-50SimCLU5.txt", 5)</f>
        <v>5</v>
      </c>
      <c r="BQ695">
        <f>HYPERLINK("http://exon.niaid.nih.gov/transcriptome/Anopheles_sialome/links/cluster-b/anopheline-sialome-cds-pep-larger-orf35-50SimCLTL5.txt", 61)</f>
        <v>61</v>
      </c>
      <c r="BR695">
        <f>HYPERLINK("http://exon.niaid.nih.gov/transcriptome/Anopheles_sialome/links/cluster-b/anopheline-sialome-cds-pep-larger-orf40-50SimCLU25.txt", 25)</f>
        <v>25</v>
      </c>
      <c r="BS695">
        <f>HYPERLINK("http://exon.niaid.nih.gov/transcriptome/Anopheles_sialome/links/cluster-b/anopheline-sialome-cds-pep-larger-orf40-50SimCLTL25.txt", 16)</f>
        <v>16</v>
      </c>
      <c r="BT695">
        <f>HYPERLINK("http://exon.niaid.nih.gov/transcriptome/Anopheles_sialome/links/cluster-b/anopheline-sialome-cds-pep-larger-orf45-50SimCLU29.txt", 29)</f>
        <v>29</v>
      </c>
      <c r="BU695">
        <f>HYPERLINK("http://exon.niaid.nih.gov/transcriptome/Anopheles_sialome/links/cluster-b/anopheline-sialome-cds-pep-larger-orf45-50SimCLTL29.txt", 16)</f>
        <v>16</v>
      </c>
      <c r="BV695">
        <f>HYPERLINK("http://exon.niaid.nih.gov/transcriptome/Anopheles_sialome/links/cluster-b/anopheline-sialome-cds-pep-larger-orf50-50SimCLU30.txt", 30)</f>
        <v>30</v>
      </c>
      <c r="BW695">
        <f>HYPERLINK("http://exon.niaid.nih.gov/transcriptome/Anopheles_sialome/links/cluster-b/anopheline-sialome-cds-pep-larger-orf50-50SimCLTL30.txt", 16)</f>
        <v>16</v>
      </c>
      <c r="BX695">
        <f>HYPERLINK("http://exon.niaid.nih.gov/transcriptome/Anopheles_sialome/links/cluster-b/anopheline-sialome-cds-pep-larger-orf55-50SimCLU29.txt", 29)</f>
        <v>29</v>
      </c>
      <c r="BY695">
        <f>HYPERLINK("http://exon.niaid.nih.gov/transcriptome/Anopheles_sialome/links/cluster-b/anopheline-sialome-cds-pep-larger-orf55-50SimCLTL29.txt", 16)</f>
        <v>16</v>
      </c>
      <c r="BZ695">
        <f>HYPERLINK("http://exon.niaid.nih.gov/transcriptome/Anopheles_sialome/links/cluster-b/anopheline-sialome-cds-pep-larger-orf60-50SimCLU36.txt", 36)</f>
        <v>36</v>
      </c>
      <c r="CA695">
        <f>HYPERLINK("http://exon.niaid.nih.gov/transcriptome/Anopheles_sialome/links/cluster-b/anopheline-sialome-cds-pep-larger-orf60-50SimCLTL36.txt", 8)</f>
        <v>8</v>
      </c>
      <c r="CB695">
        <f>HYPERLINK("http://exon.niaid.nih.gov/transcriptome/Anopheles_sialome/links/cluster-b/anopheline-sialome-cds-pep-larger-orf65-50SimCLU39.txt", 39)</f>
        <v>39</v>
      </c>
      <c r="CC695">
        <f>HYPERLINK("http://exon.niaid.nih.gov/transcriptome/Anopheles_sialome/links/cluster-b/anopheline-sialome-cds-pep-larger-orf65-50SimCLTL39.txt", 8)</f>
        <v>8</v>
      </c>
      <c r="CD695">
        <f>HYPERLINK("http://exon.niaid.nih.gov/transcriptome/Anopheles_sialome/links/cluster-b/anopheline-sialome-cds-pep-larger-orf70-50SimCLU42.txt", 42)</f>
        <v>42</v>
      </c>
      <c r="CE695">
        <f>HYPERLINK("http://exon.niaid.nih.gov/transcriptome/Anopheles_sialome/links/cluster-b/anopheline-sialome-cds-pep-larger-orf70-50SimCLTL42.txt", 7)</f>
        <v>7</v>
      </c>
      <c r="CF695">
        <f>HYPERLINK("http://exon.niaid.nih.gov/transcriptome/Anopheles_sialome/links/cluster-b/anopheline-sialome-cds-pep-larger-orf75-50SimCLU38.txt", 38)</f>
        <v>38</v>
      </c>
      <c r="CG695">
        <f>HYPERLINK("http://exon.niaid.nih.gov/transcriptome/Anopheles_sialome/links/cluster-b/anopheline-sialome-cds-pep-larger-orf75-50SimCLTL38.txt", 7)</f>
        <v>7</v>
      </c>
      <c r="CH695">
        <f>HYPERLINK("http://exon.niaid.nih.gov/transcriptome/Anopheles_sialome/links/cluster-b/anopheline-sialome-cds-pep-larger-orf80-50SimCLU34.txt", 34)</f>
        <v>34</v>
      </c>
      <c r="CI695">
        <f>HYPERLINK("http://exon.niaid.nih.gov/transcriptome/Anopheles_sialome/links/cluster-b/anopheline-sialome-cds-pep-larger-orf80-50SimCLTL34.txt", 6)</f>
        <v>6</v>
      </c>
      <c r="CJ695">
        <f>HYPERLINK("http://exon.niaid.nih.gov/transcriptome/Anopheles_sialome/links/cluster-b/anopheline-sialome-cds-pep-larger-orf85-50SimCLU30.txt", 30)</f>
        <v>30</v>
      </c>
      <c r="CK695">
        <f>HYPERLINK("http://exon.niaid.nih.gov/transcriptome/Anopheles_sialome/links/cluster-b/anopheline-sialome-cds-pep-larger-orf85-50SimCLTL30.txt", 6)</f>
        <v>6</v>
      </c>
      <c r="CL695">
        <f>HYPERLINK("http://exon.niaid.nih.gov/transcriptome/Anopheles_sialome/links/cluster-b/anopheline-sialome-cds-pep-larger-orf90-50SimCLU55.txt", 55)</f>
        <v>55</v>
      </c>
      <c r="CM695">
        <f>HYPERLINK("http://exon.niaid.nih.gov/transcriptome/Anopheles_sialome/links/cluster-b/anopheline-sialome-cds-pep-larger-orf90-50SimCLTL55.txt", 3)</f>
        <v>3</v>
      </c>
      <c r="CN695">
        <f>HYPERLINK("http://exon.niaid.nih.gov/transcriptome/Anopheles_sialome/links/cluster-b/anopheline-sialome-cds-pep-larger-orf95-50SimCLU50.txt", 50)</f>
        <v>50</v>
      </c>
      <c r="CO695">
        <f>HYPERLINK("http://exon.niaid.nih.gov/transcriptome/Anopheles_sialome/links/cluster-b/anopheline-sialome-cds-pep-larger-orf95-50SimCLTL50.txt", 3)</f>
        <v>3</v>
      </c>
    </row>
    <row r="696" spans="1:93">
      <c r="A696" s="2" t="str">
        <f>HYPERLINK("http://exon.niaid.nih.gov/transcriptome/Anopheles_sialome/links/cds/anocol_hyp4.2-cds.txt","anocol_hyp4.2")</f>
        <v>anocol_hyp4.2</v>
      </c>
      <c r="B696">
        <v>189</v>
      </c>
      <c r="C696" t="s">
        <v>4</v>
      </c>
      <c r="D696" s="8" t="s">
        <v>3178</v>
      </c>
      <c r="E696" t="s">
        <v>5</v>
      </c>
      <c r="F696" t="s">
        <v>1</v>
      </c>
      <c r="G696" t="str">
        <f>HYPERLINK("http://exon.niaid.nih.gov/transcriptome/Anopheles_sialome/links/pep/anocol_hyp4.2-pep.txt","anocol_hyp4.2")</f>
        <v>anocol_hyp4.2</v>
      </c>
      <c r="H696">
        <v>62</v>
      </c>
      <c r="I696">
        <v>0</v>
      </c>
      <c r="J696" s="3" t="str">
        <f>HYPERLINK("http://exon.niaid.nih.gov/transcriptome/Anopheles_sialome/links/Sigp/anocol_hyp4.2-SigP.txt","SIG")</f>
        <v>SIG</v>
      </c>
      <c r="K696" t="s">
        <v>695</v>
      </c>
      <c r="L696">
        <v>6.7270000000000003</v>
      </c>
      <c r="M696">
        <v>5.01</v>
      </c>
      <c r="N696">
        <v>4.3959999999999999</v>
      </c>
      <c r="O696">
        <v>4.6900000000000004</v>
      </c>
      <c r="P696" t="s">
        <v>1262</v>
      </c>
      <c r="Q696" s="3" t="str">
        <f>HYPERLINK("http://exon.niaid.nih.gov/transcriptome/Anopheles_sialome/links/tmhmm/anocol_hyp4.2-tmhmm.txt","1")</f>
        <v>1</v>
      </c>
      <c r="R696">
        <v>35.5</v>
      </c>
      <c r="S696">
        <v>56.5</v>
      </c>
      <c r="T696">
        <v>8.1</v>
      </c>
      <c r="U696" t="s">
        <v>128</v>
      </c>
      <c r="V696">
        <v>35</v>
      </c>
      <c r="W696" s="3" t="str">
        <f>HYPERLINK("http://exon.niaid.nih.gov/transcriptome/Anopheles_sialome/links/netoglyc/anocol_hyp4.2-netoglyc.txt","1")</f>
        <v>1</v>
      </c>
      <c r="X696">
        <v>17.7</v>
      </c>
      <c r="Y696">
        <v>3.2</v>
      </c>
      <c r="Z696">
        <v>4.8</v>
      </c>
      <c r="AA696" t="s">
        <v>654</v>
      </c>
      <c r="AB696" t="s">
        <v>1263</v>
      </c>
      <c r="AC696" s="2" t="str">
        <f>HYPERLINK("http://exon.niaid.nih.gov/transcriptome/Anopheles_sialome/links/DIPTERA/anocol_hyp4.2-DIPTERA.txt","AGAP003473-PA")</f>
        <v>AGAP003473-PA</v>
      </c>
      <c r="AD696" t="str">
        <f>HYPERLINK("http://www.ncbi.nlm.nih.gov/sutils/blink.cgi?pid=55242637","4E-027")</f>
        <v>4E-027</v>
      </c>
      <c r="AE696" t="str">
        <f t="shared" si="241"/>
        <v>gi|55242637</v>
      </c>
      <c r="AF696">
        <v>100</v>
      </c>
      <c r="AG696">
        <v>100</v>
      </c>
      <c r="AH696">
        <v>100</v>
      </c>
      <c r="AI696" t="s">
        <v>2285</v>
      </c>
      <c r="AJ696" s="2" t="str">
        <f>HYPERLINK("http://exon.niaid.nih.gov/transcriptome/Anopheles_sialome/links/CULICOMORPHA/anocol_hyp4.2-CULICOMORPHA.txt","AGAP003473-PA")</f>
        <v>AGAP003473-PA</v>
      </c>
      <c r="AK696" t="str">
        <f>HYPERLINK("http://www.ncbi.nlm.nih.gov/sutils/blink.cgi?pid=55242637","8E-028")</f>
        <v>8E-028</v>
      </c>
      <c r="AL696" t="str">
        <f t="shared" si="242"/>
        <v>gi|55242637</v>
      </c>
      <c r="AM696">
        <v>100</v>
      </c>
      <c r="AN696">
        <v>100</v>
      </c>
      <c r="AO696">
        <v>100</v>
      </c>
      <c r="AP696" t="s">
        <v>2285</v>
      </c>
      <c r="AQ696" s="2" t="str">
        <f>HYPERLINK("http://exon.niaid.nih.gov/transcriptome/Anopheles_sialome/links/NR-LIGHT/anocol_hyp4.2-NR-LIGHT.txt","AGAP003473-PA")</f>
        <v>AGAP003473-PA</v>
      </c>
      <c r="AR696" t="str">
        <f>HYPERLINK("http://www.ncbi.nlm.nih.gov/sutils/blink.cgi?pid=58382210","1E-026")</f>
        <v>1E-026</v>
      </c>
      <c r="AS696" t="str">
        <f t="shared" si="243"/>
        <v>gi|58382210</v>
      </c>
      <c r="AT696">
        <v>100</v>
      </c>
      <c r="AU696">
        <v>100</v>
      </c>
      <c r="AV696">
        <v>100</v>
      </c>
      <c r="AW696" t="s">
        <v>2285</v>
      </c>
      <c r="AX696" s="2" t="str">
        <f>HYPERLINK("http://exon.niaid.nih.gov/transcriptome/Anopheles_sialome/links/CDD/anocol_hyp4.2-CDD.txt","PHA03290")</f>
        <v>PHA03290</v>
      </c>
      <c r="AY696" t="str">
        <f>HYPERLINK("http://www.ncbi.nlm.nih.gov/Structure/cdd/cddsrv.cgi?uid=PHA03290&amp;version=v4.0","0.88")</f>
        <v>0.88</v>
      </c>
      <c r="AZ696" t="s">
        <v>2615</v>
      </c>
      <c r="BA696" s="2" t="str">
        <f>HYPERLINK("http://exon.niaid.nih.gov/transcriptome/Anopheles_sialome/links/KOG/anocol_hyp4.2-KOG.txt","Aminopeptidases of the M20 family")</f>
        <v>Aminopeptidases of the M20 family</v>
      </c>
      <c r="BB696" t="str">
        <f>HYPERLINK("http://www.ncbi.nlm.nih.gov/Structure/cdd/cddsrv.cgi?uid=KOG2194","2.9")</f>
        <v>2.9</v>
      </c>
      <c r="BC696" t="s">
        <v>2616</v>
      </c>
      <c r="BD696" t="str">
        <f>HYPERLINK("http://exon.niaid.nih.gov/transcriptome/Anopheles_sialome/links/KOG/anocol_hyp4.2-KOG.txt","KOG2194")</f>
        <v>KOG2194</v>
      </c>
      <c r="BE696" t="str">
        <f>HYPERLINK("http://exon.niaid.nih.gov/transcriptome/Anopheles_sialome/links/PFAM/anocol_hyp4.2-PFAM.txt","GSG-1")</f>
        <v>GSG-1</v>
      </c>
      <c r="BF696" t="str">
        <f>HYPERLINK("http://pfam.sanger.ac.uk/family?acc=PF07803","3.9")</f>
        <v>3.9</v>
      </c>
      <c r="BG696" s="2" t="str">
        <f>HYPERLINK("http://exon.niaid.nih.gov/transcriptome/Anopheles_sialome/links/SMART/anocol_hyp4.2-SMART.txt","B561")</f>
        <v>B561</v>
      </c>
      <c r="BH696" t="str">
        <f>HYPERLINK("http://smart.embl-heidelberg.de/smart/do_annotation.pl?DOMAIN=B561&amp;BLAST=DUMMY","1.7")</f>
        <v>1.7</v>
      </c>
      <c r="BI696" t="str">
        <f>HYPERLINK("http://exon.niaid.nih.gov/transcriptome/Anopheles_sialome/links/TICK-BLOCKS/anocol_hyp4.2-TICK-BLOCKS.txt","Hyp13_ |")</f>
        <v>Hyp13_ |</v>
      </c>
      <c r="BJ696" s="2" t="s">
        <v>2617</v>
      </c>
      <c r="BK696" t="s">
        <v>1264</v>
      </c>
      <c r="BL696">
        <f>HYPERLINK("http://exon.niaid.nih.gov/transcriptome/Anopheles_sialome/links/cluster-b/anopheline-sialome-cds-pep-larger-orf25-50SimCLU1.txt", 1)</f>
        <v>1</v>
      </c>
      <c r="BM696">
        <f>HYPERLINK("http://exon.niaid.nih.gov/transcriptome/Anopheles_sialome/links/cluster-b/anopheline-sialome-cds-pep-larger-orf25-50SimCLTL1.txt", 165)</f>
        <v>165</v>
      </c>
      <c r="BN696">
        <f>HYPERLINK("http://exon.niaid.nih.gov/transcriptome/Anopheles_sialome/links/cluster-b/anopheline-sialome-cds-pep-larger-orf30-50SimCLU1.txt", 1)</f>
        <v>1</v>
      </c>
      <c r="BO696">
        <f>HYPERLINK("http://exon.niaid.nih.gov/transcriptome/Anopheles_sialome/links/cluster-b/anopheline-sialome-cds-pep-larger-orf30-50SimCLTL1.txt", 165)</f>
        <v>165</v>
      </c>
      <c r="BP696">
        <f>HYPERLINK("http://exon.niaid.nih.gov/transcriptome/Anopheles_sialome/links/cluster-b/anopheline-sialome-cds-pep-larger-orf35-50SimCLU5.txt", 5)</f>
        <v>5</v>
      </c>
      <c r="BQ696">
        <f>HYPERLINK("http://exon.niaid.nih.gov/transcriptome/Anopheles_sialome/links/cluster-b/anopheline-sialome-cds-pep-larger-orf35-50SimCLTL5.txt", 61)</f>
        <v>61</v>
      </c>
      <c r="BR696">
        <f>HYPERLINK("http://exon.niaid.nih.gov/transcriptome/Anopheles_sialome/links/cluster-b/anopheline-sialome-cds-pep-larger-orf40-50SimCLU25.txt", 25)</f>
        <v>25</v>
      </c>
      <c r="BS696">
        <f>HYPERLINK("http://exon.niaid.nih.gov/transcriptome/Anopheles_sialome/links/cluster-b/anopheline-sialome-cds-pep-larger-orf40-50SimCLTL25.txt", 16)</f>
        <v>16</v>
      </c>
      <c r="BT696">
        <f>HYPERLINK("http://exon.niaid.nih.gov/transcriptome/Anopheles_sialome/links/cluster-b/anopheline-sialome-cds-pep-larger-orf45-50SimCLU29.txt", 29)</f>
        <v>29</v>
      </c>
      <c r="BU696">
        <f>HYPERLINK("http://exon.niaid.nih.gov/transcriptome/Anopheles_sialome/links/cluster-b/anopheline-sialome-cds-pep-larger-orf45-50SimCLTL29.txt", 16)</f>
        <v>16</v>
      </c>
      <c r="BV696">
        <f>HYPERLINK("http://exon.niaid.nih.gov/transcriptome/Anopheles_sialome/links/cluster-b/anopheline-sialome-cds-pep-larger-orf50-50SimCLU30.txt", 30)</f>
        <v>30</v>
      </c>
      <c r="BW696">
        <f>HYPERLINK("http://exon.niaid.nih.gov/transcriptome/Anopheles_sialome/links/cluster-b/anopheline-sialome-cds-pep-larger-orf50-50SimCLTL30.txt", 16)</f>
        <v>16</v>
      </c>
      <c r="BX696">
        <f>HYPERLINK("http://exon.niaid.nih.gov/transcriptome/Anopheles_sialome/links/cluster-b/anopheline-sialome-cds-pep-larger-orf55-50SimCLU29.txt", 29)</f>
        <v>29</v>
      </c>
      <c r="BY696">
        <f>HYPERLINK("http://exon.niaid.nih.gov/transcriptome/Anopheles_sialome/links/cluster-b/anopheline-sialome-cds-pep-larger-orf55-50SimCLTL29.txt", 16)</f>
        <v>16</v>
      </c>
      <c r="BZ696">
        <f>HYPERLINK("http://exon.niaid.nih.gov/transcriptome/Anopheles_sialome/links/cluster-b/anopheline-sialome-cds-pep-larger-orf60-50SimCLU36.txt", 36)</f>
        <v>36</v>
      </c>
      <c r="CA696">
        <f>HYPERLINK("http://exon.niaid.nih.gov/transcriptome/Anopheles_sialome/links/cluster-b/anopheline-sialome-cds-pep-larger-orf60-50SimCLTL36.txt", 8)</f>
        <v>8</v>
      </c>
      <c r="CB696">
        <f>HYPERLINK("http://exon.niaid.nih.gov/transcriptome/Anopheles_sialome/links/cluster-b/anopheline-sialome-cds-pep-larger-orf65-50SimCLU39.txt", 39)</f>
        <v>39</v>
      </c>
      <c r="CC696">
        <f>HYPERLINK("http://exon.niaid.nih.gov/transcriptome/Anopheles_sialome/links/cluster-b/anopheline-sialome-cds-pep-larger-orf65-50SimCLTL39.txt", 8)</f>
        <v>8</v>
      </c>
      <c r="CD696">
        <f>HYPERLINK("http://exon.niaid.nih.gov/transcriptome/Anopheles_sialome/links/cluster-b/anopheline-sialome-cds-pep-larger-orf70-50SimCLU42.txt", 42)</f>
        <v>42</v>
      </c>
      <c r="CE696">
        <f>HYPERLINK("http://exon.niaid.nih.gov/transcriptome/Anopheles_sialome/links/cluster-b/anopheline-sialome-cds-pep-larger-orf70-50SimCLTL42.txt", 7)</f>
        <v>7</v>
      </c>
      <c r="CF696">
        <f>HYPERLINK("http://exon.niaid.nih.gov/transcriptome/Anopheles_sialome/links/cluster-b/anopheline-sialome-cds-pep-larger-orf75-50SimCLU38.txt", 38)</f>
        <v>38</v>
      </c>
      <c r="CG696">
        <f>HYPERLINK("http://exon.niaid.nih.gov/transcriptome/Anopheles_sialome/links/cluster-b/anopheline-sialome-cds-pep-larger-orf75-50SimCLTL38.txt", 7)</f>
        <v>7</v>
      </c>
      <c r="CH696">
        <f>HYPERLINK("http://exon.niaid.nih.gov/transcriptome/Anopheles_sialome/links/cluster-b/anopheline-sialome-cds-pep-larger-orf80-50SimCLU34.txt", 34)</f>
        <v>34</v>
      </c>
      <c r="CI696">
        <f>HYPERLINK("http://exon.niaid.nih.gov/transcriptome/Anopheles_sialome/links/cluster-b/anopheline-sialome-cds-pep-larger-orf80-50SimCLTL34.txt", 6)</f>
        <v>6</v>
      </c>
      <c r="CJ696">
        <f>HYPERLINK("http://exon.niaid.nih.gov/transcriptome/Anopheles_sialome/links/cluster-b/anopheline-sialome-cds-pep-larger-orf85-50SimCLU30.txt", 30)</f>
        <v>30</v>
      </c>
      <c r="CK696">
        <f>HYPERLINK("http://exon.niaid.nih.gov/transcriptome/Anopheles_sialome/links/cluster-b/anopheline-sialome-cds-pep-larger-orf85-50SimCLTL30.txt", 6)</f>
        <v>6</v>
      </c>
      <c r="CL696">
        <f>HYPERLINK("http://exon.niaid.nih.gov/transcriptome/Anopheles_sialome/links/cluster-b/anopheline-sialome-cds-pep-larger-orf90-50SimCLU55.txt", 55)</f>
        <v>55</v>
      </c>
      <c r="CM696">
        <f>HYPERLINK("http://exon.niaid.nih.gov/transcriptome/Anopheles_sialome/links/cluster-b/anopheline-sialome-cds-pep-larger-orf90-50SimCLTL55.txt", 3)</f>
        <v>3</v>
      </c>
      <c r="CN696">
        <f>HYPERLINK("http://exon.niaid.nih.gov/transcriptome/Anopheles_sialome/links/cluster-b/anopheline-sialome-cds-pep-larger-orf95-50SimCLU50.txt", 50)</f>
        <v>50</v>
      </c>
      <c r="CO696">
        <f>HYPERLINK("http://exon.niaid.nih.gov/transcriptome/Anopheles_sialome/links/cluster-b/anopheline-sialome-cds-pep-larger-orf95-50SimCLTL50.txt", 3)</f>
        <v>3</v>
      </c>
    </row>
    <row r="697" spans="1:93">
      <c r="A697" s="2" t="str">
        <f>HYPERLINK("http://exon.niaid.nih.gov/transcriptome/Anopheles_sialome/links/cds/anoara_hyp4.2-cds.txt","anoara_hyp4.2")</f>
        <v>anoara_hyp4.2</v>
      </c>
      <c r="B697">
        <v>195</v>
      </c>
      <c r="C697" t="s">
        <v>241</v>
      </c>
      <c r="D697" t="s">
        <v>4</v>
      </c>
      <c r="E697" t="s">
        <v>5</v>
      </c>
      <c r="F697" t="s">
        <v>1</v>
      </c>
      <c r="G697" t="str">
        <f>HYPERLINK("http://exon.niaid.nih.gov/transcriptome/Anopheles_sialome/links/pep/anoara_hyp4.2-pep.txt","anoara_hyp4.2")</f>
        <v>anoara_hyp4.2</v>
      </c>
      <c r="H697">
        <v>64</v>
      </c>
      <c r="I697">
        <v>0</v>
      </c>
      <c r="J697" s="3" t="str">
        <f>HYPERLINK("http://exon.niaid.nih.gov/transcriptome/Anopheles_sialome/links/Sigp/anoara_hyp4.2-SigP.txt","SIG")</f>
        <v>SIG</v>
      </c>
      <c r="K697" t="s">
        <v>695</v>
      </c>
      <c r="L697">
        <v>6.9249999999999998</v>
      </c>
      <c r="M697">
        <v>6</v>
      </c>
      <c r="N697">
        <v>4.5609999999999999</v>
      </c>
      <c r="O697">
        <v>5.41</v>
      </c>
      <c r="P697" t="s">
        <v>1266</v>
      </c>
      <c r="Q697" s="3" t="str">
        <f>HYPERLINK("http://exon.niaid.nih.gov/transcriptome/Anopheles_sialome/links/tmhmm/anoara_hyp4.2-tmhmm.txt","1")</f>
        <v>1</v>
      </c>
      <c r="R697">
        <v>34.4</v>
      </c>
      <c r="S697">
        <v>60.9</v>
      </c>
      <c r="T697">
        <v>4.7</v>
      </c>
      <c r="U697" t="s">
        <v>128</v>
      </c>
      <c r="V697">
        <v>39</v>
      </c>
      <c r="W697" s="3" t="str">
        <f>HYPERLINK("http://exon.niaid.nih.gov/transcriptome/Anopheles_sialome/links/netoglyc/anoara_hyp4.2-netoglyc.txt","1")</f>
        <v>1</v>
      </c>
      <c r="X697">
        <v>15.6</v>
      </c>
      <c r="Y697">
        <v>3.1</v>
      </c>
      <c r="Z697">
        <v>4.7</v>
      </c>
      <c r="AA697" t="s">
        <v>654</v>
      </c>
      <c r="AB697" t="s">
        <v>1267</v>
      </c>
      <c r="AC697" s="2" t="str">
        <f>HYPERLINK("http://exon.niaid.nih.gov/transcriptome/Anopheles_sialome/links/DIPTERA/anoara_hyp4.2-DIPTERA.txt","AGAP003473-PA")</f>
        <v>AGAP003473-PA</v>
      </c>
      <c r="AD697" t="str">
        <f>HYPERLINK("http://www.ncbi.nlm.nih.gov/sutils/blink.cgi?pid=55242637","5E-020")</f>
        <v>5E-020</v>
      </c>
      <c r="AE697" t="str">
        <f t="shared" si="241"/>
        <v>gi|55242637</v>
      </c>
      <c r="AF697">
        <v>82</v>
      </c>
      <c r="AG697">
        <v>87</v>
      </c>
      <c r="AH697">
        <v>103</v>
      </c>
      <c r="AI697" t="s">
        <v>2285</v>
      </c>
      <c r="AJ697" s="2" t="str">
        <f>HYPERLINK("http://exon.niaid.nih.gov/transcriptome/Anopheles_sialome/links/CULICOMORPHA/anoara_hyp4.2-CULICOMORPHA.txt","AGAP003473-PA")</f>
        <v>AGAP003473-PA</v>
      </c>
      <c r="AK697" t="str">
        <f>HYPERLINK("http://www.ncbi.nlm.nih.gov/sutils/blink.cgi?pid=55242637","9E-021")</f>
        <v>9E-021</v>
      </c>
      <c r="AL697" t="str">
        <f t="shared" si="242"/>
        <v>gi|55242637</v>
      </c>
      <c r="AM697">
        <v>82</v>
      </c>
      <c r="AN697">
        <v>87</v>
      </c>
      <c r="AO697">
        <v>103</v>
      </c>
      <c r="AP697" t="s">
        <v>2285</v>
      </c>
      <c r="AQ697" s="2" t="str">
        <f>HYPERLINK("http://exon.niaid.nih.gov/transcriptome/Anopheles_sialome/links/NR-LIGHT/anoara_hyp4.2-NR-LIGHT.txt","AGAP003473-PA")</f>
        <v>AGAP003473-PA</v>
      </c>
      <c r="AR697" t="str">
        <f>HYPERLINK("http://www.ncbi.nlm.nih.gov/sutils/blink.cgi?pid=58382210","1E-019")</f>
        <v>1E-019</v>
      </c>
      <c r="AS697" t="str">
        <f t="shared" si="243"/>
        <v>gi|58382210</v>
      </c>
      <c r="AT697">
        <v>82</v>
      </c>
      <c r="AU697">
        <v>87</v>
      </c>
      <c r="AV697">
        <v>103</v>
      </c>
      <c r="AW697" t="s">
        <v>2285</v>
      </c>
      <c r="AX697" s="2" t="str">
        <f>HYPERLINK("http://exon.niaid.nih.gov/transcriptome/Anopheles_sialome/links/CDD/anoara_hyp4.2-CDD.txt","GSG-1")</f>
        <v>GSG-1</v>
      </c>
      <c r="AY697" t="str">
        <f>HYPERLINK("http://www.ncbi.nlm.nih.gov/Structure/cdd/cddsrv.cgi?uid=pfam07803&amp;version=v4.0","2.5")</f>
        <v>2.5</v>
      </c>
      <c r="AZ697" t="s">
        <v>2618</v>
      </c>
      <c r="BA697" s="2" t="str">
        <f>HYPERLINK("http://exon.niaid.nih.gov/transcriptome/Anopheles_sialome/links/KOG/anoara_hyp4.2-KOG.txt","Aminopeptidases of the M20 family")</f>
        <v>Aminopeptidases of the M20 family</v>
      </c>
      <c r="BB697" t="str">
        <f>HYPERLINK("http://www.ncbi.nlm.nih.gov/Structure/cdd/cddsrv.cgi?uid=KOG2194","1.7")</f>
        <v>1.7</v>
      </c>
      <c r="BC697" t="s">
        <v>2616</v>
      </c>
      <c r="BD697" t="str">
        <f>HYPERLINK("http://exon.niaid.nih.gov/transcriptome/Anopheles_sialome/links/KOG/anoara_hyp4.2-KOG.txt","KOG2194")</f>
        <v>KOG2194</v>
      </c>
      <c r="BE697" t="str">
        <f>HYPERLINK("http://exon.niaid.nih.gov/transcriptome/Anopheles_sialome/links/PFAM/anoara_hyp4.2-PFAM.txt","GSG-1")</f>
        <v>GSG-1</v>
      </c>
      <c r="BF697" t="str">
        <f>HYPERLINK("http://pfam.sanger.ac.uk/family?acc=PF07803","0.58")</f>
        <v>0.58</v>
      </c>
      <c r="BG697" s="2" t="str">
        <f>HYPERLINK("http://exon.niaid.nih.gov/transcriptome/Anopheles_sialome/links/SMART/anoara_hyp4.2-SMART.txt","CASc")</f>
        <v>CASc</v>
      </c>
      <c r="BH697" t="str">
        <f>HYPERLINK("http://smart.embl-heidelberg.de/smart/do_annotation.pl?DOMAIN=CASc&amp;BLAST=DUMMY","1.1")</f>
        <v>1.1</v>
      </c>
      <c r="BI697" t="s">
        <v>128</v>
      </c>
      <c r="BJ697" s="2" t="s">
        <v>128</v>
      </c>
      <c r="BK697" t="s">
        <v>1265</v>
      </c>
      <c r="BL697">
        <f>HYPERLINK("http://exon.niaid.nih.gov/transcriptome/Anopheles_sialome/links/cluster-b/anopheline-sialome-cds-pep-larger-orf25-50SimCLU1.txt", 1)</f>
        <v>1</v>
      </c>
      <c r="BM697">
        <f>HYPERLINK("http://exon.niaid.nih.gov/transcriptome/Anopheles_sialome/links/cluster-b/anopheline-sialome-cds-pep-larger-orf25-50SimCLTL1.txt", 165)</f>
        <v>165</v>
      </c>
      <c r="BN697">
        <f>HYPERLINK("http://exon.niaid.nih.gov/transcriptome/Anopheles_sialome/links/cluster-b/anopheline-sialome-cds-pep-larger-orf30-50SimCLU1.txt", 1)</f>
        <v>1</v>
      </c>
      <c r="BO697">
        <f>HYPERLINK("http://exon.niaid.nih.gov/transcriptome/Anopheles_sialome/links/cluster-b/anopheline-sialome-cds-pep-larger-orf30-50SimCLTL1.txt", 165)</f>
        <v>165</v>
      </c>
      <c r="BP697">
        <f>HYPERLINK("http://exon.niaid.nih.gov/transcriptome/Anopheles_sialome/links/cluster-b/anopheline-sialome-cds-pep-larger-orf35-50SimCLU5.txt", 5)</f>
        <v>5</v>
      </c>
      <c r="BQ697">
        <f>HYPERLINK("http://exon.niaid.nih.gov/transcriptome/Anopheles_sialome/links/cluster-b/anopheline-sialome-cds-pep-larger-orf35-50SimCLTL5.txt", 61)</f>
        <v>61</v>
      </c>
      <c r="BR697">
        <f>HYPERLINK("http://exon.niaid.nih.gov/transcriptome/Anopheles_sialome/links/cluster-b/anopheline-sialome-cds-pep-larger-orf40-50SimCLU25.txt", 25)</f>
        <v>25</v>
      </c>
      <c r="BS697">
        <f>HYPERLINK("http://exon.niaid.nih.gov/transcriptome/Anopheles_sialome/links/cluster-b/anopheline-sialome-cds-pep-larger-orf40-50SimCLTL25.txt", 16)</f>
        <v>16</v>
      </c>
      <c r="BT697">
        <f>HYPERLINK("http://exon.niaid.nih.gov/transcriptome/Anopheles_sialome/links/cluster-b/anopheline-sialome-cds-pep-larger-orf45-50SimCLU29.txt", 29)</f>
        <v>29</v>
      </c>
      <c r="BU697">
        <f>HYPERLINK("http://exon.niaid.nih.gov/transcriptome/Anopheles_sialome/links/cluster-b/anopheline-sialome-cds-pep-larger-orf45-50SimCLTL29.txt", 16)</f>
        <v>16</v>
      </c>
      <c r="BV697">
        <f>HYPERLINK("http://exon.niaid.nih.gov/transcriptome/Anopheles_sialome/links/cluster-b/anopheline-sialome-cds-pep-larger-orf50-50SimCLU30.txt", 30)</f>
        <v>30</v>
      </c>
      <c r="BW697">
        <f>HYPERLINK("http://exon.niaid.nih.gov/transcriptome/Anopheles_sialome/links/cluster-b/anopheline-sialome-cds-pep-larger-orf50-50SimCLTL30.txt", 16)</f>
        <v>16</v>
      </c>
      <c r="BX697">
        <f>HYPERLINK("http://exon.niaid.nih.gov/transcriptome/Anopheles_sialome/links/cluster-b/anopheline-sialome-cds-pep-larger-orf55-50SimCLU29.txt", 29)</f>
        <v>29</v>
      </c>
      <c r="BY697">
        <f>HYPERLINK("http://exon.niaid.nih.gov/transcriptome/Anopheles_sialome/links/cluster-b/anopheline-sialome-cds-pep-larger-orf55-50SimCLTL29.txt", 16)</f>
        <v>16</v>
      </c>
      <c r="BZ697">
        <f>HYPERLINK("http://exon.niaid.nih.gov/transcriptome/Anopheles_sialome/links/cluster-b/anopheline-sialome-cds-pep-larger-orf60-50SimCLU36.txt", 36)</f>
        <v>36</v>
      </c>
      <c r="CA697">
        <f>HYPERLINK("http://exon.niaid.nih.gov/transcriptome/Anopheles_sialome/links/cluster-b/anopheline-sialome-cds-pep-larger-orf60-50SimCLTL36.txt", 8)</f>
        <v>8</v>
      </c>
      <c r="CB697">
        <f>HYPERLINK("http://exon.niaid.nih.gov/transcriptome/Anopheles_sialome/links/cluster-b/anopheline-sialome-cds-pep-larger-orf65-50SimCLU39.txt", 39)</f>
        <v>39</v>
      </c>
      <c r="CC697">
        <f>HYPERLINK("http://exon.niaid.nih.gov/transcriptome/Anopheles_sialome/links/cluster-b/anopheline-sialome-cds-pep-larger-orf65-50SimCLTL39.txt", 8)</f>
        <v>8</v>
      </c>
      <c r="CD697">
        <f>HYPERLINK("http://exon.niaid.nih.gov/transcriptome/Anopheles_sialome/links/cluster-b/anopheline-sialome-cds-pep-larger-orf70-50SimCLU42.txt", 42)</f>
        <v>42</v>
      </c>
      <c r="CE697">
        <f>HYPERLINK("http://exon.niaid.nih.gov/transcriptome/Anopheles_sialome/links/cluster-b/anopheline-sialome-cds-pep-larger-orf70-50SimCLTL42.txt", 7)</f>
        <v>7</v>
      </c>
      <c r="CF697">
        <f>HYPERLINK("http://exon.niaid.nih.gov/transcriptome/Anopheles_sialome/links/cluster-b/anopheline-sialome-cds-pep-larger-orf75-50SimCLU38.txt", 38)</f>
        <v>38</v>
      </c>
      <c r="CG697">
        <f>HYPERLINK("http://exon.niaid.nih.gov/transcriptome/Anopheles_sialome/links/cluster-b/anopheline-sialome-cds-pep-larger-orf75-50SimCLTL38.txt", 7)</f>
        <v>7</v>
      </c>
      <c r="CH697">
        <f>HYPERLINK("http://exon.niaid.nih.gov/transcriptome/Anopheles_sialome/links/cluster-b/anopheline-sialome-cds-pep-larger-orf80-50SimCLU34.txt", 34)</f>
        <v>34</v>
      </c>
      <c r="CI697">
        <f>HYPERLINK("http://exon.niaid.nih.gov/transcriptome/Anopheles_sialome/links/cluster-b/anopheline-sialome-cds-pep-larger-orf80-50SimCLTL34.txt", 6)</f>
        <v>6</v>
      </c>
      <c r="CJ697">
        <f>HYPERLINK("http://exon.niaid.nih.gov/transcriptome/Anopheles_sialome/links/cluster-b/anopheline-sialome-cds-pep-larger-orf85-50SimCLU30.txt", 30)</f>
        <v>30</v>
      </c>
      <c r="CK697">
        <f>HYPERLINK("http://exon.niaid.nih.gov/transcriptome/Anopheles_sialome/links/cluster-b/anopheline-sialome-cds-pep-larger-orf85-50SimCLTL30.txt", 6)</f>
        <v>6</v>
      </c>
      <c r="CL697">
        <f>HYPERLINK("http://exon.niaid.nih.gov/transcriptome/Anopheles_sialome/links/cluster-b/anopheline-sialome-cds-pep-larger-orf90-50SimCLU56.txt", 56)</f>
        <v>56</v>
      </c>
      <c r="CM697">
        <f>HYPERLINK("http://exon.niaid.nih.gov/transcriptome/Anopheles_sialome/links/cluster-b/anopheline-sialome-cds-pep-larger-orf90-50SimCLTL56.txt", 3)</f>
        <v>3</v>
      </c>
      <c r="CN697">
        <f>HYPERLINK("http://exon.niaid.nih.gov/transcriptome/Anopheles_sialome/links/cluster-b/anopheline-sialome-cds-pep-larger-orf95-50SimCLU61.txt", 61)</f>
        <v>61</v>
      </c>
      <c r="CO697">
        <f>HYPERLINK("http://exon.niaid.nih.gov/transcriptome/Anopheles_sialome/links/cluster-b/anopheline-sialome-cds-pep-larger-orf95-50SimCLTL61.txt", 2)</f>
        <v>2</v>
      </c>
    </row>
    <row r="698" spans="1:93">
      <c r="A698" s="2" t="str">
        <f>HYPERLINK("http://exon.niaid.nih.gov/transcriptome/Anopheles_sialome/links/cds/anoqua_hyp4.2-cds.txt","anoqua_hyp4.2")</f>
        <v>anoqua_hyp4.2</v>
      </c>
      <c r="B698">
        <v>195</v>
      </c>
      <c r="C698" t="s">
        <v>242</v>
      </c>
      <c r="D698" t="s">
        <v>4</v>
      </c>
      <c r="E698" t="s">
        <v>5</v>
      </c>
      <c r="F698" t="s">
        <v>1</v>
      </c>
      <c r="G698" t="str">
        <f>HYPERLINK("http://exon.niaid.nih.gov/transcriptome/Anopheles_sialome/links/pep/anoqua_hyp4.2-pep.txt","anoqua_hyp4.2")</f>
        <v>anoqua_hyp4.2</v>
      </c>
      <c r="H698">
        <v>64</v>
      </c>
      <c r="I698">
        <v>0</v>
      </c>
      <c r="J698" s="3" t="str">
        <f>HYPERLINK("http://exon.niaid.nih.gov/transcriptome/Anopheles_sialome/links/Sigp/anoqua_hyp4.2-SigP.txt","SIG")</f>
        <v>SIG</v>
      </c>
      <c r="K698" t="s">
        <v>695</v>
      </c>
      <c r="L698">
        <v>6.9249999999999998</v>
      </c>
      <c r="M698">
        <v>6</v>
      </c>
      <c r="N698">
        <v>4.5609999999999999</v>
      </c>
      <c r="O698">
        <v>5.41</v>
      </c>
      <c r="P698" t="s">
        <v>1266</v>
      </c>
      <c r="Q698" s="3" t="str">
        <f>HYPERLINK("http://exon.niaid.nih.gov/transcriptome/Anopheles_sialome/links/tmhmm/anoqua_hyp4.2-tmhmm.txt","1")</f>
        <v>1</v>
      </c>
      <c r="R698">
        <v>34.4</v>
      </c>
      <c r="S698">
        <v>60.9</v>
      </c>
      <c r="T698">
        <v>4.7</v>
      </c>
      <c r="U698" t="s">
        <v>128</v>
      </c>
      <c r="V698">
        <v>39</v>
      </c>
      <c r="W698" s="3" t="str">
        <f>HYPERLINK("http://exon.niaid.nih.gov/transcriptome/Anopheles_sialome/links/netoglyc/anoqua_hyp4.2-netoglyc.txt","1")</f>
        <v>1</v>
      </c>
      <c r="X698">
        <v>15.6</v>
      </c>
      <c r="Y698">
        <v>3.1</v>
      </c>
      <c r="Z698">
        <v>4.7</v>
      </c>
      <c r="AA698" t="s">
        <v>654</v>
      </c>
      <c r="AB698" t="s">
        <v>1267</v>
      </c>
      <c r="AC698" s="2" t="str">
        <f>HYPERLINK("http://exon.niaid.nih.gov/transcriptome/Anopheles_sialome/links/DIPTERA/anoqua_hyp4.2-DIPTERA.txt","AGAP003473-PA")</f>
        <v>AGAP003473-PA</v>
      </c>
      <c r="AD698" t="str">
        <f>HYPERLINK("http://www.ncbi.nlm.nih.gov/sutils/blink.cgi?pid=55242637","5E-020")</f>
        <v>5E-020</v>
      </c>
      <c r="AE698" t="str">
        <f t="shared" si="241"/>
        <v>gi|55242637</v>
      </c>
      <c r="AF698">
        <v>82</v>
      </c>
      <c r="AG698">
        <v>87</v>
      </c>
      <c r="AH698">
        <v>103</v>
      </c>
      <c r="AI698" t="s">
        <v>2285</v>
      </c>
      <c r="AJ698" s="2" t="str">
        <f>HYPERLINK("http://exon.niaid.nih.gov/transcriptome/Anopheles_sialome/links/CULICOMORPHA/anoqua_hyp4.2-CULICOMORPHA.txt","AGAP003473-PA")</f>
        <v>AGAP003473-PA</v>
      </c>
      <c r="AK698" t="str">
        <f>HYPERLINK("http://www.ncbi.nlm.nih.gov/sutils/blink.cgi?pid=55242637","9E-021")</f>
        <v>9E-021</v>
      </c>
      <c r="AL698" t="str">
        <f t="shared" si="242"/>
        <v>gi|55242637</v>
      </c>
      <c r="AM698">
        <v>82</v>
      </c>
      <c r="AN698">
        <v>87</v>
      </c>
      <c r="AO698">
        <v>103</v>
      </c>
      <c r="AP698" t="s">
        <v>2285</v>
      </c>
      <c r="AQ698" s="2" t="str">
        <f>HYPERLINK("http://exon.niaid.nih.gov/transcriptome/Anopheles_sialome/links/NR-LIGHT/anoqua_hyp4.2-NR-LIGHT.txt","AGAP003473-PA")</f>
        <v>AGAP003473-PA</v>
      </c>
      <c r="AR698" t="str">
        <f>HYPERLINK("http://www.ncbi.nlm.nih.gov/sutils/blink.cgi?pid=58382210","1E-019")</f>
        <v>1E-019</v>
      </c>
      <c r="AS698" t="str">
        <f t="shared" si="243"/>
        <v>gi|58382210</v>
      </c>
      <c r="AT698">
        <v>82</v>
      </c>
      <c r="AU698">
        <v>87</v>
      </c>
      <c r="AV698">
        <v>103</v>
      </c>
      <c r="AW698" t="s">
        <v>2285</v>
      </c>
      <c r="AX698" s="2" t="str">
        <f>HYPERLINK("http://exon.niaid.nih.gov/transcriptome/Anopheles_sialome/links/CDD/anoqua_hyp4.2-CDD.txt","GSG-1")</f>
        <v>GSG-1</v>
      </c>
      <c r="AY698" t="str">
        <f>HYPERLINK("http://www.ncbi.nlm.nih.gov/Structure/cdd/cddsrv.cgi?uid=pfam07803&amp;version=v4.0","2.5")</f>
        <v>2.5</v>
      </c>
      <c r="AZ698" t="s">
        <v>2618</v>
      </c>
      <c r="BA698" s="2" t="str">
        <f>HYPERLINK("http://exon.niaid.nih.gov/transcriptome/Anopheles_sialome/links/KOG/anoqua_hyp4.2-KOG.txt","Aminopeptidases of the M20 family")</f>
        <v>Aminopeptidases of the M20 family</v>
      </c>
      <c r="BB698" t="str">
        <f>HYPERLINK("http://www.ncbi.nlm.nih.gov/Structure/cdd/cddsrv.cgi?uid=KOG2194","1.7")</f>
        <v>1.7</v>
      </c>
      <c r="BC698" t="s">
        <v>2616</v>
      </c>
      <c r="BD698" t="str">
        <f>HYPERLINK("http://exon.niaid.nih.gov/transcriptome/Anopheles_sialome/links/KOG/anoqua_hyp4.2-KOG.txt","KOG2194")</f>
        <v>KOG2194</v>
      </c>
      <c r="BE698" t="str">
        <f>HYPERLINK("http://exon.niaid.nih.gov/transcriptome/Anopheles_sialome/links/PFAM/anoqua_hyp4.2-PFAM.txt","GSG-1")</f>
        <v>GSG-1</v>
      </c>
      <c r="BF698" t="str">
        <f>HYPERLINK("http://pfam.sanger.ac.uk/family?acc=PF07803","0.58")</f>
        <v>0.58</v>
      </c>
      <c r="BG698" s="2" t="str">
        <f>HYPERLINK("http://exon.niaid.nih.gov/transcriptome/Anopheles_sialome/links/SMART/anoqua_hyp4.2-SMART.txt","CASc")</f>
        <v>CASc</v>
      </c>
      <c r="BH698" t="str">
        <f>HYPERLINK("http://smart.embl-heidelberg.de/smart/do_annotation.pl?DOMAIN=CASc&amp;BLAST=DUMMY","1.1")</f>
        <v>1.1</v>
      </c>
      <c r="BI698" t="s">
        <v>128</v>
      </c>
      <c r="BJ698" s="2" t="s">
        <v>128</v>
      </c>
      <c r="BK698" t="s">
        <v>1268</v>
      </c>
      <c r="BL698">
        <f>HYPERLINK("http://exon.niaid.nih.gov/transcriptome/Anopheles_sialome/links/cluster-b/anopheline-sialome-cds-pep-larger-orf25-50SimCLU1.txt", 1)</f>
        <v>1</v>
      </c>
      <c r="BM698">
        <f>HYPERLINK("http://exon.niaid.nih.gov/transcriptome/Anopheles_sialome/links/cluster-b/anopheline-sialome-cds-pep-larger-orf25-50SimCLTL1.txt", 165)</f>
        <v>165</v>
      </c>
      <c r="BN698">
        <f>HYPERLINK("http://exon.niaid.nih.gov/transcriptome/Anopheles_sialome/links/cluster-b/anopheline-sialome-cds-pep-larger-orf30-50SimCLU1.txt", 1)</f>
        <v>1</v>
      </c>
      <c r="BO698">
        <f>HYPERLINK("http://exon.niaid.nih.gov/transcriptome/Anopheles_sialome/links/cluster-b/anopheline-sialome-cds-pep-larger-orf30-50SimCLTL1.txt", 165)</f>
        <v>165</v>
      </c>
      <c r="BP698">
        <f>HYPERLINK("http://exon.niaid.nih.gov/transcriptome/Anopheles_sialome/links/cluster-b/anopheline-sialome-cds-pep-larger-orf35-50SimCLU5.txt", 5)</f>
        <v>5</v>
      </c>
      <c r="BQ698">
        <f>HYPERLINK("http://exon.niaid.nih.gov/transcriptome/Anopheles_sialome/links/cluster-b/anopheline-sialome-cds-pep-larger-orf35-50SimCLTL5.txt", 61)</f>
        <v>61</v>
      </c>
      <c r="BR698">
        <f>HYPERLINK("http://exon.niaid.nih.gov/transcriptome/Anopheles_sialome/links/cluster-b/anopheline-sialome-cds-pep-larger-orf40-50SimCLU25.txt", 25)</f>
        <v>25</v>
      </c>
      <c r="BS698">
        <f>HYPERLINK("http://exon.niaid.nih.gov/transcriptome/Anopheles_sialome/links/cluster-b/anopheline-sialome-cds-pep-larger-orf40-50SimCLTL25.txt", 16)</f>
        <v>16</v>
      </c>
      <c r="BT698">
        <f>HYPERLINK("http://exon.niaid.nih.gov/transcriptome/Anopheles_sialome/links/cluster-b/anopheline-sialome-cds-pep-larger-orf45-50SimCLU29.txt", 29)</f>
        <v>29</v>
      </c>
      <c r="BU698">
        <f>HYPERLINK("http://exon.niaid.nih.gov/transcriptome/Anopheles_sialome/links/cluster-b/anopheline-sialome-cds-pep-larger-orf45-50SimCLTL29.txt", 16)</f>
        <v>16</v>
      </c>
      <c r="BV698">
        <f>HYPERLINK("http://exon.niaid.nih.gov/transcriptome/Anopheles_sialome/links/cluster-b/anopheline-sialome-cds-pep-larger-orf50-50SimCLU30.txt", 30)</f>
        <v>30</v>
      </c>
      <c r="BW698">
        <f>HYPERLINK("http://exon.niaid.nih.gov/transcriptome/Anopheles_sialome/links/cluster-b/anopheline-sialome-cds-pep-larger-orf50-50SimCLTL30.txt", 16)</f>
        <v>16</v>
      </c>
      <c r="BX698">
        <f>HYPERLINK("http://exon.niaid.nih.gov/transcriptome/Anopheles_sialome/links/cluster-b/anopheline-sialome-cds-pep-larger-orf55-50SimCLU29.txt", 29)</f>
        <v>29</v>
      </c>
      <c r="BY698">
        <f>HYPERLINK("http://exon.niaid.nih.gov/transcriptome/Anopheles_sialome/links/cluster-b/anopheline-sialome-cds-pep-larger-orf55-50SimCLTL29.txt", 16)</f>
        <v>16</v>
      </c>
      <c r="BZ698">
        <f>HYPERLINK("http://exon.niaid.nih.gov/transcriptome/Anopheles_sialome/links/cluster-b/anopheline-sialome-cds-pep-larger-orf60-50SimCLU36.txt", 36)</f>
        <v>36</v>
      </c>
      <c r="CA698">
        <f>HYPERLINK("http://exon.niaid.nih.gov/transcriptome/Anopheles_sialome/links/cluster-b/anopheline-sialome-cds-pep-larger-orf60-50SimCLTL36.txt", 8)</f>
        <v>8</v>
      </c>
      <c r="CB698">
        <f>HYPERLINK("http://exon.niaid.nih.gov/transcriptome/Anopheles_sialome/links/cluster-b/anopheline-sialome-cds-pep-larger-orf65-50SimCLU39.txt", 39)</f>
        <v>39</v>
      </c>
      <c r="CC698">
        <f>HYPERLINK("http://exon.niaid.nih.gov/transcriptome/Anopheles_sialome/links/cluster-b/anopheline-sialome-cds-pep-larger-orf65-50SimCLTL39.txt", 8)</f>
        <v>8</v>
      </c>
      <c r="CD698">
        <f>HYPERLINK("http://exon.niaid.nih.gov/transcriptome/Anopheles_sialome/links/cluster-b/anopheline-sialome-cds-pep-larger-orf70-50SimCLU42.txt", 42)</f>
        <v>42</v>
      </c>
      <c r="CE698">
        <f>HYPERLINK("http://exon.niaid.nih.gov/transcriptome/Anopheles_sialome/links/cluster-b/anopheline-sialome-cds-pep-larger-orf70-50SimCLTL42.txt", 7)</f>
        <v>7</v>
      </c>
      <c r="CF698">
        <f>HYPERLINK("http://exon.niaid.nih.gov/transcriptome/Anopheles_sialome/links/cluster-b/anopheline-sialome-cds-pep-larger-orf75-50SimCLU38.txt", 38)</f>
        <v>38</v>
      </c>
      <c r="CG698">
        <f>HYPERLINK("http://exon.niaid.nih.gov/transcriptome/Anopheles_sialome/links/cluster-b/anopheline-sialome-cds-pep-larger-orf75-50SimCLTL38.txt", 7)</f>
        <v>7</v>
      </c>
      <c r="CH698">
        <f>HYPERLINK("http://exon.niaid.nih.gov/transcriptome/Anopheles_sialome/links/cluster-b/anopheline-sialome-cds-pep-larger-orf80-50SimCLU34.txt", 34)</f>
        <v>34</v>
      </c>
      <c r="CI698">
        <f>HYPERLINK("http://exon.niaid.nih.gov/transcriptome/Anopheles_sialome/links/cluster-b/anopheline-sialome-cds-pep-larger-orf80-50SimCLTL34.txt", 6)</f>
        <v>6</v>
      </c>
      <c r="CJ698">
        <f>HYPERLINK("http://exon.niaid.nih.gov/transcriptome/Anopheles_sialome/links/cluster-b/anopheline-sialome-cds-pep-larger-orf85-50SimCLU30.txt", 30)</f>
        <v>30</v>
      </c>
      <c r="CK698">
        <f>HYPERLINK("http://exon.niaid.nih.gov/transcriptome/Anopheles_sialome/links/cluster-b/anopheline-sialome-cds-pep-larger-orf85-50SimCLTL30.txt", 6)</f>
        <v>6</v>
      </c>
      <c r="CL698">
        <f>HYPERLINK("http://exon.niaid.nih.gov/transcriptome/Anopheles_sialome/links/cluster-b/anopheline-sialome-cds-pep-larger-orf90-50SimCLU56.txt", 56)</f>
        <v>56</v>
      </c>
      <c r="CM698">
        <f>HYPERLINK("http://exon.niaid.nih.gov/transcriptome/Anopheles_sialome/links/cluster-b/anopheline-sialome-cds-pep-larger-orf90-50SimCLTL56.txt", 3)</f>
        <v>3</v>
      </c>
      <c r="CN698">
        <f>HYPERLINK("http://exon.niaid.nih.gov/transcriptome/Anopheles_sialome/links/cluster-b/anopheline-sialome-cds-pep-larger-orf95-50SimCLU61.txt", 61)</f>
        <v>61</v>
      </c>
      <c r="CO698">
        <f>HYPERLINK("http://exon.niaid.nih.gov/transcriptome/Anopheles_sialome/links/cluster-b/anopheline-sialome-cds-pep-larger-orf95-50SimCLTL61.txt", 2)</f>
        <v>2</v>
      </c>
    </row>
    <row r="699" spans="1:93">
      <c r="A699" s="2" t="str">
        <f>HYPERLINK("http://exon.niaid.nih.gov/transcriptome/Anopheles_sialome/links/cds/anomer_hyp4.2-cds.txt","anomer_hyp4.2")</f>
        <v>anomer_hyp4.2</v>
      </c>
      <c r="B699">
        <v>195</v>
      </c>
      <c r="C699" t="s">
        <v>4</v>
      </c>
      <c r="D699" s="8" t="s">
        <v>3178</v>
      </c>
      <c r="E699" t="s">
        <v>5</v>
      </c>
      <c r="F699" t="s">
        <v>1</v>
      </c>
      <c r="G699" t="str">
        <f>HYPERLINK("http://exon.niaid.nih.gov/transcriptome/Anopheles_sialome/links/pep/anomer_hyp4.2-pep.txt","anomer_hyp4.2")</f>
        <v>anomer_hyp4.2</v>
      </c>
      <c r="H699">
        <v>64</v>
      </c>
      <c r="I699">
        <v>0</v>
      </c>
      <c r="J699" s="3" t="str">
        <f>HYPERLINK("http://exon.niaid.nih.gov/transcriptome/Anopheles_sialome/links/Sigp/anomer_hyp4.2-SigP.txt","SIG")</f>
        <v>SIG</v>
      </c>
      <c r="K699" t="s">
        <v>692</v>
      </c>
      <c r="L699">
        <v>7.0369999999999999</v>
      </c>
      <c r="M699">
        <v>5.45</v>
      </c>
      <c r="N699">
        <v>4.8440000000000003</v>
      </c>
      <c r="O699">
        <v>5.01</v>
      </c>
      <c r="P699" t="s">
        <v>1270</v>
      </c>
      <c r="Q699" s="3" t="str">
        <f>HYPERLINK("http://exon.niaid.nih.gov/transcriptome/Anopheles_sialome/links/tmhmm/anomer_hyp4.2-tmhmm.txt","1")</f>
        <v>1</v>
      </c>
      <c r="R699">
        <v>34.4</v>
      </c>
      <c r="S699">
        <v>60.9</v>
      </c>
      <c r="T699">
        <v>4.7</v>
      </c>
      <c r="U699" t="s">
        <v>128</v>
      </c>
      <c r="V699">
        <v>39</v>
      </c>
      <c r="W699" s="3" t="str">
        <f>HYPERLINK("http://exon.niaid.nih.gov/transcriptome/Anopheles_sialome/links/netoglyc/anomer_hyp4.2-netoglyc.txt","1")</f>
        <v>1</v>
      </c>
      <c r="X699">
        <v>12.5</v>
      </c>
      <c r="Y699">
        <v>1.6</v>
      </c>
      <c r="Z699">
        <v>4.7</v>
      </c>
      <c r="AA699" t="s">
        <v>654</v>
      </c>
      <c r="AB699" t="s">
        <v>1271</v>
      </c>
      <c r="AC699" s="2" t="str">
        <f>HYPERLINK("http://exon.niaid.nih.gov/transcriptome/Anopheles_sialome/links/DIPTERA/anomer_hyp4.2-DIPTERA.txt","AGAP003473-PA")</f>
        <v>AGAP003473-PA</v>
      </c>
      <c r="AD699" t="str">
        <f>HYPERLINK("http://www.ncbi.nlm.nih.gov/sutils/blink.cgi?pid=55242637","2E-017")</f>
        <v>2E-017</v>
      </c>
      <c r="AE699" t="str">
        <f t="shared" si="241"/>
        <v>gi|55242637</v>
      </c>
      <c r="AF699">
        <v>75</v>
      </c>
      <c r="AG699">
        <v>84</v>
      </c>
      <c r="AH699">
        <v>103</v>
      </c>
      <c r="AI699" t="s">
        <v>2285</v>
      </c>
      <c r="AJ699" s="2" t="str">
        <f>HYPERLINK("http://exon.niaid.nih.gov/transcriptome/Anopheles_sialome/links/CULICOMORPHA/anomer_hyp4.2-CULICOMORPHA.txt","AGAP003473-PA")</f>
        <v>AGAP003473-PA</v>
      </c>
      <c r="AK699" t="str">
        <f>HYPERLINK("http://www.ncbi.nlm.nih.gov/sutils/blink.cgi?pid=55242637","3E-018")</f>
        <v>3E-018</v>
      </c>
      <c r="AL699" t="str">
        <f t="shared" si="242"/>
        <v>gi|55242637</v>
      </c>
      <c r="AM699">
        <v>75</v>
      </c>
      <c r="AN699">
        <v>84</v>
      </c>
      <c r="AO699">
        <v>103</v>
      </c>
      <c r="AP699" t="s">
        <v>2285</v>
      </c>
      <c r="AQ699" s="2" t="str">
        <f>HYPERLINK("http://exon.niaid.nih.gov/transcriptome/Anopheles_sialome/links/NR-LIGHT/anomer_hyp4.2-NR-LIGHT.txt","AGAP003473-PA")</f>
        <v>AGAP003473-PA</v>
      </c>
      <c r="AR699" t="str">
        <f>HYPERLINK("http://www.ncbi.nlm.nih.gov/sutils/blink.cgi?pid=58382210","5E-017")</f>
        <v>5E-017</v>
      </c>
      <c r="AS699" t="str">
        <f t="shared" si="243"/>
        <v>gi|58382210</v>
      </c>
      <c r="AT699">
        <v>75</v>
      </c>
      <c r="AU699">
        <v>84</v>
      </c>
      <c r="AV699">
        <v>103</v>
      </c>
      <c r="AW699" t="s">
        <v>2285</v>
      </c>
      <c r="AX699" s="2" t="str">
        <f>HYPERLINK("http://exon.niaid.nih.gov/transcriptome/Anopheles_sialome/links/CDD/anomer_hyp4.2-CDD.txt","ureB")</f>
        <v>ureB</v>
      </c>
      <c r="AY699" t="str">
        <f>HYPERLINK("http://www.ncbi.nlm.nih.gov/Structure/cdd/cddsrv.cgi?uid=PRK13202&amp;version=v4.0","0.83")</f>
        <v>0.83</v>
      </c>
      <c r="AZ699" t="s">
        <v>2619</v>
      </c>
      <c r="BA699" s="2" t="str">
        <f>HYPERLINK("http://exon.niaid.nih.gov/transcriptome/Anopheles_sialome/links/KOG/anomer_hyp4.2-KOG.txt","Kinetochore component")</f>
        <v>Kinetochore component</v>
      </c>
      <c r="BB699" t="str">
        <f>HYPERLINK("http://www.ncbi.nlm.nih.gov/Structure/cdd/cddsrv.cgi?uid=KOG4256","3.3")</f>
        <v>3.3</v>
      </c>
      <c r="BC699" t="s">
        <v>2256</v>
      </c>
      <c r="BD699" t="str">
        <f>HYPERLINK("http://exon.niaid.nih.gov/transcriptome/Anopheles_sialome/links/KOG/anomer_hyp4.2-KOG.txt","KOG4256")</f>
        <v>KOG4256</v>
      </c>
      <c r="BE699" t="str">
        <f>HYPERLINK("http://exon.niaid.nih.gov/transcriptome/Anopheles_sialome/links/PFAM/anomer_hyp4.2-PFAM.txt","UPF0233")</f>
        <v>UPF0233</v>
      </c>
      <c r="BF699" t="str">
        <f>HYPERLINK("http://pfam.sanger.ac.uk/family?acc=PF06781","1.9")</f>
        <v>1.9</v>
      </c>
      <c r="BG699" s="2" t="str">
        <f>HYPERLINK("http://exon.niaid.nih.gov/transcriptome/Anopheles_sialome/links/SMART/anomer_hyp4.2-SMART.txt","B561")</f>
        <v>B561</v>
      </c>
      <c r="BH699" t="str">
        <f>HYPERLINK("http://smart.embl-heidelberg.de/smart/do_annotation.pl?DOMAIN=B561&amp;BLAST=DUMMY","2.0")</f>
        <v>2.0</v>
      </c>
      <c r="BI699" t="s">
        <v>128</v>
      </c>
      <c r="BJ699" s="2" t="s">
        <v>128</v>
      </c>
      <c r="BK699" t="s">
        <v>1269</v>
      </c>
      <c r="BL699">
        <f>HYPERLINK("http://exon.niaid.nih.gov/transcriptome/Anopheles_sialome/links/cluster-b/anopheline-sialome-cds-pep-larger-orf25-50SimCLU1.txt", 1)</f>
        <v>1</v>
      </c>
      <c r="BM699">
        <f>HYPERLINK("http://exon.niaid.nih.gov/transcriptome/Anopheles_sialome/links/cluster-b/anopheline-sialome-cds-pep-larger-orf25-50SimCLTL1.txt", 165)</f>
        <v>165</v>
      </c>
      <c r="BN699">
        <f>HYPERLINK("http://exon.niaid.nih.gov/transcriptome/Anopheles_sialome/links/cluster-b/anopheline-sialome-cds-pep-larger-orf30-50SimCLU1.txt", 1)</f>
        <v>1</v>
      </c>
      <c r="BO699">
        <f>HYPERLINK("http://exon.niaid.nih.gov/transcriptome/Anopheles_sialome/links/cluster-b/anopheline-sialome-cds-pep-larger-orf30-50SimCLTL1.txt", 165)</f>
        <v>165</v>
      </c>
      <c r="BP699">
        <f>HYPERLINK("http://exon.niaid.nih.gov/transcriptome/Anopheles_sialome/links/cluster-b/anopheline-sialome-cds-pep-larger-orf35-50SimCLU5.txt", 5)</f>
        <v>5</v>
      </c>
      <c r="BQ699">
        <f>HYPERLINK("http://exon.niaid.nih.gov/transcriptome/Anopheles_sialome/links/cluster-b/anopheline-sialome-cds-pep-larger-orf35-50SimCLTL5.txt", 61)</f>
        <v>61</v>
      </c>
      <c r="BR699">
        <f>HYPERLINK("http://exon.niaid.nih.gov/transcriptome/Anopheles_sialome/links/cluster-b/anopheline-sialome-cds-pep-larger-orf40-50SimCLU25.txt", 25)</f>
        <v>25</v>
      </c>
      <c r="BS699">
        <f>HYPERLINK("http://exon.niaid.nih.gov/transcriptome/Anopheles_sialome/links/cluster-b/anopheline-sialome-cds-pep-larger-orf40-50SimCLTL25.txt", 16)</f>
        <v>16</v>
      </c>
      <c r="BT699">
        <f>HYPERLINK("http://exon.niaid.nih.gov/transcriptome/Anopheles_sialome/links/cluster-b/anopheline-sialome-cds-pep-larger-orf45-50SimCLU29.txt", 29)</f>
        <v>29</v>
      </c>
      <c r="BU699">
        <f>HYPERLINK("http://exon.niaid.nih.gov/transcriptome/Anopheles_sialome/links/cluster-b/anopheline-sialome-cds-pep-larger-orf45-50SimCLTL29.txt", 16)</f>
        <v>16</v>
      </c>
      <c r="BV699">
        <f>HYPERLINK("http://exon.niaid.nih.gov/transcriptome/Anopheles_sialome/links/cluster-b/anopheline-sialome-cds-pep-larger-orf50-50SimCLU30.txt", 30)</f>
        <v>30</v>
      </c>
      <c r="BW699">
        <f>HYPERLINK("http://exon.niaid.nih.gov/transcriptome/Anopheles_sialome/links/cluster-b/anopheline-sialome-cds-pep-larger-orf50-50SimCLTL30.txt", 16)</f>
        <v>16</v>
      </c>
      <c r="BX699">
        <f>HYPERLINK("http://exon.niaid.nih.gov/transcriptome/Anopheles_sialome/links/cluster-b/anopheline-sialome-cds-pep-larger-orf55-50SimCLU29.txt", 29)</f>
        <v>29</v>
      </c>
      <c r="BY699">
        <f>HYPERLINK("http://exon.niaid.nih.gov/transcriptome/Anopheles_sialome/links/cluster-b/anopheline-sialome-cds-pep-larger-orf55-50SimCLTL29.txt", 16)</f>
        <v>16</v>
      </c>
      <c r="BZ699">
        <f>HYPERLINK("http://exon.niaid.nih.gov/transcriptome/Anopheles_sialome/links/cluster-b/anopheline-sialome-cds-pep-larger-orf60-50SimCLU36.txt", 36)</f>
        <v>36</v>
      </c>
      <c r="CA699">
        <f>HYPERLINK("http://exon.niaid.nih.gov/transcriptome/Anopheles_sialome/links/cluster-b/anopheline-sialome-cds-pep-larger-orf60-50SimCLTL36.txt", 8)</f>
        <v>8</v>
      </c>
      <c r="CB699">
        <f>HYPERLINK("http://exon.niaid.nih.gov/transcriptome/Anopheles_sialome/links/cluster-b/anopheline-sialome-cds-pep-larger-orf65-50SimCLU39.txt", 39)</f>
        <v>39</v>
      </c>
      <c r="CC699">
        <f>HYPERLINK("http://exon.niaid.nih.gov/transcriptome/Anopheles_sialome/links/cluster-b/anopheline-sialome-cds-pep-larger-orf65-50SimCLTL39.txt", 8)</f>
        <v>8</v>
      </c>
      <c r="CD699">
        <f>HYPERLINK("http://exon.niaid.nih.gov/transcriptome/Anopheles_sialome/links/cluster-b/anopheline-sialome-cds-pep-larger-orf70-50SimCLU42.txt", 42)</f>
        <v>42</v>
      </c>
      <c r="CE699">
        <f>HYPERLINK("http://exon.niaid.nih.gov/transcriptome/Anopheles_sialome/links/cluster-b/anopheline-sialome-cds-pep-larger-orf70-50SimCLTL42.txt", 7)</f>
        <v>7</v>
      </c>
      <c r="CF699">
        <f>HYPERLINK("http://exon.niaid.nih.gov/transcriptome/Anopheles_sialome/links/cluster-b/anopheline-sialome-cds-pep-larger-orf75-50SimCLU38.txt", 38)</f>
        <v>38</v>
      </c>
      <c r="CG699">
        <f>HYPERLINK("http://exon.niaid.nih.gov/transcriptome/Anopheles_sialome/links/cluster-b/anopheline-sialome-cds-pep-larger-orf75-50SimCLTL38.txt", 7)</f>
        <v>7</v>
      </c>
      <c r="CH699">
        <f>HYPERLINK("http://exon.niaid.nih.gov/transcriptome/Anopheles_sialome/links/cluster-b/anopheline-sialome-cds-pep-larger-orf80-50SimCLU34.txt", 34)</f>
        <v>34</v>
      </c>
      <c r="CI699">
        <f>HYPERLINK("http://exon.niaid.nih.gov/transcriptome/Anopheles_sialome/links/cluster-b/anopheline-sialome-cds-pep-larger-orf80-50SimCLTL34.txt", 6)</f>
        <v>6</v>
      </c>
      <c r="CJ699">
        <f>HYPERLINK("http://exon.niaid.nih.gov/transcriptome/Anopheles_sialome/links/cluster-b/anopheline-sialome-cds-pep-larger-orf85-50SimCLU30.txt", 30)</f>
        <v>30</v>
      </c>
      <c r="CK699">
        <f>HYPERLINK("http://exon.niaid.nih.gov/transcriptome/Anopheles_sialome/links/cluster-b/anopheline-sialome-cds-pep-larger-orf85-50SimCLTL30.txt", 6)</f>
        <v>6</v>
      </c>
      <c r="CL699">
        <f>HYPERLINK("http://exon.niaid.nih.gov/transcriptome/Anopheles_sialome/links/cluster-b/anopheline-sialome-cds-pep-larger-orf90-50SimCLU56.txt", 56)</f>
        <v>56</v>
      </c>
      <c r="CM699">
        <f>HYPERLINK("http://exon.niaid.nih.gov/transcriptome/Anopheles_sialome/links/cluster-b/anopheline-sialome-cds-pep-larger-orf90-50SimCLTL56.txt", 3)</f>
        <v>3</v>
      </c>
      <c r="CN699">
        <v>242</v>
      </c>
      <c r="CO699">
        <v>1</v>
      </c>
    </row>
    <row r="700" spans="1:93">
      <c r="A700" s="2" t="str">
        <f>HYPERLINK("http://exon.niaid.nih.gov/transcriptome/Anopheles_sialome/links/cds/anomel_hyp4.2-cds.txt","anomel_hyp4.2")</f>
        <v>anomel_hyp4.2</v>
      </c>
      <c r="B700">
        <v>189</v>
      </c>
      <c r="C700" t="s">
        <v>4</v>
      </c>
      <c r="D700" s="8" t="s">
        <v>3178</v>
      </c>
      <c r="E700" t="s">
        <v>5</v>
      </c>
      <c r="F700" t="s">
        <v>1</v>
      </c>
      <c r="G700" t="str">
        <f>HYPERLINK("http://exon.niaid.nih.gov/transcriptome/Anopheles_sialome/links/pep/anomel_hyp4.2-pep.txt","anomel_hyp4.2")</f>
        <v>anomel_hyp4.2</v>
      </c>
      <c r="H700">
        <v>62</v>
      </c>
      <c r="I700">
        <v>0</v>
      </c>
      <c r="J700" s="3" t="str">
        <f>HYPERLINK("http://exon.niaid.nih.gov/transcriptome/Anopheles_sialome/links/Sigp/anomel_hyp4.2-SigP.txt","SIG")</f>
        <v>SIG</v>
      </c>
      <c r="K700" t="s">
        <v>695</v>
      </c>
      <c r="L700">
        <v>6.7279999999999998</v>
      </c>
      <c r="M700">
        <v>5.01</v>
      </c>
      <c r="N700">
        <v>4.3959999999999999</v>
      </c>
      <c r="O700">
        <v>4.6900000000000004</v>
      </c>
      <c r="P700" t="s">
        <v>1262</v>
      </c>
      <c r="Q700" s="3" t="str">
        <f>HYPERLINK("http://exon.niaid.nih.gov/transcriptome/Anopheles_sialome/links/tmhmm/anomel_hyp4.2-tmhmm.txt","1")</f>
        <v>1</v>
      </c>
      <c r="R700">
        <v>35.5</v>
      </c>
      <c r="S700">
        <v>56.5</v>
      </c>
      <c r="T700">
        <v>8.1</v>
      </c>
      <c r="U700" t="s">
        <v>128</v>
      </c>
      <c r="V700">
        <v>35</v>
      </c>
      <c r="W700" s="3" t="str">
        <f>HYPERLINK("http://exon.niaid.nih.gov/transcriptome/Anopheles_sialome/links/netoglyc/anomel_hyp4.2-netoglyc.txt","1")</f>
        <v>1</v>
      </c>
      <c r="X700">
        <v>17.7</v>
      </c>
      <c r="Y700">
        <v>3.2</v>
      </c>
      <c r="Z700">
        <v>4.8</v>
      </c>
      <c r="AA700" t="s">
        <v>654</v>
      </c>
      <c r="AB700" t="s">
        <v>1263</v>
      </c>
      <c r="AC700" s="2" t="str">
        <f>HYPERLINK("http://exon.niaid.nih.gov/transcriptome/Anopheles_sialome/links/DIPTERA/anomel_hyp4.2-DIPTERA.txt","AGAP003473-PA")</f>
        <v>AGAP003473-PA</v>
      </c>
      <c r="AD700" t="str">
        <f>HYPERLINK("http://www.ncbi.nlm.nih.gov/sutils/blink.cgi?pid=55242637","3E-026")</f>
        <v>3E-026</v>
      </c>
      <c r="AE700" t="str">
        <f t="shared" si="241"/>
        <v>gi|55242637</v>
      </c>
      <c r="AF700">
        <v>96</v>
      </c>
      <c r="AG700">
        <v>100</v>
      </c>
      <c r="AH700">
        <v>100</v>
      </c>
      <c r="AI700" t="s">
        <v>2285</v>
      </c>
      <c r="AJ700" s="2" t="str">
        <f>HYPERLINK("http://exon.niaid.nih.gov/transcriptome/Anopheles_sialome/links/CULICOMORPHA/anomel_hyp4.2-CULICOMORPHA.txt","AGAP003473-PA")</f>
        <v>AGAP003473-PA</v>
      </c>
      <c r="AK700" t="str">
        <f>HYPERLINK("http://www.ncbi.nlm.nih.gov/sutils/blink.cgi?pid=55242637","5E-027")</f>
        <v>5E-027</v>
      </c>
      <c r="AL700" t="str">
        <f t="shared" si="242"/>
        <v>gi|55242637</v>
      </c>
      <c r="AM700">
        <v>96</v>
      </c>
      <c r="AN700">
        <v>100</v>
      </c>
      <c r="AO700">
        <v>100</v>
      </c>
      <c r="AP700" t="s">
        <v>2285</v>
      </c>
      <c r="AQ700" s="2" t="str">
        <f>HYPERLINK("http://exon.niaid.nih.gov/transcriptome/Anopheles_sialome/links/NR-LIGHT/anomel_hyp4.2-NR-LIGHT.txt","AGAP003473-PA")</f>
        <v>AGAP003473-PA</v>
      </c>
      <c r="AR700" t="str">
        <f>HYPERLINK("http://www.ncbi.nlm.nih.gov/sutils/blink.cgi?pid=58382210","8E-026")</f>
        <v>8E-026</v>
      </c>
      <c r="AS700" t="str">
        <f t="shared" si="243"/>
        <v>gi|58382210</v>
      </c>
      <c r="AT700">
        <v>96</v>
      </c>
      <c r="AU700">
        <v>100</v>
      </c>
      <c r="AV700">
        <v>100</v>
      </c>
      <c r="AW700" t="s">
        <v>2285</v>
      </c>
      <c r="AX700" s="2" t="str">
        <f>HYPERLINK("http://exon.niaid.nih.gov/transcriptome/Anopheles_sialome/links/CDD/anomel_hyp4.2-CDD.txt","PHA03290")</f>
        <v>PHA03290</v>
      </c>
      <c r="AY700" t="str">
        <f>HYPERLINK("http://www.ncbi.nlm.nih.gov/Structure/cdd/cddsrv.cgi?uid=PHA03290&amp;version=v4.0","3.4")</f>
        <v>3.4</v>
      </c>
      <c r="AZ700" t="s">
        <v>2615</v>
      </c>
      <c r="BA700" s="2" t="str">
        <f>HYPERLINK("http://exon.niaid.nih.gov/transcriptome/Anopheles_sialome/links/KOG/anomel_hyp4.2-KOG.txt","Aminopeptidases of the M20 family")</f>
        <v>Aminopeptidases of the M20 family</v>
      </c>
      <c r="BB700" t="str">
        <f>HYPERLINK("http://www.ncbi.nlm.nih.gov/Structure/cdd/cddsrv.cgi?uid=KOG2194","2.9")</f>
        <v>2.9</v>
      </c>
      <c r="BC700" t="s">
        <v>2616</v>
      </c>
      <c r="BD700" t="str">
        <f>HYPERLINK("http://exon.niaid.nih.gov/transcriptome/Anopheles_sialome/links/KOG/anomel_hyp4.2-KOG.txt","KOG2194")</f>
        <v>KOG2194</v>
      </c>
      <c r="BE700" t="str">
        <f>HYPERLINK("http://exon.niaid.nih.gov/transcriptome/Anopheles_sialome/links/PFAM/anomel_hyp4.2-PFAM.txt","KdpA")</f>
        <v>KdpA</v>
      </c>
      <c r="BF700" t="str">
        <f>HYPERLINK("http://pfam.sanger.ac.uk/family?acc=PF03814","3.3")</f>
        <v>3.3</v>
      </c>
      <c r="BG700" s="2" t="str">
        <f>HYPERLINK("http://exon.niaid.nih.gov/transcriptome/Anopheles_sialome/links/SMART/anomel_hyp4.2-SMART.txt","B561")</f>
        <v>B561</v>
      </c>
      <c r="BH700" t="str">
        <f>HYPERLINK("http://smart.embl-heidelberg.de/smart/do_annotation.pl?DOMAIN=B561&amp;BLAST=DUMMY","1.7")</f>
        <v>1.7</v>
      </c>
      <c r="BI700" t="str">
        <f>HYPERLINK("http://exon.niaid.nih.gov/transcriptome/Anopheles_sialome/links/TICK-BLOCKS/anomel_hyp4.2-TICK-BLOCKS.txt","Hyp13_ |")</f>
        <v>Hyp13_ |</v>
      </c>
      <c r="BJ700" s="2" t="s">
        <v>2617</v>
      </c>
      <c r="BK700" t="s">
        <v>1272</v>
      </c>
      <c r="BL700">
        <f>HYPERLINK("http://exon.niaid.nih.gov/transcriptome/Anopheles_sialome/links/cluster-b/anopheline-sialome-cds-pep-larger-orf25-50SimCLU1.txt", 1)</f>
        <v>1</v>
      </c>
      <c r="BM700">
        <f>HYPERLINK("http://exon.niaid.nih.gov/transcriptome/Anopheles_sialome/links/cluster-b/anopheline-sialome-cds-pep-larger-orf25-50SimCLTL1.txt", 165)</f>
        <v>165</v>
      </c>
      <c r="BN700">
        <f>HYPERLINK("http://exon.niaid.nih.gov/transcriptome/Anopheles_sialome/links/cluster-b/anopheline-sialome-cds-pep-larger-orf30-50SimCLU1.txt", 1)</f>
        <v>1</v>
      </c>
      <c r="BO700">
        <f>HYPERLINK("http://exon.niaid.nih.gov/transcriptome/Anopheles_sialome/links/cluster-b/anopheline-sialome-cds-pep-larger-orf30-50SimCLTL1.txt", 165)</f>
        <v>165</v>
      </c>
      <c r="BP700">
        <f>HYPERLINK("http://exon.niaid.nih.gov/transcriptome/Anopheles_sialome/links/cluster-b/anopheline-sialome-cds-pep-larger-orf35-50SimCLU5.txt", 5)</f>
        <v>5</v>
      </c>
      <c r="BQ700">
        <f>HYPERLINK("http://exon.niaid.nih.gov/transcriptome/Anopheles_sialome/links/cluster-b/anopheline-sialome-cds-pep-larger-orf35-50SimCLTL5.txt", 61)</f>
        <v>61</v>
      </c>
      <c r="BR700">
        <f>HYPERLINK("http://exon.niaid.nih.gov/transcriptome/Anopheles_sialome/links/cluster-b/anopheline-sialome-cds-pep-larger-orf40-50SimCLU25.txt", 25)</f>
        <v>25</v>
      </c>
      <c r="BS700">
        <f>HYPERLINK("http://exon.niaid.nih.gov/transcriptome/Anopheles_sialome/links/cluster-b/anopheline-sialome-cds-pep-larger-orf40-50SimCLTL25.txt", 16)</f>
        <v>16</v>
      </c>
      <c r="BT700">
        <f>HYPERLINK("http://exon.niaid.nih.gov/transcriptome/Anopheles_sialome/links/cluster-b/anopheline-sialome-cds-pep-larger-orf45-50SimCLU29.txt", 29)</f>
        <v>29</v>
      </c>
      <c r="BU700">
        <f>HYPERLINK("http://exon.niaid.nih.gov/transcriptome/Anopheles_sialome/links/cluster-b/anopheline-sialome-cds-pep-larger-orf45-50SimCLTL29.txt", 16)</f>
        <v>16</v>
      </c>
      <c r="BV700">
        <f>HYPERLINK("http://exon.niaid.nih.gov/transcriptome/Anopheles_sialome/links/cluster-b/anopheline-sialome-cds-pep-larger-orf50-50SimCLU30.txt", 30)</f>
        <v>30</v>
      </c>
      <c r="BW700">
        <f>HYPERLINK("http://exon.niaid.nih.gov/transcriptome/Anopheles_sialome/links/cluster-b/anopheline-sialome-cds-pep-larger-orf50-50SimCLTL30.txt", 16)</f>
        <v>16</v>
      </c>
      <c r="BX700">
        <f>HYPERLINK("http://exon.niaid.nih.gov/transcriptome/Anopheles_sialome/links/cluster-b/anopheline-sialome-cds-pep-larger-orf55-50SimCLU29.txt", 29)</f>
        <v>29</v>
      </c>
      <c r="BY700">
        <f>HYPERLINK("http://exon.niaid.nih.gov/transcriptome/Anopheles_sialome/links/cluster-b/anopheline-sialome-cds-pep-larger-orf55-50SimCLTL29.txt", 16)</f>
        <v>16</v>
      </c>
      <c r="BZ700">
        <f>HYPERLINK("http://exon.niaid.nih.gov/transcriptome/Anopheles_sialome/links/cluster-b/anopheline-sialome-cds-pep-larger-orf60-50SimCLU36.txt", 36)</f>
        <v>36</v>
      </c>
      <c r="CA700">
        <f>HYPERLINK("http://exon.niaid.nih.gov/transcriptome/Anopheles_sialome/links/cluster-b/anopheline-sialome-cds-pep-larger-orf60-50SimCLTL36.txt", 8)</f>
        <v>8</v>
      </c>
      <c r="CB700">
        <f>HYPERLINK("http://exon.niaid.nih.gov/transcriptome/Anopheles_sialome/links/cluster-b/anopheline-sialome-cds-pep-larger-orf65-50SimCLU39.txt", 39)</f>
        <v>39</v>
      </c>
      <c r="CC700">
        <f>HYPERLINK("http://exon.niaid.nih.gov/transcriptome/Anopheles_sialome/links/cluster-b/anopheline-sialome-cds-pep-larger-orf65-50SimCLTL39.txt", 8)</f>
        <v>8</v>
      </c>
      <c r="CD700">
        <f>HYPERLINK("http://exon.niaid.nih.gov/transcriptome/Anopheles_sialome/links/cluster-b/anopheline-sialome-cds-pep-larger-orf70-50SimCLU42.txt", 42)</f>
        <v>42</v>
      </c>
      <c r="CE700">
        <f>HYPERLINK("http://exon.niaid.nih.gov/transcriptome/Anopheles_sialome/links/cluster-b/anopheline-sialome-cds-pep-larger-orf70-50SimCLTL42.txt", 7)</f>
        <v>7</v>
      </c>
      <c r="CF700">
        <f>HYPERLINK("http://exon.niaid.nih.gov/transcriptome/Anopheles_sialome/links/cluster-b/anopheline-sialome-cds-pep-larger-orf75-50SimCLU38.txt", 38)</f>
        <v>38</v>
      </c>
      <c r="CG700">
        <f>HYPERLINK("http://exon.niaid.nih.gov/transcriptome/Anopheles_sialome/links/cluster-b/anopheline-sialome-cds-pep-larger-orf75-50SimCLTL38.txt", 7)</f>
        <v>7</v>
      </c>
      <c r="CH700">
        <f>HYPERLINK("http://exon.niaid.nih.gov/transcriptome/Anopheles_sialome/links/cluster-b/anopheline-sialome-cds-pep-larger-orf80-50SimCLU34.txt", 34)</f>
        <v>34</v>
      </c>
      <c r="CI700">
        <f>HYPERLINK("http://exon.niaid.nih.gov/transcriptome/Anopheles_sialome/links/cluster-b/anopheline-sialome-cds-pep-larger-orf80-50SimCLTL34.txt", 6)</f>
        <v>6</v>
      </c>
      <c r="CJ700">
        <f>HYPERLINK("http://exon.niaid.nih.gov/transcriptome/Anopheles_sialome/links/cluster-b/anopheline-sialome-cds-pep-larger-orf85-50SimCLU30.txt", 30)</f>
        <v>30</v>
      </c>
      <c r="CK700">
        <f>HYPERLINK("http://exon.niaid.nih.gov/transcriptome/Anopheles_sialome/links/cluster-b/anopheline-sialome-cds-pep-larger-orf85-50SimCLTL30.txt", 6)</f>
        <v>6</v>
      </c>
      <c r="CL700">
        <f>HYPERLINK("http://exon.niaid.nih.gov/transcriptome/Anopheles_sialome/links/cluster-b/anopheline-sialome-cds-pep-larger-orf90-50SimCLU55.txt", 55)</f>
        <v>55</v>
      </c>
      <c r="CM700">
        <f>HYPERLINK("http://exon.niaid.nih.gov/transcriptome/Anopheles_sialome/links/cluster-b/anopheline-sialome-cds-pep-larger-orf90-50SimCLTL55.txt", 3)</f>
        <v>3</v>
      </c>
      <c r="CN700">
        <f>HYPERLINK("http://exon.niaid.nih.gov/transcriptome/Anopheles_sialome/links/cluster-b/anopheline-sialome-cds-pep-larger-orf95-50SimCLU50.txt", 50)</f>
        <v>50</v>
      </c>
      <c r="CO700">
        <f>HYPERLINK("http://exon.niaid.nih.gov/transcriptome/Anopheles_sialome/links/cluster-b/anopheline-sialome-cds-pep-larger-orf95-50SimCLTL50.txt", 3)</f>
        <v>3</v>
      </c>
    </row>
    <row r="701" spans="1:93">
      <c r="A701" s="2" t="str">
        <f>HYPERLINK("http://exon.niaid.nih.gov/transcriptome/Anopheles_sialome/links/cds/anochris_hyp4.2-cds.txt","anochris_hyp4.2")</f>
        <v>anochris_hyp4.2</v>
      </c>
      <c r="B701">
        <v>222</v>
      </c>
      <c r="C701" t="s">
        <v>4</v>
      </c>
      <c r="D701" s="8" t="s">
        <v>3178</v>
      </c>
      <c r="E701" t="s">
        <v>5</v>
      </c>
      <c r="F701" t="s">
        <v>1</v>
      </c>
      <c r="G701" t="str">
        <f>HYPERLINK("http://exon.niaid.nih.gov/transcriptome/Anopheles_sialome/links/pep/anochris_hyp4.2-pep.txt","anochris_hyp4.2")</f>
        <v>anochris_hyp4.2</v>
      </c>
      <c r="H701">
        <v>73</v>
      </c>
      <c r="I701">
        <v>0</v>
      </c>
      <c r="J701" s="3" t="str">
        <f>HYPERLINK("http://exon.niaid.nih.gov/transcriptome/Anopheles_sialome/links/Sigp/anochris_hyp4.2-SigP.txt","SIG")</f>
        <v>SIG</v>
      </c>
      <c r="K701" t="s">
        <v>692</v>
      </c>
      <c r="L701">
        <v>7.9790000000000001</v>
      </c>
      <c r="M701">
        <v>4.82</v>
      </c>
      <c r="N701">
        <v>5.7969999999999997</v>
      </c>
      <c r="O701">
        <v>4.59</v>
      </c>
      <c r="P701" t="s">
        <v>1274</v>
      </c>
      <c r="Q701" s="3" t="str">
        <f>HYPERLINK("http://exon.niaid.nih.gov/transcriptome/Anopheles_sialome/links/tmhmm/anochris_hyp4.2-tmhmm.txt","1")</f>
        <v>1</v>
      </c>
      <c r="R701">
        <v>23.3</v>
      </c>
      <c r="S701">
        <v>72.599999999999994</v>
      </c>
      <c r="T701">
        <v>4.0999999999999996</v>
      </c>
      <c r="U701" t="s">
        <v>128</v>
      </c>
      <c r="V701">
        <v>53</v>
      </c>
      <c r="W701" s="3" t="str">
        <f>HYPERLINK("http://exon.niaid.nih.gov/transcriptome/Anopheles_sialome/links/netoglyc/anochris_hyp4.2-netoglyc.txt","2")</f>
        <v>2</v>
      </c>
      <c r="X701">
        <v>11</v>
      </c>
      <c r="Y701">
        <v>2.7</v>
      </c>
      <c r="Z701">
        <v>5.5</v>
      </c>
      <c r="AA701" t="s">
        <v>654</v>
      </c>
      <c r="AB701" t="s">
        <v>128</v>
      </c>
      <c r="AC701" s="2" t="str">
        <f>HYPERLINK("http://exon.niaid.nih.gov/transcriptome/Anopheles_sialome/links/DIPTERA/anochris_hyp4.2-DIPTERA.txt","hypothetical 4.2 kda secreted peptide")</f>
        <v>hypothetical 4.2 kda secreted peptide</v>
      </c>
      <c r="AD701" t="str">
        <f>HYPERLINK("http://www.ncbi.nlm.nih.gov/sutils/blink.cgi?pid=114864994","1E-014")</f>
        <v>1E-014</v>
      </c>
      <c r="AE701" t="str">
        <f>HYPERLINK("http://www.ncbi.nlm.nih.gov/protein/114864994","gi|114864994")</f>
        <v>gi|114864994</v>
      </c>
      <c r="AF701">
        <v>65</v>
      </c>
      <c r="AG701">
        <v>75</v>
      </c>
      <c r="AH701">
        <v>101</v>
      </c>
      <c r="AI701" t="s">
        <v>2266</v>
      </c>
      <c r="AJ701" s="2" t="str">
        <f>HYPERLINK("http://exon.niaid.nih.gov/transcriptome/Anopheles_sialome/links/CULICOMORPHA/anochris_hyp4.2-CULICOMORPHA.txt","putative 4.2 kda secreted peptide")</f>
        <v>putative 4.2 kda secreted peptide</v>
      </c>
      <c r="AK701" t="str">
        <f>HYPERLINK("http://www.ncbi.nlm.nih.gov/sutils/blink.cgi?pid=114864994","2E-015")</f>
        <v>2E-015</v>
      </c>
      <c r="AL701" t="str">
        <f>HYPERLINK("http://www.ncbi.nlm.nih.gov/protein/114864994","gi|114864994")</f>
        <v>gi|114864994</v>
      </c>
      <c r="AM701">
        <v>65</v>
      </c>
      <c r="AN701">
        <v>75</v>
      </c>
      <c r="AO701">
        <v>101</v>
      </c>
      <c r="AP701" t="s">
        <v>2266</v>
      </c>
      <c r="AQ701" s="2" t="str">
        <f>HYPERLINK("http://exon.niaid.nih.gov/transcriptome/Anopheles_sialome/links/NR-LIGHT/anochris_hyp4.2-NR-LIGHT.txt","hypothetical 4.2 kda secreted peptide")</f>
        <v>hypothetical 4.2 kda secreted peptide</v>
      </c>
      <c r="AR701" t="str">
        <f>HYPERLINK("http://www.ncbi.nlm.nih.gov/sutils/blink.cgi?pid=114864994","3E-014")</f>
        <v>3E-014</v>
      </c>
      <c r="AS701" t="str">
        <f>HYPERLINK("http://www.ncbi.nlm.nih.gov/protein/114864994","gi|114864994")</f>
        <v>gi|114864994</v>
      </c>
      <c r="AT701">
        <v>65</v>
      </c>
      <c r="AU701">
        <v>75</v>
      </c>
      <c r="AV701">
        <v>101</v>
      </c>
      <c r="AW701" t="s">
        <v>2266</v>
      </c>
      <c r="AX701" s="2" t="str">
        <f>HYPERLINK("http://exon.niaid.nih.gov/transcriptome/Anopheles_sialome/links/CDD/anochris_hyp4.2-CDD.txt","FlaB")</f>
        <v>FlaB</v>
      </c>
      <c r="AY701" t="str">
        <f>HYPERLINK("http://www.ncbi.nlm.nih.gov/Structure/cdd/cddsrv.cgi?uid=COG1681&amp;version=v4.0","2.4")</f>
        <v>2.4</v>
      </c>
      <c r="AZ701" t="s">
        <v>2620</v>
      </c>
      <c r="BA701" s="2" t="str">
        <f>HYPERLINK("http://exon.niaid.nih.gov/transcriptome/Anopheles_sialome/links/KOG/anochris_hyp4.2-KOG.txt","Predicted RNA-binding protein, contains Pumilio domains")</f>
        <v>Predicted RNA-binding protein, contains Pumilio domains</v>
      </c>
      <c r="BB701" t="str">
        <f>HYPERLINK("http://www.ncbi.nlm.nih.gov/Structure/cdd/cddsrv.cgi?uid=KOG2188","0.52")</f>
        <v>0.52</v>
      </c>
      <c r="BC701" t="s">
        <v>2260</v>
      </c>
      <c r="BD701" t="str">
        <f>HYPERLINK("http://exon.niaid.nih.gov/transcriptome/Anopheles_sialome/links/KOG/anochris_hyp4.2-KOG.txt","KOG2188")</f>
        <v>KOG2188</v>
      </c>
      <c r="BE701" t="str">
        <f>HYPERLINK("http://exon.niaid.nih.gov/transcriptome/Anopheles_sialome/links/PFAM/anochris_hyp4.2-PFAM.txt","Conotoxin")</f>
        <v>Conotoxin</v>
      </c>
      <c r="BF701" t="str">
        <f>HYPERLINK("http://pfam.sanger.ac.uk/family?acc=PF02950","1.9")</f>
        <v>1.9</v>
      </c>
      <c r="BG701" s="2" t="str">
        <f>HYPERLINK("http://exon.niaid.nih.gov/transcriptome/Anopheles_sialome/links/SMART/anochris_hyp4.2-SMART.txt","Bac_rhodopsin")</f>
        <v>Bac_rhodopsin</v>
      </c>
      <c r="BH701" t="str">
        <f>HYPERLINK("http://smart.embl-heidelberg.de/smart/do_annotation.pl?DOMAIN=Bac_rhodopsin&amp;BLAST=DUMMY","1.4")</f>
        <v>1.4</v>
      </c>
      <c r="BI701" t="s">
        <v>128</v>
      </c>
      <c r="BJ701" s="2" t="s">
        <v>128</v>
      </c>
      <c r="BK701" t="s">
        <v>1273</v>
      </c>
      <c r="BL701">
        <f>HYPERLINK("http://exon.niaid.nih.gov/transcriptome/Anopheles_sialome/links/cluster-b/anopheline-sialome-cds-pep-larger-orf25-50SimCLU1.txt", 1)</f>
        <v>1</v>
      </c>
      <c r="BM701">
        <f>HYPERLINK("http://exon.niaid.nih.gov/transcriptome/Anopheles_sialome/links/cluster-b/anopheline-sialome-cds-pep-larger-orf25-50SimCLTL1.txt", 165)</f>
        <v>165</v>
      </c>
      <c r="BN701">
        <f>HYPERLINK("http://exon.niaid.nih.gov/transcriptome/Anopheles_sialome/links/cluster-b/anopheline-sialome-cds-pep-larger-orf30-50SimCLU1.txt", 1)</f>
        <v>1</v>
      </c>
      <c r="BO701">
        <f>HYPERLINK("http://exon.niaid.nih.gov/transcriptome/Anopheles_sialome/links/cluster-b/anopheline-sialome-cds-pep-larger-orf30-50SimCLTL1.txt", 165)</f>
        <v>165</v>
      </c>
      <c r="BP701">
        <f>HYPERLINK("http://exon.niaid.nih.gov/transcriptome/Anopheles_sialome/links/cluster-b/anopheline-sialome-cds-pep-larger-orf35-50SimCLU5.txt", 5)</f>
        <v>5</v>
      </c>
      <c r="BQ701">
        <f>HYPERLINK("http://exon.niaid.nih.gov/transcriptome/Anopheles_sialome/links/cluster-b/anopheline-sialome-cds-pep-larger-orf35-50SimCLTL5.txt", 61)</f>
        <v>61</v>
      </c>
      <c r="BR701">
        <f>HYPERLINK("http://exon.niaid.nih.gov/transcriptome/Anopheles_sialome/links/cluster-b/anopheline-sialome-cds-pep-larger-orf40-50SimCLU25.txt", 25)</f>
        <v>25</v>
      </c>
      <c r="BS701">
        <f>HYPERLINK("http://exon.niaid.nih.gov/transcriptome/Anopheles_sialome/links/cluster-b/anopheline-sialome-cds-pep-larger-orf40-50SimCLTL25.txt", 16)</f>
        <v>16</v>
      </c>
      <c r="BT701">
        <f>HYPERLINK("http://exon.niaid.nih.gov/transcriptome/Anopheles_sialome/links/cluster-b/anopheline-sialome-cds-pep-larger-orf45-50SimCLU29.txt", 29)</f>
        <v>29</v>
      </c>
      <c r="BU701">
        <f>HYPERLINK("http://exon.niaid.nih.gov/transcriptome/Anopheles_sialome/links/cluster-b/anopheline-sialome-cds-pep-larger-orf45-50SimCLTL29.txt", 16)</f>
        <v>16</v>
      </c>
      <c r="BV701">
        <f>HYPERLINK("http://exon.niaid.nih.gov/transcriptome/Anopheles_sialome/links/cluster-b/anopheline-sialome-cds-pep-larger-orf50-50SimCLU30.txt", 30)</f>
        <v>30</v>
      </c>
      <c r="BW701">
        <f>HYPERLINK("http://exon.niaid.nih.gov/transcriptome/Anopheles_sialome/links/cluster-b/anopheline-sialome-cds-pep-larger-orf50-50SimCLTL30.txt", 16)</f>
        <v>16</v>
      </c>
      <c r="BX701">
        <f>HYPERLINK("http://exon.niaid.nih.gov/transcriptome/Anopheles_sialome/links/cluster-b/anopheline-sialome-cds-pep-larger-orf55-50SimCLU29.txt", 29)</f>
        <v>29</v>
      </c>
      <c r="BY701">
        <f>HYPERLINK("http://exon.niaid.nih.gov/transcriptome/Anopheles_sialome/links/cluster-b/anopheline-sialome-cds-pep-larger-orf55-50SimCLTL29.txt", 16)</f>
        <v>16</v>
      </c>
      <c r="BZ701">
        <f>HYPERLINK("http://exon.niaid.nih.gov/transcriptome/Anopheles_sialome/links/cluster-b/anopheline-sialome-cds-pep-larger-orf60-50SimCLU36.txt", 36)</f>
        <v>36</v>
      </c>
      <c r="CA701">
        <f>HYPERLINK("http://exon.niaid.nih.gov/transcriptome/Anopheles_sialome/links/cluster-b/anopheline-sialome-cds-pep-larger-orf60-50SimCLTL36.txt", 8)</f>
        <v>8</v>
      </c>
      <c r="CB701">
        <f>HYPERLINK("http://exon.niaid.nih.gov/transcriptome/Anopheles_sialome/links/cluster-b/anopheline-sialome-cds-pep-larger-orf65-50SimCLU39.txt", 39)</f>
        <v>39</v>
      </c>
      <c r="CC701">
        <f>HYPERLINK("http://exon.niaid.nih.gov/transcriptome/Anopheles_sialome/links/cluster-b/anopheline-sialome-cds-pep-larger-orf65-50SimCLTL39.txt", 8)</f>
        <v>8</v>
      </c>
      <c r="CD701">
        <f>HYPERLINK("http://exon.niaid.nih.gov/transcriptome/Anopheles_sialome/links/cluster-b/anopheline-sialome-cds-pep-larger-orf70-50SimCLU42.txt", 42)</f>
        <v>42</v>
      </c>
      <c r="CE701">
        <f>HYPERLINK("http://exon.niaid.nih.gov/transcriptome/Anopheles_sialome/links/cluster-b/anopheline-sialome-cds-pep-larger-orf70-50SimCLTL42.txt", 7)</f>
        <v>7</v>
      </c>
      <c r="CF701">
        <f>HYPERLINK("http://exon.niaid.nih.gov/transcriptome/Anopheles_sialome/links/cluster-b/anopheline-sialome-cds-pep-larger-orf75-50SimCLU38.txt", 38)</f>
        <v>38</v>
      </c>
      <c r="CG701">
        <f>HYPERLINK("http://exon.niaid.nih.gov/transcriptome/Anopheles_sialome/links/cluster-b/anopheline-sialome-cds-pep-larger-orf75-50SimCLTL38.txt", 7)</f>
        <v>7</v>
      </c>
      <c r="CH701">
        <v>142</v>
      </c>
      <c r="CI701">
        <v>1</v>
      </c>
      <c r="CJ701">
        <v>176</v>
      </c>
      <c r="CK701">
        <v>1</v>
      </c>
      <c r="CL701">
        <v>218</v>
      </c>
      <c r="CM701">
        <v>1</v>
      </c>
      <c r="CN701">
        <v>243</v>
      </c>
      <c r="CO701">
        <v>1</v>
      </c>
    </row>
    <row r="702" spans="1:93">
      <c r="A702" s="2" t="str">
        <f>HYPERLINK("http://exon.niaid.nih.gov/transcriptome/Anopheles_sialome/links/cds/anoepi_hyp4.2-cds.txt","anoepi_hyp4.2")</f>
        <v>anoepi_hyp4.2</v>
      </c>
      <c r="B702">
        <v>210</v>
      </c>
      <c r="C702" t="s">
        <v>4</v>
      </c>
      <c r="D702" s="8" t="s">
        <v>3178</v>
      </c>
      <c r="E702" t="s">
        <v>5</v>
      </c>
      <c r="F702" t="s">
        <v>1</v>
      </c>
      <c r="G702" t="str">
        <f>HYPERLINK("http://exon.niaid.nih.gov/transcriptome/Anopheles_sialome/links/pep/anoepi_hyp4.2-pep.txt","anoepi_hyp4.2")</f>
        <v>anoepi_hyp4.2</v>
      </c>
      <c r="H702">
        <v>69</v>
      </c>
      <c r="I702">
        <v>0</v>
      </c>
      <c r="J702" s="3" t="str">
        <f>HYPERLINK("http://exon.niaid.nih.gov/transcriptome/Anopheles_sialome/links/Sigp/anoepi_hyp4.2-SigP.txt","SIG")</f>
        <v>SIG</v>
      </c>
      <c r="K702" t="s">
        <v>692</v>
      </c>
      <c r="L702">
        <v>7.6870000000000003</v>
      </c>
      <c r="M702">
        <v>4.5599999999999996</v>
      </c>
      <c r="N702">
        <v>5.5359999999999996</v>
      </c>
      <c r="O702">
        <v>4.37</v>
      </c>
      <c r="P702" t="s">
        <v>1276</v>
      </c>
      <c r="Q702" s="3" t="str">
        <f>HYPERLINK("http://exon.niaid.nih.gov/transcriptome/Anopheles_sialome/links/tmhmm/anoepi_hyp4.2-tmhmm.txt","1")</f>
        <v>1</v>
      </c>
      <c r="R702">
        <v>24.6</v>
      </c>
      <c r="S702">
        <v>71</v>
      </c>
      <c r="T702">
        <v>4.3</v>
      </c>
      <c r="U702" t="s">
        <v>128</v>
      </c>
      <c r="V702">
        <v>49</v>
      </c>
      <c r="W702" s="3" t="str">
        <f>HYPERLINK("http://exon.niaid.nih.gov/transcriptome/Anopheles_sialome/links/netoglyc/anoepi_hyp4.2-netoglyc.txt","4")</f>
        <v>4</v>
      </c>
      <c r="X702">
        <v>13</v>
      </c>
      <c r="Y702">
        <v>1.4</v>
      </c>
      <c r="Z702">
        <v>4.3</v>
      </c>
      <c r="AA702" t="s">
        <v>654</v>
      </c>
      <c r="AB702" t="s">
        <v>1277</v>
      </c>
      <c r="AC702" s="2" t="str">
        <f>HYPERLINK("http://exon.niaid.nih.gov/transcriptome/Anopheles_sialome/links/DIPTERA/anoepi_hyp4.2-DIPTERA.txt","hypothetical 4.2 kda secreted peptide")</f>
        <v>hypothetical 4.2 kda secreted peptide</v>
      </c>
      <c r="AD702" t="str">
        <f>HYPERLINK("http://www.ncbi.nlm.nih.gov/sutils/blink.cgi?pid=114864994","2E-008")</f>
        <v>2E-008</v>
      </c>
      <c r="AE702" t="str">
        <f>HYPERLINK("http://www.ncbi.nlm.nih.gov/protein/114864994","gi|114864994")</f>
        <v>gi|114864994</v>
      </c>
      <c r="AF702">
        <v>48</v>
      </c>
      <c r="AG702">
        <v>69</v>
      </c>
      <c r="AH702">
        <v>96</v>
      </c>
      <c r="AI702" t="s">
        <v>2266</v>
      </c>
      <c r="AJ702" s="2" t="str">
        <f>HYPERLINK("http://exon.niaid.nih.gov/transcriptome/Anopheles_sialome/links/CULICOMORPHA/anoepi_hyp4.2-CULICOMORPHA.txt","putative 4.2 kda secreted peptide")</f>
        <v>putative 4.2 kda secreted peptide</v>
      </c>
      <c r="AK702" t="str">
        <f>HYPERLINK("http://www.ncbi.nlm.nih.gov/sutils/blink.cgi?pid=114864994","3E-009")</f>
        <v>3E-009</v>
      </c>
      <c r="AL702" t="str">
        <f>HYPERLINK("http://www.ncbi.nlm.nih.gov/protein/114864994","gi|114864994")</f>
        <v>gi|114864994</v>
      </c>
      <c r="AM702">
        <v>48</v>
      </c>
      <c r="AN702">
        <v>69</v>
      </c>
      <c r="AO702">
        <v>96</v>
      </c>
      <c r="AP702" t="s">
        <v>2266</v>
      </c>
      <c r="AQ702" s="2" t="str">
        <f>HYPERLINK("http://exon.niaid.nih.gov/transcriptome/Anopheles_sialome/links/NR-LIGHT/anoepi_hyp4.2-NR-LIGHT.txt","hypothetical 4.2 kda secreted peptide")</f>
        <v>hypothetical 4.2 kda secreted peptide</v>
      </c>
      <c r="AR702" t="str">
        <f>HYPERLINK("http://www.ncbi.nlm.nih.gov/sutils/blink.cgi?pid=114864994","4E-008")</f>
        <v>4E-008</v>
      </c>
      <c r="AS702" t="str">
        <f>HYPERLINK("http://www.ncbi.nlm.nih.gov/protein/114864994","gi|114864994")</f>
        <v>gi|114864994</v>
      </c>
      <c r="AT702">
        <v>48</v>
      </c>
      <c r="AU702">
        <v>69</v>
      </c>
      <c r="AV702">
        <v>96</v>
      </c>
      <c r="AW702" t="s">
        <v>2266</v>
      </c>
      <c r="AX702" s="2" t="str">
        <f>HYPERLINK("http://exon.niaid.nih.gov/transcriptome/Anopheles_sialome/links/CDD/anoepi_hyp4.2-CDD.txt","PBP1_ABC_ligand")</f>
        <v>PBP1_ABC_ligand</v>
      </c>
      <c r="AY702" t="str">
        <f>HYPERLINK("http://www.ncbi.nlm.nih.gov/Structure/cdd/cddsrv.cgi?uid=cd06348&amp;version=v4.0","4.5")</f>
        <v>4.5</v>
      </c>
      <c r="AZ702" t="s">
        <v>2621</v>
      </c>
      <c r="BA702" s="2" t="str">
        <f>HYPERLINK("http://exon.niaid.nih.gov/transcriptome/Anopheles_sialome/links/KOG/anoepi_hyp4.2-KOG.txt","Molecular chaperone (DnaJ superfamily)")</f>
        <v>Molecular chaperone (DnaJ superfamily)</v>
      </c>
      <c r="BB702" t="str">
        <f>HYPERLINK("http://www.ncbi.nlm.nih.gov/Structure/cdd/cddsrv.cgi?uid=KOG0722","3.4")</f>
        <v>3.4</v>
      </c>
      <c r="BC702" t="s">
        <v>2296</v>
      </c>
      <c r="BD702" t="str">
        <f>HYPERLINK("http://exon.niaid.nih.gov/transcriptome/Anopheles_sialome/links/KOG/anoepi_hyp4.2-KOG.txt","KOG0722")</f>
        <v>KOG0722</v>
      </c>
      <c r="BE702" t="str">
        <f>HYPERLINK("http://exon.niaid.nih.gov/transcriptome/Anopheles_sialome/links/PFAM/anoepi_hyp4.2-PFAM.txt","SAF_2")</f>
        <v>SAF_2</v>
      </c>
      <c r="BF702" t="str">
        <f>HYPERLINK("http://pfam.sanger.ac.uk/family?acc=PF13144","2.5")</f>
        <v>2.5</v>
      </c>
      <c r="BG702" s="2" t="str">
        <f>HYPERLINK("http://exon.niaid.nih.gov/transcriptome/Anopheles_sialome/links/SMART/anoepi_hyp4.2-SMART.txt","PLAc")</f>
        <v>PLAc</v>
      </c>
      <c r="BH702" t="str">
        <f>HYPERLINK("http://smart.embl-heidelberg.de/smart/do_annotation.pl?DOMAIN=PLAc&amp;BLAST=DUMMY","1.7")</f>
        <v>1.7</v>
      </c>
      <c r="BI702" t="s">
        <v>128</v>
      </c>
      <c r="BJ702" s="2" t="s">
        <v>128</v>
      </c>
      <c r="BK702" t="s">
        <v>1275</v>
      </c>
      <c r="BL702">
        <f>HYPERLINK("http://exon.niaid.nih.gov/transcriptome/Anopheles_sialome/links/cluster-b/anopheline-sialome-cds-pep-larger-orf25-50SimCLU1.txt", 1)</f>
        <v>1</v>
      </c>
      <c r="BM702">
        <f>HYPERLINK("http://exon.niaid.nih.gov/transcriptome/Anopheles_sialome/links/cluster-b/anopheline-sialome-cds-pep-larger-orf25-50SimCLTL1.txt", 165)</f>
        <v>165</v>
      </c>
      <c r="BN702">
        <f>HYPERLINK("http://exon.niaid.nih.gov/transcriptome/Anopheles_sialome/links/cluster-b/anopheline-sialome-cds-pep-larger-orf30-50SimCLU1.txt", 1)</f>
        <v>1</v>
      </c>
      <c r="BO702">
        <f>HYPERLINK("http://exon.niaid.nih.gov/transcriptome/Anopheles_sialome/links/cluster-b/anopheline-sialome-cds-pep-larger-orf30-50SimCLTL1.txt", 165)</f>
        <v>165</v>
      </c>
      <c r="BP702">
        <f>HYPERLINK("http://exon.niaid.nih.gov/transcriptome/Anopheles_sialome/links/cluster-b/anopheline-sialome-cds-pep-larger-orf35-50SimCLU5.txt", 5)</f>
        <v>5</v>
      </c>
      <c r="BQ702">
        <f>HYPERLINK("http://exon.niaid.nih.gov/transcriptome/Anopheles_sialome/links/cluster-b/anopheline-sialome-cds-pep-larger-orf35-50SimCLTL5.txt", 61)</f>
        <v>61</v>
      </c>
      <c r="BR702">
        <f>HYPERLINK("http://exon.niaid.nih.gov/transcriptome/Anopheles_sialome/links/cluster-b/anopheline-sialome-cds-pep-larger-orf40-50SimCLU25.txt", 25)</f>
        <v>25</v>
      </c>
      <c r="BS702">
        <f>HYPERLINK("http://exon.niaid.nih.gov/transcriptome/Anopheles_sialome/links/cluster-b/anopheline-sialome-cds-pep-larger-orf40-50SimCLTL25.txt", 16)</f>
        <v>16</v>
      </c>
      <c r="BT702">
        <f>HYPERLINK("http://exon.niaid.nih.gov/transcriptome/Anopheles_sialome/links/cluster-b/anopheline-sialome-cds-pep-larger-orf45-50SimCLU29.txt", 29)</f>
        <v>29</v>
      </c>
      <c r="BU702">
        <f>HYPERLINK("http://exon.niaid.nih.gov/transcriptome/Anopheles_sialome/links/cluster-b/anopheline-sialome-cds-pep-larger-orf45-50SimCLTL29.txt", 16)</f>
        <v>16</v>
      </c>
      <c r="BV702">
        <f>HYPERLINK("http://exon.niaid.nih.gov/transcriptome/Anopheles_sialome/links/cluster-b/anopheline-sialome-cds-pep-larger-orf50-50SimCLU30.txt", 30)</f>
        <v>30</v>
      </c>
      <c r="BW702">
        <f>HYPERLINK("http://exon.niaid.nih.gov/transcriptome/Anopheles_sialome/links/cluster-b/anopheline-sialome-cds-pep-larger-orf50-50SimCLTL30.txt", 16)</f>
        <v>16</v>
      </c>
      <c r="BX702">
        <f>HYPERLINK("http://exon.niaid.nih.gov/transcriptome/Anopheles_sialome/links/cluster-b/anopheline-sialome-cds-pep-larger-orf55-50SimCLU29.txt", 29)</f>
        <v>29</v>
      </c>
      <c r="BY702">
        <f>HYPERLINK("http://exon.niaid.nih.gov/transcriptome/Anopheles_sialome/links/cluster-b/anopheline-sialome-cds-pep-larger-orf55-50SimCLTL29.txt", 16)</f>
        <v>16</v>
      </c>
      <c r="BZ702">
        <f>HYPERLINK("http://exon.niaid.nih.gov/transcriptome/Anopheles_sialome/links/cluster-b/anopheline-sialome-cds-pep-larger-orf60-50SimCLU36.txt", 36)</f>
        <v>36</v>
      </c>
      <c r="CA702">
        <f>HYPERLINK("http://exon.niaid.nih.gov/transcriptome/Anopheles_sialome/links/cluster-b/anopheline-sialome-cds-pep-larger-orf60-50SimCLTL36.txt", 8)</f>
        <v>8</v>
      </c>
      <c r="CB702">
        <f>HYPERLINK("http://exon.niaid.nih.gov/transcriptome/Anopheles_sialome/links/cluster-b/anopheline-sialome-cds-pep-larger-orf65-50SimCLU39.txt", 39)</f>
        <v>39</v>
      </c>
      <c r="CC702">
        <f>HYPERLINK("http://exon.niaid.nih.gov/transcriptome/Anopheles_sialome/links/cluster-b/anopheline-sialome-cds-pep-larger-orf65-50SimCLTL39.txt", 8)</f>
        <v>8</v>
      </c>
      <c r="CD702">
        <v>83</v>
      </c>
      <c r="CE702">
        <v>1</v>
      </c>
      <c r="CF702">
        <v>108</v>
      </c>
      <c r="CG702">
        <v>1</v>
      </c>
      <c r="CH702">
        <v>143</v>
      </c>
      <c r="CI702">
        <v>1</v>
      </c>
      <c r="CJ702">
        <v>177</v>
      </c>
      <c r="CK702">
        <v>1</v>
      </c>
      <c r="CL702">
        <v>219</v>
      </c>
      <c r="CM702">
        <v>1</v>
      </c>
      <c r="CN702">
        <v>244</v>
      </c>
      <c r="CO702">
        <v>1</v>
      </c>
    </row>
    <row r="703" spans="1:93">
      <c r="A703" s="5" t="s">
        <v>3143</v>
      </c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</row>
    <row r="704" spans="1:93">
      <c r="A704" s="2" t="str">
        <f>HYPERLINK("http://exon.niaid.nih.gov/transcriptome/Anopheles_sialome/links/cds/anoga_hyp13-cds.txt","anoga_hyp13")</f>
        <v>anoga_hyp13</v>
      </c>
      <c r="B704">
        <v>171</v>
      </c>
      <c r="C704" t="s">
        <v>243</v>
      </c>
      <c r="D704" t="s">
        <v>4</v>
      </c>
      <c r="E704" t="s">
        <v>5</v>
      </c>
      <c r="F704" t="s">
        <v>1</v>
      </c>
      <c r="G704" t="str">
        <f>HYPERLINK("http://exon.niaid.nih.gov/transcriptome/Anopheles_sialome/links/pep/anoga_hyp13-pep.txt","anoga_hyp13")</f>
        <v>anoga_hyp13</v>
      </c>
      <c r="H704">
        <v>56</v>
      </c>
      <c r="I704">
        <v>0</v>
      </c>
      <c r="J704" s="3" t="str">
        <f>HYPERLINK("http://exon.niaid.nih.gov/transcriptome/Anopheles_sialome/links/Sigp/anoga_hyp13-SigP.txt","SIG")</f>
        <v>SIG</v>
      </c>
      <c r="K704" t="s">
        <v>695</v>
      </c>
      <c r="L704">
        <v>6.1879999999999997</v>
      </c>
      <c r="M704">
        <v>5.45</v>
      </c>
      <c r="N704">
        <v>3.81</v>
      </c>
      <c r="O704">
        <v>4.75</v>
      </c>
      <c r="P704" t="s">
        <v>1279</v>
      </c>
      <c r="Q704" s="3" t="str">
        <f>HYPERLINK("http://exon.niaid.nih.gov/transcriptome/Anopheles_sialome/links/tmhmm/anoga_hyp13-tmhmm.txt","1")</f>
        <v>1</v>
      </c>
      <c r="R704">
        <v>39.299999999999997</v>
      </c>
      <c r="S704">
        <v>7.1</v>
      </c>
      <c r="T704">
        <v>53.6</v>
      </c>
      <c r="U704" t="s">
        <v>128</v>
      </c>
      <c r="V704">
        <v>30</v>
      </c>
      <c r="W704" s="3" t="str">
        <f>HYPERLINK("http://exon.niaid.nih.gov/transcriptome/Anopheles_sialome/links/netoglyc/anoga_hyp13-netoglyc.txt","0")</f>
        <v>0</v>
      </c>
      <c r="X704">
        <v>10.7</v>
      </c>
      <c r="Y704">
        <v>3.6</v>
      </c>
      <c r="Z704">
        <v>1.8</v>
      </c>
      <c r="AA704" t="s">
        <v>654</v>
      </c>
      <c r="AB704" t="s">
        <v>128</v>
      </c>
      <c r="AC704" s="2" t="str">
        <f>HYPERLINK("http://exon.niaid.nih.gov/transcriptome/Anopheles_sialome/links/DIPTERA/anoga_hyp13-DIPTERA.txt","AGAP003474-PA")</f>
        <v>AGAP003474-PA</v>
      </c>
      <c r="AD704" t="str">
        <f>HYPERLINK("http://www.ncbi.nlm.nih.gov/sutils/blink.cgi?pid=55242638","6E-024")</f>
        <v>6E-024</v>
      </c>
      <c r="AE704" t="str">
        <f t="shared" ref="AE704:AE711" si="244">HYPERLINK("http://www.ncbi.nlm.nih.gov/protein/55242638","gi|55242638")</f>
        <v>gi|55242638</v>
      </c>
      <c r="AF704">
        <v>100</v>
      </c>
      <c r="AG704">
        <v>100</v>
      </c>
      <c r="AH704">
        <v>100</v>
      </c>
      <c r="AI704" t="s">
        <v>2285</v>
      </c>
      <c r="AJ704" s="2" t="str">
        <f>HYPERLINK("http://exon.niaid.nih.gov/transcriptome/Anopheles_sialome/links/CULICOMORPHA/anoga_hyp13-CULICOMORPHA.txt","AGAP003474-PA")</f>
        <v>AGAP003474-PA</v>
      </c>
      <c r="AK704" t="str">
        <f>HYPERLINK("http://www.ncbi.nlm.nih.gov/sutils/blink.cgi?pid=55242638","1E-024")</f>
        <v>1E-024</v>
      </c>
      <c r="AL704" t="str">
        <f t="shared" ref="AL704:AL711" si="245">HYPERLINK("http://www.ncbi.nlm.nih.gov/protein/55242638","gi|55242638")</f>
        <v>gi|55242638</v>
      </c>
      <c r="AM704">
        <v>100</v>
      </c>
      <c r="AN704">
        <v>100</v>
      </c>
      <c r="AO704">
        <v>100</v>
      </c>
      <c r="AP704" t="s">
        <v>2285</v>
      </c>
      <c r="AQ704" s="2" t="str">
        <f>HYPERLINK("http://exon.niaid.nih.gov/transcriptome/Anopheles_sialome/links/NR-LIGHT/anoga_hyp13-NR-LIGHT.txt","AGAP003474-PA")</f>
        <v>AGAP003474-PA</v>
      </c>
      <c r="AR704" t="str">
        <f>HYPERLINK("http://www.ncbi.nlm.nih.gov/sutils/blink.cgi?pid=58382212","2E-023")</f>
        <v>2E-023</v>
      </c>
      <c r="AS704" t="str">
        <f t="shared" ref="AS704:AS711" si="246">HYPERLINK("http://www.ncbi.nlm.nih.gov/protein/58382212","gi|58382212")</f>
        <v>gi|58382212</v>
      </c>
      <c r="AT704">
        <v>100</v>
      </c>
      <c r="AU704">
        <v>100</v>
      </c>
      <c r="AV704">
        <v>100</v>
      </c>
      <c r="AW704" t="s">
        <v>2285</v>
      </c>
      <c r="AX704" s="2" t="str">
        <f>HYPERLINK("http://exon.niaid.nih.gov/transcriptome/Anopheles_sialome/links/CDD/anoga_hyp13-CDD.txt","CD36")</f>
        <v>CD36</v>
      </c>
      <c r="AY704" t="str">
        <f>HYPERLINK("http://www.ncbi.nlm.nih.gov/Structure/cdd/cddsrv.cgi?uid=pfam01130&amp;version=v4.0","0.71")</f>
        <v>0.71</v>
      </c>
      <c r="AZ704" t="s">
        <v>2622</v>
      </c>
      <c r="BA704" s="2" t="str">
        <f>HYPERLINK("http://exon.niaid.nih.gov/transcriptome/Anopheles_sialome/links/KOG/anoga_hyp13-KOG.txt","Splicing coactivator SRm160/300, subunit SRm300")</f>
        <v>Splicing coactivator SRm160/300, subunit SRm300</v>
      </c>
      <c r="BB704" t="str">
        <f>HYPERLINK("http://www.ncbi.nlm.nih.gov/Structure/cdd/cddsrv.cgi?uid=KOG1869","1.5")</f>
        <v>1.5</v>
      </c>
      <c r="BC704" t="s">
        <v>2464</v>
      </c>
      <c r="BD704" t="str">
        <f>HYPERLINK("http://exon.niaid.nih.gov/transcriptome/Anopheles_sialome/links/KOG/anoga_hyp13-KOG.txt","KOG1869")</f>
        <v>KOG1869</v>
      </c>
      <c r="BE704" t="str">
        <f>HYPERLINK("http://exon.niaid.nih.gov/transcriptome/Anopheles_sialome/links/PFAM/anoga_hyp13-PFAM.txt","CD36")</f>
        <v>CD36</v>
      </c>
      <c r="BF704" t="str">
        <f>HYPERLINK("http://pfam.sanger.ac.uk/family?acc=PF01130","0.16")</f>
        <v>0.16</v>
      </c>
      <c r="BG704" s="2" t="str">
        <f>HYPERLINK("http://exon.niaid.nih.gov/transcriptome/Anopheles_sialome/links/SMART/anoga_hyp13-SMART.txt","H2A")</f>
        <v>H2A</v>
      </c>
      <c r="BH704" t="str">
        <f>HYPERLINK("http://smart.embl-heidelberg.de/smart/do_annotation.pl?DOMAIN=H2A&amp;BLAST=DUMMY","7.7")</f>
        <v>7.7</v>
      </c>
      <c r="BI704" t="str">
        <f>HYPERLINK("http://exon.niaid.nih.gov/transcriptome/Anopheles_sialome/links/TICK-BLOCKS/anoga_hyp13-TICK-BLOCKS.txt","Hyp13_ |")</f>
        <v>Hyp13_ |</v>
      </c>
      <c r="BJ704" s="2" t="s">
        <v>2617</v>
      </c>
      <c r="BK704" t="s">
        <v>1278</v>
      </c>
      <c r="BL704">
        <f>HYPERLINK("http://exon.niaid.nih.gov/transcriptome/Anopheles_sialome/links/cluster-b/anopheline-sialome-cds-pep-larger-orf25-50SimCLU1.txt", 1)</f>
        <v>1</v>
      </c>
      <c r="BM704">
        <f>HYPERLINK("http://exon.niaid.nih.gov/transcriptome/Anopheles_sialome/links/cluster-b/anopheline-sialome-cds-pep-larger-orf25-50SimCLTL1.txt", 165)</f>
        <v>165</v>
      </c>
      <c r="BN704">
        <f>HYPERLINK("http://exon.niaid.nih.gov/transcriptome/Anopheles_sialome/links/cluster-b/anopheline-sialome-cds-pep-larger-orf30-50SimCLU1.txt", 1)</f>
        <v>1</v>
      </c>
      <c r="BO704">
        <f>HYPERLINK("http://exon.niaid.nih.gov/transcriptome/Anopheles_sialome/links/cluster-b/anopheline-sialome-cds-pep-larger-orf30-50SimCLTL1.txt", 165)</f>
        <v>165</v>
      </c>
      <c r="BP704">
        <f>HYPERLINK("http://exon.niaid.nih.gov/transcriptome/Anopheles_sialome/links/cluster-b/anopheline-sialome-cds-pep-larger-orf35-50SimCLU5.txt", 5)</f>
        <v>5</v>
      </c>
      <c r="BQ704">
        <f>HYPERLINK("http://exon.niaid.nih.gov/transcriptome/Anopheles_sialome/links/cluster-b/anopheline-sialome-cds-pep-larger-orf35-50SimCLTL5.txt", 61)</f>
        <v>61</v>
      </c>
      <c r="BR704">
        <f>HYPERLINK("http://exon.niaid.nih.gov/transcriptome/Anopheles_sialome/links/cluster-b/anopheline-sialome-cds-pep-larger-orf40-50SimCLU25.txt", 25)</f>
        <v>25</v>
      </c>
      <c r="BS704">
        <f>HYPERLINK("http://exon.niaid.nih.gov/transcriptome/Anopheles_sialome/links/cluster-b/anopheline-sialome-cds-pep-larger-orf40-50SimCLTL25.txt", 16)</f>
        <v>16</v>
      </c>
      <c r="BT704">
        <f>HYPERLINK("http://exon.niaid.nih.gov/transcriptome/Anopheles_sialome/links/cluster-b/anopheline-sialome-cds-pep-larger-orf45-50SimCLU29.txt", 29)</f>
        <v>29</v>
      </c>
      <c r="BU704">
        <f>HYPERLINK("http://exon.niaid.nih.gov/transcriptome/Anopheles_sialome/links/cluster-b/anopheline-sialome-cds-pep-larger-orf45-50SimCLTL29.txt", 16)</f>
        <v>16</v>
      </c>
      <c r="BV704">
        <f>HYPERLINK("http://exon.niaid.nih.gov/transcriptome/Anopheles_sialome/links/cluster-b/anopheline-sialome-cds-pep-larger-orf50-50SimCLU30.txt", 30)</f>
        <v>30</v>
      </c>
      <c r="BW704">
        <f>HYPERLINK("http://exon.niaid.nih.gov/transcriptome/Anopheles_sialome/links/cluster-b/anopheline-sialome-cds-pep-larger-orf50-50SimCLTL30.txt", 16)</f>
        <v>16</v>
      </c>
      <c r="BX704">
        <f>HYPERLINK("http://exon.niaid.nih.gov/transcriptome/Anopheles_sialome/links/cluster-b/anopheline-sialome-cds-pep-larger-orf55-50SimCLU29.txt", 29)</f>
        <v>29</v>
      </c>
      <c r="BY704">
        <f>HYPERLINK("http://exon.niaid.nih.gov/transcriptome/Anopheles_sialome/links/cluster-b/anopheline-sialome-cds-pep-larger-orf55-50SimCLTL29.txt", 16)</f>
        <v>16</v>
      </c>
      <c r="BZ704">
        <f>HYPERLINK("http://exon.niaid.nih.gov/transcriptome/Anopheles_sialome/links/cluster-b/anopheline-sialome-cds-pep-larger-orf60-50SimCLU38.txt", 38)</f>
        <v>38</v>
      </c>
      <c r="CA704">
        <f>HYPERLINK("http://exon.niaid.nih.gov/transcriptome/Anopheles_sialome/links/cluster-b/anopheline-sialome-cds-pep-larger-orf60-50SimCLTL38.txt", 7)</f>
        <v>7</v>
      </c>
      <c r="CB704">
        <f>HYPERLINK("http://exon.niaid.nih.gov/transcriptome/Anopheles_sialome/links/cluster-b/anopheline-sialome-cds-pep-larger-orf65-50SimCLU41.txt", 41)</f>
        <v>41</v>
      </c>
      <c r="CC704">
        <f>HYPERLINK("http://exon.niaid.nih.gov/transcriptome/Anopheles_sialome/links/cluster-b/anopheline-sialome-cds-pep-larger-orf65-50SimCLTL41.txt", 7)</f>
        <v>7</v>
      </c>
      <c r="CD704">
        <f>HYPERLINK("http://exon.niaid.nih.gov/transcriptome/Anopheles_sialome/links/cluster-b/anopheline-sialome-cds-pep-larger-orf70-50SimCLU43.txt", 43)</f>
        <v>43</v>
      </c>
      <c r="CE704">
        <f>HYPERLINK("http://exon.niaid.nih.gov/transcriptome/Anopheles_sialome/links/cluster-b/anopheline-sialome-cds-pep-larger-orf70-50SimCLTL43.txt", 7)</f>
        <v>7</v>
      </c>
      <c r="CF704">
        <f>HYPERLINK("http://exon.niaid.nih.gov/transcriptome/Anopheles_sialome/links/cluster-b/anopheline-sialome-cds-pep-larger-orf75-50SimCLU41.txt", 41)</f>
        <v>41</v>
      </c>
      <c r="CG704">
        <f>HYPERLINK("http://exon.niaid.nih.gov/transcriptome/Anopheles_sialome/links/cluster-b/anopheline-sialome-cds-pep-larger-orf75-50SimCLTL41.txt", 6)</f>
        <v>6</v>
      </c>
      <c r="CH704">
        <f>HYPERLINK("http://exon.niaid.nih.gov/transcriptome/Anopheles_sialome/links/cluster-b/anopheline-sialome-cds-pep-larger-orf80-50SimCLU35.txt", 35)</f>
        <v>35</v>
      </c>
      <c r="CI704">
        <f>HYPERLINK("http://exon.niaid.nih.gov/transcriptome/Anopheles_sialome/links/cluster-b/anopheline-sialome-cds-pep-larger-orf80-50SimCLTL35.txt", 6)</f>
        <v>6</v>
      </c>
      <c r="CJ704">
        <f>HYPERLINK("http://exon.niaid.nih.gov/transcriptome/Anopheles_sialome/links/cluster-b/anopheline-sialome-cds-pep-larger-orf85-50SimCLU31.txt", 31)</f>
        <v>31</v>
      </c>
      <c r="CK704">
        <f>HYPERLINK("http://exon.niaid.nih.gov/transcriptome/Anopheles_sialome/links/cluster-b/anopheline-sialome-cds-pep-larger-orf85-50SimCLTL31.txt", 6)</f>
        <v>6</v>
      </c>
      <c r="CL704">
        <f>HYPERLINK("http://exon.niaid.nih.gov/transcriptome/Anopheles_sialome/links/cluster-b/anopheline-sialome-cds-pep-larger-orf90-50SimCLU23.txt", 23)</f>
        <v>23</v>
      </c>
      <c r="CM704">
        <f>HYPERLINK("http://exon.niaid.nih.gov/transcriptome/Anopheles_sialome/links/cluster-b/anopheline-sialome-cds-pep-larger-orf90-50SimCLTL23.txt", 6)</f>
        <v>6</v>
      </c>
      <c r="CN704">
        <f>HYPERLINK("http://exon.niaid.nih.gov/transcriptome/Anopheles_sialome/links/cluster-b/anopheline-sialome-cds-pep-larger-orf95-50SimCLU36.txt", 36)</f>
        <v>36</v>
      </c>
      <c r="CO704">
        <f>HYPERLINK("http://exon.niaid.nih.gov/transcriptome/Anopheles_sialome/links/cluster-b/anopheline-sialome-cds-pep-larger-orf95-50SimCLTL36.txt", 5)</f>
        <v>5</v>
      </c>
    </row>
    <row r="705" spans="1:93">
      <c r="A705" s="2" t="str">
        <f>HYPERLINK("http://exon.niaid.nih.gov/transcriptome/Anopheles_sialome/links/cds/anocol_hyp13-cds.txt","anocol_hyp13")</f>
        <v>anocol_hyp13</v>
      </c>
      <c r="B705">
        <v>171</v>
      </c>
      <c r="C705" t="s">
        <v>4</v>
      </c>
      <c r="D705" s="8" t="s">
        <v>3178</v>
      </c>
      <c r="E705" t="s">
        <v>5</v>
      </c>
      <c r="F705" t="s">
        <v>1</v>
      </c>
      <c r="G705" t="str">
        <f>HYPERLINK("http://exon.niaid.nih.gov/transcriptome/Anopheles_sialome/links/pep/anocol_hyp13-pep.txt","anocol_hyp13")</f>
        <v>anocol_hyp13</v>
      </c>
      <c r="H705">
        <v>56</v>
      </c>
      <c r="I705">
        <v>0</v>
      </c>
      <c r="J705" s="3" t="str">
        <f>HYPERLINK("http://exon.niaid.nih.gov/transcriptome/Anopheles_sialome/links/Sigp/anocol_hyp13-SigP.txt","SIG")</f>
        <v>SIG</v>
      </c>
      <c r="K705" t="s">
        <v>695</v>
      </c>
      <c r="L705">
        <v>6.2</v>
      </c>
      <c r="M705">
        <v>5.45</v>
      </c>
      <c r="N705">
        <v>3.81</v>
      </c>
      <c r="O705">
        <v>4.75</v>
      </c>
      <c r="P705" t="s">
        <v>1281</v>
      </c>
      <c r="Q705" s="3" t="str">
        <f>HYPERLINK("http://exon.niaid.nih.gov/transcriptome/Anopheles_sialome/links/tmhmm/anocol_hyp13-tmhmm.txt","1")</f>
        <v>1</v>
      </c>
      <c r="R705">
        <v>39.299999999999997</v>
      </c>
      <c r="S705">
        <v>7.1</v>
      </c>
      <c r="T705">
        <v>53.6</v>
      </c>
      <c r="U705" t="s">
        <v>128</v>
      </c>
      <c r="V705">
        <v>30</v>
      </c>
      <c r="W705" s="3" t="str">
        <f>HYPERLINK("http://exon.niaid.nih.gov/transcriptome/Anopheles_sialome/links/netoglyc/anocol_hyp13-netoglyc.txt","0")</f>
        <v>0</v>
      </c>
      <c r="X705">
        <v>10.7</v>
      </c>
      <c r="Y705">
        <v>3.6</v>
      </c>
      <c r="Z705">
        <v>1.8</v>
      </c>
      <c r="AA705" t="s">
        <v>654</v>
      </c>
      <c r="AB705" t="s">
        <v>128</v>
      </c>
      <c r="AC705" s="2" t="str">
        <f>HYPERLINK("http://exon.niaid.nih.gov/transcriptome/Anopheles_sialome/links/DIPTERA/anocol_hyp13-DIPTERA.txt","AGAP003474-PA")</f>
        <v>AGAP003474-PA</v>
      </c>
      <c r="AD705" t="str">
        <f>HYPERLINK("http://www.ncbi.nlm.nih.gov/sutils/blink.cgi?pid=55242638","8E-024")</f>
        <v>8E-024</v>
      </c>
      <c r="AE705" t="str">
        <f t="shared" si="244"/>
        <v>gi|55242638</v>
      </c>
      <c r="AF705">
        <v>98</v>
      </c>
      <c r="AG705">
        <v>100</v>
      </c>
      <c r="AH705">
        <v>100</v>
      </c>
      <c r="AI705" t="s">
        <v>2285</v>
      </c>
      <c r="AJ705" s="2" t="str">
        <f>HYPERLINK("http://exon.niaid.nih.gov/transcriptome/Anopheles_sialome/links/CULICOMORPHA/anocol_hyp13-CULICOMORPHA.txt","AGAP003474-PA")</f>
        <v>AGAP003474-PA</v>
      </c>
      <c r="AK705" t="str">
        <f>HYPERLINK("http://www.ncbi.nlm.nih.gov/sutils/blink.cgi?pid=55242638","1E-024")</f>
        <v>1E-024</v>
      </c>
      <c r="AL705" t="str">
        <f t="shared" si="245"/>
        <v>gi|55242638</v>
      </c>
      <c r="AM705">
        <v>98</v>
      </c>
      <c r="AN705">
        <v>100</v>
      </c>
      <c r="AO705">
        <v>100</v>
      </c>
      <c r="AP705" t="s">
        <v>2285</v>
      </c>
      <c r="AQ705" s="2" t="str">
        <f>HYPERLINK("http://exon.niaid.nih.gov/transcriptome/Anopheles_sialome/links/NR-LIGHT/anocol_hyp13-NR-LIGHT.txt","AGAP003474-PA")</f>
        <v>AGAP003474-PA</v>
      </c>
      <c r="AR705" t="str">
        <f>HYPERLINK("http://www.ncbi.nlm.nih.gov/sutils/blink.cgi?pid=58382212","2E-023")</f>
        <v>2E-023</v>
      </c>
      <c r="AS705" t="str">
        <f t="shared" si="246"/>
        <v>gi|58382212</v>
      </c>
      <c r="AT705">
        <v>98</v>
      </c>
      <c r="AU705">
        <v>100</v>
      </c>
      <c r="AV705">
        <v>100</v>
      </c>
      <c r="AW705" t="s">
        <v>2285</v>
      </c>
      <c r="AX705" s="2" t="str">
        <f>HYPERLINK("http://exon.niaid.nih.gov/transcriptome/Anopheles_sialome/links/CDD/anocol_hyp13-CDD.txt","CD36")</f>
        <v>CD36</v>
      </c>
      <c r="AY705" t="str">
        <f>HYPERLINK("http://www.ncbi.nlm.nih.gov/Structure/cdd/cddsrv.cgi?uid=pfam01130&amp;version=v4.0","0.79")</f>
        <v>0.79</v>
      </c>
      <c r="AZ705" t="s">
        <v>2622</v>
      </c>
      <c r="BA705" s="2" t="str">
        <f>HYPERLINK("http://exon.niaid.nih.gov/transcriptome/Anopheles_sialome/links/KOG/anocol_hyp13-KOG.txt","Plasma membrane glycoprotein CD36 and related membrane receptors")</f>
        <v>Plasma membrane glycoprotein CD36 and related membrane receptors</v>
      </c>
      <c r="BB705" t="str">
        <f>HYPERLINK("http://www.ncbi.nlm.nih.gov/Structure/cdd/cddsrv.cgi?uid=KOG3776","4.3")</f>
        <v>4.3</v>
      </c>
      <c r="BC705" t="s">
        <v>2292</v>
      </c>
      <c r="BD705" t="str">
        <f>HYPERLINK("http://exon.niaid.nih.gov/transcriptome/Anopheles_sialome/links/KOG/anocol_hyp13-KOG.txt","KOG3776")</f>
        <v>KOG3776</v>
      </c>
      <c r="BE705" t="str">
        <f>HYPERLINK("http://exon.niaid.nih.gov/transcriptome/Anopheles_sialome/links/PFAM/anocol_hyp13-PFAM.txt","CD36")</f>
        <v>CD36</v>
      </c>
      <c r="BF705" t="str">
        <f>HYPERLINK("http://pfam.sanger.ac.uk/family?acc=PF01130","0.17")</f>
        <v>0.17</v>
      </c>
      <c r="BG705" s="2" t="str">
        <f>HYPERLINK("http://exon.niaid.nih.gov/transcriptome/Anopheles_sialome/links/SMART/anocol_hyp13-SMART.txt","H2A")</f>
        <v>H2A</v>
      </c>
      <c r="BH705" t="str">
        <f>HYPERLINK("http://smart.embl-heidelberg.de/smart/do_annotation.pl?DOMAIN=H2A&amp;BLAST=DUMMY","6.2")</f>
        <v>6.2</v>
      </c>
      <c r="BI705" t="s">
        <v>128</v>
      </c>
      <c r="BJ705" s="2" t="s">
        <v>128</v>
      </c>
      <c r="BK705" t="s">
        <v>1280</v>
      </c>
      <c r="BL705">
        <f>HYPERLINK("http://exon.niaid.nih.gov/transcriptome/Anopheles_sialome/links/cluster-b/anopheline-sialome-cds-pep-larger-orf25-50SimCLU1.txt", 1)</f>
        <v>1</v>
      </c>
      <c r="BM705">
        <f>HYPERLINK("http://exon.niaid.nih.gov/transcriptome/Anopheles_sialome/links/cluster-b/anopheline-sialome-cds-pep-larger-orf25-50SimCLTL1.txt", 165)</f>
        <v>165</v>
      </c>
      <c r="BN705">
        <f>HYPERLINK("http://exon.niaid.nih.gov/transcriptome/Anopheles_sialome/links/cluster-b/anopheline-sialome-cds-pep-larger-orf30-50SimCLU1.txt", 1)</f>
        <v>1</v>
      </c>
      <c r="BO705">
        <f>HYPERLINK("http://exon.niaid.nih.gov/transcriptome/Anopheles_sialome/links/cluster-b/anopheline-sialome-cds-pep-larger-orf30-50SimCLTL1.txt", 165)</f>
        <v>165</v>
      </c>
      <c r="BP705">
        <f>HYPERLINK("http://exon.niaid.nih.gov/transcriptome/Anopheles_sialome/links/cluster-b/anopheline-sialome-cds-pep-larger-orf35-50SimCLU5.txt", 5)</f>
        <v>5</v>
      </c>
      <c r="BQ705">
        <f>HYPERLINK("http://exon.niaid.nih.gov/transcriptome/Anopheles_sialome/links/cluster-b/anopheline-sialome-cds-pep-larger-orf35-50SimCLTL5.txt", 61)</f>
        <v>61</v>
      </c>
      <c r="BR705">
        <f>HYPERLINK("http://exon.niaid.nih.gov/transcriptome/Anopheles_sialome/links/cluster-b/anopheline-sialome-cds-pep-larger-orf40-50SimCLU25.txt", 25)</f>
        <v>25</v>
      </c>
      <c r="BS705">
        <f>HYPERLINK("http://exon.niaid.nih.gov/transcriptome/Anopheles_sialome/links/cluster-b/anopheline-sialome-cds-pep-larger-orf40-50SimCLTL25.txt", 16)</f>
        <v>16</v>
      </c>
      <c r="BT705">
        <f>HYPERLINK("http://exon.niaid.nih.gov/transcriptome/Anopheles_sialome/links/cluster-b/anopheline-sialome-cds-pep-larger-orf45-50SimCLU29.txt", 29)</f>
        <v>29</v>
      </c>
      <c r="BU705">
        <f>HYPERLINK("http://exon.niaid.nih.gov/transcriptome/Anopheles_sialome/links/cluster-b/anopheline-sialome-cds-pep-larger-orf45-50SimCLTL29.txt", 16)</f>
        <v>16</v>
      </c>
      <c r="BV705">
        <f>HYPERLINK("http://exon.niaid.nih.gov/transcriptome/Anopheles_sialome/links/cluster-b/anopheline-sialome-cds-pep-larger-orf50-50SimCLU30.txt", 30)</f>
        <v>30</v>
      </c>
      <c r="BW705">
        <f>HYPERLINK("http://exon.niaid.nih.gov/transcriptome/Anopheles_sialome/links/cluster-b/anopheline-sialome-cds-pep-larger-orf50-50SimCLTL30.txt", 16)</f>
        <v>16</v>
      </c>
      <c r="BX705">
        <f>HYPERLINK("http://exon.niaid.nih.gov/transcriptome/Anopheles_sialome/links/cluster-b/anopheline-sialome-cds-pep-larger-orf55-50SimCLU29.txt", 29)</f>
        <v>29</v>
      </c>
      <c r="BY705">
        <f>HYPERLINK("http://exon.niaid.nih.gov/transcriptome/Anopheles_sialome/links/cluster-b/anopheline-sialome-cds-pep-larger-orf55-50SimCLTL29.txt", 16)</f>
        <v>16</v>
      </c>
      <c r="BZ705">
        <f>HYPERLINK("http://exon.niaid.nih.gov/transcriptome/Anopheles_sialome/links/cluster-b/anopheline-sialome-cds-pep-larger-orf60-50SimCLU38.txt", 38)</f>
        <v>38</v>
      </c>
      <c r="CA705">
        <f>HYPERLINK("http://exon.niaid.nih.gov/transcriptome/Anopheles_sialome/links/cluster-b/anopheline-sialome-cds-pep-larger-orf60-50SimCLTL38.txt", 7)</f>
        <v>7</v>
      </c>
      <c r="CB705">
        <f>HYPERLINK("http://exon.niaid.nih.gov/transcriptome/Anopheles_sialome/links/cluster-b/anopheline-sialome-cds-pep-larger-orf65-50SimCLU41.txt", 41)</f>
        <v>41</v>
      </c>
      <c r="CC705">
        <f>HYPERLINK("http://exon.niaid.nih.gov/transcriptome/Anopheles_sialome/links/cluster-b/anopheline-sialome-cds-pep-larger-orf65-50SimCLTL41.txt", 7)</f>
        <v>7</v>
      </c>
      <c r="CD705">
        <f>HYPERLINK("http://exon.niaid.nih.gov/transcriptome/Anopheles_sialome/links/cluster-b/anopheline-sialome-cds-pep-larger-orf70-50SimCLU43.txt", 43)</f>
        <v>43</v>
      </c>
      <c r="CE705">
        <f>HYPERLINK("http://exon.niaid.nih.gov/transcriptome/Anopheles_sialome/links/cluster-b/anopheline-sialome-cds-pep-larger-orf70-50SimCLTL43.txt", 7)</f>
        <v>7</v>
      </c>
      <c r="CF705">
        <f>HYPERLINK("http://exon.niaid.nih.gov/transcriptome/Anopheles_sialome/links/cluster-b/anopheline-sialome-cds-pep-larger-orf75-50SimCLU41.txt", 41)</f>
        <v>41</v>
      </c>
      <c r="CG705">
        <f>HYPERLINK("http://exon.niaid.nih.gov/transcriptome/Anopheles_sialome/links/cluster-b/anopheline-sialome-cds-pep-larger-orf75-50SimCLTL41.txt", 6)</f>
        <v>6</v>
      </c>
      <c r="CH705">
        <f>HYPERLINK("http://exon.niaid.nih.gov/transcriptome/Anopheles_sialome/links/cluster-b/anopheline-sialome-cds-pep-larger-orf80-50SimCLU35.txt", 35)</f>
        <v>35</v>
      </c>
      <c r="CI705">
        <f>HYPERLINK("http://exon.niaid.nih.gov/transcriptome/Anopheles_sialome/links/cluster-b/anopheline-sialome-cds-pep-larger-orf80-50SimCLTL35.txt", 6)</f>
        <v>6</v>
      </c>
      <c r="CJ705">
        <f>HYPERLINK("http://exon.niaid.nih.gov/transcriptome/Anopheles_sialome/links/cluster-b/anopheline-sialome-cds-pep-larger-orf85-50SimCLU31.txt", 31)</f>
        <v>31</v>
      </c>
      <c r="CK705">
        <f>HYPERLINK("http://exon.niaid.nih.gov/transcriptome/Anopheles_sialome/links/cluster-b/anopheline-sialome-cds-pep-larger-orf85-50SimCLTL31.txt", 6)</f>
        <v>6</v>
      </c>
      <c r="CL705">
        <f>HYPERLINK("http://exon.niaid.nih.gov/transcriptome/Anopheles_sialome/links/cluster-b/anopheline-sialome-cds-pep-larger-orf90-50SimCLU23.txt", 23)</f>
        <v>23</v>
      </c>
      <c r="CM705">
        <f>HYPERLINK("http://exon.niaid.nih.gov/transcriptome/Anopheles_sialome/links/cluster-b/anopheline-sialome-cds-pep-larger-orf90-50SimCLTL23.txt", 6)</f>
        <v>6</v>
      </c>
      <c r="CN705">
        <f>HYPERLINK("http://exon.niaid.nih.gov/transcriptome/Anopheles_sialome/links/cluster-b/anopheline-sialome-cds-pep-larger-orf95-50SimCLU36.txt", 36)</f>
        <v>36</v>
      </c>
      <c r="CO705">
        <f>HYPERLINK("http://exon.niaid.nih.gov/transcriptome/Anopheles_sialome/links/cluster-b/anopheline-sialome-cds-pep-larger-orf95-50SimCLTL36.txt", 5)</f>
        <v>5</v>
      </c>
    </row>
    <row r="706" spans="1:93">
      <c r="A706" s="2" t="str">
        <f>HYPERLINK("http://exon.niaid.nih.gov/transcriptome/Anopheles_sialome/links/cds/anoara_hyp13-cds.txt","anoara_hyp13")</f>
        <v>anoara_hyp13</v>
      </c>
      <c r="B706">
        <v>171</v>
      </c>
      <c r="C706" t="s">
        <v>244</v>
      </c>
      <c r="D706" t="s">
        <v>4</v>
      </c>
      <c r="E706" t="s">
        <v>5</v>
      </c>
      <c r="F706" t="s">
        <v>1</v>
      </c>
      <c r="G706" t="str">
        <f>HYPERLINK("http://exon.niaid.nih.gov/transcriptome/Anopheles_sialome/links/pep/anoara_hyp13-pep.txt","anoara_hyp13")</f>
        <v>anoara_hyp13</v>
      </c>
      <c r="H706">
        <v>56</v>
      </c>
      <c r="I706">
        <v>0</v>
      </c>
      <c r="J706" s="3" t="str">
        <f>HYPERLINK("http://exon.niaid.nih.gov/transcriptome/Anopheles_sialome/links/Sigp/anoara_hyp13-SigP.txt","SIG")</f>
        <v>SIG</v>
      </c>
      <c r="K706" t="s">
        <v>695</v>
      </c>
      <c r="L706">
        <v>6.1539999999999999</v>
      </c>
      <c r="M706">
        <v>5.42</v>
      </c>
      <c r="N706">
        <v>3.8340000000000001</v>
      </c>
      <c r="O706">
        <v>4.92</v>
      </c>
      <c r="P706" t="s">
        <v>1283</v>
      </c>
      <c r="Q706" s="3" t="str">
        <f>HYPERLINK("http://exon.niaid.nih.gov/transcriptome/Anopheles_sialome/links/tmhmm/anoara_hyp13-tmhmm.txt","1")</f>
        <v>1</v>
      </c>
      <c r="R706">
        <v>39.299999999999997</v>
      </c>
      <c r="S706">
        <v>7.1</v>
      </c>
      <c r="T706">
        <v>53.6</v>
      </c>
      <c r="U706" t="s">
        <v>128</v>
      </c>
      <c r="V706">
        <v>30</v>
      </c>
      <c r="W706" s="3" t="str">
        <f>HYPERLINK("http://exon.niaid.nih.gov/transcriptome/Anopheles_sialome/links/netoglyc/anoara_hyp13-netoglyc.txt","0")</f>
        <v>0</v>
      </c>
      <c r="X706">
        <v>10.7</v>
      </c>
      <c r="Y706">
        <v>3.6</v>
      </c>
      <c r="Z706">
        <v>1.8</v>
      </c>
      <c r="AA706" t="s">
        <v>654</v>
      </c>
      <c r="AB706" t="s">
        <v>128</v>
      </c>
      <c r="AC706" s="2" t="str">
        <f>HYPERLINK("http://exon.niaid.nih.gov/transcriptome/Anopheles_sialome/links/DIPTERA/anoara_hyp13-DIPTERA.txt","AGAP003474-PA")</f>
        <v>AGAP003474-PA</v>
      </c>
      <c r="AD706" t="str">
        <f>HYPERLINK("http://www.ncbi.nlm.nih.gov/sutils/blink.cgi?pid=55242638","4E-022")</f>
        <v>4E-022</v>
      </c>
      <c r="AE706" t="str">
        <f t="shared" si="244"/>
        <v>gi|55242638</v>
      </c>
      <c r="AF706">
        <v>92</v>
      </c>
      <c r="AG706">
        <v>96</v>
      </c>
      <c r="AH706">
        <v>100</v>
      </c>
      <c r="AI706" t="s">
        <v>2285</v>
      </c>
      <c r="AJ706" s="2" t="str">
        <f>HYPERLINK("http://exon.niaid.nih.gov/transcriptome/Anopheles_sialome/links/CULICOMORPHA/anoara_hyp13-CULICOMORPHA.txt","AGAP003474-PA")</f>
        <v>AGAP003474-PA</v>
      </c>
      <c r="AK706" t="str">
        <f>HYPERLINK("http://www.ncbi.nlm.nih.gov/sutils/blink.cgi?pid=55242638","7E-023")</f>
        <v>7E-023</v>
      </c>
      <c r="AL706" t="str">
        <f t="shared" si="245"/>
        <v>gi|55242638</v>
      </c>
      <c r="AM706">
        <v>92</v>
      </c>
      <c r="AN706">
        <v>96</v>
      </c>
      <c r="AO706">
        <v>100</v>
      </c>
      <c r="AP706" t="s">
        <v>2285</v>
      </c>
      <c r="AQ706" s="2" t="str">
        <f>HYPERLINK("http://exon.niaid.nih.gov/transcriptome/Anopheles_sialome/links/NR-LIGHT/anoara_hyp13-NR-LIGHT.txt","AGAP003474-PA")</f>
        <v>AGAP003474-PA</v>
      </c>
      <c r="AR706" t="str">
        <f>HYPERLINK("http://www.ncbi.nlm.nih.gov/sutils/blink.cgi?pid=58382212","1E-021")</f>
        <v>1E-021</v>
      </c>
      <c r="AS706" t="str">
        <f t="shared" si="246"/>
        <v>gi|58382212</v>
      </c>
      <c r="AT706">
        <v>92</v>
      </c>
      <c r="AU706">
        <v>96</v>
      </c>
      <c r="AV706">
        <v>100</v>
      </c>
      <c r="AW706" t="s">
        <v>2285</v>
      </c>
      <c r="AX706" s="2" t="str">
        <f>HYPERLINK("http://exon.niaid.nih.gov/transcriptome/Anopheles_sialome/links/CDD/anoara_hyp13-CDD.txt","Glyco_hydro_100")</f>
        <v>Glyco_hydro_100</v>
      </c>
      <c r="AY706" t="str">
        <f>HYPERLINK("http://www.ncbi.nlm.nih.gov/Structure/cdd/cddsrv.cgi?uid=pfam12899&amp;version=v4.0","2.4")</f>
        <v>2.4</v>
      </c>
      <c r="AZ706" t="s">
        <v>2623</v>
      </c>
      <c r="BA706" s="2" t="str">
        <f>HYPERLINK("http://exon.niaid.nih.gov/transcriptome/Anopheles_sialome/links/KOG/anoara_hyp13-KOG.txt","Splicing coactivator SRm160/300, subunit SRm300")</f>
        <v>Splicing coactivator SRm160/300, subunit SRm300</v>
      </c>
      <c r="BB706" t="str">
        <f>HYPERLINK("http://www.ncbi.nlm.nih.gov/Structure/cdd/cddsrv.cgi?uid=KOG1869","2.6")</f>
        <v>2.6</v>
      </c>
      <c r="BC706" t="s">
        <v>2464</v>
      </c>
      <c r="BD706" t="str">
        <f>HYPERLINK("http://exon.niaid.nih.gov/transcriptome/Anopheles_sialome/links/KOG/anoara_hyp13-KOG.txt","KOG1869")</f>
        <v>KOG1869</v>
      </c>
      <c r="BE706" t="str">
        <f>HYPERLINK("http://exon.niaid.nih.gov/transcriptome/Anopheles_sialome/links/PFAM/anoara_hyp13-PFAM.txt","Glyco_hydro_100")</f>
        <v>Glyco_hydro_100</v>
      </c>
      <c r="BF706" t="str">
        <f>HYPERLINK("http://pfam.sanger.ac.uk/family?acc=PF12899","0.53")</f>
        <v>0.53</v>
      </c>
      <c r="BG706" s="2" t="str">
        <f>HYPERLINK("http://exon.niaid.nih.gov/transcriptome/Anopheles_sialome/links/SMART/anoara_hyp13-SMART.txt","IL4_13")</f>
        <v>IL4_13</v>
      </c>
      <c r="BH706" t="str">
        <f>HYPERLINK("http://smart.embl-heidelberg.de/smart/do_annotation.pl?DOMAIN=IL4_13&amp;BLAST=DUMMY","1.5")</f>
        <v>1.5</v>
      </c>
      <c r="BI706" t="str">
        <f>HYPERLINK("http://exon.niaid.nih.gov/transcriptome/Anopheles_sialome/links/TICK-BLOCKS/anoara_hyp13-TICK-BLOCKS.txt","Hyp13_ |")</f>
        <v>Hyp13_ |</v>
      </c>
      <c r="BJ706" s="2" t="s">
        <v>2617</v>
      </c>
      <c r="BK706" t="s">
        <v>1282</v>
      </c>
      <c r="BL706">
        <f>HYPERLINK("http://exon.niaid.nih.gov/transcriptome/Anopheles_sialome/links/cluster-b/anopheline-sialome-cds-pep-larger-orf25-50SimCLU1.txt", 1)</f>
        <v>1</v>
      </c>
      <c r="BM706">
        <f>HYPERLINK("http://exon.niaid.nih.gov/transcriptome/Anopheles_sialome/links/cluster-b/anopheline-sialome-cds-pep-larger-orf25-50SimCLTL1.txt", 165)</f>
        <v>165</v>
      </c>
      <c r="BN706">
        <f>HYPERLINK("http://exon.niaid.nih.gov/transcriptome/Anopheles_sialome/links/cluster-b/anopheline-sialome-cds-pep-larger-orf30-50SimCLU1.txt", 1)</f>
        <v>1</v>
      </c>
      <c r="BO706">
        <f>HYPERLINK("http://exon.niaid.nih.gov/transcriptome/Anopheles_sialome/links/cluster-b/anopheline-sialome-cds-pep-larger-orf30-50SimCLTL1.txt", 165)</f>
        <v>165</v>
      </c>
      <c r="BP706">
        <f>HYPERLINK("http://exon.niaid.nih.gov/transcriptome/Anopheles_sialome/links/cluster-b/anopheline-sialome-cds-pep-larger-orf35-50SimCLU5.txt", 5)</f>
        <v>5</v>
      </c>
      <c r="BQ706">
        <f>HYPERLINK("http://exon.niaid.nih.gov/transcriptome/Anopheles_sialome/links/cluster-b/anopheline-sialome-cds-pep-larger-orf35-50SimCLTL5.txt", 61)</f>
        <v>61</v>
      </c>
      <c r="BR706">
        <f>HYPERLINK("http://exon.niaid.nih.gov/transcriptome/Anopheles_sialome/links/cluster-b/anopheline-sialome-cds-pep-larger-orf40-50SimCLU25.txt", 25)</f>
        <v>25</v>
      </c>
      <c r="BS706">
        <f>HYPERLINK("http://exon.niaid.nih.gov/transcriptome/Anopheles_sialome/links/cluster-b/anopheline-sialome-cds-pep-larger-orf40-50SimCLTL25.txt", 16)</f>
        <v>16</v>
      </c>
      <c r="BT706">
        <f>HYPERLINK("http://exon.niaid.nih.gov/transcriptome/Anopheles_sialome/links/cluster-b/anopheline-sialome-cds-pep-larger-orf45-50SimCLU29.txt", 29)</f>
        <v>29</v>
      </c>
      <c r="BU706">
        <f>HYPERLINK("http://exon.niaid.nih.gov/transcriptome/Anopheles_sialome/links/cluster-b/anopheline-sialome-cds-pep-larger-orf45-50SimCLTL29.txt", 16)</f>
        <v>16</v>
      </c>
      <c r="BV706">
        <f>HYPERLINK("http://exon.niaid.nih.gov/transcriptome/Anopheles_sialome/links/cluster-b/anopheline-sialome-cds-pep-larger-orf50-50SimCLU30.txt", 30)</f>
        <v>30</v>
      </c>
      <c r="BW706">
        <f>HYPERLINK("http://exon.niaid.nih.gov/transcriptome/Anopheles_sialome/links/cluster-b/anopheline-sialome-cds-pep-larger-orf50-50SimCLTL30.txt", 16)</f>
        <v>16</v>
      </c>
      <c r="BX706">
        <f>HYPERLINK("http://exon.niaid.nih.gov/transcriptome/Anopheles_sialome/links/cluster-b/anopheline-sialome-cds-pep-larger-orf55-50SimCLU29.txt", 29)</f>
        <v>29</v>
      </c>
      <c r="BY706">
        <f>HYPERLINK("http://exon.niaid.nih.gov/transcriptome/Anopheles_sialome/links/cluster-b/anopheline-sialome-cds-pep-larger-orf55-50SimCLTL29.txt", 16)</f>
        <v>16</v>
      </c>
      <c r="BZ706">
        <f>HYPERLINK("http://exon.niaid.nih.gov/transcriptome/Anopheles_sialome/links/cluster-b/anopheline-sialome-cds-pep-larger-orf60-50SimCLU38.txt", 38)</f>
        <v>38</v>
      </c>
      <c r="CA706">
        <f>HYPERLINK("http://exon.niaid.nih.gov/transcriptome/Anopheles_sialome/links/cluster-b/anopheline-sialome-cds-pep-larger-orf60-50SimCLTL38.txt", 7)</f>
        <v>7</v>
      </c>
      <c r="CB706">
        <f>HYPERLINK("http://exon.niaid.nih.gov/transcriptome/Anopheles_sialome/links/cluster-b/anopheline-sialome-cds-pep-larger-orf65-50SimCLU41.txt", 41)</f>
        <v>41</v>
      </c>
      <c r="CC706">
        <f>HYPERLINK("http://exon.niaid.nih.gov/transcriptome/Anopheles_sialome/links/cluster-b/anopheline-sialome-cds-pep-larger-orf65-50SimCLTL41.txt", 7)</f>
        <v>7</v>
      </c>
      <c r="CD706">
        <f>HYPERLINK("http://exon.niaid.nih.gov/transcriptome/Anopheles_sialome/links/cluster-b/anopheline-sialome-cds-pep-larger-orf70-50SimCLU43.txt", 43)</f>
        <v>43</v>
      </c>
      <c r="CE706">
        <f>HYPERLINK("http://exon.niaid.nih.gov/transcriptome/Anopheles_sialome/links/cluster-b/anopheline-sialome-cds-pep-larger-orf70-50SimCLTL43.txt", 7)</f>
        <v>7</v>
      </c>
      <c r="CF706">
        <f>HYPERLINK("http://exon.niaid.nih.gov/transcriptome/Anopheles_sialome/links/cluster-b/anopheline-sialome-cds-pep-larger-orf75-50SimCLU41.txt", 41)</f>
        <v>41</v>
      </c>
      <c r="CG706">
        <f>HYPERLINK("http://exon.niaid.nih.gov/transcriptome/Anopheles_sialome/links/cluster-b/anopheline-sialome-cds-pep-larger-orf75-50SimCLTL41.txt", 6)</f>
        <v>6</v>
      </c>
      <c r="CH706">
        <f>HYPERLINK("http://exon.niaid.nih.gov/transcriptome/Anopheles_sialome/links/cluster-b/anopheline-sialome-cds-pep-larger-orf80-50SimCLU35.txt", 35)</f>
        <v>35</v>
      </c>
      <c r="CI706">
        <f>HYPERLINK("http://exon.niaid.nih.gov/transcriptome/Anopheles_sialome/links/cluster-b/anopheline-sialome-cds-pep-larger-orf80-50SimCLTL35.txt", 6)</f>
        <v>6</v>
      </c>
      <c r="CJ706">
        <f>HYPERLINK("http://exon.niaid.nih.gov/transcriptome/Anopheles_sialome/links/cluster-b/anopheline-sialome-cds-pep-larger-orf85-50SimCLU31.txt", 31)</f>
        <v>31</v>
      </c>
      <c r="CK706">
        <f>HYPERLINK("http://exon.niaid.nih.gov/transcriptome/Anopheles_sialome/links/cluster-b/anopheline-sialome-cds-pep-larger-orf85-50SimCLTL31.txt", 6)</f>
        <v>6</v>
      </c>
      <c r="CL706">
        <f>HYPERLINK("http://exon.niaid.nih.gov/transcriptome/Anopheles_sialome/links/cluster-b/anopheline-sialome-cds-pep-larger-orf90-50SimCLU23.txt", 23)</f>
        <v>23</v>
      </c>
      <c r="CM706">
        <f>HYPERLINK("http://exon.niaid.nih.gov/transcriptome/Anopheles_sialome/links/cluster-b/anopheline-sialome-cds-pep-larger-orf90-50SimCLTL23.txt", 6)</f>
        <v>6</v>
      </c>
      <c r="CN706">
        <f>HYPERLINK("http://exon.niaid.nih.gov/transcriptome/Anopheles_sialome/links/cluster-b/anopheline-sialome-cds-pep-larger-orf95-50SimCLU36.txt", 36)</f>
        <v>36</v>
      </c>
      <c r="CO706">
        <f>HYPERLINK("http://exon.niaid.nih.gov/transcriptome/Anopheles_sialome/links/cluster-b/anopheline-sialome-cds-pep-larger-orf95-50SimCLTL36.txt", 5)</f>
        <v>5</v>
      </c>
    </row>
    <row r="707" spans="1:93">
      <c r="A707" s="2" t="str">
        <f>HYPERLINK("http://exon.niaid.nih.gov/transcriptome/Anopheles_sialome/links/cds/anoqua_hyp13-cds.txt","anoqua_hyp13")</f>
        <v>anoqua_hyp13</v>
      </c>
      <c r="B707">
        <v>171</v>
      </c>
      <c r="C707" t="s">
        <v>245</v>
      </c>
      <c r="D707" t="s">
        <v>7</v>
      </c>
      <c r="E707" t="s">
        <v>5</v>
      </c>
      <c r="F707" t="s">
        <v>1</v>
      </c>
      <c r="G707" t="str">
        <f>HYPERLINK("http://exon.niaid.nih.gov/transcriptome/Anopheles_sialome/links/pep/anoqua_hyp13-pep.txt","anoqua_hyp13")</f>
        <v>anoqua_hyp13</v>
      </c>
      <c r="H707">
        <v>56</v>
      </c>
      <c r="I707">
        <v>0</v>
      </c>
      <c r="J707" s="3" t="str">
        <f>HYPERLINK("http://exon.niaid.nih.gov/transcriptome/Anopheles_sialome/links/Sigp/anoqua_hyp13-SigP.txt","SIG")</f>
        <v>SIG</v>
      </c>
      <c r="K707" t="s">
        <v>695</v>
      </c>
      <c r="L707">
        <v>6.1539999999999999</v>
      </c>
      <c r="M707">
        <v>5.42</v>
      </c>
      <c r="N707">
        <v>3.8340000000000001</v>
      </c>
      <c r="O707">
        <v>4.92</v>
      </c>
      <c r="P707" t="s">
        <v>1283</v>
      </c>
      <c r="Q707" s="3" t="str">
        <f>HYPERLINK("http://exon.niaid.nih.gov/transcriptome/Anopheles_sialome/links/tmhmm/anoqua_hyp13-tmhmm.txt","1")</f>
        <v>1</v>
      </c>
      <c r="R707">
        <v>39.299999999999997</v>
      </c>
      <c r="S707">
        <v>7.1</v>
      </c>
      <c r="T707">
        <v>53.6</v>
      </c>
      <c r="U707" t="s">
        <v>128</v>
      </c>
      <c r="V707">
        <v>30</v>
      </c>
      <c r="W707" s="3" t="str">
        <f>HYPERLINK("http://exon.niaid.nih.gov/transcriptome/Anopheles_sialome/links/netoglyc/anoqua_hyp13-netoglyc.txt","0")</f>
        <v>0</v>
      </c>
      <c r="X707">
        <v>10.7</v>
      </c>
      <c r="Y707">
        <v>3.6</v>
      </c>
      <c r="Z707">
        <v>1.8</v>
      </c>
      <c r="AA707" t="s">
        <v>654</v>
      </c>
      <c r="AB707" t="s">
        <v>128</v>
      </c>
      <c r="AC707" s="2" t="str">
        <f>HYPERLINK("http://exon.niaid.nih.gov/transcriptome/Anopheles_sialome/links/DIPTERA/anoqua_hyp13-DIPTERA.txt","AGAP003474-PA")</f>
        <v>AGAP003474-PA</v>
      </c>
      <c r="AD707" t="str">
        <f>HYPERLINK("http://www.ncbi.nlm.nih.gov/sutils/blink.cgi?pid=55242638","4E-022")</f>
        <v>4E-022</v>
      </c>
      <c r="AE707" t="str">
        <f t="shared" si="244"/>
        <v>gi|55242638</v>
      </c>
      <c r="AF707">
        <v>92</v>
      </c>
      <c r="AG707">
        <v>96</v>
      </c>
      <c r="AH707">
        <v>100</v>
      </c>
      <c r="AI707" t="s">
        <v>2285</v>
      </c>
      <c r="AJ707" s="2" t="str">
        <f>HYPERLINK("http://exon.niaid.nih.gov/transcriptome/Anopheles_sialome/links/CULICOMORPHA/anoqua_hyp13-CULICOMORPHA.txt","AGAP003474-PA")</f>
        <v>AGAP003474-PA</v>
      </c>
      <c r="AK707" t="str">
        <f>HYPERLINK("http://www.ncbi.nlm.nih.gov/sutils/blink.cgi?pid=55242638","7E-023")</f>
        <v>7E-023</v>
      </c>
      <c r="AL707" t="str">
        <f t="shared" si="245"/>
        <v>gi|55242638</v>
      </c>
      <c r="AM707">
        <v>92</v>
      </c>
      <c r="AN707">
        <v>96</v>
      </c>
      <c r="AO707">
        <v>100</v>
      </c>
      <c r="AP707" t="s">
        <v>2285</v>
      </c>
      <c r="AQ707" s="2" t="str">
        <f>HYPERLINK("http://exon.niaid.nih.gov/transcriptome/Anopheles_sialome/links/NR-LIGHT/anoqua_hyp13-NR-LIGHT.txt","AGAP003474-PA")</f>
        <v>AGAP003474-PA</v>
      </c>
      <c r="AR707" t="str">
        <f>HYPERLINK("http://www.ncbi.nlm.nih.gov/sutils/blink.cgi?pid=58382212","1E-021")</f>
        <v>1E-021</v>
      </c>
      <c r="AS707" t="str">
        <f t="shared" si="246"/>
        <v>gi|58382212</v>
      </c>
      <c r="AT707">
        <v>92</v>
      </c>
      <c r="AU707">
        <v>96</v>
      </c>
      <c r="AV707">
        <v>100</v>
      </c>
      <c r="AW707" t="s">
        <v>2285</v>
      </c>
      <c r="AX707" s="2" t="str">
        <f>HYPERLINK("http://exon.niaid.nih.gov/transcriptome/Anopheles_sialome/links/CDD/anoqua_hyp13-CDD.txt","Glyco_hydro_100")</f>
        <v>Glyco_hydro_100</v>
      </c>
      <c r="AY707" t="str">
        <f>HYPERLINK("http://www.ncbi.nlm.nih.gov/Structure/cdd/cddsrv.cgi?uid=pfam12899&amp;version=v4.0","2.4")</f>
        <v>2.4</v>
      </c>
      <c r="AZ707" t="s">
        <v>2623</v>
      </c>
      <c r="BA707" s="2" t="str">
        <f>HYPERLINK("http://exon.niaid.nih.gov/transcriptome/Anopheles_sialome/links/KOG/anoqua_hyp13-KOG.txt","Splicing coactivator SRm160/300, subunit SRm300")</f>
        <v>Splicing coactivator SRm160/300, subunit SRm300</v>
      </c>
      <c r="BB707" t="str">
        <f>HYPERLINK("http://www.ncbi.nlm.nih.gov/Structure/cdd/cddsrv.cgi?uid=KOG1869","2.6")</f>
        <v>2.6</v>
      </c>
      <c r="BC707" t="s">
        <v>2464</v>
      </c>
      <c r="BD707" t="str">
        <f>HYPERLINK("http://exon.niaid.nih.gov/transcriptome/Anopheles_sialome/links/KOG/anoqua_hyp13-KOG.txt","KOG1869")</f>
        <v>KOG1869</v>
      </c>
      <c r="BE707" t="str">
        <f>HYPERLINK("http://exon.niaid.nih.gov/transcriptome/Anopheles_sialome/links/PFAM/anoqua_hyp13-PFAM.txt","Glyco_hydro_100")</f>
        <v>Glyco_hydro_100</v>
      </c>
      <c r="BF707" t="str">
        <f>HYPERLINK("http://pfam.sanger.ac.uk/family?acc=PF12899","0.53")</f>
        <v>0.53</v>
      </c>
      <c r="BG707" s="2" t="str">
        <f>HYPERLINK("http://exon.niaid.nih.gov/transcriptome/Anopheles_sialome/links/SMART/anoqua_hyp13-SMART.txt","IL4_13")</f>
        <v>IL4_13</v>
      </c>
      <c r="BH707" t="str">
        <f>HYPERLINK("http://smart.embl-heidelberg.de/smart/do_annotation.pl?DOMAIN=IL4_13&amp;BLAST=DUMMY","1.5")</f>
        <v>1.5</v>
      </c>
      <c r="BI707" t="str">
        <f>HYPERLINK("http://exon.niaid.nih.gov/transcriptome/Anopheles_sialome/links/TICK-BLOCKS/anoqua_hyp13-TICK-BLOCKS.txt","Hyp13_ |")</f>
        <v>Hyp13_ |</v>
      </c>
      <c r="BJ707" s="2" t="s">
        <v>2617</v>
      </c>
      <c r="BK707" t="s">
        <v>1284</v>
      </c>
      <c r="BL707">
        <f>HYPERLINK("http://exon.niaid.nih.gov/transcriptome/Anopheles_sialome/links/cluster-b/anopheline-sialome-cds-pep-larger-orf25-50SimCLU1.txt", 1)</f>
        <v>1</v>
      </c>
      <c r="BM707">
        <f>HYPERLINK("http://exon.niaid.nih.gov/transcriptome/Anopheles_sialome/links/cluster-b/anopheline-sialome-cds-pep-larger-orf25-50SimCLTL1.txt", 165)</f>
        <v>165</v>
      </c>
      <c r="BN707">
        <f>HYPERLINK("http://exon.niaid.nih.gov/transcriptome/Anopheles_sialome/links/cluster-b/anopheline-sialome-cds-pep-larger-orf30-50SimCLU1.txt", 1)</f>
        <v>1</v>
      </c>
      <c r="BO707">
        <f>HYPERLINK("http://exon.niaid.nih.gov/transcriptome/Anopheles_sialome/links/cluster-b/anopheline-sialome-cds-pep-larger-orf30-50SimCLTL1.txt", 165)</f>
        <v>165</v>
      </c>
      <c r="BP707">
        <f>HYPERLINK("http://exon.niaid.nih.gov/transcriptome/Anopheles_sialome/links/cluster-b/anopheline-sialome-cds-pep-larger-orf35-50SimCLU5.txt", 5)</f>
        <v>5</v>
      </c>
      <c r="BQ707">
        <f>HYPERLINK("http://exon.niaid.nih.gov/transcriptome/Anopheles_sialome/links/cluster-b/anopheline-sialome-cds-pep-larger-orf35-50SimCLTL5.txt", 61)</f>
        <v>61</v>
      </c>
      <c r="BR707">
        <f>HYPERLINK("http://exon.niaid.nih.gov/transcriptome/Anopheles_sialome/links/cluster-b/anopheline-sialome-cds-pep-larger-orf40-50SimCLU25.txt", 25)</f>
        <v>25</v>
      </c>
      <c r="BS707">
        <f>HYPERLINK("http://exon.niaid.nih.gov/transcriptome/Anopheles_sialome/links/cluster-b/anopheline-sialome-cds-pep-larger-orf40-50SimCLTL25.txt", 16)</f>
        <v>16</v>
      </c>
      <c r="BT707">
        <f>HYPERLINK("http://exon.niaid.nih.gov/transcriptome/Anopheles_sialome/links/cluster-b/anopheline-sialome-cds-pep-larger-orf45-50SimCLU29.txt", 29)</f>
        <v>29</v>
      </c>
      <c r="BU707">
        <f>HYPERLINK("http://exon.niaid.nih.gov/transcriptome/Anopheles_sialome/links/cluster-b/anopheline-sialome-cds-pep-larger-orf45-50SimCLTL29.txt", 16)</f>
        <v>16</v>
      </c>
      <c r="BV707">
        <f>HYPERLINK("http://exon.niaid.nih.gov/transcriptome/Anopheles_sialome/links/cluster-b/anopheline-sialome-cds-pep-larger-orf50-50SimCLU30.txt", 30)</f>
        <v>30</v>
      </c>
      <c r="BW707">
        <f>HYPERLINK("http://exon.niaid.nih.gov/transcriptome/Anopheles_sialome/links/cluster-b/anopheline-sialome-cds-pep-larger-orf50-50SimCLTL30.txt", 16)</f>
        <v>16</v>
      </c>
      <c r="BX707">
        <f>HYPERLINK("http://exon.niaid.nih.gov/transcriptome/Anopheles_sialome/links/cluster-b/anopheline-sialome-cds-pep-larger-orf55-50SimCLU29.txt", 29)</f>
        <v>29</v>
      </c>
      <c r="BY707">
        <f>HYPERLINK("http://exon.niaid.nih.gov/transcriptome/Anopheles_sialome/links/cluster-b/anopheline-sialome-cds-pep-larger-orf55-50SimCLTL29.txt", 16)</f>
        <v>16</v>
      </c>
      <c r="BZ707">
        <f>HYPERLINK("http://exon.niaid.nih.gov/transcriptome/Anopheles_sialome/links/cluster-b/anopheline-sialome-cds-pep-larger-orf60-50SimCLU38.txt", 38)</f>
        <v>38</v>
      </c>
      <c r="CA707">
        <f>HYPERLINK("http://exon.niaid.nih.gov/transcriptome/Anopheles_sialome/links/cluster-b/anopheline-sialome-cds-pep-larger-orf60-50SimCLTL38.txt", 7)</f>
        <v>7</v>
      </c>
      <c r="CB707">
        <f>HYPERLINK("http://exon.niaid.nih.gov/transcriptome/Anopheles_sialome/links/cluster-b/anopheline-sialome-cds-pep-larger-orf65-50SimCLU41.txt", 41)</f>
        <v>41</v>
      </c>
      <c r="CC707">
        <f>HYPERLINK("http://exon.niaid.nih.gov/transcriptome/Anopheles_sialome/links/cluster-b/anopheline-sialome-cds-pep-larger-orf65-50SimCLTL41.txt", 7)</f>
        <v>7</v>
      </c>
      <c r="CD707">
        <f>HYPERLINK("http://exon.niaid.nih.gov/transcriptome/Anopheles_sialome/links/cluster-b/anopheline-sialome-cds-pep-larger-orf70-50SimCLU43.txt", 43)</f>
        <v>43</v>
      </c>
      <c r="CE707">
        <f>HYPERLINK("http://exon.niaid.nih.gov/transcriptome/Anopheles_sialome/links/cluster-b/anopheline-sialome-cds-pep-larger-orf70-50SimCLTL43.txt", 7)</f>
        <v>7</v>
      </c>
      <c r="CF707">
        <f>HYPERLINK("http://exon.niaid.nih.gov/transcriptome/Anopheles_sialome/links/cluster-b/anopheline-sialome-cds-pep-larger-orf75-50SimCLU41.txt", 41)</f>
        <v>41</v>
      </c>
      <c r="CG707">
        <f>HYPERLINK("http://exon.niaid.nih.gov/transcriptome/Anopheles_sialome/links/cluster-b/anopheline-sialome-cds-pep-larger-orf75-50SimCLTL41.txt", 6)</f>
        <v>6</v>
      </c>
      <c r="CH707">
        <f>HYPERLINK("http://exon.niaid.nih.gov/transcriptome/Anopheles_sialome/links/cluster-b/anopheline-sialome-cds-pep-larger-orf80-50SimCLU35.txt", 35)</f>
        <v>35</v>
      </c>
      <c r="CI707">
        <f>HYPERLINK("http://exon.niaid.nih.gov/transcriptome/Anopheles_sialome/links/cluster-b/anopheline-sialome-cds-pep-larger-orf80-50SimCLTL35.txt", 6)</f>
        <v>6</v>
      </c>
      <c r="CJ707">
        <f>HYPERLINK("http://exon.niaid.nih.gov/transcriptome/Anopheles_sialome/links/cluster-b/anopheline-sialome-cds-pep-larger-orf85-50SimCLU31.txt", 31)</f>
        <v>31</v>
      </c>
      <c r="CK707">
        <f>HYPERLINK("http://exon.niaid.nih.gov/transcriptome/Anopheles_sialome/links/cluster-b/anopheline-sialome-cds-pep-larger-orf85-50SimCLTL31.txt", 6)</f>
        <v>6</v>
      </c>
      <c r="CL707">
        <f>HYPERLINK("http://exon.niaid.nih.gov/transcriptome/Anopheles_sialome/links/cluster-b/anopheline-sialome-cds-pep-larger-orf90-50SimCLU23.txt", 23)</f>
        <v>23</v>
      </c>
      <c r="CM707">
        <f>HYPERLINK("http://exon.niaid.nih.gov/transcriptome/Anopheles_sialome/links/cluster-b/anopheline-sialome-cds-pep-larger-orf90-50SimCLTL23.txt", 6)</f>
        <v>6</v>
      </c>
      <c r="CN707">
        <f>HYPERLINK("http://exon.niaid.nih.gov/transcriptome/Anopheles_sialome/links/cluster-b/anopheline-sialome-cds-pep-larger-orf95-50SimCLU36.txt", 36)</f>
        <v>36</v>
      </c>
      <c r="CO707">
        <f>HYPERLINK("http://exon.niaid.nih.gov/transcriptome/Anopheles_sialome/links/cluster-b/anopheline-sialome-cds-pep-larger-orf95-50SimCLTL36.txt", 5)</f>
        <v>5</v>
      </c>
    </row>
    <row r="708" spans="1:93">
      <c r="A708" s="2" t="str">
        <f>HYPERLINK("http://exon.niaid.nih.gov/transcriptome/Anopheles_sialome/links/cds/anomer_hyp13-cds.txt","anomer_hyp13")</f>
        <v>anomer_hyp13</v>
      </c>
      <c r="B708">
        <v>171</v>
      </c>
      <c r="C708" t="s">
        <v>4</v>
      </c>
      <c r="D708" s="8" t="s">
        <v>3178</v>
      </c>
      <c r="E708" t="s">
        <v>5</v>
      </c>
      <c r="F708" t="s">
        <v>1</v>
      </c>
      <c r="G708" t="str">
        <f>HYPERLINK("http://exon.niaid.nih.gov/transcriptome/Anopheles_sialome/links/pep/anomer_hyp13-pep.txt","anomer_hyp13")</f>
        <v>anomer_hyp13</v>
      </c>
      <c r="H708">
        <v>56</v>
      </c>
      <c r="I708">
        <v>0</v>
      </c>
      <c r="J708" s="3" t="str">
        <f>HYPERLINK("http://exon.niaid.nih.gov/transcriptome/Anopheles_sialome/links/Sigp/anomer_hyp13-SigP.txt","SIG")</f>
        <v>SIG</v>
      </c>
      <c r="K708" t="s">
        <v>695</v>
      </c>
      <c r="L708">
        <v>6.1669999999999998</v>
      </c>
      <c r="M708">
        <v>6.7</v>
      </c>
      <c r="N708">
        <v>3.847</v>
      </c>
      <c r="O708">
        <v>6.04</v>
      </c>
      <c r="P708" t="s">
        <v>1286</v>
      </c>
      <c r="Q708" s="3" t="str">
        <f>HYPERLINK("http://exon.niaid.nih.gov/transcriptome/Anopheles_sialome/links/tmhmm/anomer_hyp13-tmhmm.txt","1")</f>
        <v>1</v>
      </c>
      <c r="R708">
        <v>39.299999999999997</v>
      </c>
      <c r="S708">
        <v>7.1</v>
      </c>
      <c r="T708">
        <v>53.6</v>
      </c>
      <c r="U708" t="s">
        <v>128</v>
      </c>
      <c r="V708">
        <v>30</v>
      </c>
      <c r="W708" s="3" t="str">
        <f>HYPERLINK("http://exon.niaid.nih.gov/transcriptome/Anopheles_sialome/links/netoglyc/anomer_hyp13-netoglyc.txt","0")</f>
        <v>0</v>
      </c>
      <c r="X708">
        <v>10.7</v>
      </c>
      <c r="Y708">
        <v>3.6</v>
      </c>
      <c r="Z708">
        <v>1.8</v>
      </c>
      <c r="AA708" t="s">
        <v>654</v>
      </c>
      <c r="AB708" t="s">
        <v>128</v>
      </c>
      <c r="AC708" s="2" t="str">
        <f>HYPERLINK("http://exon.niaid.nih.gov/transcriptome/Anopheles_sialome/links/DIPTERA/anomer_hyp13-DIPTERA.txt","AGAP003474-PA")</f>
        <v>AGAP003474-PA</v>
      </c>
      <c r="AD708" t="str">
        <f>HYPERLINK("http://www.ncbi.nlm.nih.gov/sutils/blink.cgi?pid=55242638","1E-020")</f>
        <v>1E-020</v>
      </c>
      <c r="AE708" t="str">
        <f t="shared" si="244"/>
        <v>gi|55242638</v>
      </c>
      <c r="AF708">
        <v>87</v>
      </c>
      <c r="AG708">
        <v>94</v>
      </c>
      <c r="AH708">
        <v>100</v>
      </c>
      <c r="AI708" t="s">
        <v>2285</v>
      </c>
      <c r="AJ708" s="2" t="str">
        <f>HYPERLINK("http://exon.niaid.nih.gov/transcriptome/Anopheles_sialome/links/CULICOMORPHA/anomer_hyp13-CULICOMORPHA.txt","AGAP003474-PA")</f>
        <v>AGAP003474-PA</v>
      </c>
      <c r="AK708" t="str">
        <f>HYPERLINK("http://www.ncbi.nlm.nih.gov/sutils/blink.cgi?pid=55242638","2E-021")</f>
        <v>2E-021</v>
      </c>
      <c r="AL708" t="str">
        <f t="shared" si="245"/>
        <v>gi|55242638</v>
      </c>
      <c r="AM708">
        <v>87</v>
      </c>
      <c r="AN708">
        <v>94</v>
      </c>
      <c r="AO708">
        <v>100</v>
      </c>
      <c r="AP708" t="s">
        <v>2285</v>
      </c>
      <c r="AQ708" s="2" t="str">
        <f>HYPERLINK("http://exon.niaid.nih.gov/transcriptome/Anopheles_sialome/links/NR-LIGHT/anomer_hyp13-NR-LIGHT.txt","AGAP003474-PA")</f>
        <v>AGAP003474-PA</v>
      </c>
      <c r="AR708" t="str">
        <f>HYPERLINK("http://www.ncbi.nlm.nih.gov/sutils/blink.cgi?pid=58382212","4E-020")</f>
        <v>4E-020</v>
      </c>
      <c r="AS708" t="str">
        <f t="shared" si="246"/>
        <v>gi|58382212</v>
      </c>
      <c r="AT708">
        <v>87</v>
      </c>
      <c r="AU708">
        <v>94</v>
      </c>
      <c r="AV708">
        <v>100</v>
      </c>
      <c r="AW708" t="s">
        <v>2285</v>
      </c>
      <c r="AX708" s="2" t="str">
        <f>HYPERLINK("http://exon.niaid.nih.gov/transcriptome/Anopheles_sialome/links/CDD/anomer_hyp13-CDD.txt","Glyco_hydro_100")</f>
        <v>Glyco_hydro_100</v>
      </c>
      <c r="AY708" t="str">
        <f>HYPERLINK("http://www.ncbi.nlm.nih.gov/Structure/cdd/cddsrv.cgi?uid=pfam12899&amp;version=v4.0","1.1")</f>
        <v>1.1</v>
      </c>
      <c r="AZ708" t="s">
        <v>2624</v>
      </c>
      <c r="BA708" s="2" t="str">
        <f>HYPERLINK("http://exon.niaid.nih.gov/transcriptome/Anopheles_sialome/links/KOG/anomer_hyp13-KOG.txt","Uncharacterized conserved protein")</f>
        <v>Uncharacterized conserved protein</v>
      </c>
      <c r="BB708" t="str">
        <f>HYPERLINK("http://www.ncbi.nlm.nih.gov/Structure/cdd/cddsrv.cgi?uid=KOG2465","2.2")</f>
        <v>2.2</v>
      </c>
      <c r="BC708" t="s">
        <v>2304</v>
      </c>
      <c r="BD708" t="str">
        <f>HYPERLINK("http://exon.niaid.nih.gov/transcriptome/Anopheles_sialome/links/KOG/anomer_hyp13-KOG.txt","KOG2465")</f>
        <v>KOG2465</v>
      </c>
      <c r="BE708" t="str">
        <f>HYPERLINK("http://exon.niaid.nih.gov/transcriptome/Anopheles_sialome/links/PFAM/anomer_hyp13-PFAM.txt","Glyco_hydro_100")</f>
        <v>Glyco_hydro_100</v>
      </c>
      <c r="BF708" t="str">
        <f>HYPERLINK("http://pfam.sanger.ac.uk/family?acc=PF12899","0.24")</f>
        <v>0.24</v>
      </c>
      <c r="BG708" s="2" t="str">
        <f>HYPERLINK("http://exon.niaid.nih.gov/transcriptome/Anopheles_sialome/links/SMART/anomer_hyp13-SMART.txt","AGTRAP")</f>
        <v>AGTRAP</v>
      </c>
      <c r="BH708" t="str">
        <f>HYPERLINK("http://smart.embl-heidelberg.de/smart/do_annotation.pl?DOMAIN=AGTRAP&amp;BLAST=DUMMY","7.4")</f>
        <v>7.4</v>
      </c>
      <c r="BI708" t="s">
        <v>128</v>
      </c>
      <c r="BJ708" s="2" t="s">
        <v>128</v>
      </c>
      <c r="BK708" t="s">
        <v>1285</v>
      </c>
      <c r="BL708">
        <f>HYPERLINK("http://exon.niaid.nih.gov/transcriptome/Anopheles_sialome/links/cluster-b/anopheline-sialome-cds-pep-larger-orf25-50SimCLU1.txt", 1)</f>
        <v>1</v>
      </c>
      <c r="BM708">
        <f>HYPERLINK("http://exon.niaid.nih.gov/transcriptome/Anopheles_sialome/links/cluster-b/anopheline-sialome-cds-pep-larger-orf25-50SimCLTL1.txt", 165)</f>
        <v>165</v>
      </c>
      <c r="BN708">
        <f>HYPERLINK("http://exon.niaid.nih.gov/transcriptome/Anopheles_sialome/links/cluster-b/anopheline-sialome-cds-pep-larger-orf30-50SimCLU1.txt", 1)</f>
        <v>1</v>
      </c>
      <c r="BO708">
        <f>HYPERLINK("http://exon.niaid.nih.gov/transcriptome/Anopheles_sialome/links/cluster-b/anopheline-sialome-cds-pep-larger-orf30-50SimCLTL1.txt", 165)</f>
        <v>165</v>
      </c>
      <c r="BP708">
        <f>HYPERLINK("http://exon.niaid.nih.gov/transcriptome/Anopheles_sialome/links/cluster-b/anopheline-sialome-cds-pep-larger-orf35-50SimCLU5.txt", 5)</f>
        <v>5</v>
      </c>
      <c r="BQ708">
        <f>HYPERLINK("http://exon.niaid.nih.gov/transcriptome/Anopheles_sialome/links/cluster-b/anopheline-sialome-cds-pep-larger-orf35-50SimCLTL5.txt", 61)</f>
        <v>61</v>
      </c>
      <c r="BR708">
        <f>HYPERLINK("http://exon.niaid.nih.gov/transcriptome/Anopheles_sialome/links/cluster-b/anopheline-sialome-cds-pep-larger-orf40-50SimCLU25.txt", 25)</f>
        <v>25</v>
      </c>
      <c r="BS708">
        <f>HYPERLINK("http://exon.niaid.nih.gov/transcriptome/Anopheles_sialome/links/cluster-b/anopheline-sialome-cds-pep-larger-orf40-50SimCLTL25.txt", 16)</f>
        <v>16</v>
      </c>
      <c r="BT708">
        <f>HYPERLINK("http://exon.niaid.nih.gov/transcriptome/Anopheles_sialome/links/cluster-b/anopheline-sialome-cds-pep-larger-orf45-50SimCLU29.txt", 29)</f>
        <v>29</v>
      </c>
      <c r="BU708">
        <f>HYPERLINK("http://exon.niaid.nih.gov/transcriptome/Anopheles_sialome/links/cluster-b/anopheline-sialome-cds-pep-larger-orf45-50SimCLTL29.txt", 16)</f>
        <v>16</v>
      </c>
      <c r="BV708">
        <f>HYPERLINK("http://exon.niaid.nih.gov/transcriptome/Anopheles_sialome/links/cluster-b/anopheline-sialome-cds-pep-larger-orf50-50SimCLU30.txt", 30)</f>
        <v>30</v>
      </c>
      <c r="BW708">
        <f>HYPERLINK("http://exon.niaid.nih.gov/transcriptome/Anopheles_sialome/links/cluster-b/anopheline-sialome-cds-pep-larger-orf50-50SimCLTL30.txt", 16)</f>
        <v>16</v>
      </c>
      <c r="BX708">
        <f>HYPERLINK("http://exon.niaid.nih.gov/transcriptome/Anopheles_sialome/links/cluster-b/anopheline-sialome-cds-pep-larger-orf55-50SimCLU29.txt", 29)</f>
        <v>29</v>
      </c>
      <c r="BY708">
        <f>HYPERLINK("http://exon.niaid.nih.gov/transcriptome/Anopheles_sialome/links/cluster-b/anopheline-sialome-cds-pep-larger-orf55-50SimCLTL29.txt", 16)</f>
        <v>16</v>
      </c>
      <c r="BZ708">
        <f>HYPERLINK("http://exon.niaid.nih.gov/transcriptome/Anopheles_sialome/links/cluster-b/anopheline-sialome-cds-pep-larger-orf60-50SimCLU38.txt", 38)</f>
        <v>38</v>
      </c>
      <c r="CA708">
        <f>HYPERLINK("http://exon.niaid.nih.gov/transcriptome/Anopheles_sialome/links/cluster-b/anopheline-sialome-cds-pep-larger-orf60-50SimCLTL38.txt", 7)</f>
        <v>7</v>
      </c>
      <c r="CB708">
        <f>HYPERLINK("http://exon.niaid.nih.gov/transcriptome/Anopheles_sialome/links/cluster-b/anopheline-sialome-cds-pep-larger-orf65-50SimCLU41.txt", 41)</f>
        <v>41</v>
      </c>
      <c r="CC708">
        <f>HYPERLINK("http://exon.niaid.nih.gov/transcriptome/Anopheles_sialome/links/cluster-b/anopheline-sialome-cds-pep-larger-orf65-50SimCLTL41.txt", 7)</f>
        <v>7</v>
      </c>
      <c r="CD708">
        <f>HYPERLINK("http://exon.niaid.nih.gov/transcriptome/Anopheles_sialome/links/cluster-b/anopheline-sialome-cds-pep-larger-orf70-50SimCLU43.txt", 43)</f>
        <v>43</v>
      </c>
      <c r="CE708">
        <f>HYPERLINK("http://exon.niaid.nih.gov/transcriptome/Anopheles_sialome/links/cluster-b/anopheline-sialome-cds-pep-larger-orf70-50SimCLTL43.txt", 7)</f>
        <v>7</v>
      </c>
      <c r="CF708">
        <f>HYPERLINK("http://exon.niaid.nih.gov/transcriptome/Anopheles_sialome/links/cluster-b/anopheline-sialome-cds-pep-larger-orf75-50SimCLU41.txt", 41)</f>
        <v>41</v>
      </c>
      <c r="CG708">
        <f>HYPERLINK("http://exon.niaid.nih.gov/transcriptome/Anopheles_sialome/links/cluster-b/anopheline-sialome-cds-pep-larger-orf75-50SimCLTL41.txt", 6)</f>
        <v>6</v>
      </c>
      <c r="CH708">
        <f>HYPERLINK("http://exon.niaid.nih.gov/transcriptome/Anopheles_sialome/links/cluster-b/anopheline-sialome-cds-pep-larger-orf80-50SimCLU35.txt", 35)</f>
        <v>35</v>
      </c>
      <c r="CI708">
        <f>HYPERLINK("http://exon.niaid.nih.gov/transcriptome/Anopheles_sialome/links/cluster-b/anopheline-sialome-cds-pep-larger-orf80-50SimCLTL35.txt", 6)</f>
        <v>6</v>
      </c>
      <c r="CJ708">
        <f>HYPERLINK("http://exon.niaid.nih.gov/transcriptome/Anopheles_sialome/links/cluster-b/anopheline-sialome-cds-pep-larger-orf85-50SimCLU31.txt", 31)</f>
        <v>31</v>
      </c>
      <c r="CK708">
        <f>HYPERLINK("http://exon.niaid.nih.gov/transcriptome/Anopheles_sialome/links/cluster-b/anopheline-sialome-cds-pep-larger-orf85-50SimCLTL31.txt", 6)</f>
        <v>6</v>
      </c>
      <c r="CL708">
        <f>HYPERLINK("http://exon.niaid.nih.gov/transcriptome/Anopheles_sialome/links/cluster-b/anopheline-sialome-cds-pep-larger-orf90-50SimCLU23.txt", 23)</f>
        <v>23</v>
      </c>
      <c r="CM708">
        <f>HYPERLINK("http://exon.niaid.nih.gov/transcriptome/Anopheles_sialome/links/cluster-b/anopheline-sialome-cds-pep-larger-orf90-50SimCLTL23.txt", 6)</f>
        <v>6</v>
      </c>
      <c r="CN708">
        <f>HYPERLINK("http://exon.niaid.nih.gov/transcriptome/Anopheles_sialome/links/cluster-b/anopheline-sialome-cds-pep-larger-orf95-50SimCLU36.txt", 36)</f>
        <v>36</v>
      </c>
      <c r="CO708">
        <f>HYPERLINK("http://exon.niaid.nih.gov/transcriptome/Anopheles_sialome/links/cluster-b/anopheline-sialome-cds-pep-larger-orf95-50SimCLTL36.txt", 5)</f>
        <v>5</v>
      </c>
    </row>
    <row r="709" spans="1:93">
      <c r="A709" s="2" t="str">
        <f>HYPERLINK("http://exon.niaid.nih.gov/transcriptome/Anopheles_sialome/links/cds/anomel_hyp13-cds.txt","anomel_hyp13")</f>
        <v>anomel_hyp13</v>
      </c>
      <c r="B709">
        <v>171</v>
      </c>
      <c r="C709" t="s">
        <v>4</v>
      </c>
      <c r="D709" s="8" t="s">
        <v>3178</v>
      </c>
      <c r="E709" t="s">
        <v>5</v>
      </c>
      <c r="F709" t="s">
        <v>1</v>
      </c>
      <c r="G709" t="str">
        <f>HYPERLINK("http://exon.niaid.nih.gov/transcriptome/Anopheles_sialome/links/pep/anomel_hyp13-pep.txt","anomel_hyp13")</f>
        <v>anomel_hyp13</v>
      </c>
      <c r="H709">
        <v>56</v>
      </c>
      <c r="I709">
        <v>0</v>
      </c>
      <c r="J709" s="3" t="str">
        <f>HYPERLINK("http://exon.niaid.nih.gov/transcriptome/Anopheles_sialome/links/Sigp/anomel_hyp13-SigP.txt","SIG")</f>
        <v>SIG</v>
      </c>
      <c r="K709" t="s">
        <v>695</v>
      </c>
      <c r="L709">
        <v>6.133</v>
      </c>
      <c r="M709">
        <v>5.97</v>
      </c>
      <c r="N709">
        <v>3.819</v>
      </c>
      <c r="O709">
        <v>5.3</v>
      </c>
      <c r="P709" t="s">
        <v>1288</v>
      </c>
      <c r="Q709" s="3" t="str">
        <f>HYPERLINK("http://exon.niaid.nih.gov/transcriptome/Anopheles_sialome/links/tmhmm/anomel_hyp13-tmhmm.txt","1")</f>
        <v>1</v>
      </c>
      <c r="R709">
        <v>39.299999999999997</v>
      </c>
      <c r="S709">
        <v>7.1</v>
      </c>
      <c r="T709">
        <v>53.6</v>
      </c>
      <c r="U709" t="s">
        <v>128</v>
      </c>
      <c r="V709">
        <v>30</v>
      </c>
      <c r="W709" s="3" t="str">
        <f>HYPERLINK("http://exon.niaid.nih.gov/transcriptome/Anopheles_sialome/links/netoglyc/anomel_hyp13-netoglyc.txt","0")</f>
        <v>0</v>
      </c>
      <c r="X709">
        <v>10.7</v>
      </c>
      <c r="Y709">
        <v>3.6</v>
      </c>
      <c r="Z709">
        <v>1.8</v>
      </c>
      <c r="AA709" t="s">
        <v>654</v>
      </c>
      <c r="AB709" t="s">
        <v>128</v>
      </c>
      <c r="AC709" s="2" t="str">
        <f>HYPERLINK("http://exon.niaid.nih.gov/transcriptome/Anopheles_sialome/links/DIPTERA/anomel_hyp13-DIPTERA.txt","AGAP003474-PA")</f>
        <v>AGAP003474-PA</v>
      </c>
      <c r="AD709" t="str">
        <f>HYPERLINK("http://www.ncbi.nlm.nih.gov/sutils/blink.cgi?pid=55242638","3E-022")</f>
        <v>3E-022</v>
      </c>
      <c r="AE709" t="str">
        <f t="shared" si="244"/>
        <v>gi|55242638</v>
      </c>
      <c r="AF709">
        <v>96</v>
      </c>
      <c r="AG709">
        <v>96</v>
      </c>
      <c r="AH709">
        <v>98</v>
      </c>
      <c r="AI709" t="s">
        <v>2285</v>
      </c>
      <c r="AJ709" s="2" t="str">
        <f>HYPERLINK("http://exon.niaid.nih.gov/transcriptome/Anopheles_sialome/links/CULICOMORPHA/anomel_hyp13-CULICOMORPHA.txt","AGAP003474-PA")</f>
        <v>AGAP003474-PA</v>
      </c>
      <c r="AK709" t="str">
        <f>HYPERLINK("http://www.ncbi.nlm.nih.gov/sutils/blink.cgi?pid=55242638","6E-023")</f>
        <v>6E-023</v>
      </c>
      <c r="AL709" t="str">
        <f t="shared" si="245"/>
        <v>gi|55242638</v>
      </c>
      <c r="AM709">
        <v>96</v>
      </c>
      <c r="AN709">
        <v>96</v>
      </c>
      <c r="AO709">
        <v>98</v>
      </c>
      <c r="AP709" t="s">
        <v>2285</v>
      </c>
      <c r="AQ709" s="2" t="str">
        <f>HYPERLINK("http://exon.niaid.nih.gov/transcriptome/Anopheles_sialome/links/NR-LIGHT/anomel_hyp13-NR-LIGHT.txt","AGAP003474-PA")</f>
        <v>AGAP003474-PA</v>
      </c>
      <c r="AR709" t="str">
        <f>HYPERLINK("http://www.ncbi.nlm.nih.gov/sutils/blink.cgi?pid=58382212","9E-022")</f>
        <v>9E-022</v>
      </c>
      <c r="AS709" t="str">
        <f t="shared" si="246"/>
        <v>gi|58382212</v>
      </c>
      <c r="AT709">
        <v>96</v>
      </c>
      <c r="AU709">
        <v>96</v>
      </c>
      <c r="AV709">
        <v>98</v>
      </c>
      <c r="AW709" t="s">
        <v>2285</v>
      </c>
      <c r="AX709" s="2" t="str">
        <f>HYPERLINK("http://exon.niaid.nih.gov/transcriptome/Anopheles_sialome/links/CDD/anomel_hyp13-CDD.txt","CD36")</f>
        <v>CD36</v>
      </c>
      <c r="AY709" t="str">
        <f>HYPERLINK("http://www.ncbi.nlm.nih.gov/Structure/cdd/cddsrv.cgi?uid=pfam01130&amp;version=v4.0","0.46")</f>
        <v>0.46</v>
      </c>
      <c r="AZ709" t="s">
        <v>2625</v>
      </c>
      <c r="BA709" s="2" t="str">
        <f>HYPERLINK("http://exon.niaid.nih.gov/transcriptome/Anopheles_sialome/links/KOG/anomel_hyp13-KOG.txt","Plasma membrane glycoprotein CD36 and related membrane receptors")</f>
        <v>Plasma membrane glycoprotein CD36 and related membrane receptors</v>
      </c>
      <c r="BB709" t="str">
        <f>HYPERLINK("http://www.ncbi.nlm.nih.gov/Structure/cdd/cddsrv.cgi?uid=KOG3776","0.49")</f>
        <v>0.49</v>
      </c>
      <c r="BC709" t="s">
        <v>2292</v>
      </c>
      <c r="BD709" t="str">
        <f>HYPERLINK("http://exon.niaid.nih.gov/transcriptome/Anopheles_sialome/links/KOG/anomel_hyp13-KOG.txt","KOG3776")</f>
        <v>KOG3776</v>
      </c>
      <c r="BE709" t="str">
        <f>HYPERLINK("http://exon.niaid.nih.gov/transcriptome/Anopheles_sialome/links/PFAM/anomel_hyp13-PFAM.txt","CD36")</f>
        <v>CD36</v>
      </c>
      <c r="BF709" t="str">
        <f>HYPERLINK("http://pfam.sanger.ac.uk/family?acc=PF01130","0.10")</f>
        <v>0.10</v>
      </c>
      <c r="BG709" s="2" t="str">
        <f>HYPERLINK("http://exon.niaid.nih.gov/transcriptome/Anopheles_sialome/links/SMART/anomel_hyp13-SMART.txt","AGTRAP")</f>
        <v>AGTRAP</v>
      </c>
      <c r="BH709" t="str">
        <f>HYPERLINK("http://smart.embl-heidelberg.de/smart/do_annotation.pl?DOMAIN=AGTRAP&amp;BLAST=DUMMY","1.5")</f>
        <v>1.5</v>
      </c>
      <c r="BI709" t="str">
        <f>HYPERLINK("http://exon.niaid.nih.gov/transcriptome/Anopheles_sialome/links/TICK-BLOCKS/anomel_hyp13-TICK-BLOCKS.txt","Hyp13_ |")</f>
        <v>Hyp13_ |</v>
      </c>
      <c r="BJ709" s="2" t="s">
        <v>2617</v>
      </c>
      <c r="BK709" t="s">
        <v>1287</v>
      </c>
      <c r="BL709">
        <f>HYPERLINK("http://exon.niaid.nih.gov/transcriptome/Anopheles_sialome/links/cluster-b/anopheline-sialome-cds-pep-larger-orf25-50SimCLU1.txt", 1)</f>
        <v>1</v>
      </c>
      <c r="BM709">
        <f>HYPERLINK("http://exon.niaid.nih.gov/transcriptome/Anopheles_sialome/links/cluster-b/anopheline-sialome-cds-pep-larger-orf25-50SimCLTL1.txt", 165)</f>
        <v>165</v>
      </c>
      <c r="BN709">
        <f>HYPERLINK("http://exon.niaid.nih.gov/transcriptome/Anopheles_sialome/links/cluster-b/anopheline-sialome-cds-pep-larger-orf30-50SimCLU1.txt", 1)</f>
        <v>1</v>
      </c>
      <c r="BO709">
        <f>HYPERLINK("http://exon.niaid.nih.gov/transcriptome/Anopheles_sialome/links/cluster-b/anopheline-sialome-cds-pep-larger-orf30-50SimCLTL1.txt", 165)</f>
        <v>165</v>
      </c>
      <c r="BP709">
        <f>HYPERLINK("http://exon.niaid.nih.gov/transcriptome/Anopheles_sialome/links/cluster-b/anopheline-sialome-cds-pep-larger-orf35-50SimCLU5.txt", 5)</f>
        <v>5</v>
      </c>
      <c r="BQ709">
        <f>HYPERLINK("http://exon.niaid.nih.gov/transcriptome/Anopheles_sialome/links/cluster-b/anopheline-sialome-cds-pep-larger-orf35-50SimCLTL5.txt", 61)</f>
        <v>61</v>
      </c>
      <c r="BR709">
        <f>HYPERLINK("http://exon.niaid.nih.gov/transcriptome/Anopheles_sialome/links/cluster-b/anopheline-sialome-cds-pep-larger-orf40-50SimCLU25.txt", 25)</f>
        <v>25</v>
      </c>
      <c r="BS709">
        <f>HYPERLINK("http://exon.niaid.nih.gov/transcriptome/Anopheles_sialome/links/cluster-b/anopheline-sialome-cds-pep-larger-orf40-50SimCLTL25.txt", 16)</f>
        <v>16</v>
      </c>
      <c r="BT709">
        <f>HYPERLINK("http://exon.niaid.nih.gov/transcriptome/Anopheles_sialome/links/cluster-b/anopheline-sialome-cds-pep-larger-orf45-50SimCLU29.txt", 29)</f>
        <v>29</v>
      </c>
      <c r="BU709">
        <f>HYPERLINK("http://exon.niaid.nih.gov/transcriptome/Anopheles_sialome/links/cluster-b/anopheline-sialome-cds-pep-larger-orf45-50SimCLTL29.txt", 16)</f>
        <v>16</v>
      </c>
      <c r="BV709">
        <f>HYPERLINK("http://exon.niaid.nih.gov/transcriptome/Anopheles_sialome/links/cluster-b/anopheline-sialome-cds-pep-larger-orf50-50SimCLU30.txt", 30)</f>
        <v>30</v>
      </c>
      <c r="BW709">
        <f>HYPERLINK("http://exon.niaid.nih.gov/transcriptome/Anopheles_sialome/links/cluster-b/anopheline-sialome-cds-pep-larger-orf50-50SimCLTL30.txt", 16)</f>
        <v>16</v>
      </c>
      <c r="BX709">
        <f>HYPERLINK("http://exon.niaid.nih.gov/transcriptome/Anopheles_sialome/links/cluster-b/anopheline-sialome-cds-pep-larger-orf55-50SimCLU29.txt", 29)</f>
        <v>29</v>
      </c>
      <c r="BY709">
        <f>HYPERLINK("http://exon.niaid.nih.gov/transcriptome/Anopheles_sialome/links/cluster-b/anopheline-sialome-cds-pep-larger-orf55-50SimCLTL29.txt", 16)</f>
        <v>16</v>
      </c>
      <c r="BZ709">
        <f>HYPERLINK("http://exon.niaid.nih.gov/transcriptome/Anopheles_sialome/links/cluster-b/anopheline-sialome-cds-pep-larger-orf60-50SimCLU38.txt", 38)</f>
        <v>38</v>
      </c>
      <c r="CA709">
        <f>HYPERLINK("http://exon.niaid.nih.gov/transcriptome/Anopheles_sialome/links/cluster-b/anopheline-sialome-cds-pep-larger-orf60-50SimCLTL38.txt", 7)</f>
        <v>7</v>
      </c>
      <c r="CB709">
        <f>HYPERLINK("http://exon.niaid.nih.gov/transcriptome/Anopheles_sialome/links/cluster-b/anopheline-sialome-cds-pep-larger-orf65-50SimCLU41.txt", 41)</f>
        <v>41</v>
      </c>
      <c r="CC709">
        <f>HYPERLINK("http://exon.niaid.nih.gov/transcriptome/Anopheles_sialome/links/cluster-b/anopheline-sialome-cds-pep-larger-orf65-50SimCLTL41.txt", 7)</f>
        <v>7</v>
      </c>
      <c r="CD709">
        <f>HYPERLINK("http://exon.niaid.nih.gov/transcriptome/Anopheles_sialome/links/cluster-b/anopheline-sialome-cds-pep-larger-orf70-50SimCLU43.txt", 43)</f>
        <v>43</v>
      </c>
      <c r="CE709">
        <f>HYPERLINK("http://exon.niaid.nih.gov/transcriptome/Anopheles_sialome/links/cluster-b/anopheline-sialome-cds-pep-larger-orf70-50SimCLTL43.txt", 7)</f>
        <v>7</v>
      </c>
      <c r="CF709">
        <f>HYPERLINK("http://exon.niaid.nih.gov/transcriptome/Anopheles_sialome/links/cluster-b/anopheline-sialome-cds-pep-larger-orf75-50SimCLU41.txt", 41)</f>
        <v>41</v>
      </c>
      <c r="CG709">
        <f>HYPERLINK("http://exon.niaid.nih.gov/transcriptome/Anopheles_sialome/links/cluster-b/anopheline-sialome-cds-pep-larger-orf75-50SimCLTL41.txt", 6)</f>
        <v>6</v>
      </c>
      <c r="CH709">
        <f>HYPERLINK("http://exon.niaid.nih.gov/transcriptome/Anopheles_sialome/links/cluster-b/anopheline-sialome-cds-pep-larger-orf80-50SimCLU35.txt", 35)</f>
        <v>35</v>
      </c>
      <c r="CI709">
        <f>HYPERLINK("http://exon.niaid.nih.gov/transcriptome/Anopheles_sialome/links/cluster-b/anopheline-sialome-cds-pep-larger-orf80-50SimCLTL35.txt", 6)</f>
        <v>6</v>
      </c>
      <c r="CJ709">
        <f>HYPERLINK("http://exon.niaid.nih.gov/transcriptome/Anopheles_sialome/links/cluster-b/anopheline-sialome-cds-pep-larger-orf85-50SimCLU31.txt", 31)</f>
        <v>31</v>
      </c>
      <c r="CK709">
        <f>HYPERLINK("http://exon.niaid.nih.gov/transcriptome/Anopheles_sialome/links/cluster-b/anopheline-sialome-cds-pep-larger-orf85-50SimCLTL31.txt", 6)</f>
        <v>6</v>
      </c>
      <c r="CL709">
        <f>HYPERLINK("http://exon.niaid.nih.gov/transcriptome/Anopheles_sialome/links/cluster-b/anopheline-sialome-cds-pep-larger-orf90-50SimCLU23.txt", 23)</f>
        <v>23</v>
      </c>
      <c r="CM709">
        <f>HYPERLINK("http://exon.niaid.nih.gov/transcriptome/Anopheles_sialome/links/cluster-b/anopheline-sialome-cds-pep-larger-orf90-50SimCLTL23.txt", 6)</f>
        <v>6</v>
      </c>
      <c r="CN709">
        <v>245</v>
      </c>
      <c r="CO709">
        <v>1</v>
      </c>
    </row>
    <row r="710" spans="1:93">
      <c r="A710" s="2" t="str">
        <f>HYPERLINK("http://exon.niaid.nih.gov/transcriptome/Anopheles_sialome/links/cds/anochris_hyp13-cds.txt","anochris_hyp13")</f>
        <v>anochris_hyp13</v>
      </c>
      <c r="B710">
        <v>177</v>
      </c>
      <c r="C710" t="s">
        <v>4</v>
      </c>
      <c r="D710" s="8" t="s">
        <v>3178</v>
      </c>
      <c r="E710" t="s">
        <v>5</v>
      </c>
      <c r="F710" t="s">
        <v>1</v>
      </c>
      <c r="G710" t="str">
        <f>HYPERLINK("http://exon.niaid.nih.gov/transcriptome/Anopheles_sialome/links/pep/anochris_hyp13-pep.txt","anochris_hyp13")</f>
        <v>anochris_hyp13</v>
      </c>
      <c r="H710">
        <v>58</v>
      </c>
      <c r="I710">
        <v>0</v>
      </c>
      <c r="J710" s="3" t="str">
        <f>HYPERLINK("http://exon.niaid.nih.gov/transcriptome/Anopheles_sialome/links/Sigp/anochris_hyp13-SigP.txt","SIG")</f>
        <v>SIG</v>
      </c>
      <c r="K710" t="s">
        <v>695</v>
      </c>
      <c r="L710">
        <v>6.258</v>
      </c>
      <c r="M710">
        <v>6</v>
      </c>
      <c r="N710">
        <v>3.867</v>
      </c>
      <c r="O710">
        <v>4.8899999999999997</v>
      </c>
      <c r="P710" t="s">
        <v>1290</v>
      </c>
      <c r="Q710" s="3" t="str">
        <f>HYPERLINK("http://exon.niaid.nih.gov/transcriptome/Anopheles_sialome/links/tmhmm/anochris_hyp13-tmhmm.txt","1")</f>
        <v>1</v>
      </c>
      <c r="R710">
        <v>29.3</v>
      </c>
      <c r="S710">
        <v>6.9</v>
      </c>
      <c r="T710">
        <v>63.8</v>
      </c>
      <c r="U710" t="s">
        <v>128</v>
      </c>
      <c r="V710">
        <v>37</v>
      </c>
      <c r="W710" s="3" t="str">
        <f>HYPERLINK("http://exon.niaid.nih.gov/transcriptome/Anopheles_sialome/links/netoglyc/anochris_hyp13-netoglyc.txt","0")</f>
        <v>0</v>
      </c>
      <c r="X710">
        <v>13.8</v>
      </c>
      <c r="Y710">
        <v>5.2</v>
      </c>
      <c r="Z710">
        <v>1.7</v>
      </c>
      <c r="AA710" t="s">
        <v>654</v>
      </c>
      <c r="AB710" t="s">
        <v>128</v>
      </c>
      <c r="AC710" s="2" t="str">
        <f>HYPERLINK("http://exon.niaid.nih.gov/transcriptome/Anopheles_sialome/links/DIPTERA/anochris_hyp13-DIPTERA.txt","AGAP003474-PA")</f>
        <v>AGAP003474-PA</v>
      </c>
      <c r="AD710" t="str">
        <f>HYPERLINK("http://www.ncbi.nlm.nih.gov/sutils/blink.cgi?pid=55242638","2E-010")</f>
        <v>2E-010</v>
      </c>
      <c r="AE710" t="str">
        <f t="shared" si="244"/>
        <v>gi|55242638</v>
      </c>
      <c r="AF710">
        <v>68</v>
      </c>
      <c r="AG710">
        <v>74</v>
      </c>
      <c r="AH710">
        <v>96</v>
      </c>
      <c r="AI710" t="s">
        <v>2285</v>
      </c>
      <c r="AJ710" s="2" t="str">
        <f>HYPERLINK("http://exon.niaid.nih.gov/transcriptome/Anopheles_sialome/links/CULICOMORPHA/anochris_hyp13-CULICOMORPHA.txt","AGAP003474-PA")</f>
        <v>AGAP003474-PA</v>
      </c>
      <c r="AK710" t="str">
        <f>HYPERLINK("http://www.ncbi.nlm.nih.gov/sutils/blink.cgi?pid=55242638","3E-011")</f>
        <v>3E-011</v>
      </c>
      <c r="AL710" t="str">
        <f t="shared" si="245"/>
        <v>gi|55242638</v>
      </c>
      <c r="AM710">
        <v>68</v>
      </c>
      <c r="AN710">
        <v>74</v>
      </c>
      <c r="AO710">
        <v>96</v>
      </c>
      <c r="AP710" t="s">
        <v>2285</v>
      </c>
      <c r="AQ710" s="2" t="str">
        <f>HYPERLINK("http://exon.niaid.nih.gov/transcriptome/Anopheles_sialome/links/NR-LIGHT/anochris_hyp13-NR-LIGHT.txt","AGAP003474-PA")</f>
        <v>AGAP003474-PA</v>
      </c>
      <c r="AR710" t="str">
        <f>HYPERLINK("http://www.ncbi.nlm.nih.gov/sutils/blink.cgi?pid=58382212","5E-010")</f>
        <v>5E-010</v>
      </c>
      <c r="AS710" t="str">
        <f t="shared" si="246"/>
        <v>gi|58382212</v>
      </c>
      <c r="AT710">
        <v>68</v>
      </c>
      <c r="AU710">
        <v>74</v>
      </c>
      <c r="AV710">
        <v>96</v>
      </c>
      <c r="AW710" t="s">
        <v>2285</v>
      </c>
      <c r="AX710" s="2" t="str">
        <f>HYPERLINK("http://exon.niaid.nih.gov/transcriptome/Anopheles_sialome/links/CDD/anochris_hyp13-CDD.txt","Glucos_trans_II")</f>
        <v>Glucos_trans_II</v>
      </c>
      <c r="AY710" t="str">
        <f>HYPERLINK("http://www.ncbi.nlm.nih.gov/Structure/cdd/cddsrv.cgi?uid=pfam14264&amp;version=v4.0","2.5")</f>
        <v>2.5</v>
      </c>
      <c r="AZ710" t="s">
        <v>2626</v>
      </c>
      <c r="BA710" s="2" t="str">
        <f>HYPERLINK("http://exon.niaid.nih.gov/transcriptome/Anopheles_sialome/links/KOG/anochris_hyp13-KOG.txt","Uncharacterized conserved protein")</f>
        <v>Uncharacterized conserved protein</v>
      </c>
      <c r="BB710" t="str">
        <f>HYPERLINK("http://www.ncbi.nlm.nih.gov/Structure/cdd/cddsrv.cgi?uid=KOG4712","2.0")</f>
        <v>2.0</v>
      </c>
      <c r="BC710" t="s">
        <v>2304</v>
      </c>
      <c r="BD710" t="str">
        <f>HYPERLINK("http://exon.niaid.nih.gov/transcriptome/Anopheles_sialome/links/KOG/anochris_hyp13-KOG.txt","KOG4712")</f>
        <v>KOG4712</v>
      </c>
      <c r="BE710" t="str">
        <f>HYPERLINK("http://exon.niaid.nih.gov/transcriptome/Anopheles_sialome/links/PFAM/anochris_hyp13-PFAM.txt","Glucos_trans_II")</f>
        <v>Glucos_trans_II</v>
      </c>
      <c r="BF710" t="str">
        <f>HYPERLINK("http://pfam.sanger.ac.uk/family?acc=PF14264","0.57")</f>
        <v>0.57</v>
      </c>
      <c r="BG710" s="2" t="str">
        <f>HYPERLINK("http://exon.niaid.nih.gov/transcriptome/Anopheles_sialome/links/SMART/anochris_hyp13-SMART.txt","BOP1NT")</f>
        <v>BOP1NT</v>
      </c>
      <c r="BH710" t="str">
        <f>HYPERLINK("http://smart.embl-heidelberg.de/smart/do_annotation.pl?DOMAIN=BOP1NT&amp;BLAST=DUMMY","1.0")</f>
        <v>1.0</v>
      </c>
      <c r="BI710" t="s">
        <v>128</v>
      </c>
      <c r="BJ710" s="2" t="s">
        <v>128</v>
      </c>
      <c r="BK710" t="s">
        <v>1289</v>
      </c>
      <c r="BL710">
        <f>HYPERLINK("http://exon.niaid.nih.gov/transcriptome/Anopheles_sialome/links/cluster-b/anopheline-sialome-cds-pep-larger-orf25-50SimCLU1.txt", 1)</f>
        <v>1</v>
      </c>
      <c r="BM710">
        <f>HYPERLINK("http://exon.niaid.nih.gov/transcriptome/Anopheles_sialome/links/cluster-b/anopheline-sialome-cds-pep-larger-orf25-50SimCLTL1.txt", 165)</f>
        <v>165</v>
      </c>
      <c r="BN710">
        <f>HYPERLINK("http://exon.niaid.nih.gov/transcriptome/Anopheles_sialome/links/cluster-b/anopheline-sialome-cds-pep-larger-orf30-50SimCLU1.txt", 1)</f>
        <v>1</v>
      </c>
      <c r="BO710">
        <f>HYPERLINK("http://exon.niaid.nih.gov/transcriptome/Anopheles_sialome/links/cluster-b/anopheline-sialome-cds-pep-larger-orf30-50SimCLTL1.txt", 165)</f>
        <v>165</v>
      </c>
      <c r="BP710">
        <f>HYPERLINK("http://exon.niaid.nih.gov/transcriptome/Anopheles_sialome/links/cluster-b/anopheline-sialome-cds-pep-larger-orf35-50SimCLU5.txt", 5)</f>
        <v>5</v>
      </c>
      <c r="BQ710">
        <f>HYPERLINK("http://exon.niaid.nih.gov/transcriptome/Anopheles_sialome/links/cluster-b/anopheline-sialome-cds-pep-larger-orf35-50SimCLTL5.txt", 61)</f>
        <v>61</v>
      </c>
      <c r="BR710">
        <f>HYPERLINK("http://exon.niaid.nih.gov/transcriptome/Anopheles_sialome/links/cluster-b/anopheline-sialome-cds-pep-larger-orf40-50SimCLU25.txt", 25)</f>
        <v>25</v>
      </c>
      <c r="BS710">
        <f>HYPERLINK("http://exon.niaid.nih.gov/transcriptome/Anopheles_sialome/links/cluster-b/anopheline-sialome-cds-pep-larger-orf40-50SimCLTL25.txt", 16)</f>
        <v>16</v>
      </c>
      <c r="BT710">
        <f>HYPERLINK("http://exon.niaid.nih.gov/transcriptome/Anopheles_sialome/links/cluster-b/anopheline-sialome-cds-pep-larger-orf45-50SimCLU29.txt", 29)</f>
        <v>29</v>
      </c>
      <c r="BU710">
        <f>HYPERLINK("http://exon.niaid.nih.gov/transcriptome/Anopheles_sialome/links/cluster-b/anopheline-sialome-cds-pep-larger-orf45-50SimCLTL29.txt", 16)</f>
        <v>16</v>
      </c>
      <c r="BV710">
        <f>HYPERLINK("http://exon.niaid.nih.gov/transcriptome/Anopheles_sialome/links/cluster-b/anopheline-sialome-cds-pep-larger-orf50-50SimCLU30.txt", 30)</f>
        <v>30</v>
      </c>
      <c r="BW710">
        <f>HYPERLINK("http://exon.niaid.nih.gov/transcriptome/Anopheles_sialome/links/cluster-b/anopheline-sialome-cds-pep-larger-orf50-50SimCLTL30.txt", 16)</f>
        <v>16</v>
      </c>
      <c r="BX710">
        <f>HYPERLINK("http://exon.niaid.nih.gov/transcriptome/Anopheles_sialome/links/cluster-b/anopheline-sialome-cds-pep-larger-orf55-50SimCLU29.txt", 29)</f>
        <v>29</v>
      </c>
      <c r="BY710">
        <f>HYPERLINK("http://exon.niaid.nih.gov/transcriptome/Anopheles_sialome/links/cluster-b/anopheline-sialome-cds-pep-larger-orf55-50SimCLTL29.txt", 16)</f>
        <v>16</v>
      </c>
      <c r="BZ710">
        <f>HYPERLINK("http://exon.niaid.nih.gov/transcriptome/Anopheles_sialome/links/cluster-b/anopheline-sialome-cds-pep-larger-orf60-50SimCLU38.txt", 38)</f>
        <v>38</v>
      </c>
      <c r="CA710">
        <f>HYPERLINK("http://exon.niaid.nih.gov/transcriptome/Anopheles_sialome/links/cluster-b/anopheline-sialome-cds-pep-larger-orf60-50SimCLTL38.txt", 7)</f>
        <v>7</v>
      </c>
      <c r="CB710">
        <f>HYPERLINK("http://exon.niaid.nih.gov/transcriptome/Anopheles_sialome/links/cluster-b/anopheline-sialome-cds-pep-larger-orf65-50SimCLU41.txt", 41)</f>
        <v>41</v>
      </c>
      <c r="CC710">
        <f>HYPERLINK("http://exon.niaid.nih.gov/transcriptome/Anopheles_sialome/links/cluster-b/anopheline-sialome-cds-pep-larger-orf65-50SimCLTL41.txt", 7)</f>
        <v>7</v>
      </c>
      <c r="CD710">
        <f>HYPERLINK("http://exon.niaid.nih.gov/transcriptome/Anopheles_sialome/links/cluster-b/anopheline-sialome-cds-pep-larger-orf70-50SimCLU43.txt", 43)</f>
        <v>43</v>
      </c>
      <c r="CE710">
        <f>HYPERLINK("http://exon.niaid.nih.gov/transcriptome/Anopheles_sialome/links/cluster-b/anopheline-sialome-cds-pep-larger-orf70-50SimCLTL43.txt", 7)</f>
        <v>7</v>
      </c>
      <c r="CF710">
        <v>109</v>
      </c>
      <c r="CG710">
        <v>1</v>
      </c>
      <c r="CH710">
        <v>144</v>
      </c>
      <c r="CI710">
        <v>1</v>
      </c>
      <c r="CJ710">
        <v>178</v>
      </c>
      <c r="CK710">
        <v>1</v>
      </c>
      <c r="CL710">
        <v>220</v>
      </c>
      <c r="CM710">
        <v>1</v>
      </c>
      <c r="CN710">
        <v>246</v>
      </c>
      <c r="CO710">
        <v>1</v>
      </c>
    </row>
    <row r="711" spans="1:93">
      <c r="A711" s="2" t="str">
        <f>HYPERLINK("http://exon.niaid.nih.gov/transcriptome/Anopheles_sialome/links/cds/anoepi_hyp13-cds.txt","anoepi_hyp13")</f>
        <v>anoepi_hyp13</v>
      </c>
      <c r="B711">
        <v>189</v>
      </c>
      <c r="C711" t="s">
        <v>4</v>
      </c>
      <c r="D711" s="8" t="s">
        <v>3178</v>
      </c>
      <c r="E711" t="s">
        <v>5</v>
      </c>
      <c r="F711" t="s">
        <v>1</v>
      </c>
      <c r="G711" t="str">
        <f>HYPERLINK("http://exon.niaid.nih.gov/transcriptome/Anopheles_sialome/links/pep/anoepi_hyp13-pep.txt","anoepi_hyp13")</f>
        <v>anoepi_hyp13</v>
      </c>
      <c r="H711">
        <v>62</v>
      </c>
      <c r="I711">
        <v>1</v>
      </c>
      <c r="J711" s="3" t="str">
        <f>HYPERLINK("http://exon.niaid.nih.gov/transcriptome/Anopheles_sialome/links/Sigp/anoepi_hyp13-SigP.txt","SIG")</f>
        <v>SIG</v>
      </c>
      <c r="K711" t="s">
        <v>695</v>
      </c>
      <c r="L711">
        <v>6.7309999999999999</v>
      </c>
      <c r="M711">
        <v>5.03</v>
      </c>
      <c r="N711">
        <v>4.4139999999999997</v>
      </c>
      <c r="O711">
        <v>4.66</v>
      </c>
      <c r="P711" t="s">
        <v>1292</v>
      </c>
      <c r="Q711" s="3" t="str">
        <f>HYPERLINK("http://exon.niaid.nih.gov/transcriptome/Anopheles_sialome/links/tmhmm/anoepi_hyp13-tmhmm.txt","1")</f>
        <v>1</v>
      </c>
      <c r="R711">
        <v>30.6</v>
      </c>
      <c r="S711">
        <v>6.5</v>
      </c>
      <c r="T711">
        <v>62.9</v>
      </c>
      <c r="U711" t="s">
        <v>128</v>
      </c>
      <c r="V711">
        <v>39</v>
      </c>
      <c r="W711" s="3" t="str">
        <f>HYPERLINK("http://exon.niaid.nih.gov/transcriptome/Anopheles_sialome/links/netoglyc/anoepi_hyp13-netoglyc.txt","1")</f>
        <v>1</v>
      </c>
      <c r="X711">
        <v>9.6999999999999993</v>
      </c>
      <c r="Y711">
        <v>8.1</v>
      </c>
      <c r="Z711">
        <v>3.2</v>
      </c>
      <c r="AA711" t="s">
        <v>654</v>
      </c>
      <c r="AB711" t="s">
        <v>1293</v>
      </c>
      <c r="AC711" s="2" t="str">
        <f>HYPERLINK("http://exon.niaid.nih.gov/transcriptome/Anopheles_sialome/links/DIPTERA/anoepi_hyp13-DIPTERA.txt","AGAP003474-PA")</f>
        <v>AGAP003474-PA</v>
      </c>
      <c r="AD711" t="str">
        <f>HYPERLINK("http://www.ncbi.nlm.nih.gov/sutils/blink.cgi?pid=55242638","9E-007")</f>
        <v>9E-007</v>
      </c>
      <c r="AE711" t="str">
        <f t="shared" si="244"/>
        <v>gi|55242638</v>
      </c>
      <c r="AF711">
        <v>57</v>
      </c>
      <c r="AG711">
        <v>66</v>
      </c>
      <c r="AH711">
        <v>96</v>
      </c>
      <c r="AI711" t="s">
        <v>2285</v>
      </c>
      <c r="AJ711" s="2" t="str">
        <f>HYPERLINK("http://exon.niaid.nih.gov/transcriptome/Anopheles_sialome/links/CULICOMORPHA/anoepi_hyp13-CULICOMORPHA.txt","AGAP003474-PA")</f>
        <v>AGAP003474-PA</v>
      </c>
      <c r="AK711" t="str">
        <f>HYPERLINK("http://www.ncbi.nlm.nih.gov/sutils/blink.cgi?pid=55242638","2E-007")</f>
        <v>2E-007</v>
      </c>
      <c r="AL711" t="str">
        <f t="shared" si="245"/>
        <v>gi|55242638</v>
      </c>
      <c r="AM711">
        <v>57</v>
      </c>
      <c r="AN711">
        <v>66</v>
      </c>
      <c r="AO711">
        <v>96</v>
      </c>
      <c r="AP711" t="s">
        <v>2285</v>
      </c>
      <c r="AQ711" s="2" t="str">
        <f>HYPERLINK("http://exon.niaid.nih.gov/transcriptome/Anopheles_sialome/links/NR-LIGHT/anoepi_hyp13-NR-LIGHT.txt","AGAP003474-PA")</f>
        <v>AGAP003474-PA</v>
      </c>
      <c r="AR711" t="str">
        <f>HYPERLINK("http://www.ncbi.nlm.nih.gov/sutils/blink.cgi?pid=58382212","2E-006")</f>
        <v>2E-006</v>
      </c>
      <c r="AS711" t="str">
        <f t="shared" si="246"/>
        <v>gi|58382212</v>
      </c>
      <c r="AT711">
        <v>57</v>
      </c>
      <c r="AU711">
        <v>66</v>
      </c>
      <c r="AV711">
        <v>96</v>
      </c>
      <c r="AW711" t="s">
        <v>2285</v>
      </c>
      <c r="AX711" s="2" t="str">
        <f>HYPERLINK("http://exon.niaid.nih.gov/transcriptome/Anopheles_sialome/links/CDD/anoepi_hyp13-CDD.txt","COG2248")</f>
        <v>COG2248</v>
      </c>
      <c r="AY711" t="str">
        <f>HYPERLINK("http://www.ncbi.nlm.nih.gov/Structure/cdd/cddsrv.cgi?uid=COG2248&amp;version=v4.0","4.3")</f>
        <v>4.3</v>
      </c>
      <c r="AZ711" t="s">
        <v>2627</v>
      </c>
      <c r="BA711" s="2" t="str">
        <f>HYPERLINK("http://exon.niaid.nih.gov/transcriptome/Anopheles_sialome/links/KOG/anoepi_hyp13-KOG.txt","Receptor mediating netrin-dependent axon guidance")</f>
        <v>Receptor mediating netrin-dependent axon guidance</v>
      </c>
      <c r="BB711" t="str">
        <f>HYPERLINK("http://www.ncbi.nlm.nih.gov/Structure/cdd/cddsrv.cgi?uid=KOG4221","3.8")</f>
        <v>3.8</v>
      </c>
      <c r="BC711" t="s">
        <v>2292</v>
      </c>
      <c r="BD711" t="str">
        <f>HYPERLINK("http://exon.niaid.nih.gov/transcriptome/Anopheles_sialome/links/KOG/anoepi_hyp13-KOG.txt","KOG4221")</f>
        <v>KOG4221</v>
      </c>
      <c r="BE711" t="str">
        <f>HYPERLINK("http://exon.niaid.nih.gov/transcriptome/Anopheles_sialome/links/PFAM/anoepi_hyp13-PFAM.txt","UPF0014")</f>
        <v>UPF0014</v>
      </c>
      <c r="BF711" t="str">
        <f>HYPERLINK("http://pfam.sanger.ac.uk/family?acc=PF03649","1.3")</f>
        <v>1.3</v>
      </c>
      <c r="BG711" s="2" t="str">
        <f>HYPERLINK("http://exon.niaid.nih.gov/transcriptome/Anopheles_sialome/links/SMART/anoepi_hyp13-SMART.txt","Glyco_18")</f>
        <v>Glyco_18</v>
      </c>
      <c r="BH711" t="str">
        <f>HYPERLINK("http://smart.embl-heidelberg.de/smart/do_annotation.pl?DOMAIN=Glyco_18&amp;BLAST=DUMMY","4.2")</f>
        <v>4.2</v>
      </c>
      <c r="BI711" t="s">
        <v>128</v>
      </c>
      <c r="BJ711" s="2" t="s">
        <v>128</v>
      </c>
      <c r="BK711" t="s">
        <v>1291</v>
      </c>
      <c r="BL711">
        <f>HYPERLINK("http://exon.niaid.nih.gov/transcriptome/Anopheles_sialome/links/cluster-b/anopheline-sialome-cds-pep-larger-orf25-50SimCLU1.txt", 1)</f>
        <v>1</v>
      </c>
      <c r="BM711">
        <f>HYPERLINK("http://exon.niaid.nih.gov/transcriptome/Anopheles_sialome/links/cluster-b/anopheline-sialome-cds-pep-larger-orf25-50SimCLTL1.txt", 165)</f>
        <v>165</v>
      </c>
      <c r="BN711">
        <f>HYPERLINK("http://exon.niaid.nih.gov/transcriptome/Anopheles_sialome/links/cluster-b/anopheline-sialome-cds-pep-larger-orf30-50SimCLU1.txt", 1)</f>
        <v>1</v>
      </c>
      <c r="BO711">
        <f>HYPERLINK("http://exon.niaid.nih.gov/transcriptome/Anopheles_sialome/links/cluster-b/anopheline-sialome-cds-pep-larger-orf30-50SimCLTL1.txt", 165)</f>
        <v>165</v>
      </c>
      <c r="BP711">
        <f>HYPERLINK("http://exon.niaid.nih.gov/transcriptome/Anopheles_sialome/links/cluster-b/anopheline-sialome-cds-pep-larger-orf35-50SimCLU5.txt", 5)</f>
        <v>5</v>
      </c>
      <c r="BQ711">
        <f>HYPERLINK("http://exon.niaid.nih.gov/transcriptome/Anopheles_sialome/links/cluster-b/anopheline-sialome-cds-pep-larger-orf35-50SimCLTL5.txt", 61)</f>
        <v>61</v>
      </c>
      <c r="BR711">
        <f>HYPERLINK("http://exon.niaid.nih.gov/transcriptome/Anopheles_sialome/links/cluster-b/anopheline-sialome-cds-pep-larger-orf40-50SimCLU25.txt", 25)</f>
        <v>25</v>
      </c>
      <c r="BS711">
        <f>HYPERLINK("http://exon.niaid.nih.gov/transcriptome/Anopheles_sialome/links/cluster-b/anopheline-sialome-cds-pep-larger-orf40-50SimCLTL25.txt", 16)</f>
        <v>16</v>
      </c>
      <c r="BT711">
        <f>HYPERLINK("http://exon.niaid.nih.gov/transcriptome/Anopheles_sialome/links/cluster-b/anopheline-sialome-cds-pep-larger-orf45-50SimCLU29.txt", 29)</f>
        <v>29</v>
      </c>
      <c r="BU711">
        <f>HYPERLINK("http://exon.niaid.nih.gov/transcriptome/Anopheles_sialome/links/cluster-b/anopheline-sialome-cds-pep-larger-orf45-50SimCLTL29.txt", 16)</f>
        <v>16</v>
      </c>
      <c r="BV711">
        <f>HYPERLINK("http://exon.niaid.nih.gov/transcriptome/Anopheles_sialome/links/cluster-b/anopheline-sialome-cds-pep-larger-orf50-50SimCLU30.txt", 30)</f>
        <v>30</v>
      </c>
      <c r="BW711">
        <f>HYPERLINK("http://exon.niaid.nih.gov/transcriptome/Anopheles_sialome/links/cluster-b/anopheline-sialome-cds-pep-larger-orf50-50SimCLTL30.txt", 16)</f>
        <v>16</v>
      </c>
      <c r="BX711">
        <f>HYPERLINK("http://exon.niaid.nih.gov/transcriptome/Anopheles_sialome/links/cluster-b/anopheline-sialome-cds-pep-larger-orf55-50SimCLU29.txt", 29)</f>
        <v>29</v>
      </c>
      <c r="BY711">
        <f>HYPERLINK("http://exon.niaid.nih.gov/transcriptome/Anopheles_sialome/links/cluster-b/anopheline-sialome-cds-pep-larger-orf55-50SimCLTL29.txt", 16)</f>
        <v>16</v>
      </c>
      <c r="BZ711">
        <v>55</v>
      </c>
      <c r="CA711">
        <v>1</v>
      </c>
      <c r="CB711">
        <v>68</v>
      </c>
      <c r="CC711">
        <v>1</v>
      </c>
      <c r="CD711">
        <v>84</v>
      </c>
      <c r="CE711">
        <v>1</v>
      </c>
      <c r="CF711">
        <v>110</v>
      </c>
      <c r="CG711">
        <v>1</v>
      </c>
      <c r="CH711">
        <v>145</v>
      </c>
      <c r="CI711">
        <v>1</v>
      </c>
      <c r="CJ711">
        <v>179</v>
      </c>
      <c r="CK711">
        <v>1</v>
      </c>
      <c r="CL711">
        <v>221</v>
      </c>
      <c r="CM711">
        <v>1</v>
      </c>
      <c r="CN711">
        <v>247</v>
      </c>
      <c r="CO711">
        <v>1</v>
      </c>
    </row>
    <row r="712" spans="1:93">
      <c r="A712" s="14" t="s">
        <v>3144</v>
      </c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  <c r="BC712" s="13"/>
      <c r="BD712" s="13"/>
      <c r="BE712" s="13"/>
      <c r="BF712" s="13"/>
      <c r="BG712" s="13"/>
      <c r="BH712" s="13"/>
      <c r="BI712" s="13"/>
      <c r="BJ712" s="13"/>
      <c r="BK712" s="13"/>
      <c r="BL712" s="13"/>
      <c r="BM712" s="13"/>
      <c r="BN712" s="13"/>
      <c r="BO712" s="13"/>
      <c r="BP712" s="13"/>
      <c r="BQ712" s="13"/>
      <c r="BR712" s="13"/>
      <c r="BS712" s="13"/>
      <c r="BT712" s="13"/>
      <c r="BU712" s="13"/>
      <c r="BV712" s="13"/>
      <c r="BW712" s="13"/>
      <c r="BX712" s="13"/>
      <c r="BY712" s="13"/>
      <c r="BZ712" s="13"/>
      <c r="CA712" s="13"/>
      <c r="CB712" s="13"/>
      <c r="CC712" s="13"/>
      <c r="CD712" s="13"/>
      <c r="CE712" s="13"/>
      <c r="CF712" s="13"/>
      <c r="CG712" s="13"/>
      <c r="CH712" s="13"/>
      <c r="CI712" s="13"/>
      <c r="CJ712" s="13"/>
      <c r="CK712" s="13"/>
      <c r="CL712" s="13"/>
      <c r="CM712" s="13"/>
      <c r="CN712" s="13"/>
      <c r="CO712" s="13"/>
    </row>
    <row r="713" spans="1:93">
      <c r="A713" s="2" t="str">
        <f>HYPERLINK("http://exon.niaid.nih.gov/transcriptome/Anopheles_sialome/links/cds/anoga_hyp6.2-cds.txt","anoga_hyp6.2")</f>
        <v>anoga_hyp6.2</v>
      </c>
      <c r="B713">
        <v>258</v>
      </c>
      <c r="C713" t="s">
        <v>246</v>
      </c>
      <c r="D713" t="s">
        <v>4</v>
      </c>
      <c r="E713" t="s">
        <v>5</v>
      </c>
      <c r="F713" t="s">
        <v>1</v>
      </c>
      <c r="G713" t="str">
        <f>HYPERLINK("http://exon.niaid.nih.gov/transcriptome/Anopheles_sialome/links/pep/anoga_hyp6.2-pep.txt","anoga_hyp6.2")</f>
        <v>anoga_hyp6.2</v>
      </c>
      <c r="H713">
        <v>85</v>
      </c>
      <c r="I713">
        <v>0</v>
      </c>
      <c r="J713" s="3" t="str">
        <f>HYPERLINK("http://exon.niaid.nih.gov/transcriptome/Anopheles_sialome/links/Sigp/anoga_hyp6.2-SigP.txt","SIG")</f>
        <v>SIG</v>
      </c>
      <c r="K713" t="s">
        <v>834</v>
      </c>
      <c r="L713">
        <v>9.2859999999999996</v>
      </c>
      <c r="M713">
        <v>10.97</v>
      </c>
      <c r="N713">
        <v>6.3609999999999998</v>
      </c>
      <c r="O713">
        <v>10.41</v>
      </c>
      <c r="P713" t="s">
        <v>1295</v>
      </c>
      <c r="Q713" s="3">
        <v>0</v>
      </c>
      <c r="R713" t="s">
        <v>128</v>
      </c>
      <c r="S713" t="s">
        <v>128</v>
      </c>
      <c r="T713" t="s">
        <v>128</v>
      </c>
      <c r="U713" t="s">
        <v>128</v>
      </c>
      <c r="V713" t="s">
        <v>128</v>
      </c>
      <c r="W713" s="3" t="str">
        <f>HYPERLINK("http://exon.niaid.nih.gov/transcriptome/Anopheles_sialome/links/netoglyc/anoga_hyp6.2-netoglyc.txt","2")</f>
        <v>2</v>
      </c>
      <c r="X713">
        <v>17.600000000000001</v>
      </c>
      <c r="Y713">
        <v>10.6</v>
      </c>
      <c r="Z713">
        <v>3.5</v>
      </c>
      <c r="AA713" t="s">
        <v>654</v>
      </c>
      <c r="AB713" t="s">
        <v>128</v>
      </c>
      <c r="AC713" s="2" t="str">
        <f>HYPERLINK("http://exon.niaid.nih.gov/transcriptome/Anopheles_sialome/links/DIPTERA/anoga_hyp6.2-DIPTERA.txt","hyp6.2 precursor")</f>
        <v>hyp6.2 precursor</v>
      </c>
      <c r="AD713" t="str">
        <f>HYPERLINK("http://www.ncbi.nlm.nih.gov/sutils/blink.cgi?pid=62546223","5E-042")</f>
        <v>5E-042</v>
      </c>
      <c r="AE713" t="str">
        <f t="shared" ref="AE713:AE719" si="247">HYPERLINK("http://www.ncbi.nlm.nih.gov/protein/62546223","gi|62546223")</f>
        <v>gi|62546223</v>
      </c>
      <c r="AF713">
        <v>100</v>
      </c>
      <c r="AG713">
        <v>100</v>
      </c>
      <c r="AH713">
        <v>100</v>
      </c>
      <c r="AI713" t="s">
        <v>2254</v>
      </c>
      <c r="AJ713" s="2" t="str">
        <f>HYPERLINK("http://exon.niaid.nih.gov/transcriptome/Anopheles_sialome/links/CULICOMORPHA/anoga_hyp6.2-CULICOMORPHA.txt","hyp6.2 precursor")</f>
        <v>hyp6.2 precursor</v>
      </c>
      <c r="AK713" t="str">
        <f>HYPERLINK("http://www.ncbi.nlm.nih.gov/sutils/blink.cgi?pid=62546223","8E-043")</f>
        <v>8E-043</v>
      </c>
      <c r="AL713" t="str">
        <f t="shared" ref="AL713:AL719" si="248">HYPERLINK("http://www.ncbi.nlm.nih.gov/protein/62546223","gi|62546223")</f>
        <v>gi|62546223</v>
      </c>
      <c r="AM713">
        <v>100</v>
      </c>
      <c r="AN713">
        <v>100</v>
      </c>
      <c r="AO713">
        <v>100</v>
      </c>
      <c r="AP713" t="s">
        <v>2254</v>
      </c>
      <c r="AQ713" s="2" t="str">
        <f>HYPERLINK("http://exon.niaid.nih.gov/transcriptome/Anopheles_sialome/links/NR-LIGHT/anoga_hyp6.2-NR-LIGHT.txt","AGAP006495-PA")</f>
        <v>AGAP006495-PA</v>
      </c>
      <c r="AR713" t="str">
        <f>HYPERLINK("http://www.ncbi.nlm.nih.gov/sutils/blink.cgi?pid=118788162","1E-041")</f>
        <v>1E-041</v>
      </c>
      <c r="AS713" t="str">
        <f t="shared" ref="AS713:AS719" si="249">HYPERLINK("http://www.ncbi.nlm.nih.gov/protein/118788162","gi|118788162")</f>
        <v>gi|118788162</v>
      </c>
      <c r="AT713">
        <v>100</v>
      </c>
      <c r="AU713">
        <v>100</v>
      </c>
      <c r="AV713">
        <v>100</v>
      </c>
      <c r="AW713" t="s">
        <v>2285</v>
      </c>
      <c r="AX713" s="2" t="str">
        <f>HYPERLINK("http://exon.niaid.nih.gov/transcriptome/Anopheles_sialome/links/CDD/anoga_hyp6.2-CDD.txt","Gpi16")</f>
        <v>Gpi16</v>
      </c>
      <c r="AY713" t="str">
        <f>HYPERLINK("http://www.ncbi.nlm.nih.gov/Structure/cdd/cddsrv.cgi?uid=pfam04113&amp;version=v4.0","4.2")</f>
        <v>4.2</v>
      </c>
      <c r="AZ713" t="s">
        <v>2628</v>
      </c>
      <c r="BA713" s="2" t="str">
        <f>HYPERLINK("http://exon.niaid.nih.gov/transcriptome/Anopheles_sialome/links/KOG/anoga_hyp6.2-KOG.txt","Inositol 1,4,5-trisphosphate receptor")</f>
        <v>Inositol 1,4,5-trisphosphate receptor</v>
      </c>
      <c r="BB713" t="str">
        <f>HYPERLINK("http://www.ncbi.nlm.nih.gov/Structure/cdd/cddsrv.cgi?uid=KOG3533","0.040")</f>
        <v>0.040</v>
      </c>
      <c r="BC713" t="s">
        <v>2292</v>
      </c>
      <c r="BD713" t="str">
        <f>HYPERLINK("http://exon.niaid.nih.gov/transcriptome/Anopheles_sialome/links/KOG/anoga_hyp6.2-KOG.txt","KOG3533")</f>
        <v>KOG3533</v>
      </c>
      <c r="BE713" t="str">
        <f>HYPERLINK("http://exon.niaid.nih.gov/transcriptome/Anopheles_sialome/links/PFAM/anoga_hyp6.2-PFAM.txt","Gpi16")</f>
        <v>Gpi16</v>
      </c>
      <c r="BF713" t="str">
        <f>HYPERLINK("http://pfam.sanger.ac.uk/family?acc=PF04113","0.93")</f>
        <v>0.93</v>
      </c>
      <c r="BG713" s="2" t="str">
        <f>HYPERLINK("http://exon.niaid.nih.gov/transcriptome/Anopheles_sialome/links/SMART/anoga_hyp6.2-SMART.txt","AFOR_N")</f>
        <v>AFOR_N</v>
      </c>
      <c r="BH713" t="str">
        <f>HYPERLINK("http://smart.embl-heidelberg.de/smart/do_annotation.pl?DOMAIN=AFOR_N&amp;BLAST=DUMMY","0.070")</f>
        <v>0.070</v>
      </c>
      <c r="BI713" t="s">
        <v>128</v>
      </c>
      <c r="BJ713" s="2" t="s">
        <v>128</v>
      </c>
      <c r="BK713" t="s">
        <v>1294</v>
      </c>
      <c r="BL713">
        <f>HYPERLINK("http://exon.niaid.nih.gov/transcriptome/Anopheles_sialome/links/cluster-b/anopheline-sialome-cds-pep-larger-orf25-50SimCLU1.txt", 1)</f>
        <v>1</v>
      </c>
      <c r="BM713">
        <f>HYPERLINK("http://exon.niaid.nih.gov/transcriptome/Anopheles_sialome/links/cluster-b/anopheline-sialome-cds-pep-larger-orf25-50SimCLTL1.txt", 165)</f>
        <v>165</v>
      </c>
      <c r="BN713">
        <f>HYPERLINK("http://exon.niaid.nih.gov/transcriptome/Anopheles_sialome/links/cluster-b/anopheline-sialome-cds-pep-larger-orf30-50SimCLU1.txt", 1)</f>
        <v>1</v>
      </c>
      <c r="BO713">
        <f>HYPERLINK("http://exon.niaid.nih.gov/transcriptome/Anopheles_sialome/links/cluster-b/anopheline-sialome-cds-pep-larger-orf30-50SimCLTL1.txt", 165)</f>
        <v>165</v>
      </c>
      <c r="BP713">
        <f>HYPERLINK("http://exon.niaid.nih.gov/transcriptome/Anopheles_sialome/links/cluster-b/anopheline-sialome-cds-pep-larger-orf35-50SimCLU4.txt", 4)</f>
        <v>4</v>
      </c>
      <c r="BQ713">
        <f>HYPERLINK("http://exon.niaid.nih.gov/transcriptome/Anopheles_sialome/links/cluster-b/anopheline-sialome-cds-pep-larger-orf35-50SimCLTL4.txt", 76)</f>
        <v>76</v>
      </c>
      <c r="BR713">
        <f>HYPERLINK("http://exon.niaid.nih.gov/transcriptome/Anopheles_sialome/links/cluster-b/anopheline-sialome-cds-pep-larger-orf40-50SimCLU20.txt", 20)</f>
        <v>20</v>
      </c>
      <c r="BS713">
        <f>HYPERLINK("http://exon.niaid.nih.gov/transcriptome/Anopheles_sialome/links/cluster-b/anopheline-sialome-cds-pep-larger-orf40-50SimCLTL20.txt", 18)</f>
        <v>18</v>
      </c>
      <c r="BT713">
        <f>HYPERLINK("http://exon.niaid.nih.gov/transcriptome/Anopheles_sialome/links/cluster-b/anopheline-sialome-cds-pep-larger-orf45-50SimCLU21.txt", 21)</f>
        <v>21</v>
      </c>
      <c r="BU713">
        <f>HYPERLINK("http://exon.niaid.nih.gov/transcriptome/Anopheles_sialome/links/cluster-b/anopheline-sialome-cds-pep-larger-orf45-50SimCLTL21.txt", 18)</f>
        <v>18</v>
      </c>
      <c r="BV713">
        <f>HYPERLINK("http://exon.niaid.nih.gov/transcriptome/Anopheles_sialome/links/cluster-b/anopheline-sialome-cds-pep-larger-orf50-50SimCLU20.txt", 20)</f>
        <v>20</v>
      </c>
      <c r="BW713">
        <f>HYPERLINK("http://exon.niaid.nih.gov/transcriptome/Anopheles_sialome/links/cluster-b/anopheline-sialome-cds-pep-larger-orf50-50SimCLTL20.txt", 18)</f>
        <v>18</v>
      </c>
      <c r="BX713">
        <f>HYPERLINK("http://exon.niaid.nih.gov/transcriptome/Anopheles_sialome/links/cluster-b/anopheline-sialome-cds-pep-larger-orf55-50SimCLU21.txt", 21)</f>
        <v>21</v>
      </c>
      <c r="BY713">
        <f>HYPERLINK("http://exon.niaid.nih.gov/transcriptome/Anopheles_sialome/links/cluster-b/anopheline-sialome-cds-pep-larger-orf55-50SimCLTL21.txt", 18)</f>
        <v>18</v>
      </c>
      <c r="BZ713">
        <f>HYPERLINK("http://exon.niaid.nih.gov/transcriptome/Anopheles_sialome/links/cluster-b/anopheline-sialome-cds-pep-larger-orf60-50SimCLU25.txt", 25)</f>
        <v>25</v>
      </c>
      <c r="CA713">
        <f>HYPERLINK("http://exon.niaid.nih.gov/transcriptome/Anopheles_sialome/links/cluster-b/anopheline-sialome-cds-pep-larger-orf60-50SimCLTL25.txt", 16)</f>
        <v>16</v>
      </c>
      <c r="CB713">
        <f>HYPERLINK("http://exon.niaid.nih.gov/transcriptome/Anopheles_sialome/links/cluster-b/anopheline-sialome-cds-pep-larger-orf65-50SimCLU27.txt", 27)</f>
        <v>27</v>
      </c>
      <c r="CC713">
        <f>HYPERLINK("http://exon.niaid.nih.gov/transcriptome/Anopheles_sialome/links/cluster-b/anopheline-sialome-cds-pep-larger-orf65-50SimCLTL27.txt", 15)</f>
        <v>15</v>
      </c>
      <c r="CD713">
        <f>HYPERLINK("http://exon.niaid.nih.gov/transcriptome/Anopheles_sialome/links/cluster-b/anopheline-sialome-cds-pep-larger-orf70-50SimCLU24.txt", 24)</f>
        <v>24</v>
      </c>
      <c r="CE713">
        <f>HYPERLINK("http://exon.niaid.nih.gov/transcriptome/Anopheles_sialome/links/cluster-b/anopheline-sialome-cds-pep-larger-orf70-50SimCLTL24.txt", 15)</f>
        <v>15</v>
      </c>
      <c r="CF713">
        <f>HYPERLINK("http://exon.niaid.nih.gov/transcriptome/Anopheles_sialome/links/cluster-b/anopheline-sialome-cds-pep-larger-orf75-50SimCLU42.txt", 42)</f>
        <v>42</v>
      </c>
      <c r="CG713">
        <f>HYPERLINK("http://exon.niaid.nih.gov/transcriptome/Anopheles_sialome/links/cluster-b/anopheline-sialome-cds-pep-larger-orf75-50SimCLTL42.txt", 6)</f>
        <v>6</v>
      </c>
      <c r="CH713">
        <f>HYPERLINK("http://exon.niaid.nih.gov/transcriptome/Anopheles_sialome/links/cluster-b/anopheline-sialome-cds-pep-larger-orf80-50SimCLU36.txt", 36)</f>
        <v>36</v>
      </c>
      <c r="CI713">
        <f>HYPERLINK("http://exon.niaid.nih.gov/transcriptome/Anopheles_sialome/links/cluster-b/anopheline-sialome-cds-pep-larger-orf80-50SimCLTL36.txt", 6)</f>
        <v>6</v>
      </c>
      <c r="CJ713">
        <f>HYPERLINK("http://exon.niaid.nih.gov/transcriptome/Anopheles_sialome/links/cluster-b/anopheline-sialome-cds-pep-larger-orf85-50SimCLU32.txt", 32)</f>
        <v>32</v>
      </c>
      <c r="CK713">
        <f>HYPERLINK("http://exon.niaid.nih.gov/transcriptome/Anopheles_sialome/links/cluster-b/anopheline-sialome-cds-pep-larger-orf85-50SimCLTL32.txt", 6)</f>
        <v>6</v>
      </c>
      <c r="CL713">
        <f>HYPERLINK("http://exon.niaid.nih.gov/transcriptome/Anopheles_sialome/links/cluster-b/anopheline-sialome-cds-pep-larger-orf90-50SimCLU24.txt", 24)</f>
        <v>24</v>
      </c>
      <c r="CM713">
        <f>HYPERLINK("http://exon.niaid.nih.gov/transcriptome/Anopheles_sialome/links/cluster-b/anopheline-sialome-cds-pep-larger-orf90-50SimCLTL24.txt", 6)</f>
        <v>6</v>
      </c>
      <c r="CN713">
        <f>HYPERLINK("http://exon.niaid.nih.gov/transcriptome/Anopheles_sialome/links/cluster-b/anopheline-sialome-cds-pep-larger-orf95-50SimCLU15.txt", 15)</f>
        <v>15</v>
      </c>
      <c r="CO713">
        <f>HYPERLINK("http://exon.niaid.nih.gov/transcriptome/Anopheles_sialome/links/cluster-b/anopheline-sialome-cds-pep-larger-orf95-50SimCLTL15.txt", 6)</f>
        <v>6</v>
      </c>
    </row>
    <row r="714" spans="1:93">
      <c r="A714" s="2" t="str">
        <f>HYPERLINK("http://exon.niaid.nih.gov/transcriptome/Anopheles_sialome/links/cds/anocol_hyp6.2-cds.txt","anocol_hyp6.2")</f>
        <v>anocol_hyp6.2</v>
      </c>
      <c r="B714">
        <v>255</v>
      </c>
      <c r="C714" t="s">
        <v>4</v>
      </c>
      <c r="D714" s="8" t="s">
        <v>3178</v>
      </c>
      <c r="E714" t="s">
        <v>5</v>
      </c>
      <c r="F714" t="s">
        <v>1</v>
      </c>
      <c r="G714" t="str">
        <f>HYPERLINK("http://exon.niaid.nih.gov/transcriptome/Anopheles_sialome/links/pep/anocol_hyp6.2-pep.txt","anocol_hyp6.2")</f>
        <v>anocol_hyp6.2</v>
      </c>
      <c r="H714">
        <v>84</v>
      </c>
      <c r="I714">
        <v>0</v>
      </c>
      <c r="J714" s="3" t="str">
        <f>HYPERLINK("http://exon.niaid.nih.gov/transcriptome/Anopheles_sialome/links/Sigp/anocol_hyp6.2-SigP.txt","SIG")</f>
        <v>SIG</v>
      </c>
      <c r="K714" t="s">
        <v>834</v>
      </c>
      <c r="L714">
        <v>9.1929999999999996</v>
      </c>
      <c r="M714">
        <v>11.25</v>
      </c>
      <c r="N714">
        <v>6.2949999999999999</v>
      </c>
      <c r="O714">
        <v>10.74</v>
      </c>
      <c r="P714" t="s">
        <v>1297</v>
      </c>
      <c r="Q714" s="3">
        <v>0</v>
      </c>
      <c r="R714" t="s">
        <v>128</v>
      </c>
      <c r="S714" t="s">
        <v>128</v>
      </c>
      <c r="T714" t="s">
        <v>128</v>
      </c>
      <c r="U714" t="s">
        <v>128</v>
      </c>
      <c r="V714" t="s">
        <v>128</v>
      </c>
      <c r="W714" s="3" t="str">
        <f>HYPERLINK("http://exon.niaid.nih.gov/transcriptome/Anopheles_sialome/links/netoglyc/anocol_hyp6.2-netoglyc.txt","2")</f>
        <v>2</v>
      </c>
      <c r="X714">
        <v>17.899999999999999</v>
      </c>
      <c r="Y714">
        <v>10.7</v>
      </c>
      <c r="Z714">
        <v>3.6</v>
      </c>
      <c r="AA714" t="s">
        <v>654</v>
      </c>
      <c r="AB714" t="s">
        <v>128</v>
      </c>
      <c r="AC714" s="2" t="str">
        <f>HYPERLINK("http://exon.niaid.nih.gov/transcriptome/Anopheles_sialome/links/DIPTERA/anocol_hyp6.2-DIPTERA.txt","hyp6.2 precursor")</f>
        <v>hyp6.2 precursor</v>
      </c>
      <c r="AD714" t="str">
        <f>HYPERLINK("http://www.ncbi.nlm.nih.gov/sutils/blink.cgi?pid=62546223","2E-039")</f>
        <v>2E-039</v>
      </c>
      <c r="AE714" t="str">
        <f t="shared" si="247"/>
        <v>gi|62546223</v>
      </c>
      <c r="AF714">
        <v>95</v>
      </c>
      <c r="AG714">
        <v>97</v>
      </c>
      <c r="AH714">
        <v>99</v>
      </c>
      <c r="AI714" t="s">
        <v>2254</v>
      </c>
      <c r="AJ714" s="2" t="str">
        <f>HYPERLINK("http://exon.niaid.nih.gov/transcriptome/Anopheles_sialome/links/CULICOMORPHA/anocol_hyp6.2-CULICOMORPHA.txt","hyp6.2 precursor")</f>
        <v>hyp6.2 precursor</v>
      </c>
      <c r="AK714" t="str">
        <f>HYPERLINK("http://www.ncbi.nlm.nih.gov/sutils/blink.cgi?pid=62546223","3E-040")</f>
        <v>3E-040</v>
      </c>
      <c r="AL714" t="str">
        <f t="shared" si="248"/>
        <v>gi|62546223</v>
      </c>
      <c r="AM714">
        <v>95</v>
      </c>
      <c r="AN714">
        <v>97</v>
      </c>
      <c r="AO714">
        <v>99</v>
      </c>
      <c r="AP714" t="s">
        <v>2254</v>
      </c>
      <c r="AQ714" s="2" t="str">
        <f>HYPERLINK("http://exon.niaid.nih.gov/transcriptome/Anopheles_sialome/links/NR-LIGHT/anocol_hyp6.2-NR-LIGHT.txt","AGAP006495-PA")</f>
        <v>AGAP006495-PA</v>
      </c>
      <c r="AR714" t="str">
        <f>HYPERLINK("http://www.ncbi.nlm.nih.gov/sutils/blink.cgi?pid=118788162","5E-039")</f>
        <v>5E-039</v>
      </c>
      <c r="AS714" t="str">
        <f t="shared" si="249"/>
        <v>gi|118788162</v>
      </c>
      <c r="AT714">
        <v>95</v>
      </c>
      <c r="AU714">
        <v>97</v>
      </c>
      <c r="AV714">
        <v>99</v>
      </c>
      <c r="AW714" t="s">
        <v>2285</v>
      </c>
      <c r="AX714" s="2" t="s">
        <v>128</v>
      </c>
      <c r="AY714" t="s">
        <v>128</v>
      </c>
      <c r="AZ714" t="s">
        <v>128</v>
      </c>
      <c r="BA714" s="2" t="str">
        <f>HYPERLINK("http://exon.niaid.nih.gov/transcriptome/Anopheles_sialome/links/KOG/anocol_hyp6.2-KOG.txt","Inositol 1,4,5-trisphosphate receptor")</f>
        <v>Inositol 1,4,5-trisphosphate receptor</v>
      </c>
      <c r="BB714" t="str">
        <f>HYPERLINK("http://www.ncbi.nlm.nih.gov/Structure/cdd/cddsrv.cgi?uid=KOG3533","0.092")</f>
        <v>0.092</v>
      </c>
      <c r="BC714" t="s">
        <v>2292</v>
      </c>
      <c r="BD714" t="str">
        <f>HYPERLINK("http://exon.niaid.nih.gov/transcriptome/Anopheles_sialome/links/KOG/anocol_hyp6.2-KOG.txt","KOG3533")</f>
        <v>KOG3533</v>
      </c>
      <c r="BE714" t="str">
        <f>HYPERLINK("http://exon.niaid.nih.gov/transcriptome/Anopheles_sialome/links/PFAM/anocol_hyp6.2-PFAM.txt","Gpi16")</f>
        <v>Gpi16</v>
      </c>
      <c r="BF714" t="str">
        <f>HYPERLINK("http://pfam.sanger.ac.uk/family?acc=PF04113","2.9")</f>
        <v>2.9</v>
      </c>
      <c r="BG714" s="2" t="str">
        <f>HYPERLINK("http://exon.niaid.nih.gov/transcriptome/Anopheles_sialome/links/SMART/anocol_hyp6.2-SMART.txt","AFOR_N")</f>
        <v>AFOR_N</v>
      </c>
      <c r="BH714" t="str">
        <f>HYPERLINK("http://smart.embl-heidelberg.de/smart/do_annotation.pl?DOMAIN=AFOR_N&amp;BLAST=DUMMY","0.40")</f>
        <v>0.40</v>
      </c>
      <c r="BI714" t="s">
        <v>128</v>
      </c>
      <c r="BJ714" s="2" t="s">
        <v>128</v>
      </c>
      <c r="BK714" t="s">
        <v>1296</v>
      </c>
      <c r="BL714">
        <f>HYPERLINK("http://exon.niaid.nih.gov/transcriptome/Anopheles_sialome/links/cluster-b/anopheline-sialome-cds-pep-larger-orf25-50SimCLU1.txt", 1)</f>
        <v>1</v>
      </c>
      <c r="BM714">
        <f>HYPERLINK("http://exon.niaid.nih.gov/transcriptome/Anopheles_sialome/links/cluster-b/anopheline-sialome-cds-pep-larger-orf25-50SimCLTL1.txt", 165)</f>
        <v>165</v>
      </c>
      <c r="BN714">
        <f>HYPERLINK("http://exon.niaid.nih.gov/transcriptome/Anopheles_sialome/links/cluster-b/anopheline-sialome-cds-pep-larger-orf30-50SimCLU1.txt", 1)</f>
        <v>1</v>
      </c>
      <c r="BO714">
        <f>HYPERLINK("http://exon.niaid.nih.gov/transcriptome/Anopheles_sialome/links/cluster-b/anopheline-sialome-cds-pep-larger-orf30-50SimCLTL1.txt", 165)</f>
        <v>165</v>
      </c>
      <c r="BP714">
        <f>HYPERLINK("http://exon.niaid.nih.gov/transcriptome/Anopheles_sialome/links/cluster-b/anopheline-sialome-cds-pep-larger-orf35-50SimCLU4.txt", 4)</f>
        <v>4</v>
      </c>
      <c r="BQ714">
        <f>HYPERLINK("http://exon.niaid.nih.gov/transcriptome/Anopheles_sialome/links/cluster-b/anopheline-sialome-cds-pep-larger-orf35-50SimCLTL4.txt", 76)</f>
        <v>76</v>
      </c>
      <c r="BR714">
        <f>HYPERLINK("http://exon.niaid.nih.gov/transcriptome/Anopheles_sialome/links/cluster-b/anopheline-sialome-cds-pep-larger-orf40-50SimCLU20.txt", 20)</f>
        <v>20</v>
      </c>
      <c r="BS714">
        <f>HYPERLINK("http://exon.niaid.nih.gov/transcriptome/Anopheles_sialome/links/cluster-b/anopheline-sialome-cds-pep-larger-orf40-50SimCLTL20.txt", 18)</f>
        <v>18</v>
      </c>
      <c r="BT714">
        <f>HYPERLINK("http://exon.niaid.nih.gov/transcriptome/Anopheles_sialome/links/cluster-b/anopheline-sialome-cds-pep-larger-orf45-50SimCLU21.txt", 21)</f>
        <v>21</v>
      </c>
      <c r="BU714">
        <f>HYPERLINK("http://exon.niaid.nih.gov/transcriptome/Anopheles_sialome/links/cluster-b/anopheline-sialome-cds-pep-larger-orf45-50SimCLTL21.txt", 18)</f>
        <v>18</v>
      </c>
      <c r="BV714">
        <f>HYPERLINK("http://exon.niaid.nih.gov/transcriptome/Anopheles_sialome/links/cluster-b/anopheline-sialome-cds-pep-larger-orf50-50SimCLU20.txt", 20)</f>
        <v>20</v>
      </c>
      <c r="BW714">
        <f>HYPERLINK("http://exon.niaid.nih.gov/transcriptome/Anopheles_sialome/links/cluster-b/anopheline-sialome-cds-pep-larger-orf50-50SimCLTL20.txt", 18)</f>
        <v>18</v>
      </c>
      <c r="BX714">
        <f>HYPERLINK("http://exon.niaid.nih.gov/transcriptome/Anopheles_sialome/links/cluster-b/anopheline-sialome-cds-pep-larger-orf55-50SimCLU21.txt", 21)</f>
        <v>21</v>
      </c>
      <c r="BY714">
        <f>HYPERLINK("http://exon.niaid.nih.gov/transcriptome/Anopheles_sialome/links/cluster-b/anopheline-sialome-cds-pep-larger-orf55-50SimCLTL21.txt", 18)</f>
        <v>18</v>
      </c>
      <c r="BZ714">
        <f>HYPERLINK("http://exon.niaid.nih.gov/transcriptome/Anopheles_sialome/links/cluster-b/anopheline-sialome-cds-pep-larger-orf60-50SimCLU25.txt", 25)</f>
        <v>25</v>
      </c>
      <c r="CA714">
        <f>HYPERLINK("http://exon.niaid.nih.gov/transcriptome/Anopheles_sialome/links/cluster-b/anopheline-sialome-cds-pep-larger-orf60-50SimCLTL25.txt", 16)</f>
        <v>16</v>
      </c>
      <c r="CB714">
        <f>HYPERLINK("http://exon.niaid.nih.gov/transcriptome/Anopheles_sialome/links/cluster-b/anopheline-sialome-cds-pep-larger-orf65-50SimCLU27.txt", 27)</f>
        <v>27</v>
      </c>
      <c r="CC714">
        <f>HYPERLINK("http://exon.niaid.nih.gov/transcriptome/Anopheles_sialome/links/cluster-b/anopheline-sialome-cds-pep-larger-orf65-50SimCLTL27.txt", 15)</f>
        <v>15</v>
      </c>
      <c r="CD714">
        <f>HYPERLINK("http://exon.niaid.nih.gov/transcriptome/Anopheles_sialome/links/cluster-b/anopheline-sialome-cds-pep-larger-orf70-50SimCLU24.txt", 24)</f>
        <v>24</v>
      </c>
      <c r="CE714">
        <f>HYPERLINK("http://exon.niaid.nih.gov/transcriptome/Anopheles_sialome/links/cluster-b/anopheline-sialome-cds-pep-larger-orf70-50SimCLTL24.txt", 15)</f>
        <v>15</v>
      </c>
      <c r="CF714">
        <f>HYPERLINK("http://exon.niaid.nih.gov/transcriptome/Anopheles_sialome/links/cluster-b/anopheline-sialome-cds-pep-larger-orf75-50SimCLU42.txt", 42)</f>
        <v>42</v>
      </c>
      <c r="CG714">
        <f>HYPERLINK("http://exon.niaid.nih.gov/transcriptome/Anopheles_sialome/links/cluster-b/anopheline-sialome-cds-pep-larger-orf75-50SimCLTL42.txt", 6)</f>
        <v>6</v>
      </c>
      <c r="CH714">
        <f>HYPERLINK("http://exon.niaid.nih.gov/transcriptome/Anopheles_sialome/links/cluster-b/anopheline-sialome-cds-pep-larger-orf80-50SimCLU36.txt", 36)</f>
        <v>36</v>
      </c>
      <c r="CI714">
        <f>HYPERLINK("http://exon.niaid.nih.gov/transcriptome/Anopheles_sialome/links/cluster-b/anopheline-sialome-cds-pep-larger-orf80-50SimCLTL36.txt", 6)</f>
        <v>6</v>
      </c>
      <c r="CJ714">
        <f>HYPERLINK("http://exon.niaid.nih.gov/transcriptome/Anopheles_sialome/links/cluster-b/anopheline-sialome-cds-pep-larger-orf85-50SimCLU32.txt", 32)</f>
        <v>32</v>
      </c>
      <c r="CK714">
        <f>HYPERLINK("http://exon.niaid.nih.gov/transcriptome/Anopheles_sialome/links/cluster-b/anopheline-sialome-cds-pep-larger-orf85-50SimCLTL32.txt", 6)</f>
        <v>6</v>
      </c>
      <c r="CL714">
        <f>HYPERLINK("http://exon.niaid.nih.gov/transcriptome/Anopheles_sialome/links/cluster-b/anopheline-sialome-cds-pep-larger-orf90-50SimCLU24.txt", 24)</f>
        <v>24</v>
      </c>
      <c r="CM714">
        <f>HYPERLINK("http://exon.niaid.nih.gov/transcriptome/Anopheles_sialome/links/cluster-b/anopheline-sialome-cds-pep-larger-orf90-50SimCLTL24.txt", 6)</f>
        <v>6</v>
      </c>
      <c r="CN714">
        <f>HYPERLINK("http://exon.niaid.nih.gov/transcriptome/Anopheles_sialome/links/cluster-b/anopheline-sialome-cds-pep-larger-orf95-50SimCLU15.txt", 15)</f>
        <v>15</v>
      </c>
      <c r="CO714">
        <f>HYPERLINK("http://exon.niaid.nih.gov/transcriptome/Anopheles_sialome/links/cluster-b/anopheline-sialome-cds-pep-larger-orf95-50SimCLTL15.txt", 6)</f>
        <v>6</v>
      </c>
    </row>
    <row r="715" spans="1:93">
      <c r="A715" s="2" t="str">
        <f>HYPERLINK("http://exon.niaid.nih.gov/transcriptome/Anopheles_sialome/links/cds/anoara_hyp6.2-cds.txt","anoara_hyp6.2")</f>
        <v>anoara_hyp6.2</v>
      </c>
      <c r="B715">
        <v>255</v>
      </c>
      <c r="C715" t="s">
        <v>4</v>
      </c>
      <c r="D715" s="8" t="s">
        <v>3178</v>
      </c>
      <c r="E715" t="s">
        <v>5</v>
      </c>
      <c r="F715" t="s">
        <v>1</v>
      </c>
      <c r="G715" t="str">
        <f>HYPERLINK("http://exon.niaid.nih.gov/transcriptome/Anopheles_sialome/links/pep/anoara_hyp6.2-pep.txt","anoara_hyp6.2")</f>
        <v>anoara_hyp6.2</v>
      </c>
      <c r="H715">
        <v>84</v>
      </c>
      <c r="I715">
        <v>0</v>
      </c>
      <c r="J715" s="3" t="str">
        <f>HYPERLINK("http://exon.niaid.nih.gov/transcriptome/Anopheles_sialome/links/Sigp/anoara_hyp6.2-SigP.txt","SIG")</f>
        <v>SIG</v>
      </c>
      <c r="K715" t="s">
        <v>834</v>
      </c>
      <c r="L715">
        <v>9.1240000000000006</v>
      </c>
      <c r="M715">
        <v>10.87</v>
      </c>
      <c r="N715">
        <v>6.2949999999999999</v>
      </c>
      <c r="O715">
        <v>10.74</v>
      </c>
      <c r="P715" t="s">
        <v>1299</v>
      </c>
      <c r="Q715" s="3">
        <v>0</v>
      </c>
      <c r="R715" t="s">
        <v>128</v>
      </c>
      <c r="S715" t="s">
        <v>128</v>
      </c>
      <c r="T715" t="s">
        <v>128</v>
      </c>
      <c r="U715" t="s">
        <v>128</v>
      </c>
      <c r="V715" t="s">
        <v>128</v>
      </c>
      <c r="W715" s="3" t="str">
        <f>HYPERLINK("http://exon.niaid.nih.gov/transcriptome/Anopheles_sialome/links/netoglyc/anoara_hyp6.2-netoglyc.txt","2")</f>
        <v>2</v>
      </c>
      <c r="X715">
        <v>19</v>
      </c>
      <c r="Y715">
        <v>10.7</v>
      </c>
      <c r="Z715">
        <v>3.6</v>
      </c>
      <c r="AA715" t="s">
        <v>654</v>
      </c>
      <c r="AB715" t="s">
        <v>128</v>
      </c>
      <c r="AC715" s="2" t="str">
        <f>HYPERLINK("http://exon.niaid.nih.gov/transcriptome/Anopheles_sialome/links/DIPTERA/anoara_hyp6.2-DIPTERA.txt","hyp6.2 precursor")</f>
        <v>hyp6.2 precursor</v>
      </c>
      <c r="AD715" t="str">
        <f>HYPERLINK("http://www.ncbi.nlm.nih.gov/sutils/blink.cgi?pid=62546223","8E-039")</f>
        <v>8E-039</v>
      </c>
      <c r="AE715" t="str">
        <f t="shared" si="247"/>
        <v>gi|62546223</v>
      </c>
      <c r="AF715">
        <v>94</v>
      </c>
      <c r="AG715">
        <v>96</v>
      </c>
      <c r="AH715">
        <v>99</v>
      </c>
      <c r="AI715" t="s">
        <v>2254</v>
      </c>
      <c r="AJ715" s="2" t="str">
        <f>HYPERLINK("http://exon.niaid.nih.gov/transcriptome/Anopheles_sialome/links/CULICOMORPHA/anoara_hyp6.2-CULICOMORPHA.txt","hyp6.2 precursor")</f>
        <v>hyp6.2 precursor</v>
      </c>
      <c r="AK715" t="str">
        <f>HYPERLINK("http://www.ncbi.nlm.nih.gov/sutils/blink.cgi?pid=62546223","1E-039")</f>
        <v>1E-039</v>
      </c>
      <c r="AL715" t="str">
        <f t="shared" si="248"/>
        <v>gi|62546223</v>
      </c>
      <c r="AM715">
        <v>94</v>
      </c>
      <c r="AN715">
        <v>96</v>
      </c>
      <c r="AO715">
        <v>99</v>
      </c>
      <c r="AP715" t="s">
        <v>2254</v>
      </c>
      <c r="AQ715" s="2" t="str">
        <f>HYPERLINK("http://exon.niaid.nih.gov/transcriptome/Anopheles_sialome/links/NR-LIGHT/anoara_hyp6.2-NR-LIGHT.txt","AGAP006495-PA")</f>
        <v>AGAP006495-PA</v>
      </c>
      <c r="AR715" t="str">
        <f>HYPERLINK("http://www.ncbi.nlm.nih.gov/sutils/blink.cgi?pid=118788162","2E-038")</f>
        <v>2E-038</v>
      </c>
      <c r="AS715" t="str">
        <f t="shared" si="249"/>
        <v>gi|118788162</v>
      </c>
      <c r="AT715">
        <v>94</v>
      </c>
      <c r="AU715">
        <v>96</v>
      </c>
      <c r="AV715">
        <v>99</v>
      </c>
      <c r="AW715" t="s">
        <v>2285</v>
      </c>
      <c r="AX715" s="2" t="s">
        <v>128</v>
      </c>
      <c r="AY715" t="s">
        <v>128</v>
      </c>
      <c r="AZ715" t="s">
        <v>128</v>
      </c>
      <c r="BA715" s="2" t="str">
        <f>HYPERLINK("http://exon.niaid.nih.gov/transcriptome/Anopheles_sialome/links/KOG/anoara_hyp6.2-KOG.txt","Inositol 1,4,5-trisphosphate receptor")</f>
        <v>Inositol 1,4,5-trisphosphate receptor</v>
      </c>
      <c r="BB715" t="str">
        <f>HYPERLINK("http://www.ncbi.nlm.nih.gov/Structure/cdd/cddsrv.cgi?uid=KOG3533","0.091")</f>
        <v>0.091</v>
      </c>
      <c r="BC715" t="s">
        <v>2292</v>
      </c>
      <c r="BD715" t="str">
        <f>HYPERLINK("http://exon.niaid.nih.gov/transcriptome/Anopheles_sialome/links/KOG/anoara_hyp6.2-KOG.txt","KOG3533")</f>
        <v>KOG3533</v>
      </c>
      <c r="BE715" t="str">
        <f>HYPERLINK("http://exon.niaid.nih.gov/transcriptome/Anopheles_sialome/links/PFAM/anoara_hyp6.2-PFAM.txt","Gpi16")</f>
        <v>Gpi16</v>
      </c>
      <c r="BF715" t="str">
        <f>HYPERLINK("http://pfam.sanger.ac.uk/family?acc=PF04113","3.1")</f>
        <v>3.1</v>
      </c>
      <c r="BG715" s="2" t="str">
        <f>HYPERLINK("http://exon.niaid.nih.gov/transcriptome/Anopheles_sialome/links/SMART/anoara_hyp6.2-SMART.txt","AFOR_N")</f>
        <v>AFOR_N</v>
      </c>
      <c r="BH715" t="str">
        <f>HYPERLINK("http://smart.embl-heidelberg.de/smart/do_annotation.pl?DOMAIN=AFOR_N&amp;BLAST=DUMMY","0.38")</f>
        <v>0.38</v>
      </c>
      <c r="BI715" t="s">
        <v>128</v>
      </c>
      <c r="BJ715" s="2" t="s">
        <v>128</v>
      </c>
      <c r="BK715" t="s">
        <v>1298</v>
      </c>
      <c r="BL715">
        <f>HYPERLINK("http://exon.niaid.nih.gov/transcriptome/Anopheles_sialome/links/cluster-b/anopheline-sialome-cds-pep-larger-orf25-50SimCLU1.txt", 1)</f>
        <v>1</v>
      </c>
      <c r="BM715">
        <f>HYPERLINK("http://exon.niaid.nih.gov/transcriptome/Anopheles_sialome/links/cluster-b/anopheline-sialome-cds-pep-larger-orf25-50SimCLTL1.txt", 165)</f>
        <v>165</v>
      </c>
      <c r="BN715">
        <f>HYPERLINK("http://exon.niaid.nih.gov/transcriptome/Anopheles_sialome/links/cluster-b/anopheline-sialome-cds-pep-larger-orf30-50SimCLU1.txt", 1)</f>
        <v>1</v>
      </c>
      <c r="BO715">
        <f>HYPERLINK("http://exon.niaid.nih.gov/transcriptome/Anopheles_sialome/links/cluster-b/anopheline-sialome-cds-pep-larger-orf30-50SimCLTL1.txt", 165)</f>
        <v>165</v>
      </c>
      <c r="BP715">
        <f>HYPERLINK("http://exon.niaid.nih.gov/transcriptome/Anopheles_sialome/links/cluster-b/anopheline-sialome-cds-pep-larger-orf35-50SimCLU4.txt", 4)</f>
        <v>4</v>
      </c>
      <c r="BQ715">
        <f>HYPERLINK("http://exon.niaid.nih.gov/transcriptome/Anopheles_sialome/links/cluster-b/anopheline-sialome-cds-pep-larger-orf35-50SimCLTL4.txt", 76)</f>
        <v>76</v>
      </c>
      <c r="BR715">
        <f>HYPERLINK("http://exon.niaid.nih.gov/transcriptome/Anopheles_sialome/links/cluster-b/anopheline-sialome-cds-pep-larger-orf40-50SimCLU20.txt", 20)</f>
        <v>20</v>
      </c>
      <c r="BS715">
        <f>HYPERLINK("http://exon.niaid.nih.gov/transcriptome/Anopheles_sialome/links/cluster-b/anopheline-sialome-cds-pep-larger-orf40-50SimCLTL20.txt", 18)</f>
        <v>18</v>
      </c>
      <c r="BT715">
        <f>HYPERLINK("http://exon.niaid.nih.gov/transcriptome/Anopheles_sialome/links/cluster-b/anopheline-sialome-cds-pep-larger-orf45-50SimCLU21.txt", 21)</f>
        <v>21</v>
      </c>
      <c r="BU715">
        <f>HYPERLINK("http://exon.niaid.nih.gov/transcriptome/Anopheles_sialome/links/cluster-b/anopheline-sialome-cds-pep-larger-orf45-50SimCLTL21.txt", 18)</f>
        <v>18</v>
      </c>
      <c r="BV715">
        <f>HYPERLINK("http://exon.niaid.nih.gov/transcriptome/Anopheles_sialome/links/cluster-b/anopheline-sialome-cds-pep-larger-orf50-50SimCLU20.txt", 20)</f>
        <v>20</v>
      </c>
      <c r="BW715">
        <f>HYPERLINK("http://exon.niaid.nih.gov/transcriptome/Anopheles_sialome/links/cluster-b/anopheline-sialome-cds-pep-larger-orf50-50SimCLTL20.txt", 18)</f>
        <v>18</v>
      </c>
      <c r="BX715">
        <f>HYPERLINK("http://exon.niaid.nih.gov/transcriptome/Anopheles_sialome/links/cluster-b/anopheline-sialome-cds-pep-larger-orf55-50SimCLU21.txt", 21)</f>
        <v>21</v>
      </c>
      <c r="BY715">
        <f>HYPERLINK("http://exon.niaid.nih.gov/transcriptome/Anopheles_sialome/links/cluster-b/anopheline-sialome-cds-pep-larger-orf55-50SimCLTL21.txt", 18)</f>
        <v>18</v>
      </c>
      <c r="BZ715">
        <f>HYPERLINK("http://exon.niaid.nih.gov/transcriptome/Anopheles_sialome/links/cluster-b/anopheline-sialome-cds-pep-larger-orf60-50SimCLU25.txt", 25)</f>
        <v>25</v>
      </c>
      <c r="CA715">
        <f>HYPERLINK("http://exon.niaid.nih.gov/transcriptome/Anopheles_sialome/links/cluster-b/anopheline-sialome-cds-pep-larger-orf60-50SimCLTL25.txt", 16)</f>
        <v>16</v>
      </c>
      <c r="CB715">
        <f>HYPERLINK("http://exon.niaid.nih.gov/transcriptome/Anopheles_sialome/links/cluster-b/anopheline-sialome-cds-pep-larger-orf65-50SimCLU27.txt", 27)</f>
        <v>27</v>
      </c>
      <c r="CC715">
        <f>HYPERLINK("http://exon.niaid.nih.gov/transcriptome/Anopheles_sialome/links/cluster-b/anopheline-sialome-cds-pep-larger-orf65-50SimCLTL27.txt", 15)</f>
        <v>15</v>
      </c>
      <c r="CD715">
        <f>HYPERLINK("http://exon.niaid.nih.gov/transcriptome/Anopheles_sialome/links/cluster-b/anopheline-sialome-cds-pep-larger-orf70-50SimCLU24.txt", 24)</f>
        <v>24</v>
      </c>
      <c r="CE715">
        <f>HYPERLINK("http://exon.niaid.nih.gov/transcriptome/Anopheles_sialome/links/cluster-b/anopheline-sialome-cds-pep-larger-orf70-50SimCLTL24.txt", 15)</f>
        <v>15</v>
      </c>
      <c r="CF715">
        <f>HYPERLINK("http://exon.niaid.nih.gov/transcriptome/Anopheles_sialome/links/cluster-b/anopheline-sialome-cds-pep-larger-orf75-50SimCLU42.txt", 42)</f>
        <v>42</v>
      </c>
      <c r="CG715">
        <f>HYPERLINK("http://exon.niaid.nih.gov/transcriptome/Anopheles_sialome/links/cluster-b/anopheline-sialome-cds-pep-larger-orf75-50SimCLTL42.txt", 6)</f>
        <v>6</v>
      </c>
      <c r="CH715">
        <f>HYPERLINK("http://exon.niaid.nih.gov/transcriptome/Anopheles_sialome/links/cluster-b/anopheline-sialome-cds-pep-larger-orf80-50SimCLU36.txt", 36)</f>
        <v>36</v>
      </c>
      <c r="CI715">
        <f>HYPERLINK("http://exon.niaid.nih.gov/transcriptome/Anopheles_sialome/links/cluster-b/anopheline-sialome-cds-pep-larger-orf80-50SimCLTL36.txt", 6)</f>
        <v>6</v>
      </c>
      <c r="CJ715">
        <f>HYPERLINK("http://exon.niaid.nih.gov/transcriptome/Anopheles_sialome/links/cluster-b/anopheline-sialome-cds-pep-larger-orf85-50SimCLU32.txt", 32)</f>
        <v>32</v>
      </c>
      <c r="CK715">
        <f>HYPERLINK("http://exon.niaid.nih.gov/transcriptome/Anopheles_sialome/links/cluster-b/anopheline-sialome-cds-pep-larger-orf85-50SimCLTL32.txt", 6)</f>
        <v>6</v>
      </c>
      <c r="CL715">
        <f>HYPERLINK("http://exon.niaid.nih.gov/transcriptome/Anopheles_sialome/links/cluster-b/anopheline-sialome-cds-pep-larger-orf90-50SimCLU24.txt", 24)</f>
        <v>24</v>
      </c>
      <c r="CM715">
        <f>HYPERLINK("http://exon.niaid.nih.gov/transcriptome/Anopheles_sialome/links/cluster-b/anopheline-sialome-cds-pep-larger-orf90-50SimCLTL24.txt", 6)</f>
        <v>6</v>
      </c>
      <c r="CN715">
        <f>HYPERLINK("http://exon.niaid.nih.gov/transcriptome/Anopheles_sialome/links/cluster-b/anopheline-sialome-cds-pep-larger-orf95-50SimCLU15.txt", 15)</f>
        <v>15</v>
      </c>
      <c r="CO715">
        <f>HYPERLINK("http://exon.niaid.nih.gov/transcriptome/Anopheles_sialome/links/cluster-b/anopheline-sialome-cds-pep-larger-orf95-50SimCLTL15.txt", 6)</f>
        <v>6</v>
      </c>
    </row>
    <row r="716" spans="1:93">
      <c r="A716" s="2" t="str">
        <f>HYPERLINK("http://exon.niaid.nih.gov/transcriptome/Anopheles_sialome/links/cds/anoqua_hyp6.2-cds.txt","anoqua_hyp6.2")</f>
        <v>anoqua_hyp6.2</v>
      </c>
      <c r="B716">
        <v>255</v>
      </c>
      <c r="C716" t="s">
        <v>4</v>
      </c>
      <c r="D716" s="8" t="s">
        <v>3178</v>
      </c>
      <c r="E716" t="s">
        <v>5</v>
      </c>
      <c r="F716" t="s">
        <v>1</v>
      </c>
      <c r="G716" t="str">
        <f>HYPERLINK("http://exon.niaid.nih.gov/transcriptome/Anopheles_sialome/links/pep/anoqua_hyp6.2-pep.txt","anoqua_hyp6.2")</f>
        <v>anoqua_hyp6.2</v>
      </c>
      <c r="H716">
        <v>84</v>
      </c>
      <c r="I716">
        <v>0</v>
      </c>
      <c r="J716" s="3" t="str">
        <f>HYPERLINK("http://exon.niaid.nih.gov/transcriptome/Anopheles_sialome/links/Sigp/anoqua_hyp6.2-SigP.txt","SIG")</f>
        <v>SIG</v>
      </c>
      <c r="K716" t="s">
        <v>1182</v>
      </c>
      <c r="L716">
        <v>9.1999999999999993</v>
      </c>
      <c r="M716">
        <v>11.27</v>
      </c>
      <c r="N716">
        <v>6.3890000000000002</v>
      </c>
      <c r="O716">
        <v>10.83</v>
      </c>
      <c r="P716" t="s">
        <v>1301</v>
      </c>
      <c r="Q716" s="3">
        <v>0</v>
      </c>
      <c r="R716" t="s">
        <v>128</v>
      </c>
      <c r="S716" t="s">
        <v>128</v>
      </c>
      <c r="T716" t="s">
        <v>128</v>
      </c>
      <c r="U716" t="s">
        <v>128</v>
      </c>
      <c r="V716" t="s">
        <v>128</v>
      </c>
      <c r="W716" s="3" t="str">
        <f>HYPERLINK("http://exon.niaid.nih.gov/transcriptome/Anopheles_sialome/links/netoglyc/anoqua_hyp6.2-netoglyc.txt","2")</f>
        <v>2</v>
      </c>
      <c r="X716">
        <v>16.7</v>
      </c>
      <c r="Y716">
        <v>10.7</v>
      </c>
      <c r="Z716">
        <v>3.6</v>
      </c>
      <c r="AA716" t="s">
        <v>654</v>
      </c>
      <c r="AB716" t="s">
        <v>128</v>
      </c>
      <c r="AC716" s="2" t="str">
        <f>HYPERLINK("http://exon.niaid.nih.gov/transcriptome/Anopheles_sialome/links/DIPTERA/anoqua_hyp6.2-DIPTERA.txt","hyp6.2 precursor")</f>
        <v>hyp6.2 precursor</v>
      </c>
      <c r="AD716" t="str">
        <f>HYPERLINK("http://www.ncbi.nlm.nih.gov/sutils/blink.cgi?pid=62546223","1E-038")</f>
        <v>1E-038</v>
      </c>
      <c r="AE716" t="str">
        <f t="shared" si="247"/>
        <v>gi|62546223</v>
      </c>
      <c r="AF716">
        <v>95</v>
      </c>
      <c r="AG716">
        <v>97</v>
      </c>
      <c r="AH716">
        <v>100</v>
      </c>
      <c r="AI716" t="s">
        <v>2254</v>
      </c>
      <c r="AJ716" s="2" t="str">
        <f>HYPERLINK("http://exon.niaid.nih.gov/transcriptome/Anopheles_sialome/links/CULICOMORPHA/anoqua_hyp6.2-CULICOMORPHA.txt","hyp6.2 precursor")</f>
        <v>hyp6.2 precursor</v>
      </c>
      <c r="AK716" t="str">
        <f>HYPERLINK("http://www.ncbi.nlm.nih.gov/sutils/blink.cgi?pid=62546223","2E-039")</f>
        <v>2E-039</v>
      </c>
      <c r="AL716" t="str">
        <f t="shared" si="248"/>
        <v>gi|62546223</v>
      </c>
      <c r="AM716">
        <v>95</v>
      </c>
      <c r="AN716">
        <v>97</v>
      </c>
      <c r="AO716">
        <v>100</v>
      </c>
      <c r="AP716" t="s">
        <v>2254</v>
      </c>
      <c r="AQ716" s="2" t="str">
        <f>HYPERLINK("http://exon.niaid.nih.gov/transcriptome/Anopheles_sialome/links/NR-LIGHT/anoqua_hyp6.2-NR-LIGHT.txt","AGAP006495-PA")</f>
        <v>AGAP006495-PA</v>
      </c>
      <c r="AR716" t="str">
        <f>HYPERLINK("http://www.ncbi.nlm.nih.gov/sutils/blink.cgi?pid=118788162","3E-038")</f>
        <v>3E-038</v>
      </c>
      <c r="AS716" t="str">
        <f t="shared" si="249"/>
        <v>gi|118788162</v>
      </c>
      <c r="AT716">
        <v>95</v>
      </c>
      <c r="AU716">
        <v>97</v>
      </c>
      <c r="AV716">
        <v>100</v>
      </c>
      <c r="AW716" t="s">
        <v>2285</v>
      </c>
      <c r="AX716" s="2" t="str">
        <f>HYPERLINK("http://exon.niaid.nih.gov/transcriptome/Anopheles_sialome/links/CDD/anoqua_hyp6.2-CDD.txt","LraI")</f>
        <v>LraI</v>
      </c>
      <c r="AY716" t="str">
        <f>HYPERLINK("http://www.ncbi.nlm.nih.gov/Structure/cdd/cddsrv.cgi?uid=COG0803&amp;version=v4.0","0.004")</f>
        <v>0.004</v>
      </c>
      <c r="AZ716" t="s">
        <v>2629</v>
      </c>
      <c r="BA716" s="2" t="str">
        <f>HYPERLINK("http://exon.niaid.nih.gov/transcriptome/Anopheles_sialome/links/KOG/anoqua_hyp6.2-KOG.txt","Uncharacterized conserved protein")</f>
        <v>Uncharacterized conserved protein</v>
      </c>
      <c r="BB716" t="str">
        <f>HYPERLINK("http://www.ncbi.nlm.nih.gov/Structure/cdd/cddsrv.cgi?uid=KOG3620","0.44")</f>
        <v>0.44</v>
      </c>
      <c r="BC716" t="s">
        <v>2304</v>
      </c>
      <c r="BD716" t="str">
        <f>HYPERLINK("http://exon.niaid.nih.gov/transcriptome/Anopheles_sialome/links/KOG/anoqua_hyp6.2-KOG.txt","KOG3620")</f>
        <v>KOG3620</v>
      </c>
      <c r="BE716" t="str">
        <f>HYPERLINK("http://exon.niaid.nih.gov/transcriptome/Anopheles_sialome/links/PFAM/anoqua_hyp6.2-PFAM.txt","Chorion_S16")</f>
        <v>Chorion_S16</v>
      </c>
      <c r="BF716" t="str">
        <f>HYPERLINK("http://pfam.sanger.ac.uk/family?acc=PF05836","3.3")</f>
        <v>3.3</v>
      </c>
      <c r="BG716" s="2" t="str">
        <f>HYPERLINK("http://exon.niaid.nih.gov/transcriptome/Anopheles_sialome/links/SMART/anoqua_hyp6.2-SMART.txt","AFOR_N")</f>
        <v>AFOR_N</v>
      </c>
      <c r="BH716" t="str">
        <f>HYPERLINK("http://smart.embl-heidelberg.de/smart/do_annotation.pl?DOMAIN=AFOR_N&amp;BLAST=DUMMY","0.090")</f>
        <v>0.090</v>
      </c>
      <c r="BI716" t="s">
        <v>128</v>
      </c>
      <c r="BJ716" s="2" t="s">
        <v>128</v>
      </c>
      <c r="BK716" t="s">
        <v>1300</v>
      </c>
      <c r="BL716">
        <f>HYPERLINK("http://exon.niaid.nih.gov/transcriptome/Anopheles_sialome/links/cluster-b/anopheline-sialome-cds-pep-larger-orf25-50SimCLU1.txt", 1)</f>
        <v>1</v>
      </c>
      <c r="BM716">
        <f>HYPERLINK("http://exon.niaid.nih.gov/transcriptome/Anopheles_sialome/links/cluster-b/anopheline-sialome-cds-pep-larger-orf25-50SimCLTL1.txt", 165)</f>
        <v>165</v>
      </c>
      <c r="BN716">
        <f>HYPERLINK("http://exon.niaid.nih.gov/transcriptome/Anopheles_sialome/links/cluster-b/anopheline-sialome-cds-pep-larger-orf30-50SimCLU1.txt", 1)</f>
        <v>1</v>
      </c>
      <c r="BO716">
        <f>HYPERLINK("http://exon.niaid.nih.gov/transcriptome/Anopheles_sialome/links/cluster-b/anopheline-sialome-cds-pep-larger-orf30-50SimCLTL1.txt", 165)</f>
        <v>165</v>
      </c>
      <c r="BP716">
        <f>HYPERLINK("http://exon.niaid.nih.gov/transcriptome/Anopheles_sialome/links/cluster-b/anopheline-sialome-cds-pep-larger-orf35-50SimCLU4.txt", 4)</f>
        <v>4</v>
      </c>
      <c r="BQ716">
        <f>HYPERLINK("http://exon.niaid.nih.gov/transcriptome/Anopheles_sialome/links/cluster-b/anopheline-sialome-cds-pep-larger-orf35-50SimCLTL4.txt", 76)</f>
        <v>76</v>
      </c>
      <c r="BR716">
        <f>HYPERLINK("http://exon.niaid.nih.gov/transcriptome/Anopheles_sialome/links/cluster-b/anopheline-sialome-cds-pep-larger-orf40-50SimCLU20.txt", 20)</f>
        <v>20</v>
      </c>
      <c r="BS716">
        <f>HYPERLINK("http://exon.niaid.nih.gov/transcriptome/Anopheles_sialome/links/cluster-b/anopheline-sialome-cds-pep-larger-orf40-50SimCLTL20.txt", 18)</f>
        <v>18</v>
      </c>
      <c r="BT716">
        <f>HYPERLINK("http://exon.niaid.nih.gov/transcriptome/Anopheles_sialome/links/cluster-b/anopheline-sialome-cds-pep-larger-orf45-50SimCLU21.txt", 21)</f>
        <v>21</v>
      </c>
      <c r="BU716">
        <f>HYPERLINK("http://exon.niaid.nih.gov/transcriptome/Anopheles_sialome/links/cluster-b/anopheline-sialome-cds-pep-larger-orf45-50SimCLTL21.txt", 18)</f>
        <v>18</v>
      </c>
      <c r="BV716">
        <f>HYPERLINK("http://exon.niaid.nih.gov/transcriptome/Anopheles_sialome/links/cluster-b/anopheline-sialome-cds-pep-larger-orf50-50SimCLU20.txt", 20)</f>
        <v>20</v>
      </c>
      <c r="BW716">
        <f>HYPERLINK("http://exon.niaid.nih.gov/transcriptome/Anopheles_sialome/links/cluster-b/anopheline-sialome-cds-pep-larger-orf50-50SimCLTL20.txt", 18)</f>
        <v>18</v>
      </c>
      <c r="BX716">
        <f>HYPERLINK("http://exon.niaid.nih.gov/transcriptome/Anopheles_sialome/links/cluster-b/anopheline-sialome-cds-pep-larger-orf55-50SimCLU21.txt", 21)</f>
        <v>21</v>
      </c>
      <c r="BY716">
        <f>HYPERLINK("http://exon.niaid.nih.gov/transcriptome/Anopheles_sialome/links/cluster-b/anopheline-sialome-cds-pep-larger-orf55-50SimCLTL21.txt", 18)</f>
        <v>18</v>
      </c>
      <c r="BZ716">
        <f>HYPERLINK("http://exon.niaid.nih.gov/transcriptome/Anopheles_sialome/links/cluster-b/anopheline-sialome-cds-pep-larger-orf60-50SimCLU25.txt", 25)</f>
        <v>25</v>
      </c>
      <c r="CA716">
        <f>HYPERLINK("http://exon.niaid.nih.gov/transcriptome/Anopheles_sialome/links/cluster-b/anopheline-sialome-cds-pep-larger-orf60-50SimCLTL25.txt", 16)</f>
        <v>16</v>
      </c>
      <c r="CB716">
        <f>HYPERLINK("http://exon.niaid.nih.gov/transcriptome/Anopheles_sialome/links/cluster-b/anopheline-sialome-cds-pep-larger-orf65-50SimCLU27.txt", 27)</f>
        <v>27</v>
      </c>
      <c r="CC716">
        <f>HYPERLINK("http://exon.niaid.nih.gov/transcriptome/Anopheles_sialome/links/cluster-b/anopheline-sialome-cds-pep-larger-orf65-50SimCLTL27.txt", 15)</f>
        <v>15</v>
      </c>
      <c r="CD716">
        <f>HYPERLINK("http://exon.niaid.nih.gov/transcriptome/Anopheles_sialome/links/cluster-b/anopheline-sialome-cds-pep-larger-orf70-50SimCLU24.txt", 24)</f>
        <v>24</v>
      </c>
      <c r="CE716">
        <f>HYPERLINK("http://exon.niaid.nih.gov/transcriptome/Anopheles_sialome/links/cluster-b/anopheline-sialome-cds-pep-larger-orf70-50SimCLTL24.txt", 15)</f>
        <v>15</v>
      </c>
      <c r="CF716">
        <f>HYPERLINK("http://exon.niaid.nih.gov/transcriptome/Anopheles_sialome/links/cluster-b/anopheline-sialome-cds-pep-larger-orf75-50SimCLU42.txt", 42)</f>
        <v>42</v>
      </c>
      <c r="CG716">
        <f>HYPERLINK("http://exon.niaid.nih.gov/transcriptome/Anopheles_sialome/links/cluster-b/anopheline-sialome-cds-pep-larger-orf75-50SimCLTL42.txt", 6)</f>
        <v>6</v>
      </c>
      <c r="CH716">
        <f>HYPERLINK("http://exon.niaid.nih.gov/transcriptome/Anopheles_sialome/links/cluster-b/anopheline-sialome-cds-pep-larger-orf80-50SimCLU36.txt", 36)</f>
        <v>36</v>
      </c>
      <c r="CI716">
        <f>HYPERLINK("http://exon.niaid.nih.gov/transcriptome/Anopheles_sialome/links/cluster-b/anopheline-sialome-cds-pep-larger-orf80-50SimCLTL36.txt", 6)</f>
        <v>6</v>
      </c>
      <c r="CJ716">
        <f>HYPERLINK("http://exon.niaid.nih.gov/transcriptome/Anopheles_sialome/links/cluster-b/anopheline-sialome-cds-pep-larger-orf85-50SimCLU32.txt", 32)</f>
        <v>32</v>
      </c>
      <c r="CK716">
        <f>HYPERLINK("http://exon.niaid.nih.gov/transcriptome/Anopheles_sialome/links/cluster-b/anopheline-sialome-cds-pep-larger-orf85-50SimCLTL32.txt", 6)</f>
        <v>6</v>
      </c>
      <c r="CL716">
        <f>HYPERLINK("http://exon.niaid.nih.gov/transcriptome/Anopheles_sialome/links/cluster-b/anopheline-sialome-cds-pep-larger-orf90-50SimCLU24.txt", 24)</f>
        <v>24</v>
      </c>
      <c r="CM716">
        <f>HYPERLINK("http://exon.niaid.nih.gov/transcriptome/Anopheles_sialome/links/cluster-b/anopheline-sialome-cds-pep-larger-orf90-50SimCLTL24.txt", 6)</f>
        <v>6</v>
      </c>
      <c r="CN716">
        <f>HYPERLINK("http://exon.niaid.nih.gov/transcriptome/Anopheles_sialome/links/cluster-b/anopheline-sialome-cds-pep-larger-orf95-50SimCLU15.txt", 15)</f>
        <v>15</v>
      </c>
      <c r="CO716">
        <f>HYPERLINK("http://exon.niaid.nih.gov/transcriptome/Anopheles_sialome/links/cluster-b/anopheline-sialome-cds-pep-larger-orf95-50SimCLTL15.txt", 6)</f>
        <v>6</v>
      </c>
    </row>
    <row r="717" spans="1:93">
      <c r="A717" s="2" t="str">
        <f>HYPERLINK("http://exon.niaid.nih.gov/transcriptome/Anopheles_sialome/links/cds/anomer_hyp6.2-cds.txt","anomer_hyp6.2")</f>
        <v>anomer_hyp6.2</v>
      </c>
      <c r="B717">
        <v>258</v>
      </c>
      <c r="C717" t="s">
        <v>4</v>
      </c>
      <c r="D717" s="8" t="s">
        <v>3178</v>
      </c>
      <c r="E717" t="s">
        <v>5</v>
      </c>
      <c r="F717" t="s">
        <v>1</v>
      </c>
      <c r="G717" t="str">
        <f>HYPERLINK("http://exon.niaid.nih.gov/transcriptome/Anopheles_sialome/links/pep/anomer_hyp6.2-pep.txt","anomer_hyp6.2")</f>
        <v>anomer_hyp6.2</v>
      </c>
      <c r="H717">
        <v>85</v>
      </c>
      <c r="I717">
        <v>0</v>
      </c>
      <c r="J717" s="3" t="str">
        <f>HYPERLINK("http://exon.niaid.nih.gov/transcriptome/Anopheles_sialome/links/Sigp/anomer_hyp6.2-SigP.txt","SIG")</f>
        <v>SIG</v>
      </c>
      <c r="K717" t="s">
        <v>834</v>
      </c>
      <c r="L717">
        <v>9.1419999999999995</v>
      </c>
      <c r="M717">
        <v>11.33</v>
      </c>
      <c r="N717">
        <v>6.3609999999999998</v>
      </c>
      <c r="O717">
        <v>10.83</v>
      </c>
      <c r="P717" t="s">
        <v>1303</v>
      </c>
      <c r="Q717" s="3" t="str">
        <f>HYPERLINK("http://exon.niaid.nih.gov/transcriptome/Anopheles_sialome/links/tmhmm/anomer_hyp6.2-tmhmm.txt","1")</f>
        <v>1</v>
      </c>
      <c r="R717">
        <v>21.2</v>
      </c>
      <c r="S717">
        <v>4.7</v>
      </c>
      <c r="T717">
        <v>74.099999999999994</v>
      </c>
      <c r="U717" t="s">
        <v>128</v>
      </c>
      <c r="V717">
        <v>63</v>
      </c>
      <c r="W717" s="3" t="str">
        <f>HYPERLINK("http://exon.niaid.nih.gov/transcriptome/Anopheles_sialome/links/netoglyc/anomer_hyp6.2-netoglyc.txt","3")</f>
        <v>3</v>
      </c>
      <c r="X717">
        <v>17.600000000000001</v>
      </c>
      <c r="Y717">
        <v>12.9</v>
      </c>
      <c r="Z717">
        <v>3.5</v>
      </c>
      <c r="AA717" t="s">
        <v>654</v>
      </c>
      <c r="AB717" t="s">
        <v>128</v>
      </c>
      <c r="AC717" s="2" t="str">
        <f>HYPERLINK("http://exon.niaid.nih.gov/transcriptome/Anopheles_sialome/links/DIPTERA/anomer_hyp6.2-DIPTERA.txt","hyp6.2 precursor")</f>
        <v>hyp6.2 precursor</v>
      </c>
      <c r="AD717" t="str">
        <f>HYPERLINK("http://www.ncbi.nlm.nih.gov/sutils/blink.cgi?pid=62546223","8E-037")</f>
        <v>8E-037</v>
      </c>
      <c r="AE717" t="str">
        <f t="shared" si="247"/>
        <v>gi|62546223</v>
      </c>
      <c r="AF717">
        <v>89</v>
      </c>
      <c r="AG717">
        <v>95</v>
      </c>
      <c r="AH717">
        <v>100</v>
      </c>
      <c r="AI717" t="s">
        <v>2254</v>
      </c>
      <c r="AJ717" s="2" t="str">
        <f>HYPERLINK("http://exon.niaid.nih.gov/transcriptome/Anopheles_sialome/links/CULICOMORPHA/anomer_hyp6.2-CULICOMORPHA.txt","hyp6.2 precursor")</f>
        <v>hyp6.2 precursor</v>
      </c>
      <c r="AK717" t="str">
        <f>HYPERLINK("http://www.ncbi.nlm.nih.gov/sutils/blink.cgi?pid=62546223","1E-037")</f>
        <v>1E-037</v>
      </c>
      <c r="AL717" t="str">
        <f t="shared" si="248"/>
        <v>gi|62546223</v>
      </c>
      <c r="AM717">
        <v>89</v>
      </c>
      <c r="AN717">
        <v>95</v>
      </c>
      <c r="AO717">
        <v>100</v>
      </c>
      <c r="AP717" t="s">
        <v>2254</v>
      </c>
      <c r="AQ717" s="2" t="str">
        <f>HYPERLINK("http://exon.niaid.nih.gov/transcriptome/Anopheles_sialome/links/NR-LIGHT/anomer_hyp6.2-NR-LIGHT.txt","AGAP006495-PA")</f>
        <v>AGAP006495-PA</v>
      </c>
      <c r="AR717" t="str">
        <f>HYPERLINK("http://www.ncbi.nlm.nih.gov/sutils/blink.cgi?pid=118788162","2E-036")</f>
        <v>2E-036</v>
      </c>
      <c r="AS717" t="str">
        <f t="shared" si="249"/>
        <v>gi|118788162</v>
      </c>
      <c r="AT717">
        <v>89</v>
      </c>
      <c r="AU717">
        <v>95</v>
      </c>
      <c r="AV717">
        <v>100</v>
      </c>
      <c r="AW717" t="s">
        <v>2285</v>
      </c>
      <c r="AX717" s="2" t="s">
        <v>128</v>
      </c>
      <c r="AY717" t="s">
        <v>128</v>
      </c>
      <c r="AZ717" t="s">
        <v>128</v>
      </c>
      <c r="BA717" s="2" t="str">
        <f>HYPERLINK("http://exon.niaid.nih.gov/transcriptome/Anopheles_sialome/links/KOG/anomer_hyp6.2-KOG.txt","Uncharacterized conserved protein")</f>
        <v>Uncharacterized conserved protein</v>
      </c>
      <c r="BB717" t="str">
        <f>HYPERLINK("http://www.ncbi.nlm.nih.gov/Structure/cdd/cddsrv.cgi?uid=KOG3620","2.3")</f>
        <v>2.3</v>
      </c>
      <c r="BC717" t="s">
        <v>2304</v>
      </c>
      <c r="BD717" t="str">
        <f>HYPERLINK("http://exon.niaid.nih.gov/transcriptome/Anopheles_sialome/links/KOG/anomer_hyp6.2-KOG.txt","KOG3620")</f>
        <v>KOG3620</v>
      </c>
      <c r="BE717" t="str">
        <f>HYPERLINK("http://exon.niaid.nih.gov/transcriptome/Anopheles_sialome/links/PFAM/anomer_hyp6.2-PFAM.txt","CCDC84")</f>
        <v>CCDC84</v>
      </c>
      <c r="BF717" t="str">
        <f>HYPERLINK("http://pfam.sanger.ac.uk/family?acc=PF14968","4.0")</f>
        <v>4.0</v>
      </c>
      <c r="BG717" s="2" t="str">
        <f>HYPERLINK("http://exon.niaid.nih.gov/transcriptome/Anopheles_sialome/links/SMART/anomer_hyp6.2-SMART.txt","AFOR_N")</f>
        <v>AFOR_N</v>
      </c>
      <c r="BH717" t="str">
        <f>HYPERLINK("http://smart.embl-heidelberg.de/smart/do_annotation.pl?DOMAIN=AFOR_N&amp;BLAST=DUMMY","0.16")</f>
        <v>0.16</v>
      </c>
      <c r="BI717" t="s">
        <v>128</v>
      </c>
      <c r="BJ717" s="2" t="s">
        <v>128</v>
      </c>
      <c r="BK717" t="s">
        <v>1302</v>
      </c>
      <c r="BL717">
        <f>HYPERLINK("http://exon.niaid.nih.gov/transcriptome/Anopheles_sialome/links/cluster-b/anopheline-sialome-cds-pep-larger-orf25-50SimCLU1.txt", 1)</f>
        <v>1</v>
      </c>
      <c r="BM717">
        <f>HYPERLINK("http://exon.niaid.nih.gov/transcriptome/Anopheles_sialome/links/cluster-b/anopheline-sialome-cds-pep-larger-orf25-50SimCLTL1.txt", 165)</f>
        <v>165</v>
      </c>
      <c r="BN717">
        <f>HYPERLINK("http://exon.niaid.nih.gov/transcriptome/Anopheles_sialome/links/cluster-b/anopheline-sialome-cds-pep-larger-orf30-50SimCLU1.txt", 1)</f>
        <v>1</v>
      </c>
      <c r="BO717">
        <f>HYPERLINK("http://exon.niaid.nih.gov/transcriptome/Anopheles_sialome/links/cluster-b/anopheline-sialome-cds-pep-larger-orf30-50SimCLTL1.txt", 165)</f>
        <v>165</v>
      </c>
      <c r="BP717">
        <f>HYPERLINK("http://exon.niaid.nih.gov/transcriptome/Anopheles_sialome/links/cluster-b/anopheline-sialome-cds-pep-larger-orf35-50SimCLU4.txt", 4)</f>
        <v>4</v>
      </c>
      <c r="BQ717">
        <f>HYPERLINK("http://exon.niaid.nih.gov/transcriptome/Anopheles_sialome/links/cluster-b/anopheline-sialome-cds-pep-larger-orf35-50SimCLTL4.txt", 76)</f>
        <v>76</v>
      </c>
      <c r="BR717">
        <f>HYPERLINK("http://exon.niaid.nih.gov/transcriptome/Anopheles_sialome/links/cluster-b/anopheline-sialome-cds-pep-larger-orf40-50SimCLU20.txt", 20)</f>
        <v>20</v>
      </c>
      <c r="BS717">
        <f>HYPERLINK("http://exon.niaid.nih.gov/transcriptome/Anopheles_sialome/links/cluster-b/anopheline-sialome-cds-pep-larger-orf40-50SimCLTL20.txt", 18)</f>
        <v>18</v>
      </c>
      <c r="BT717">
        <f>HYPERLINK("http://exon.niaid.nih.gov/transcriptome/Anopheles_sialome/links/cluster-b/anopheline-sialome-cds-pep-larger-orf45-50SimCLU21.txt", 21)</f>
        <v>21</v>
      </c>
      <c r="BU717">
        <f>HYPERLINK("http://exon.niaid.nih.gov/transcriptome/Anopheles_sialome/links/cluster-b/anopheline-sialome-cds-pep-larger-orf45-50SimCLTL21.txt", 18)</f>
        <v>18</v>
      </c>
      <c r="BV717">
        <f>HYPERLINK("http://exon.niaid.nih.gov/transcriptome/Anopheles_sialome/links/cluster-b/anopheline-sialome-cds-pep-larger-orf50-50SimCLU20.txt", 20)</f>
        <v>20</v>
      </c>
      <c r="BW717">
        <f>HYPERLINK("http://exon.niaid.nih.gov/transcriptome/Anopheles_sialome/links/cluster-b/anopheline-sialome-cds-pep-larger-orf50-50SimCLTL20.txt", 18)</f>
        <v>18</v>
      </c>
      <c r="BX717">
        <f>HYPERLINK("http://exon.niaid.nih.gov/transcriptome/Anopheles_sialome/links/cluster-b/anopheline-sialome-cds-pep-larger-orf55-50SimCLU21.txt", 21)</f>
        <v>21</v>
      </c>
      <c r="BY717">
        <f>HYPERLINK("http://exon.niaid.nih.gov/transcriptome/Anopheles_sialome/links/cluster-b/anopheline-sialome-cds-pep-larger-orf55-50SimCLTL21.txt", 18)</f>
        <v>18</v>
      </c>
      <c r="BZ717">
        <f>HYPERLINK("http://exon.niaid.nih.gov/transcriptome/Anopheles_sialome/links/cluster-b/anopheline-sialome-cds-pep-larger-orf60-50SimCLU25.txt", 25)</f>
        <v>25</v>
      </c>
      <c r="CA717">
        <f>HYPERLINK("http://exon.niaid.nih.gov/transcriptome/Anopheles_sialome/links/cluster-b/anopheline-sialome-cds-pep-larger-orf60-50SimCLTL25.txt", 16)</f>
        <v>16</v>
      </c>
      <c r="CB717">
        <f>HYPERLINK("http://exon.niaid.nih.gov/transcriptome/Anopheles_sialome/links/cluster-b/anopheline-sialome-cds-pep-larger-orf65-50SimCLU27.txt", 27)</f>
        <v>27</v>
      </c>
      <c r="CC717">
        <f>HYPERLINK("http://exon.niaid.nih.gov/transcriptome/Anopheles_sialome/links/cluster-b/anopheline-sialome-cds-pep-larger-orf65-50SimCLTL27.txt", 15)</f>
        <v>15</v>
      </c>
      <c r="CD717">
        <f>HYPERLINK("http://exon.niaid.nih.gov/transcriptome/Anopheles_sialome/links/cluster-b/anopheline-sialome-cds-pep-larger-orf70-50SimCLU24.txt", 24)</f>
        <v>24</v>
      </c>
      <c r="CE717">
        <f>HYPERLINK("http://exon.niaid.nih.gov/transcriptome/Anopheles_sialome/links/cluster-b/anopheline-sialome-cds-pep-larger-orf70-50SimCLTL24.txt", 15)</f>
        <v>15</v>
      </c>
      <c r="CF717">
        <f>HYPERLINK("http://exon.niaid.nih.gov/transcriptome/Anopheles_sialome/links/cluster-b/anopheline-sialome-cds-pep-larger-orf75-50SimCLU42.txt", 42)</f>
        <v>42</v>
      </c>
      <c r="CG717">
        <f>HYPERLINK("http://exon.niaid.nih.gov/transcriptome/Anopheles_sialome/links/cluster-b/anopheline-sialome-cds-pep-larger-orf75-50SimCLTL42.txt", 6)</f>
        <v>6</v>
      </c>
      <c r="CH717">
        <f>HYPERLINK("http://exon.niaid.nih.gov/transcriptome/Anopheles_sialome/links/cluster-b/anopheline-sialome-cds-pep-larger-orf80-50SimCLU36.txt", 36)</f>
        <v>36</v>
      </c>
      <c r="CI717">
        <f>HYPERLINK("http://exon.niaid.nih.gov/transcriptome/Anopheles_sialome/links/cluster-b/anopheline-sialome-cds-pep-larger-orf80-50SimCLTL36.txt", 6)</f>
        <v>6</v>
      </c>
      <c r="CJ717">
        <f>HYPERLINK("http://exon.niaid.nih.gov/transcriptome/Anopheles_sialome/links/cluster-b/anopheline-sialome-cds-pep-larger-orf85-50SimCLU32.txt", 32)</f>
        <v>32</v>
      </c>
      <c r="CK717">
        <f>HYPERLINK("http://exon.niaid.nih.gov/transcriptome/Anopheles_sialome/links/cluster-b/anopheline-sialome-cds-pep-larger-orf85-50SimCLTL32.txt", 6)</f>
        <v>6</v>
      </c>
      <c r="CL717">
        <f>HYPERLINK("http://exon.niaid.nih.gov/transcriptome/Anopheles_sialome/links/cluster-b/anopheline-sialome-cds-pep-larger-orf90-50SimCLU24.txt", 24)</f>
        <v>24</v>
      </c>
      <c r="CM717">
        <f>HYPERLINK("http://exon.niaid.nih.gov/transcriptome/Anopheles_sialome/links/cluster-b/anopheline-sialome-cds-pep-larger-orf90-50SimCLTL24.txt", 6)</f>
        <v>6</v>
      </c>
      <c r="CN717">
        <f>HYPERLINK("http://exon.niaid.nih.gov/transcriptome/Anopheles_sialome/links/cluster-b/anopheline-sialome-cds-pep-larger-orf95-50SimCLU15.txt", 15)</f>
        <v>15</v>
      </c>
      <c r="CO717">
        <f>HYPERLINK("http://exon.niaid.nih.gov/transcriptome/Anopheles_sialome/links/cluster-b/anopheline-sialome-cds-pep-larger-orf95-50SimCLTL15.txt", 6)</f>
        <v>6</v>
      </c>
    </row>
    <row r="718" spans="1:93">
      <c r="A718" s="2" t="str">
        <f>HYPERLINK("http://exon.niaid.nih.gov/transcriptome/Anopheles_sialome/links/cds/anomel_hyp6.2-cds.txt","anomel_hyp6.2")</f>
        <v>anomel_hyp6.2</v>
      </c>
      <c r="B718">
        <v>258</v>
      </c>
      <c r="C718" t="s">
        <v>4</v>
      </c>
      <c r="D718" s="8" t="s">
        <v>3178</v>
      </c>
      <c r="E718" t="s">
        <v>5</v>
      </c>
      <c r="F718" t="s">
        <v>1</v>
      </c>
      <c r="G718" t="str">
        <f>HYPERLINK("http://exon.niaid.nih.gov/transcriptome/Anopheles_sialome/links/pep/anomel_hyp6.2-pep.txt","anomel_hyp6.2")</f>
        <v>anomel_hyp6.2</v>
      </c>
      <c r="H718">
        <v>85</v>
      </c>
      <c r="I718">
        <v>0</v>
      </c>
      <c r="J718" s="3" t="str">
        <f>HYPERLINK("http://exon.niaid.nih.gov/transcriptome/Anopheles_sialome/links/Sigp/anomel_hyp6.2-SigP.txt","SIG")</f>
        <v>SIG</v>
      </c>
      <c r="K718" t="s">
        <v>834</v>
      </c>
      <c r="L718">
        <v>9.3160000000000007</v>
      </c>
      <c r="M718">
        <v>11.27</v>
      </c>
      <c r="N718">
        <v>6.3890000000000002</v>
      </c>
      <c r="O718">
        <v>10.83</v>
      </c>
      <c r="P718" t="s">
        <v>1305</v>
      </c>
      <c r="Q718" s="3">
        <v>0</v>
      </c>
      <c r="R718" t="s">
        <v>128</v>
      </c>
      <c r="S718" t="s">
        <v>128</v>
      </c>
      <c r="T718" t="s">
        <v>128</v>
      </c>
      <c r="U718" t="s">
        <v>128</v>
      </c>
      <c r="V718" t="s">
        <v>128</v>
      </c>
      <c r="W718" s="3" t="str">
        <f>HYPERLINK("http://exon.niaid.nih.gov/transcriptome/Anopheles_sialome/links/netoglyc/anomel_hyp6.2-netoglyc.txt","2")</f>
        <v>2</v>
      </c>
      <c r="X718">
        <v>17.600000000000001</v>
      </c>
      <c r="Y718">
        <v>10.6</v>
      </c>
      <c r="Z718">
        <v>3.5</v>
      </c>
      <c r="AA718" t="s">
        <v>654</v>
      </c>
      <c r="AB718" t="s">
        <v>128</v>
      </c>
      <c r="AC718" s="2" t="str">
        <f>HYPERLINK("http://exon.niaid.nih.gov/transcriptome/Anopheles_sialome/links/DIPTERA/anomel_hyp6.2-DIPTERA.txt","hyp6.2 precursor")</f>
        <v>hyp6.2 precursor</v>
      </c>
      <c r="AD718" t="str">
        <f>HYPERLINK("http://www.ncbi.nlm.nih.gov/sutils/blink.cgi?pid=62546223","1E-041")</f>
        <v>1E-041</v>
      </c>
      <c r="AE718" t="str">
        <f t="shared" si="247"/>
        <v>gi|62546223</v>
      </c>
      <c r="AF718">
        <v>98</v>
      </c>
      <c r="AG718">
        <v>100</v>
      </c>
      <c r="AH718">
        <v>100</v>
      </c>
      <c r="AI718" t="s">
        <v>2254</v>
      </c>
      <c r="AJ718" s="2" t="str">
        <f>HYPERLINK("http://exon.niaid.nih.gov/transcriptome/Anopheles_sialome/links/CULICOMORPHA/anomel_hyp6.2-CULICOMORPHA.txt","hyp6.2 precursor")</f>
        <v>hyp6.2 precursor</v>
      </c>
      <c r="AK718" t="str">
        <f>HYPERLINK("http://www.ncbi.nlm.nih.gov/sutils/blink.cgi?pid=62546223","2E-042")</f>
        <v>2E-042</v>
      </c>
      <c r="AL718" t="str">
        <f t="shared" si="248"/>
        <v>gi|62546223</v>
      </c>
      <c r="AM718">
        <v>98</v>
      </c>
      <c r="AN718">
        <v>100</v>
      </c>
      <c r="AO718">
        <v>100</v>
      </c>
      <c r="AP718" t="s">
        <v>2254</v>
      </c>
      <c r="AQ718" s="2" t="str">
        <f>HYPERLINK("http://exon.niaid.nih.gov/transcriptome/Anopheles_sialome/links/NR-LIGHT/anomel_hyp6.2-NR-LIGHT.txt","AGAP006495-PA")</f>
        <v>AGAP006495-PA</v>
      </c>
      <c r="AR718" t="str">
        <f>HYPERLINK("http://www.ncbi.nlm.nih.gov/sutils/blink.cgi?pid=118788162","3E-041")</f>
        <v>3E-041</v>
      </c>
      <c r="AS718" t="str">
        <f t="shared" si="249"/>
        <v>gi|118788162</v>
      </c>
      <c r="AT718">
        <v>98</v>
      </c>
      <c r="AU718">
        <v>100</v>
      </c>
      <c r="AV718">
        <v>100</v>
      </c>
      <c r="AW718" t="s">
        <v>2285</v>
      </c>
      <c r="AX718" s="2" t="str">
        <f>HYPERLINK("http://exon.niaid.nih.gov/transcriptome/Anopheles_sialome/links/CDD/anomel_hyp6.2-CDD.txt","AFOR_N")</f>
        <v>AFOR_N</v>
      </c>
      <c r="AY718" t="str">
        <f>HYPERLINK("http://www.ncbi.nlm.nih.gov/Structure/cdd/cddsrv.cgi?uid=smart00790&amp;version=v4.0","7.2")</f>
        <v>7.2</v>
      </c>
      <c r="AZ718" t="s">
        <v>2630</v>
      </c>
      <c r="BA718" s="2" t="str">
        <f>HYPERLINK("http://exon.niaid.nih.gov/transcriptome/Anopheles_sialome/links/KOG/anomel_hyp6.2-KOG.txt","Inositol 1,4,5-trisphosphate receptor")</f>
        <v>Inositol 1,4,5-trisphosphate receptor</v>
      </c>
      <c r="BB718" t="str">
        <f>HYPERLINK("http://www.ncbi.nlm.nih.gov/Structure/cdd/cddsrv.cgi?uid=KOG3533","0.039")</f>
        <v>0.039</v>
      </c>
      <c r="BC718" t="s">
        <v>2292</v>
      </c>
      <c r="BD718" t="str">
        <f>HYPERLINK("http://exon.niaid.nih.gov/transcriptome/Anopheles_sialome/links/KOG/anomel_hyp6.2-KOG.txt","KOG3533")</f>
        <v>KOG3533</v>
      </c>
      <c r="BE718" t="str">
        <f>HYPERLINK("http://exon.niaid.nih.gov/transcriptome/Anopheles_sialome/links/PFAM/anomel_hyp6.2-PFAM.txt","Gpi16")</f>
        <v>Gpi16</v>
      </c>
      <c r="BF718" t="str">
        <f>HYPERLINK("http://pfam.sanger.ac.uk/family?acc=PF04113","2.3")</f>
        <v>2.3</v>
      </c>
      <c r="BG718" s="2" t="str">
        <f>HYPERLINK("http://exon.niaid.nih.gov/transcriptome/Anopheles_sialome/links/SMART/anomel_hyp6.2-SMART.txt","AFOR_N")</f>
        <v>AFOR_N</v>
      </c>
      <c r="BH718" t="str">
        <f>HYPERLINK("http://smart.embl-heidelberg.de/smart/do_annotation.pl?DOMAIN=AFOR_N&amp;BLAST=DUMMY","0.077")</f>
        <v>0.077</v>
      </c>
      <c r="BI718" t="s">
        <v>128</v>
      </c>
      <c r="BJ718" s="2" t="s">
        <v>128</v>
      </c>
      <c r="BK718" t="s">
        <v>1304</v>
      </c>
      <c r="BL718">
        <f>HYPERLINK("http://exon.niaid.nih.gov/transcriptome/Anopheles_sialome/links/cluster-b/anopheline-sialome-cds-pep-larger-orf25-50SimCLU1.txt", 1)</f>
        <v>1</v>
      </c>
      <c r="BM718">
        <f>HYPERLINK("http://exon.niaid.nih.gov/transcriptome/Anopheles_sialome/links/cluster-b/anopheline-sialome-cds-pep-larger-orf25-50SimCLTL1.txt", 165)</f>
        <v>165</v>
      </c>
      <c r="BN718">
        <f>HYPERLINK("http://exon.niaid.nih.gov/transcriptome/Anopheles_sialome/links/cluster-b/anopheline-sialome-cds-pep-larger-orf30-50SimCLU1.txt", 1)</f>
        <v>1</v>
      </c>
      <c r="BO718">
        <f>HYPERLINK("http://exon.niaid.nih.gov/transcriptome/Anopheles_sialome/links/cluster-b/anopheline-sialome-cds-pep-larger-orf30-50SimCLTL1.txt", 165)</f>
        <v>165</v>
      </c>
      <c r="BP718">
        <f>HYPERLINK("http://exon.niaid.nih.gov/transcriptome/Anopheles_sialome/links/cluster-b/anopheline-sialome-cds-pep-larger-orf35-50SimCLU4.txt", 4)</f>
        <v>4</v>
      </c>
      <c r="BQ718">
        <f>HYPERLINK("http://exon.niaid.nih.gov/transcriptome/Anopheles_sialome/links/cluster-b/anopheline-sialome-cds-pep-larger-orf35-50SimCLTL4.txt", 76)</f>
        <v>76</v>
      </c>
      <c r="BR718">
        <f>HYPERLINK("http://exon.niaid.nih.gov/transcriptome/Anopheles_sialome/links/cluster-b/anopheline-sialome-cds-pep-larger-orf40-50SimCLU20.txt", 20)</f>
        <v>20</v>
      </c>
      <c r="BS718">
        <f>HYPERLINK("http://exon.niaid.nih.gov/transcriptome/Anopheles_sialome/links/cluster-b/anopheline-sialome-cds-pep-larger-orf40-50SimCLTL20.txt", 18)</f>
        <v>18</v>
      </c>
      <c r="BT718">
        <f>HYPERLINK("http://exon.niaid.nih.gov/transcriptome/Anopheles_sialome/links/cluster-b/anopheline-sialome-cds-pep-larger-orf45-50SimCLU21.txt", 21)</f>
        <v>21</v>
      </c>
      <c r="BU718">
        <f>HYPERLINK("http://exon.niaid.nih.gov/transcriptome/Anopheles_sialome/links/cluster-b/anopheline-sialome-cds-pep-larger-orf45-50SimCLTL21.txt", 18)</f>
        <v>18</v>
      </c>
      <c r="BV718">
        <f>HYPERLINK("http://exon.niaid.nih.gov/transcriptome/Anopheles_sialome/links/cluster-b/anopheline-sialome-cds-pep-larger-orf50-50SimCLU20.txt", 20)</f>
        <v>20</v>
      </c>
      <c r="BW718">
        <f>HYPERLINK("http://exon.niaid.nih.gov/transcriptome/Anopheles_sialome/links/cluster-b/anopheline-sialome-cds-pep-larger-orf50-50SimCLTL20.txt", 18)</f>
        <v>18</v>
      </c>
      <c r="BX718">
        <f>HYPERLINK("http://exon.niaid.nih.gov/transcriptome/Anopheles_sialome/links/cluster-b/anopheline-sialome-cds-pep-larger-orf55-50SimCLU21.txt", 21)</f>
        <v>21</v>
      </c>
      <c r="BY718">
        <f>HYPERLINK("http://exon.niaid.nih.gov/transcriptome/Anopheles_sialome/links/cluster-b/anopheline-sialome-cds-pep-larger-orf55-50SimCLTL21.txt", 18)</f>
        <v>18</v>
      </c>
      <c r="BZ718">
        <f>HYPERLINK("http://exon.niaid.nih.gov/transcriptome/Anopheles_sialome/links/cluster-b/anopheline-sialome-cds-pep-larger-orf60-50SimCLU25.txt", 25)</f>
        <v>25</v>
      </c>
      <c r="CA718">
        <f>HYPERLINK("http://exon.niaid.nih.gov/transcriptome/Anopheles_sialome/links/cluster-b/anopheline-sialome-cds-pep-larger-orf60-50SimCLTL25.txt", 16)</f>
        <v>16</v>
      </c>
      <c r="CB718">
        <f>HYPERLINK("http://exon.niaid.nih.gov/transcriptome/Anopheles_sialome/links/cluster-b/anopheline-sialome-cds-pep-larger-orf65-50SimCLU27.txt", 27)</f>
        <v>27</v>
      </c>
      <c r="CC718">
        <f>HYPERLINK("http://exon.niaid.nih.gov/transcriptome/Anopheles_sialome/links/cluster-b/anopheline-sialome-cds-pep-larger-orf65-50SimCLTL27.txt", 15)</f>
        <v>15</v>
      </c>
      <c r="CD718">
        <f>HYPERLINK("http://exon.niaid.nih.gov/transcriptome/Anopheles_sialome/links/cluster-b/anopheline-sialome-cds-pep-larger-orf70-50SimCLU24.txt", 24)</f>
        <v>24</v>
      </c>
      <c r="CE718">
        <f>HYPERLINK("http://exon.niaid.nih.gov/transcriptome/Anopheles_sialome/links/cluster-b/anopheline-sialome-cds-pep-larger-orf70-50SimCLTL24.txt", 15)</f>
        <v>15</v>
      </c>
      <c r="CF718">
        <f>HYPERLINK("http://exon.niaid.nih.gov/transcriptome/Anopheles_sialome/links/cluster-b/anopheline-sialome-cds-pep-larger-orf75-50SimCLU42.txt", 42)</f>
        <v>42</v>
      </c>
      <c r="CG718">
        <f>HYPERLINK("http://exon.niaid.nih.gov/transcriptome/Anopheles_sialome/links/cluster-b/anopheline-sialome-cds-pep-larger-orf75-50SimCLTL42.txt", 6)</f>
        <v>6</v>
      </c>
      <c r="CH718">
        <f>HYPERLINK("http://exon.niaid.nih.gov/transcriptome/Anopheles_sialome/links/cluster-b/anopheline-sialome-cds-pep-larger-orf80-50SimCLU36.txt", 36)</f>
        <v>36</v>
      </c>
      <c r="CI718">
        <f>HYPERLINK("http://exon.niaid.nih.gov/transcriptome/Anopheles_sialome/links/cluster-b/anopheline-sialome-cds-pep-larger-orf80-50SimCLTL36.txt", 6)</f>
        <v>6</v>
      </c>
      <c r="CJ718">
        <f>HYPERLINK("http://exon.niaid.nih.gov/transcriptome/Anopheles_sialome/links/cluster-b/anopheline-sialome-cds-pep-larger-orf85-50SimCLU32.txt", 32)</f>
        <v>32</v>
      </c>
      <c r="CK718">
        <f>HYPERLINK("http://exon.niaid.nih.gov/transcriptome/Anopheles_sialome/links/cluster-b/anopheline-sialome-cds-pep-larger-orf85-50SimCLTL32.txt", 6)</f>
        <v>6</v>
      </c>
      <c r="CL718">
        <f>HYPERLINK("http://exon.niaid.nih.gov/transcriptome/Anopheles_sialome/links/cluster-b/anopheline-sialome-cds-pep-larger-orf90-50SimCLU24.txt", 24)</f>
        <v>24</v>
      </c>
      <c r="CM718">
        <f>HYPERLINK("http://exon.niaid.nih.gov/transcriptome/Anopheles_sialome/links/cluster-b/anopheline-sialome-cds-pep-larger-orf90-50SimCLTL24.txt", 6)</f>
        <v>6</v>
      </c>
      <c r="CN718">
        <f>HYPERLINK("http://exon.niaid.nih.gov/transcriptome/Anopheles_sialome/links/cluster-b/anopheline-sialome-cds-pep-larger-orf95-50SimCLU15.txt", 15)</f>
        <v>15</v>
      </c>
      <c r="CO718">
        <f>HYPERLINK("http://exon.niaid.nih.gov/transcriptome/Anopheles_sialome/links/cluster-b/anopheline-sialome-cds-pep-larger-orf95-50SimCLTL15.txt", 6)</f>
        <v>6</v>
      </c>
    </row>
    <row r="719" spans="1:93">
      <c r="A719" s="2" t="str">
        <f>HYPERLINK("http://exon.niaid.nih.gov/transcriptome/Anopheles_sialome/links/cds/anochris_hyp6.2-cds.txt","anochris_hyp6.2")</f>
        <v>anochris_hyp6.2</v>
      </c>
      <c r="B719">
        <v>246</v>
      </c>
      <c r="C719" t="s">
        <v>247</v>
      </c>
      <c r="D719" t="s">
        <v>7</v>
      </c>
      <c r="E719" t="s">
        <v>5</v>
      </c>
      <c r="F719" t="s">
        <v>1</v>
      </c>
      <c r="G719" t="str">
        <f>HYPERLINK("http://exon.niaid.nih.gov/transcriptome/Anopheles_sialome/links/pep/anochris_hyp6.2-pep.txt","anochris_hyp6.2")</f>
        <v>anochris_hyp6.2</v>
      </c>
      <c r="H719">
        <v>81</v>
      </c>
      <c r="I719">
        <v>0</v>
      </c>
      <c r="J719" s="3" t="str">
        <f>HYPERLINK("http://exon.niaid.nih.gov/transcriptome/Anopheles_sialome/links/Sigp/anochris_hyp6.2-SigP.txt","SIG")</f>
        <v>SIG</v>
      </c>
      <c r="K719" t="s">
        <v>1182</v>
      </c>
      <c r="L719">
        <v>8.3620000000000001</v>
      </c>
      <c r="M719">
        <v>10.17</v>
      </c>
      <c r="N719">
        <v>5.7839999999999998</v>
      </c>
      <c r="O719">
        <v>10.41</v>
      </c>
      <c r="P719" t="s">
        <v>1307</v>
      </c>
      <c r="Q719" s="3" t="str">
        <f>HYPERLINK("http://exon.niaid.nih.gov/transcriptome/Anopheles_sialome/links/tmhmm/anochris_hyp6.2-tmhmm.txt","1")</f>
        <v>1</v>
      </c>
      <c r="R719">
        <v>27.2</v>
      </c>
      <c r="S719">
        <v>64.2</v>
      </c>
      <c r="T719">
        <v>8.6</v>
      </c>
      <c r="U719" t="s">
        <v>128</v>
      </c>
      <c r="V719">
        <v>52</v>
      </c>
      <c r="W719" s="3" t="str">
        <f>HYPERLINK("http://exon.niaid.nih.gov/transcriptome/Anopheles_sialome/links/netoglyc/anochris_hyp6.2-netoglyc.txt","2")</f>
        <v>2</v>
      </c>
      <c r="X719">
        <v>16</v>
      </c>
      <c r="Y719">
        <v>14.8</v>
      </c>
      <c r="Z719">
        <v>2.5</v>
      </c>
      <c r="AA719" t="s">
        <v>654</v>
      </c>
      <c r="AB719" t="s">
        <v>128</v>
      </c>
      <c r="AC719" s="2" t="str">
        <f>HYPERLINK("http://exon.niaid.nih.gov/transcriptome/Anopheles_sialome/links/DIPTERA/anochris_hyp6.2-DIPTERA.txt","hyp6.2 precursor")</f>
        <v>hyp6.2 precursor</v>
      </c>
      <c r="AD719" t="str">
        <f>HYPERLINK("http://www.ncbi.nlm.nih.gov/sutils/blink.cgi?pid=62546223","2E-022")</f>
        <v>2E-022</v>
      </c>
      <c r="AE719" t="str">
        <f t="shared" si="247"/>
        <v>gi|62546223</v>
      </c>
      <c r="AF719">
        <v>67</v>
      </c>
      <c r="AG719">
        <v>74</v>
      </c>
      <c r="AH719">
        <v>100</v>
      </c>
      <c r="AI719" t="s">
        <v>2254</v>
      </c>
      <c r="AJ719" s="2" t="str">
        <f>HYPERLINK("http://exon.niaid.nih.gov/transcriptome/Anopheles_sialome/links/CULICOMORPHA/anochris_hyp6.2-CULICOMORPHA.txt","hyp6.2 precursor")</f>
        <v>hyp6.2 precursor</v>
      </c>
      <c r="AK719" t="str">
        <f>HYPERLINK("http://www.ncbi.nlm.nih.gov/sutils/blink.cgi?pid=62546223","3E-023")</f>
        <v>3E-023</v>
      </c>
      <c r="AL719" t="str">
        <f t="shared" si="248"/>
        <v>gi|62546223</v>
      </c>
      <c r="AM719">
        <v>67</v>
      </c>
      <c r="AN719">
        <v>74</v>
      </c>
      <c r="AO719">
        <v>100</v>
      </c>
      <c r="AP719" t="s">
        <v>2254</v>
      </c>
      <c r="AQ719" s="2" t="str">
        <f>HYPERLINK("http://exon.niaid.nih.gov/transcriptome/Anopheles_sialome/links/NR-LIGHT/anochris_hyp6.2-NR-LIGHT.txt","AGAP006495-PA")</f>
        <v>AGAP006495-PA</v>
      </c>
      <c r="AR719" t="str">
        <f>HYPERLINK("http://www.ncbi.nlm.nih.gov/sutils/blink.cgi?pid=118788162","5E-022")</f>
        <v>5E-022</v>
      </c>
      <c r="AS719" t="str">
        <f t="shared" si="249"/>
        <v>gi|118788162</v>
      </c>
      <c r="AT719">
        <v>67</v>
      </c>
      <c r="AU719">
        <v>74</v>
      </c>
      <c r="AV719">
        <v>100</v>
      </c>
      <c r="AW719" t="s">
        <v>2285</v>
      </c>
      <c r="AX719" s="2" t="str">
        <f>HYPERLINK("http://exon.niaid.nih.gov/transcriptome/Anopheles_sialome/links/CDD/anochris_hyp6.2-CDD.txt","LraI")</f>
        <v>LraI</v>
      </c>
      <c r="AY719" t="str">
        <f>HYPERLINK("http://www.ncbi.nlm.nih.gov/Structure/cdd/cddsrv.cgi?uid=COG0803&amp;version=v4.0","0.042")</f>
        <v>0.042</v>
      </c>
      <c r="AZ719" t="s">
        <v>2631</v>
      </c>
      <c r="BA719" s="2" t="str">
        <f>HYPERLINK("http://exon.niaid.nih.gov/transcriptome/Anopheles_sialome/links/KOG/anochris_hyp6.2-KOG.txt","Vesicle coat complex COPII, subunit SEC13")</f>
        <v>Vesicle coat complex COPII, subunit SEC13</v>
      </c>
      <c r="BB719" t="str">
        <f>HYPERLINK("http://www.ncbi.nlm.nih.gov/Structure/cdd/cddsrv.cgi?uid=KOG1332","0.91")</f>
        <v>0.91</v>
      </c>
      <c r="BC719" t="s">
        <v>2487</v>
      </c>
      <c r="BD719" t="str">
        <f>HYPERLINK("http://exon.niaid.nih.gov/transcriptome/Anopheles_sialome/links/KOG/anochris_hyp6.2-KOG.txt","KOG1332")</f>
        <v>KOG1332</v>
      </c>
      <c r="BE719" t="str">
        <f>HYPERLINK("http://exon.niaid.nih.gov/transcriptome/Anopheles_sialome/links/PFAM/anochris_hyp6.2-PFAM.txt","CCDC84")</f>
        <v>CCDC84</v>
      </c>
      <c r="BF719" t="str">
        <f>HYPERLINK("http://pfam.sanger.ac.uk/family?acc=PF14968","0.15")</f>
        <v>0.15</v>
      </c>
      <c r="BG719" s="2" t="str">
        <f>HYPERLINK("http://exon.niaid.nih.gov/transcriptome/Anopheles_sialome/links/SMART/anochris_hyp6.2-SMART.txt","KISc")</f>
        <v>KISc</v>
      </c>
      <c r="BH719" t="str">
        <f>HYPERLINK("http://smart.embl-heidelberg.de/smart/do_annotation.pl?DOMAIN=KISc&amp;BLAST=DUMMY","0.46")</f>
        <v>0.46</v>
      </c>
      <c r="BI719" t="s">
        <v>128</v>
      </c>
      <c r="BJ719" s="2" t="s">
        <v>128</v>
      </c>
      <c r="BK719" t="s">
        <v>1306</v>
      </c>
      <c r="BL719">
        <f>HYPERLINK("http://exon.niaid.nih.gov/transcriptome/Anopheles_sialome/links/cluster-b/anopheline-sialome-cds-pep-larger-orf25-50SimCLU1.txt", 1)</f>
        <v>1</v>
      </c>
      <c r="BM719">
        <f>HYPERLINK("http://exon.niaid.nih.gov/transcriptome/Anopheles_sialome/links/cluster-b/anopheline-sialome-cds-pep-larger-orf25-50SimCLTL1.txt", 165)</f>
        <v>165</v>
      </c>
      <c r="BN719">
        <f>HYPERLINK("http://exon.niaid.nih.gov/transcriptome/Anopheles_sialome/links/cluster-b/anopheline-sialome-cds-pep-larger-orf30-50SimCLU1.txt", 1)</f>
        <v>1</v>
      </c>
      <c r="BO719">
        <f>HYPERLINK("http://exon.niaid.nih.gov/transcriptome/Anopheles_sialome/links/cluster-b/anopheline-sialome-cds-pep-larger-orf30-50SimCLTL1.txt", 165)</f>
        <v>165</v>
      </c>
      <c r="BP719">
        <f>HYPERLINK("http://exon.niaid.nih.gov/transcriptome/Anopheles_sialome/links/cluster-b/anopheline-sialome-cds-pep-larger-orf35-50SimCLU4.txt", 4)</f>
        <v>4</v>
      </c>
      <c r="BQ719">
        <f>HYPERLINK("http://exon.niaid.nih.gov/transcriptome/Anopheles_sialome/links/cluster-b/anopheline-sialome-cds-pep-larger-orf35-50SimCLTL4.txt", 76)</f>
        <v>76</v>
      </c>
      <c r="BR719">
        <f>HYPERLINK("http://exon.niaid.nih.gov/transcriptome/Anopheles_sialome/links/cluster-b/anopheline-sialome-cds-pep-larger-orf40-50SimCLU20.txt", 20)</f>
        <v>20</v>
      </c>
      <c r="BS719">
        <f>HYPERLINK("http://exon.niaid.nih.gov/transcriptome/Anopheles_sialome/links/cluster-b/anopheline-sialome-cds-pep-larger-orf40-50SimCLTL20.txt", 18)</f>
        <v>18</v>
      </c>
      <c r="BT719">
        <f>HYPERLINK("http://exon.niaid.nih.gov/transcriptome/Anopheles_sialome/links/cluster-b/anopheline-sialome-cds-pep-larger-orf45-50SimCLU21.txt", 21)</f>
        <v>21</v>
      </c>
      <c r="BU719">
        <f>HYPERLINK("http://exon.niaid.nih.gov/transcriptome/Anopheles_sialome/links/cluster-b/anopheline-sialome-cds-pep-larger-orf45-50SimCLTL21.txt", 18)</f>
        <v>18</v>
      </c>
      <c r="BV719">
        <f>HYPERLINK("http://exon.niaid.nih.gov/transcriptome/Anopheles_sialome/links/cluster-b/anopheline-sialome-cds-pep-larger-orf50-50SimCLU20.txt", 20)</f>
        <v>20</v>
      </c>
      <c r="BW719">
        <f>HYPERLINK("http://exon.niaid.nih.gov/transcriptome/Anopheles_sialome/links/cluster-b/anopheline-sialome-cds-pep-larger-orf50-50SimCLTL20.txt", 18)</f>
        <v>18</v>
      </c>
      <c r="BX719">
        <f>HYPERLINK("http://exon.niaid.nih.gov/transcriptome/Anopheles_sialome/links/cluster-b/anopheline-sialome-cds-pep-larger-orf55-50SimCLU21.txt", 21)</f>
        <v>21</v>
      </c>
      <c r="BY719">
        <f>HYPERLINK("http://exon.niaid.nih.gov/transcriptome/Anopheles_sialome/links/cluster-b/anopheline-sialome-cds-pep-larger-orf55-50SimCLTL21.txt", 18)</f>
        <v>18</v>
      </c>
      <c r="BZ719">
        <f>HYPERLINK("http://exon.niaid.nih.gov/transcriptome/Anopheles_sialome/links/cluster-b/anopheline-sialome-cds-pep-larger-orf60-50SimCLU25.txt", 25)</f>
        <v>25</v>
      </c>
      <c r="CA719">
        <f>HYPERLINK("http://exon.niaid.nih.gov/transcriptome/Anopheles_sialome/links/cluster-b/anopheline-sialome-cds-pep-larger-orf60-50SimCLTL25.txt", 16)</f>
        <v>16</v>
      </c>
      <c r="CB719">
        <f>HYPERLINK("http://exon.niaid.nih.gov/transcriptome/Anopheles_sialome/links/cluster-b/anopheline-sialome-cds-pep-larger-orf65-50SimCLU27.txt", 27)</f>
        <v>27</v>
      </c>
      <c r="CC719">
        <f>HYPERLINK("http://exon.niaid.nih.gov/transcriptome/Anopheles_sialome/links/cluster-b/anopheline-sialome-cds-pep-larger-orf65-50SimCLTL27.txt", 15)</f>
        <v>15</v>
      </c>
      <c r="CD719">
        <f>HYPERLINK("http://exon.niaid.nih.gov/transcriptome/Anopheles_sialome/links/cluster-b/anopheline-sialome-cds-pep-larger-orf70-50SimCLU24.txt", 24)</f>
        <v>24</v>
      </c>
      <c r="CE719">
        <f>HYPERLINK("http://exon.niaid.nih.gov/transcriptome/Anopheles_sialome/links/cluster-b/anopheline-sialome-cds-pep-larger-orf70-50SimCLTL24.txt", 15)</f>
        <v>15</v>
      </c>
      <c r="CF719">
        <v>111</v>
      </c>
      <c r="CG719">
        <v>1</v>
      </c>
      <c r="CH719">
        <v>146</v>
      </c>
      <c r="CI719">
        <v>1</v>
      </c>
      <c r="CJ719">
        <v>180</v>
      </c>
      <c r="CK719">
        <v>1</v>
      </c>
      <c r="CL719">
        <v>222</v>
      </c>
      <c r="CM719">
        <v>1</v>
      </c>
      <c r="CN719">
        <v>248</v>
      </c>
      <c r="CO719">
        <v>1</v>
      </c>
    </row>
    <row r="720" spans="1:93">
      <c r="A720" s="2" t="str">
        <f>HYPERLINK("http://exon.niaid.nih.gov/transcriptome/Anopheles_sialome/links/cds/anoepi_hyp6.2-cds.txt","anoepi_hyp6.2")</f>
        <v>anoepi_hyp6.2</v>
      </c>
      <c r="B720">
        <v>255</v>
      </c>
      <c r="C720" t="s">
        <v>4</v>
      </c>
      <c r="D720" s="8" t="s">
        <v>3178</v>
      </c>
      <c r="E720" t="s">
        <v>5</v>
      </c>
      <c r="F720" t="s">
        <v>1</v>
      </c>
      <c r="G720" t="str">
        <f>HYPERLINK("http://exon.niaid.nih.gov/transcriptome/Anopheles_sialome/links/pep/anoepi_hyp6.2-pep.txt","anoepi_hyp6.2")</f>
        <v>anoepi_hyp6.2</v>
      </c>
      <c r="H720">
        <v>84</v>
      </c>
      <c r="I720">
        <v>0</v>
      </c>
      <c r="J720" s="3" t="str">
        <f>HYPERLINK("http://exon.niaid.nih.gov/transcriptome/Anopheles_sialome/links/Sigp/anoepi_hyp6.2-SigP.txt","SIG")</f>
        <v>SIG</v>
      </c>
      <c r="K720" t="s">
        <v>834</v>
      </c>
      <c r="L720">
        <v>8.94</v>
      </c>
      <c r="M720">
        <v>9.39</v>
      </c>
      <c r="N720">
        <v>6.1840000000000002</v>
      </c>
      <c r="O720">
        <v>8.48</v>
      </c>
      <c r="P720" t="s">
        <v>1309</v>
      </c>
      <c r="Q720" s="3" t="str">
        <f>HYPERLINK("http://exon.niaid.nih.gov/transcriptome/Anopheles_sialome/links/tmhmm/anoepi_hyp6.2-tmhmm.txt","1")</f>
        <v>1</v>
      </c>
      <c r="R720">
        <v>26.2</v>
      </c>
      <c r="S720">
        <v>65.5</v>
      </c>
      <c r="T720">
        <v>8.3000000000000007</v>
      </c>
      <c r="U720" t="s">
        <v>128</v>
      </c>
      <c r="V720">
        <v>55</v>
      </c>
      <c r="W720" s="3" t="str">
        <f>HYPERLINK("http://exon.niaid.nih.gov/transcriptome/Anopheles_sialome/links/netoglyc/anoepi_hyp6.2-netoglyc.txt","2")</f>
        <v>2</v>
      </c>
      <c r="X720">
        <v>15.5</v>
      </c>
      <c r="Y720">
        <v>14.3</v>
      </c>
      <c r="Z720">
        <v>3.6</v>
      </c>
      <c r="AA720" t="s">
        <v>654</v>
      </c>
      <c r="AB720" t="s">
        <v>128</v>
      </c>
      <c r="AC720" s="2" t="str">
        <f>HYPERLINK("http://exon.niaid.nih.gov/transcriptome/Anopheles_sialome/links/DIPTERA/anoepi_hyp6.2-DIPTERA.txt","putative secreted salivary basic peptide hyp6.2")</f>
        <v>putative secreted salivary basic peptide hyp6.2</v>
      </c>
      <c r="AD720" t="str">
        <f>HYPERLINK("http://www.ncbi.nlm.nih.gov/sutils/blink.cgi?pid=114864793","6E-024")</f>
        <v>6E-024</v>
      </c>
      <c r="AE720" t="str">
        <f t="shared" ref="AE720:AE725" si="250">HYPERLINK("http://www.ncbi.nlm.nih.gov/protein/114864793","gi|114864793")</f>
        <v>gi|114864793</v>
      </c>
      <c r="AF720">
        <v>69</v>
      </c>
      <c r="AG720">
        <v>77</v>
      </c>
      <c r="AH720">
        <v>89</v>
      </c>
      <c r="AI720" t="s">
        <v>2266</v>
      </c>
      <c r="AJ720" s="2" t="str">
        <f>HYPERLINK("http://exon.niaid.nih.gov/transcriptome/Anopheles_sialome/links/CULICOMORPHA/anoepi_hyp6.2-CULICOMORPHA.txt","putative secreted salivary basic peptide hyp6.2")</f>
        <v>putative secreted salivary basic peptide hyp6.2</v>
      </c>
      <c r="AK720" t="str">
        <f>HYPERLINK("http://www.ncbi.nlm.nih.gov/sutils/blink.cgi?pid=114864793","1E-024")</f>
        <v>1E-024</v>
      </c>
      <c r="AL720" t="str">
        <f t="shared" ref="AL720:AL725" si="251">HYPERLINK("http://www.ncbi.nlm.nih.gov/protein/114864793","gi|114864793")</f>
        <v>gi|114864793</v>
      </c>
      <c r="AM720">
        <v>69</v>
      </c>
      <c r="AN720">
        <v>77</v>
      </c>
      <c r="AO720">
        <v>89</v>
      </c>
      <c r="AP720" t="s">
        <v>2266</v>
      </c>
      <c r="AQ720" s="2" t="str">
        <f>HYPERLINK("http://exon.niaid.nih.gov/transcriptome/Anopheles_sialome/links/NR-LIGHT/anoepi_hyp6.2-NR-LIGHT.txt","putative secreted salivary basic peptide hyp6.2")</f>
        <v>putative secreted salivary basic peptide hyp6.2</v>
      </c>
      <c r="AR720" t="str">
        <f>HYPERLINK("http://www.ncbi.nlm.nih.gov/sutils/blink.cgi?pid=114864793","2E-023")</f>
        <v>2E-023</v>
      </c>
      <c r="AS720" t="str">
        <f t="shared" ref="AS720:AS725" si="252">HYPERLINK("http://www.ncbi.nlm.nih.gov/protein/114864793","gi|114864793")</f>
        <v>gi|114864793</v>
      </c>
      <c r="AT720">
        <v>69</v>
      </c>
      <c r="AU720">
        <v>77</v>
      </c>
      <c r="AV720">
        <v>89</v>
      </c>
      <c r="AW720" t="s">
        <v>2266</v>
      </c>
      <c r="AX720" s="2" t="str">
        <f>HYPERLINK("http://exon.niaid.nih.gov/transcriptome/Anopheles_sialome/links/CDD/anoepi_hyp6.2-CDD.txt","trmE")</f>
        <v>trmE</v>
      </c>
      <c r="AY720" t="str">
        <f>HYPERLINK("http://www.ncbi.nlm.nih.gov/Structure/cdd/cddsrv.cgi?uid=PRK05291&amp;version=v4.0","2.1")</f>
        <v>2.1</v>
      </c>
      <c r="AZ720" t="s">
        <v>2632</v>
      </c>
      <c r="BA720" s="2" t="str">
        <f>HYPERLINK("http://exon.niaid.nih.gov/transcriptome/Anopheles_sialome/links/KOG/anoepi_hyp6.2-KOG.txt","Transcription initiation factor TFIIIB, Bdp1 subunit")</f>
        <v>Transcription initiation factor TFIIIB, Bdp1 subunit</v>
      </c>
      <c r="BB720" t="str">
        <f>HYPERLINK("http://www.ncbi.nlm.nih.gov/Structure/cdd/cddsrv.cgi?uid=KOG2009","0.22")</f>
        <v>0.22</v>
      </c>
      <c r="BC720" t="s">
        <v>2262</v>
      </c>
      <c r="BD720" t="str">
        <f>HYPERLINK("http://exon.niaid.nih.gov/transcriptome/Anopheles_sialome/links/KOG/anoepi_hyp6.2-KOG.txt","KOG2009")</f>
        <v>KOG2009</v>
      </c>
      <c r="BE720" t="str">
        <f>HYPERLINK("http://exon.niaid.nih.gov/transcriptome/Anopheles_sialome/links/PFAM/anoepi_hyp6.2-PFAM.txt","DUF1326")</f>
        <v>DUF1326</v>
      </c>
      <c r="BF720" t="str">
        <f>HYPERLINK("http://pfam.sanger.ac.uk/family?acc=PF07040","1.1")</f>
        <v>1.1</v>
      </c>
      <c r="BG720" s="2" t="str">
        <f>HYPERLINK("http://exon.niaid.nih.gov/transcriptome/Anopheles_sialome/links/SMART/anoepi_hyp6.2-SMART.txt","SF_P")</f>
        <v>SF_P</v>
      </c>
      <c r="BH720" t="str">
        <f>HYPERLINK("http://smart.embl-heidelberg.de/smart/do_annotation.pl?DOMAIN=SF_P&amp;BLAST=DUMMY","0.23")</f>
        <v>0.23</v>
      </c>
      <c r="BI720" t="s">
        <v>128</v>
      </c>
      <c r="BJ720" s="2" t="s">
        <v>128</v>
      </c>
      <c r="BK720" t="s">
        <v>1308</v>
      </c>
      <c r="BL720">
        <f>HYPERLINK("http://exon.niaid.nih.gov/transcriptome/Anopheles_sialome/links/cluster-b/anopheline-sialome-cds-pep-larger-orf25-50SimCLU1.txt", 1)</f>
        <v>1</v>
      </c>
      <c r="BM720">
        <f>HYPERLINK("http://exon.niaid.nih.gov/transcriptome/Anopheles_sialome/links/cluster-b/anopheline-sialome-cds-pep-larger-orf25-50SimCLTL1.txt", 165)</f>
        <v>165</v>
      </c>
      <c r="BN720">
        <f>HYPERLINK("http://exon.niaid.nih.gov/transcriptome/Anopheles_sialome/links/cluster-b/anopheline-sialome-cds-pep-larger-orf30-50SimCLU1.txt", 1)</f>
        <v>1</v>
      </c>
      <c r="BO720">
        <f>HYPERLINK("http://exon.niaid.nih.gov/transcriptome/Anopheles_sialome/links/cluster-b/anopheline-sialome-cds-pep-larger-orf30-50SimCLTL1.txt", 165)</f>
        <v>165</v>
      </c>
      <c r="BP720">
        <f>HYPERLINK("http://exon.niaid.nih.gov/transcriptome/Anopheles_sialome/links/cluster-b/anopheline-sialome-cds-pep-larger-orf35-50SimCLU4.txt", 4)</f>
        <v>4</v>
      </c>
      <c r="BQ720">
        <f>HYPERLINK("http://exon.niaid.nih.gov/transcriptome/Anopheles_sialome/links/cluster-b/anopheline-sialome-cds-pep-larger-orf35-50SimCLTL4.txt", 76)</f>
        <v>76</v>
      </c>
      <c r="BR720">
        <f>HYPERLINK("http://exon.niaid.nih.gov/transcriptome/Anopheles_sialome/links/cluster-b/anopheline-sialome-cds-pep-larger-orf40-50SimCLU20.txt", 20)</f>
        <v>20</v>
      </c>
      <c r="BS720">
        <f>HYPERLINK("http://exon.niaid.nih.gov/transcriptome/Anopheles_sialome/links/cluster-b/anopheline-sialome-cds-pep-larger-orf40-50SimCLTL20.txt", 18)</f>
        <v>18</v>
      </c>
      <c r="BT720">
        <f>HYPERLINK("http://exon.niaid.nih.gov/transcriptome/Anopheles_sialome/links/cluster-b/anopheline-sialome-cds-pep-larger-orf45-50SimCLU21.txt", 21)</f>
        <v>21</v>
      </c>
      <c r="BU720">
        <f>HYPERLINK("http://exon.niaid.nih.gov/transcriptome/Anopheles_sialome/links/cluster-b/anopheline-sialome-cds-pep-larger-orf45-50SimCLTL21.txt", 18)</f>
        <v>18</v>
      </c>
      <c r="BV720">
        <f>HYPERLINK("http://exon.niaid.nih.gov/transcriptome/Anopheles_sialome/links/cluster-b/anopheline-sialome-cds-pep-larger-orf50-50SimCLU20.txt", 20)</f>
        <v>20</v>
      </c>
      <c r="BW720">
        <f>HYPERLINK("http://exon.niaid.nih.gov/transcriptome/Anopheles_sialome/links/cluster-b/anopheline-sialome-cds-pep-larger-orf50-50SimCLTL20.txt", 18)</f>
        <v>18</v>
      </c>
      <c r="BX720">
        <f>HYPERLINK("http://exon.niaid.nih.gov/transcriptome/Anopheles_sialome/links/cluster-b/anopheline-sialome-cds-pep-larger-orf55-50SimCLU21.txt", 21)</f>
        <v>21</v>
      </c>
      <c r="BY720">
        <f>HYPERLINK("http://exon.niaid.nih.gov/transcriptome/Anopheles_sialome/links/cluster-b/anopheline-sialome-cds-pep-larger-orf55-50SimCLTL21.txt", 18)</f>
        <v>18</v>
      </c>
      <c r="BZ720">
        <f>HYPERLINK("http://exon.niaid.nih.gov/transcriptome/Anopheles_sialome/links/cluster-b/anopheline-sialome-cds-pep-larger-orf60-50SimCLU25.txt", 25)</f>
        <v>25</v>
      </c>
      <c r="CA720">
        <f>HYPERLINK("http://exon.niaid.nih.gov/transcriptome/Anopheles_sialome/links/cluster-b/anopheline-sialome-cds-pep-larger-orf60-50SimCLTL25.txt", 16)</f>
        <v>16</v>
      </c>
      <c r="CB720">
        <f>HYPERLINK("http://exon.niaid.nih.gov/transcriptome/Anopheles_sialome/links/cluster-b/anopheline-sialome-cds-pep-larger-orf65-50SimCLU27.txt", 27)</f>
        <v>27</v>
      </c>
      <c r="CC720">
        <f>HYPERLINK("http://exon.niaid.nih.gov/transcriptome/Anopheles_sialome/links/cluster-b/anopheline-sialome-cds-pep-larger-orf65-50SimCLTL27.txt", 15)</f>
        <v>15</v>
      </c>
      <c r="CD720">
        <f>HYPERLINK("http://exon.niaid.nih.gov/transcriptome/Anopheles_sialome/links/cluster-b/anopheline-sialome-cds-pep-larger-orf70-50SimCLU24.txt", 24)</f>
        <v>24</v>
      </c>
      <c r="CE720">
        <f>HYPERLINK("http://exon.niaid.nih.gov/transcriptome/Anopheles_sialome/links/cluster-b/anopheline-sialome-cds-pep-larger-orf70-50SimCLTL24.txt", 15)</f>
        <v>15</v>
      </c>
      <c r="CF720">
        <v>112</v>
      </c>
      <c r="CG720">
        <v>1</v>
      </c>
      <c r="CH720">
        <v>147</v>
      </c>
      <c r="CI720">
        <v>1</v>
      </c>
      <c r="CJ720">
        <v>181</v>
      </c>
      <c r="CK720">
        <v>1</v>
      </c>
      <c r="CL720">
        <v>223</v>
      </c>
      <c r="CM720">
        <v>1</v>
      </c>
      <c r="CN720">
        <v>249</v>
      </c>
      <c r="CO720">
        <v>1</v>
      </c>
    </row>
    <row r="721" spans="1:93">
      <c r="A721" s="2" t="str">
        <f>HYPERLINK("http://exon.niaid.nih.gov/transcriptome/Anopheles_sialome/links/cds/anofun_hyp6.2-cds.txt","anofun_hyp6.2")</f>
        <v>anofun_hyp6.2</v>
      </c>
      <c r="B721">
        <v>285</v>
      </c>
      <c r="C721" t="s">
        <v>4</v>
      </c>
      <c r="D721" s="8" t="s">
        <v>3178</v>
      </c>
      <c r="E721" t="s">
        <v>5</v>
      </c>
      <c r="F721" t="s">
        <v>1</v>
      </c>
      <c r="G721" t="str">
        <f>HYPERLINK("http://exon.niaid.nih.gov/transcriptome/Anopheles_sialome/links/pep/anofun_hyp6.2-pep.txt","anofun_hyp6.2")</f>
        <v>anofun_hyp6.2</v>
      </c>
      <c r="H721">
        <v>94</v>
      </c>
      <c r="I721">
        <v>0</v>
      </c>
      <c r="J721" s="3" t="str">
        <f>HYPERLINK("http://exon.niaid.nih.gov/transcriptome/Anopheles_sialome/links/Sigp/anofun_hyp6.2-SigP.txt","SIG")</f>
        <v>SIG</v>
      </c>
      <c r="K721" t="s">
        <v>1199</v>
      </c>
      <c r="L721">
        <v>10.221</v>
      </c>
      <c r="M721">
        <v>10.39</v>
      </c>
      <c r="N721">
        <v>6.9290000000000003</v>
      </c>
      <c r="O721">
        <v>9.52</v>
      </c>
      <c r="P721" t="s">
        <v>1311</v>
      </c>
      <c r="Q721" s="3">
        <v>0</v>
      </c>
      <c r="R721" t="s">
        <v>128</v>
      </c>
      <c r="S721" t="s">
        <v>128</v>
      </c>
      <c r="T721" t="s">
        <v>128</v>
      </c>
      <c r="U721" t="s">
        <v>128</v>
      </c>
      <c r="V721" t="s">
        <v>128</v>
      </c>
      <c r="W721" s="3" t="str">
        <f>HYPERLINK("http://exon.niaid.nih.gov/transcriptome/Anopheles_sialome/links/netoglyc/anofun_hyp6.2-netoglyc.txt","6")</f>
        <v>6</v>
      </c>
      <c r="X721">
        <v>18.100000000000001</v>
      </c>
      <c r="Y721">
        <v>10.6</v>
      </c>
      <c r="Z721">
        <v>3.2</v>
      </c>
      <c r="AA721" t="s">
        <v>654</v>
      </c>
      <c r="AB721" t="s">
        <v>128</v>
      </c>
      <c r="AC721" s="2" t="str">
        <f>HYPERLINK("http://exon.niaid.nih.gov/transcriptome/Anopheles_sialome/links/DIPTERA/anofun_hyp6.2-DIPTERA.txt","putative secreted salivary basic peptide hyp6.2")</f>
        <v>putative secreted salivary basic peptide hyp6.2</v>
      </c>
      <c r="AD721" t="str">
        <f>HYPERLINK("http://www.ncbi.nlm.nih.gov/sutils/blink.cgi?pid=114864793","1E-046")</f>
        <v>1E-046</v>
      </c>
      <c r="AE721" t="str">
        <f t="shared" si="250"/>
        <v>gi|114864793</v>
      </c>
      <c r="AF721">
        <v>100</v>
      </c>
      <c r="AG721">
        <v>100</v>
      </c>
      <c r="AH721">
        <v>100</v>
      </c>
      <c r="AI721" t="s">
        <v>2266</v>
      </c>
      <c r="AJ721" s="2" t="str">
        <f>HYPERLINK("http://exon.niaid.nih.gov/transcriptome/Anopheles_sialome/links/CULICOMORPHA/anofun_hyp6.2-CULICOMORPHA.txt","putative secreted salivary basic peptide hyp6.2")</f>
        <v>putative secreted salivary basic peptide hyp6.2</v>
      </c>
      <c r="AK721" t="str">
        <f>HYPERLINK("http://www.ncbi.nlm.nih.gov/sutils/blink.cgi?pid=114864793","2E-047")</f>
        <v>2E-047</v>
      </c>
      <c r="AL721" t="str">
        <f t="shared" si="251"/>
        <v>gi|114864793</v>
      </c>
      <c r="AM721">
        <v>100</v>
      </c>
      <c r="AN721">
        <v>100</v>
      </c>
      <c r="AO721">
        <v>100</v>
      </c>
      <c r="AP721" t="s">
        <v>2266</v>
      </c>
      <c r="AQ721" s="2" t="str">
        <f>HYPERLINK("http://exon.niaid.nih.gov/transcriptome/Anopheles_sialome/links/NR-LIGHT/anofun_hyp6.2-NR-LIGHT.txt","putative secreted salivary basic peptide hyp6.2")</f>
        <v>putative secreted salivary basic peptide hyp6.2</v>
      </c>
      <c r="AR721" t="str">
        <f>HYPERLINK("http://www.ncbi.nlm.nih.gov/sutils/blink.cgi?pid=114864793","3E-046")</f>
        <v>3E-046</v>
      </c>
      <c r="AS721" t="str">
        <f t="shared" si="252"/>
        <v>gi|114864793</v>
      </c>
      <c r="AT721">
        <v>100</v>
      </c>
      <c r="AU721">
        <v>100</v>
      </c>
      <c r="AV721">
        <v>100</v>
      </c>
      <c r="AW721" t="s">
        <v>2266</v>
      </c>
      <c r="AX721" s="2" t="str">
        <f>HYPERLINK("http://exon.niaid.nih.gov/transcriptome/Anopheles_sialome/links/CDD/anofun_hyp6.2-CDD.txt","trmE")</f>
        <v>trmE</v>
      </c>
      <c r="AY721" t="str">
        <f>HYPERLINK("http://www.ncbi.nlm.nih.gov/Structure/cdd/cddsrv.cgi?uid=PRK05291&amp;version=v4.0","2.3")</f>
        <v>2.3</v>
      </c>
      <c r="AZ721" t="s">
        <v>2633</v>
      </c>
      <c r="BA721" s="2" t="str">
        <f>HYPERLINK("http://exon.niaid.nih.gov/transcriptome/Anopheles_sialome/links/KOG/anofun_hyp6.2-KOG.txt","Guanine nucleotide exchange factor for Rho and Rac GTPases")</f>
        <v>Guanine nucleotide exchange factor for Rho and Rac GTPases</v>
      </c>
      <c r="BB721" t="str">
        <f>HYPERLINK("http://www.ncbi.nlm.nih.gov/Structure/cdd/cddsrv.cgi?uid=KOG0689","0.13")</f>
        <v>0.13</v>
      </c>
      <c r="BC721" t="s">
        <v>2292</v>
      </c>
      <c r="BD721" t="str">
        <f>HYPERLINK("http://exon.niaid.nih.gov/transcriptome/Anopheles_sialome/links/KOG/anofun_hyp6.2-KOG.txt","KOG0689")</f>
        <v>KOG0689</v>
      </c>
      <c r="BE721" t="str">
        <f>HYPERLINK("http://exon.niaid.nih.gov/transcriptome/Anopheles_sialome/links/PFAM/anofun_hyp6.2-PFAM.txt","TrmE_N")</f>
        <v>TrmE_N</v>
      </c>
      <c r="BF721" t="str">
        <f>HYPERLINK("http://pfam.sanger.ac.uk/family?acc=PF10396","1.6")</f>
        <v>1.6</v>
      </c>
      <c r="BG721" s="2" t="str">
        <f>HYPERLINK("http://exon.niaid.nih.gov/transcriptome/Anopheles_sialome/links/SMART/anofun_hyp6.2-SMART.txt","AFOR_N")</f>
        <v>AFOR_N</v>
      </c>
      <c r="BH721" t="str">
        <f>HYPERLINK("http://smart.embl-heidelberg.de/smart/do_annotation.pl?DOMAIN=AFOR_N&amp;BLAST=DUMMY","0.30")</f>
        <v>0.30</v>
      </c>
      <c r="BI721" t="s">
        <v>128</v>
      </c>
      <c r="BJ721" s="2" t="s">
        <v>128</v>
      </c>
      <c r="BK721" t="s">
        <v>1310</v>
      </c>
      <c r="BL721">
        <f>HYPERLINK("http://exon.niaid.nih.gov/transcriptome/Anopheles_sialome/links/cluster-b/anopheline-sialome-cds-pep-larger-orf25-50SimCLU1.txt", 1)</f>
        <v>1</v>
      </c>
      <c r="BM721">
        <f>HYPERLINK("http://exon.niaid.nih.gov/transcriptome/Anopheles_sialome/links/cluster-b/anopheline-sialome-cds-pep-larger-orf25-50SimCLTL1.txt", 165)</f>
        <v>165</v>
      </c>
      <c r="BN721">
        <f>HYPERLINK("http://exon.niaid.nih.gov/transcriptome/Anopheles_sialome/links/cluster-b/anopheline-sialome-cds-pep-larger-orf30-50SimCLU1.txt", 1)</f>
        <v>1</v>
      </c>
      <c r="BO721">
        <f>HYPERLINK("http://exon.niaid.nih.gov/transcriptome/Anopheles_sialome/links/cluster-b/anopheline-sialome-cds-pep-larger-orf30-50SimCLTL1.txt", 165)</f>
        <v>165</v>
      </c>
      <c r="BP721">
        <f>HYPERLINK("http://exon.niaid.nih.gov/transcriptome/Anopheles_sialome/links/cluster-b/anopheline-sialome-cds-pep-larger-orf35-50SimCLU4.txt", 4)</f>
        <v>4</v>
      </c>
      <c r="BQ721">
        <f>HYPERLINK("http://exon.niaid.nih.gov/transcriptome/Anopheles_sialome/links/cluster-b/anopheline-sialome-cds-pep-larger-orf35-50SimCLTL4.txt", 76)</f>
        <v>76</v>
      </c>
      <c r="BR721">
        <f>HYPERLINK("http://exon.niaid.nih.gov/transcriptome/Anopheles_sialome/links/cluster-b/anopheline-sialome-cds-pep-larger-orf40-50SimCLU20.txt", 20)</f>
        <v>20</v>
      </c>
      <c r="BS721">
        <f>HYPERLINK("http://exon.niaid.nih.gov/transcriptome/Anopheles_sialome/links/cluster-b/anopheline-sialome-cds-pep-larger-orf40-50SimCLTL20.txt", 18)</f>
        <v>18</v>
      </c>
      <c r="BT721">
        <f>HYPERLINK("http://exon.niaid.nih.gov/transcriptome/Anopheles_sialome/links/cluster-b/anopheline-sialome-cds-pep-larger-orf45-50SimCLU21.txt", 21)</f>
        <v>21</v>
      </c>
      <c r="BU721">
        <f>HYPERLINK("http://exon.niaid.nih.gov/transcriptome/Anopheles_sialome/links/cluster-b/anopheline-sialome-cds-pep-larger-orf45-50SimCLTL21.txt", 18)</f>
        <v>18</v>
      </c>
      <c r="BV721">
        <f>HYPERLINK("http://exon.niaid.nih.gov/transcriptome/Anopheles_sialome/links/cluster-b/anopheline-sialome-cds-pep-larger-orf50-50SimCLU20.txt", 20)</f>
        <v>20</v>
      </c>
      <c r="BW721">
        <f>HYPERLINK("http://exon.niaid.nih.gov/transcriptome/Anopheles_sialome/links/cluster-b/anopheline-sialome-cds-pep-larger-orf50-50SimCLTL20.txt", 18)</f>
        <v>18</v>
      </c>
      <c r="BX721">
        <f>HYPERLINK("http://exon.niaid.nih.gov/transcriptome/Anopheles_sialome/links/cluster-b/anopheline-sialome-cds-pep-larger-orf55-50SimCLU21.txt", 21)</f>
        <v>21</v>
      </c>
      <c r="BY721">
        <f>HYPERLINK("http://exon.niaid.nih.gov/transcriptome/Anopheles_sialome/links/cluster-b/anopheline-sialome-cds-pep-larger-orf55-50SimCLTL21.txt", 18)</f>
        <v>18</v>
      </c>
      <c r="BZ721">
        <f>HYPERLINK("http://exon.niaid.nih.gov/transcriptome/Anopheles_sialome/links/cluster-b/anopheline-sialome-cds-pep-larger-orf60-50SimCLU25.txt", 25)</f>
        <v>25</v>
      </c>
      <c r="CA721">
        <f>HYPERLINK("http://exon.niaid.nih.gov/transcriptome/Anopheles_sialome/links/cluster-b/anopheline-sialome-cds-pep-larger-orf60-50SimCLTL25.txt", 16)</f>
        <v>16</v>
      </c>
      <c r="CB721">
        <f>HYPERLINK("http://exon.niaid.nih.gov/transcriptome/Anopheles_sialome/links/cluster-b/anopheline-sialome-cds-pep-larger-orf65-50SimCLU27.txt", 27)</f>
        <v>27</v>
      </c>
      <c r="CC721">
        <f>HYPERLINK("http://exon.niaid.nih.gov/transcriptome/Anopheles_sialome/links/cluster-b/anopheline-sialome-cds-pep-larger-orf65-50SimCLTL27.txt", 15)</f>
        <v>15</v>
      </c>
      <c r="CD721">
        <f>HYPERLINK("http://exon.niaid.nih.gov/transcriptome/Anopheles_sialome/links/cluster-b/anopheline-sialome-cds-pep-larger-orf70-50SimCLU24.txt", 24)</f>
        <v>24</v>
      </c>
      <c r="CE721">
        <f>HYPERLINK("http://exon.niaid.nih.gov/transcriptome/Anopheles_sialome/links/cluster-b/anopheline-sialome-cds-pep-larger-orf70-50SimCLTL24.txt", 15)</f>
        <v>15</v>
      </c>
      <c r="CF721">
        <f>HYPERLINK("http://exon.niaid.nih.gov/transcriptome/Anopheles_sialome/links/cluster-b/anopheline-sialome-cds-pep-larger-orf75-50SimCLU45.txt", 45)</f>
        <v>45</v>
      </c>
      <c r="CG721">
        <f>HYPERLINK("http://exon.niaid.nih.gov/transcriptome/Anopheles_sialome/links/cluster-b/anopheline-sialome-cds-pep-larger-orf75-50SimCLTL45.txt", 5)</f>
        <v>5</v>
      </c>
      <c r="CH721">
        <f>HYPERLINK("http://exon.niaid.nih.gov/transcriptome/Anopheles_sialome/links/cluster-b/anopheline-sialome-cds-pep-larger-orf80-50SimCLU46.txt", 46)</f>
        <v>46</v>
      </c>
      <c r="CI721">
        <f>HYPERLINK("http://exon.niaid.nih.gov/transcriptome/Anopheles_sialome/links/cluster-b/anopheline-sialome-cds-pep-larger-orf80-50SimCLTL46.txt", 5)</f>
        <v>5</v>
      </c>
      <c r="CJ721">
        <v>182</v>
      </c>
      <c r="CK721">
        <v>1</v>
      </c>
      <c r="CL721">
        <v>224</v>
      </c>
      <c r="CM721">
        <v>1</v>
      </c>
      <c r="CN721">
        <v>250</v>
      </c>
      <c r="CO721">
        <v>1</v>
      </c>
    </row>
    <row r="722" spans="1:93">
      <c r="A722" s="2" t="str">
        <f>HYPERLINK("http://exon.niaid.nih.gov/transcriptome/Anopheles_sialome/links/cds/anomin_hyp6.2-cds.txt","anomin_hyp6.2")</f>
        <v>anomin_hyp6.2</v>
      </c>
      <c r="B722">
        <v>291</v>
      </c>
      <c r="C722" t="s">
        <v>248</v>
      </c>
      <c r="D722" t="s">
        <v>7</v>
      </c>
      <c r="E722" t="s">
        <v>5</v>
      </c>
      <c r="F722" t="s">
        <v>1</v>
      </c>
      <c r="G722" t="str">
        <f>HYPERLINK("http://exon.niaid.nih.gov/transcriptome/Anopheles_sialome/links/pep/anomin_hyp6.2-pep.txt","anomin_hyp6.2")</f>
        <v>anomin_hyp6.2</v>
      </c>
      <c r="H722">
        <v>96</v>
      </c>
      <c r="I722">
        <v>0</v>
      </c>
      <c r="J722" s="3" t="str">
        <f>HYPERLINK("http://exon.niaid.nih.gov/transcriptome/Anopheles_sialome/links/Sigp/anomin_hyp6.2-SigP.txt","SIG")</f>
        <v>SIG</v>
      </c>
      <c r="K722" t="s">
        <v>1313</v>
      </c>
      <c r="L722">
        <v>10.432</v>
      </c>
      <c r="M722">
        <v>10.96</v>
      </c>
      <c r="N722">
        <v>7.0880000000000001</v>
      </c>
      <c r="O722">
        <v>11</v>
      </c>
      <c r="P722" t="s">
        <v>1314</v>
      </c>
      <c r="Q722" s="3" t="str">
        <f>HYPERLINK("http://exon.niaid.nih.gov/transcriptome/Anopheles_sialome/links/tmhmm/anomin_hyp6.2-tmhmm.txt","1")</f>
        <v>1</v>
      </c>
      <c r="R722">
        <v>22.9</v>
      </c>
      <c r="S722">
        <v>69.8</v>
      </c>
      <c r="T722">
        <v>7.3</v>
      </c>
      <c r="U722" t="s">
        <v>128</v>
      </c>
      <c r="V722">
        <v>67</v>
      </c>
      <c r="W722" s="3" t="str">
        <f>HYPERLINK("http://exon.niaid.nih.gov/transcriptome/Anopheles_sialome/links/netoglyc/anomin_hyp6.2-netoglyc.txt","4")</f>
        <v>4</v>
      </c>
      <c r="X722">
        <v>17.7</v>
      </c>
      <c r="Y722">
        <v>10.4</v>
      </c>
      <c r="Z722">
        <v>3.1</v>
      </c>
      <c r="AA722" t="s">
        <v>654</v>
      </c>
      <c r="AB722" t="s">
        <v>128</v>
      </c>
      <c r="AC722" s="2" t="str">
        <f>HYPERLINK("http://exon.niaid.nih.gov/transcriptome/Anopheles_sialome/links/DIPTERA/anomin_hyp6.2-DIPTERA.txt","putative secreted salivary basic peptide hyp6.2")</f>
        <v>putative secreted salivary basic peptide hyp6.2</v>
      </c>
      <c r="AD722" t="str">
        <f>HYPERLINK("http://www.ncbi.nlm.nih.gov/sutils/blink.cgi?pid=114864793","3E-034")</f>
        <v>3E-034</v>
      </c>
      <c r="AE722" t="str">
        <f t="shared" si="250"/>
        <v>gi|114864793</v>
      </c>
      <c r="AF722">
        <v>77</v>
      </c>
      <c r="AG722">
        <v>85</v>
      </c>
      <c r="AH722">
        <v>101</v>
      </c>
      <c r="AI722" t="s">
        <v>2266</v>
      </c>
      <c r="AJ722" s="2" t="str">
        <f>HYPERLINK("http://exon.niaid.nih.gov/transcriptome/Anopheles_sialome/links/CULICOMORPHA/anomin_hyp6.2-CULICOMORPHA.txt","putative secreted salivary basic peptide hyp6.2")</f>
        <v>putative secreted salivary basic peptide hyp6.2</v>
      </c>
      <c r="AK722" t="str">
        <f>HYPERLINK("http://www.ncbi.nlm.nih.gov/sutils/blink.cgi?pid=114864793","5E-035")</f>
        <v>5E-035</v>
      </c>
      <c r="AL722" t="str">
        <f t="shared" si="251"/>
        <v>gi|114864793</v>
      </c>
      <c r="AM722">
        <v>77</v>
      </c>
      <c r="AN722">
        <v>85</v>
      </c>
      <c r="AO722">
        <v>101</v>
      </c>
      <c r="AP722" t="s">
        <v>2266</v>
      </c>
      <c r="AQ722" s="2" t="str">
        <f>HYPERLINK("http://exon.niaid.nih.gov/transcriptome/Anopheles_sialome/links/NR-LIGHT/anomin_hyp6.2-NR-LIGHT.txt","putative secreted salivary basic peptide hyp6.2")</f>
        <v>putative secreted salivary basic peptide hyp6.2</v>
      </c>
      <c r="AR722" t="str">
        <f>HYPERLINK("http://www.ncbi.nlm.nih.gov/sutils/blink.cgi?pid=114864793","8E-034")</f>
        <v>8E-034</v>
      </c>
      <c r="AS722" t="str">
        <f>HYPERLINK("http://www.ncbi.nlm.nih.gov/protein/114864793","gi|114864793")</f>
        <v>gi|114864793</v>
      </c>
      <c r="AT722">
        <v>77</v>
      </c>
      <c r="AU722">
        <v>85</v>
      </c>
      <c r="AV722">
        <v>101</v>
      </c>
      <c r="AW722" t="s">
        <v>2266</v>
      </c>
      <c r="AX722" s="2" t="str">
        <f>HYPERLINK("http://exon.niaid.nih.gov/transcriptome/Anopheles_sialome/links/CDD/anomin_hyp6.2-CDD.txt","NPR3")</f>
        <v>NPR3</v>
      </c>
      <c r="AY722" t="str">
        <f>HYPERLINK("http://www.ncbi.nlm.nih.gov/Structure/cdd/cddsrv.cgi?uid=pfam03666&amp;version=v4.0","0.84")</f>
        <v>0.84</v>
      </c>
      <c r="AZ722" t="s">
        <v>2634</v>
      </c>
      <c r="BA722" s="2" t="str">
        <f>HYPERLINK("http://exon.niaid.nih.gov/transcriptome/Anopheles_sialome/links/KOG/anomin_hyp6.2-KOG.txt","Uncharacterized conserved protein")</f>
        <v>Uncharacterized conserved protein</v>
      </c>
      <c r="BB722" t="str">
        <f>HYPERLINK("http://www.ncbi.nlm.nih.gov/Structure/cdd/cddsrv.cgi?uid=KOG3249","2.9")</f>
        <v>2.9</v>
      </c>
      <c r="BC722" t="s">
        <v>2304</v>
      </c>
      <c r="BD722" t="str">
        <f>HYPERLINK("http://exon.niaid.nih.gov/transcriptome/Anopheles_sialome/links/KOG/anomin_hyp6.2-KOG.txt","KOG3249")</f>
        <v>KOG3249</v>
      </c>
      <c r="BE722" t="str">
        <f>HYPERLINK("http://exon.niaid.nih.gov/transcriptome/Anopheles_sialome/links/PFAM/anomin_hyp6.2-PFAM.txt","NPR3")</f>
        <v>NPR3</v>
      </c>
      <c r="BF722" t="str">
        <f>HYPERLINK("http://pfam.sanger.ac.uk/family?acc=PF03666","0.19")</f>
        <v>0.19</v>
      </c>
      <c r="BG722" s="2" t="str">
        <f>HYPERLINK("http://exon.niaid.nih.gov/transcriptome/Anopheles_sialome/links/SMART/anomin_hyp6.2-SMART.txt","Zn_dep_PLPC")</f>
        <v>Zn_dep_PLPC</v>
      </c>
      <c r="BH722" t="str">
        <f>HYPERLINK("http://smart.embl-heidelberg.de/smart/do_annotation.pl?DOMAIN=Zn_dep_PLPC&amp;BLAST=DUMMY","1.1")</f>
        <v>1.1</v>
      </c>
      <c r="BI722" t="s">
        <v>128</v>
      </c>
      <c r="BJ722" s="2" t="s">
        <v>128</v>
      </c>
      <c r="BK722" t="s">
        <v>1312</v>
      </c>
      <c r="BL722">
        <f>HYPERLINK("http://exon.niaid.nih.gov/transcriptome/Anopheles_sialome/links/cluster-b/anopheline-sialome-cds-pep-larger-orf25-50SimCLU1.txt", 1)</f>
        <v>1</v>
      </c>
      <c r="BM722">
        <f>HYPERLINK("http://exon.niaid.nih.gov/transcriptome/Anopheles_sialome/links/cluster-b/anopheline-sialome-cds-pep-larger-orf25-50SimCLTL1.txt", 165)</f>
        <v>165</v>
      </c>
      <c r="BN722">
        <f>HYPERLINK("http://exon.niaid.nih.gov/transcriptome/Anopheles_sialome/links/cluster-b/anopheline-sialome-cds-pep-larger-orf30-50SimCLU1.txt", 1)</f>
        <v>1</v>
      </c>
      <c r="BO722">
        <f>HYPERLINK("http://exon.niaid.nih.gov/transcriptome/Anopheles_sialome/links/cluster-b/anopheline-sialome-cds-pep-larger-orf30-50SimCLTL1.txt", 165)</f>
        <v>165</v>
      </c>
      <c r="BP722">
        <f>HYPERLINK("http://exon.niaid.nih.gov/transcriptome/Anopheles_sialome/links/cluster-b/anopheline-sialome-cds-pep-larger-orf35-50SimCLU4.txt", 4)</f>
        <v>4</v>
      </c>
      <c r="BQ722">
        <f>HYPERLINK("http://exon.niaid.nih.gov/transcriptome/Anopheles_sialome/links/cluster-b/anopheline-sialome-cds-pep-larger-orf35-50SimCLTL4.txt", 76)</f>
        <v>76</v>
      </c>
      <c r="BR722">
        <f>HYPERLINK("http://exon.niaid.nih.gov/transcriptome/Anopheles_sialome/links/cluster-b/anopheline-sialome-cds-pep-larger-orf40-50SimCLU20.txt", 20)</f>
        <v>20</v>
      </c>
      <c r="BS722">
        <f>HYPERLINK("http://exon.niaid.nih.gov/transcriptome/Anopheles_sialome/links/cluster-b/anopheline-sialome-cds-pep-larger-orf40-50SimCLTL20.txt", 18)</f>
        <v>18</v>
      </c>
      <c r="BT722">
        <f>HYPERLINK("http://exon.niaid.nih.gov/transcriptome/Anopheles_sialome/links/cluster-b/anopheline-sialome-cds-pep-larger-orf45-50SimCLU21.txt", 21)</f>
        <v>21</v>
      </c>
      <c r="BU722">
        <f>HYPERLINK("http://exon.niaid.nih.gov/transcriptome/Anopheles_sialome/links/cluster-b/anopheline-sialome-cds-pep-larger-orf45-50SimCLTL21.txt", 18)</f>
        <v>18</v>
      </c>
      <c r="BV722">
        <f>HYPERLINK("http://exon.niaid.nih.gov/transcriptome/Anopheles_sialome/links/cluster-b/anopheline-sialome-cds-pep-larger-orf50-50SimCLU20.txt", 20)</f>
        <v>20</v>
      </c>
      <c r="BW722">
        <f>HYPERLINK("http://exon.niaid.nih.gov/transcriptome/Anopheles_sialome/links/cluster-b/anopheline-sialome-cds-pep-larger-orf50-50SimCLTL20.txt", 18)</f>
        <v>18</v>
      </c>
      <c r="BX722">
        <f>HYPERLINK("http://exon.niaid.nih.gov/transcriptome/Anopheles_sialome/links/cluster-b/anopheline-sialome-cds-pep-larger-orf55-50SimCLU21.txt", 21)</f>
        <v>21</v>
      </c>
      <c r="BY722">
        <f>HYPERLINK("http://exon.niaid.nih.gov/transcriptome/Anopheles_sialome/links/cluster-b/anopheline-sialome-cds-pep-larger-orf55-50SimCLTL21.txt", 18)</f>
        <v>18</v>
      </c>
      <c r="BZ722">
        <f>HYPERLINK("http://exon.niaid.nih.gov/transcriptome/Anopheles_sialome/links/cluster-b/anopheline-sialome-cds-pep-larger-orf60-50SimCLU25.txt", 25)</f>
        <v>25</v>
      </c>
      <c r="CA722">
        <f>HYPERLINK("http://exon.niaid.nih.gov/transcriptome/Anopheles_sialome/links/cluster-b/anopheline-sialome-cds-pep-larger-orf60-50SimCLTL25.txt", 16)</f>
        <v>16</v>
      </c>
      <c r="CB722">
        <f>HYPERLINK("http://exon.niaid.nih.gov/transcriptome/Anopheles_sialome/links/cluster-b/anopheline-sialome-cds-pep-larger-orf65-50SimCLU27.txt", 27)</f>
        <v>27</v>
      </c>
      <c r="CC722">
        <f>HYPERLINK("http://exon.niaid.nih.gov/transcriptome/Anopheles_sialome/links/cluster-b/anopheline-sialome-cds-pep-larger-orf65-50SimCLTL27.txt", 15)</f>
        <v>15</v>
      </c>
      <c r="CD722">
        <f>HYPERLINK("http://exon.niaid.nih.gov/transcriptome/Anopheles_sialome/links/cluster-b/anopheline-sialome-cds-pep-larger-orf70-50SimCLU24.txt", 24)</f>
        <v>24</v>
      </c>
      <c r="CE722">
        <f>HYPERLINK("http://exon.niaid.nih.gov/transcriptome/Anopheles_sialome/links/cluster-b/anopheline-sialome-cds-pep-larger-orf70-50SimCLTL24.txt", 15)</f>
        <v>15</v>
      </c>
      <c r="CF722">
        <f>HYPERLINK("http://exon.niaid.nih.gov/transcriptome/Anopheles_sialome/links/cluster-b/anopheline-sialome-cds-pep-larger-orf75-50SimCLU45.txt", 45)</f>
        <v>45</v>
      </c>
      <c r="CG722">
        <f>HYPERLINK("http://exon.niaid.nih.gov/transcriptome/Anopheles_sialome/links/cluster-b/anopheline-sialome-cds-pep-larger-orf75-50SimCLTL45.txt", 5)</f>
        <v>5</v>
      </c>
      <c r="CH722">
        <f>HYPERLINK("http://exon.niaid.nih.gov/transcriptome/Anopheles_sialome/links/cluster-b/anopheline-sialome-cds-pep-larger-orf80-50SimCLU46.txt", 46)</f>
        <v>46</v>
      </c>
      <c r="CI722">
        <f>HYPERLINK("http://exon.niaid.nih.gov/transcriptome/Anopheles_sialome/links/cluster-b/anopheline-sialome-cds-pep-larger-orf80-50SimCLTL46.txt", 5)</f>
        <v>5</v>
      </c>
      <c r="CJ722">
        <v>183</v>
      </c>
      <c r="CK722">
        <v>1</v>
      </c>
      <c r="CL722">
        <v>225</v>
      </c>
      <c r="CM722">
        <v>1</v>
      </c>
      <c r="CN722">
        <v>251</v>
      </c>
      <c r="CO722">
        <v>1</v>
      </c>
    </row>
    <row r="723" spans="1:93">
      <c r="A723" s="2" t="str">
        <f>HYPERLINK("http://exon.niaid.nih.gov/transcriptome/Anopheles_sialome/links/cds/anocul_hyp6.2-cds.txt","anocul_hyp6.2")</f>
        <v>anocul_hyp6.2</v>
      </c>
      <c r="B723">
        <v>282</v>
      </c>
      <c r="C723" t="s">
        <v>249</v>
      </c>
      <c r="D723" t="s">
        <v>7</v>
      </c>
      <c r="E723" t="s">
        <v>5</v>
      </c>
      <c r="F723" t="s">
        <v>1</v>
      </c>
      <c r="G723" t="str">
        <f>HYPERLINK("http://exon.niaid.nih.gov/transcriptome/Anopheles_sialome/links/pep/anocul_hyp6.2-pep.txt","anocul_hyp6.2")</f>
        <v>anocul_hyp6.2</v>
      </c>
      <c r="H723">
        <v>93</v>
      </c>
      <c r="I723">
        <v>0</v>
      </c>
      <c r="J723" s="3" t="str">
        <f>HYPERLINK("http://exon.niaid.nih.gov/transcriptome/Anopheles_sialome/links/Sigp/anocul_hyp6.2-SigP.txt","SIG")</f>
        <v>SIG</v>
      </c>
      <c r="K723" t="s">
        <v>945</v>
      </c>
      <c r="L723">
        <v>10.188000000000001</v>
      </c>
      <c r="M723">
        <v>10.36</v>
      </c>
      <c r="N723">
        <v>7.069</v>
      </c>
      <c r="O723">
        <v>10.61</v>
      </c>
      <c r="P723" t="s">
        <v>1316</v>
      </c>
      <c r="Q723" s="3">
        <v>0</v>
      </c>
      <c r="R723" t="s">
        <v>128</v>
      </c>
      <c r="S723" t="s">
        <v>128</v>
      </c>
      <c r="T723" t="s">
        <v>128</v>
      </c>
      <c r="U723" t="s">
        <v>128</v>
      </c>
      <c r="V723" t="s">
        <v>128</v>
      </c>
      <c r="W723" s="3" t="str">
        <f>HYPERLINK("http://exon.niaid.nih.gov/transcriptome/Anopheles_sialome/links/netoglyc/anocul_hyp6.2-netoglyc.txt","4")</f>
        <v>4</v>
      </c>
      <c r="X723">
        <v>14</v>
      </c>
      <c r="Y723">
        <v>9.6999999999999993</v>
      </c>
      <c r="Z723">
        <v>4.3</v>
      </c>
      <c r="AA723" t="s">
        <v>654</v>
      </c>
      <c r="AB723" t="s">
        <v>128</v>
      </c>
      <c r="AC723" s="2" t="str">
        <f>HYPERLINK("http://exon.niaid.nih.gov/transcriptome/Anopheles_sialome/links/DIPTERA/anocul_hyp6.2-DIPTERA.txt","putative secreted salivary basic peptide hyp6.2")</f>
        <v>putative secreted salivary basic peptide hyp6.2</v>
      </c>
      <c r="AD723" t="str">
        <f>HYPERLINK("http://www.ncbi.nlm.nih.gov/sutils/blink.cgi?pid=114864793","7E-030")</f>
        <v>7E-030</v>
      </c>
      <c r="AE723" t="str">
        <f t="shared" si="250"/>
        <v>gi|114864793</v>
      </c>
      <c r="AF723">
        <v>69</v>
      </c>
      <c r="AG723">
        <v>80</v>
      </c>
      <c r="AH723">
        <v>100</v>
      </c>
      <c r="AI723" t="s">
        <v>2266</v>
      </c>
      <c r="AJ723" s="2" t="str">
        <f>HYPERLINK("http://exon.niaid.nih.gov/transcriptome/Anopheles_sialome/links/CULICOMORPHA/anocul_hyp6.2-CULICOMORPHA.txt","putative secreted salivary basic peptide hyp6.2")</f>
        <v>putative secreted salivary basic peptide hyp6.2</v>
      </c>
      <c r="AK723" t="str">
        <f>HYPERLINK("http://www.ncbi.nlm.nih.gov/sutils/blink.cgi?pid=114864793","1E-030")</f>
        <v>1E-030</v>
      </c>
      <c r="AL723" t="str">
        <f t="shared" si="251"/>
        <v>gi|114864793</v>
      </c>
      <c r="AM723">
        <v>69</v>
      </c>
      <c r="AN723">
        <v>80</v>
      </c>
      <c r="AO723">
        <v>100</v>
      </c>
      <c r="AP723" t="s">
        <v>2266</v>
      </c>
      <c r="AQ723" s="2" t="str">
        <f>HYPERLINK("http://exon.niaid.nih.gov/transcriptome/Anopheles_sialome/links/NR-LIGHT/anocul_hyp6.2-NR-LIGHT.txt","putative secreted salivary basic peptide hyp6.2")</f>
        <v>putative secreted salivary basic peptide hyp6.2</v>
      </c>
      <c r="AR723" t="str">
        <f>HYPERLINK("http://www.ncbi.nlm.nih.gov/sutils/blink.cgi?pid=114864793","2E-029")</f>
        <v>2E-029</v>
      </c>
      <c r="AS723" t="str">
        <f t="shared" si="252"/>
        <v>gi|114864793</v>
      </c>
      <c r="AT723">
        <v>69</v>
      </c>
      <c r="AU723">
        <v>80</v>
      </c>
      <c r="AV723">
        <v>100</v>
      </c>
      <c r="AW723" t="s">
        <v>2266</v>
      </c>
      <c r="AX723" s="2" t="str">
        <f>HYPERLINK("http://exon.niaid.nih.gov/transcriptome/Anopheles_sialome/links/CDD/anocul_hyp6.2-CDD.txt","trmE")</f>
        <v>trmE</v>
      </c>
      <c r="AY723" t="str">
        <f>HYPERLINK("http://www.ncbi.nlm.nih.gov/Structure/cdd/cddsrv.cgi?uid=PRK05291&amp;version=v4.0","0.21")</f>
        <v>0.21</v>
      </c>
      <c r="AZ723" t="s">
        <v>2635</v>
      </c>
      <c r="BA723" s="2" t="str">
        <f>HYPERLINK("http://exon.niaid.nih.gov/transcriptome/Anopheles_sialome/links/KOG/anocul_hyp6.2-KOG.txt","Uncharacterized conserved protein")</f>
        <v>Uncharacterized conserved protein</v>
      </c>
      <c r="BB723" t="str">
        <f>HYPERLINK("http://www.ncbi.nlm.nih.gov/Structure/cdd/cddsrv.cgi?uid=KOG3620","1.1")</f>
        <v>1.1</v>
      </c>
      <c r="BC723" t="s">
        <v>2304</v>
      </c>
      <c r="BD723" t="str">
        <f>HYPERLINK("http://exon.niaid.nih.gov/transcriptome/Anopheles_sialome/links/KOG/anocul_hyp6.2-KOG.txt","KOG3620")</f>
        <v>KOG3620</v>
      </c>
      <c r="BE723" t="str">
        <f>HYPERLINK("http://exon.niaid.nih.gov/transcriptome/Anopheles_sialome/links/PFAM/anocul_hyp6.2-PFAM.txt","TrmE_N")</f>
        <v>TrmE_N</v>
      </c>
      <c r="BF723" t="str">
        <f>HYPERLINK("http://pfam.sanger.ac.uk/family?acc=PF10396","0.11")</f>
        <v>0.11</v>
      </c>
      <c r="BG723" s="2" t="str">
        <f>HYPERLINK("http://exon.niaid.nih.gov/transcriptome/Anopheles_sialome/links/SMART/anocul_hyp6.2-SMART.txt","Amelin")</f>
        <v>Amelin</v>
      </c>
      <c r="BH723" t="str">
        <f>HYPERLINK("http://smart.embl-heidelberg.de/smart/do_annotation.pl?DOMAIN=Amelin&amp;BLAST=DUMMY","2.5")</f>
        <v>2.5</v>
      </c>
      <c r="BI723" t="s">
        <v>128</v>
      </c>
      <c r="BJ723" s="2" t="s">
        <v>128</v>
      </c>
      <c r="BK723" t="s">
        <v>1315</v>
      </c>
      <c r="BL723">
        <f>HYPERLINK("http://exon.niaid.nih.gov/transcriptome/Anopheles_sialome/links/cluster-b/anopheline-sialome-cds-pep-larger-orf25-50SimCLU1.txt", 1)</f>
        <v>1</v>
      </c>
      <c r="BM723">
        <f>HYPERLINK("http://exon.niaid.nih.gov/transcriptome/Anopheles_sialome/links/cluster-b/anopheline-sialome-cds-pep-larger-orf25-50SimCLTL1.txt", 165)</f>
        <v>165</v>
      </c>
      <c r="BN723">
        <f>HYPERLINK("http://exon.niaid.nih.gov/transcriptome/Anopheles_sialome/links/cluster-b/anopheline-sialome-cds-pep-larger-orf30-50SimCLU1.txt", 1)</f>
        <v>1</v>
      </c>
      <c r="BO723">
        <f>HYPERLINK("http://exon.niaid.nih.gov/transcriptome/Anopheles_sialome/links/cluster-b/anopheline-sialome-cds-pep-larger-orf30-50SimCLTL1.txt", 165)</f>
        <v>165</v>
      </c>
      <c r="BP723">
        <f>HYPERLINK("http://exon.niaid.nih.gov/transcriptome/Anopheles_sialome/links/cluster-b/anopheline-sialome-cds-pep-larger-orf35-50SimCLU4.txt", 4)</f>
        <v>4</v>
      </c>
      <c r="BQ723">
        <f>HYPERLINK("http://exon.niaid.nih.gov/transcriptome/Anopheles_sialome/links/cluster-b/anopheline-sialome-cds-pep-larger-orf35-50SimCLTL4.txt", 76)</f>
        <v>76</v>
      </c>
      <c r="BR723">
        <f>HYPERLINK("http://exon.niaid.nih.gov/transcriptome/Anopheles_sialome/links/cluster-b/anopheline-sialome-cds-pep-larger-orf40-50SimCLU20.txt", 20)</f>
        <v>20</v>
      </c>
      <c r="BS723">
        <f>HYPERLINK("http://exon.niaid.nih.gov/transcriptome/Anopheles_sialome/links/cluster-b/anopheline-sialome-cds-pep-larger-orf40-50SimCLTL20.txt", 18)</f>
        <v>18</v>
      </c>
      <c r="BT723">
        <f>HYPERLINK("http://exon.niaid.nih.gov/transcriptome/Anopheles_sialome/links/cluster-b/anopheline-sialome-cds-pep-larger-orf45-50SimCLU21.txt", 21)</f>
        <v>21</v>
      </c>
      <c r="BU723">
        <f>HYPERLINK("http://exon.niaid.nih.gov/transcriptome/Anopheles_sialome/links/cluster-b/anopheline-sialome-cds-pep-larger-orf45-50SimCLTL21.txt", 18)</f>
        <v>18</v>
      </c>
      <c r="BV723">
        <f>HYPERLINK("http://exon.niaid.nih.gov/transcriptome/Anopheles_sialome/links/cluster-b/anopheline-sialome-cds-pep-larger-orf50-50SimCLU20.txt", 20)</f>
        <v>20</v>
      </c>
      <c r="BW723">
        <f>HYPERLINK("http://exon.niaid.nih.gov/transcriptome/Anopheles_sialome/links/cluster-b/anopheline-sialome-cds-pep-larger-orf50-50SimCLTL20.txt", 18)</f>
        <v>18</v>
      </c>
      <c r="BX723">
        <f>HYPERLINK("http://exon.niaid.nih.gov/transcriptome/Anopheles_sialome/links/cluster-b/anopheline-sialome-cds-pep-larger-orf55-50SimCLU21.txt", 21)</f>
        <v>21</v>
      </c>
      <c r="BY723">
        <f>HYPERLINK("http://exon.niaid.nih.gov/transcriptome/Anopheles_sialome/links/cluster-b/anopheline-sialome-cds-pep-larger-orf55-50SimCLTL21.txt", 18)</f>
        <v>18</v>
      </c>
      <c r="BZ723">
        <f>HYPERLINK("http://exon.niaid.nih.gov/transcriptome/Anopheles_sialome/links/cluster-b/anopheline-sialome-cds-pep-larger-orf60-50SimCLU25.txt", 25)</f>
        <v>25</v>
      </c>
      <c r="CA723">
        <f>HYPERLINK("http://exon.niaid.nih.gov/transcriptome/Anopheles_sialome/links/cluster-b/anopheline-sialome-cds-pep-larger-orf60-50SimCLTL25.txt", 16)</f>
        <v>16</v>
      </c>
      <c r="CB723">
        <f>HYPERLINK("http://exon.niaid.nih.gov/transcriptome/Anopheles_sialome/links/cluster-b/anopheline-sialome-cds-pep-larger-orf65-50SimCLU27.txt", 27)</f>
        <v>27</v>
      </c>
      <c r="CC723">
        <f>HYPERLINK("http://exon.niaid.nih.gov/transcriptome/Anopheles_sialome/links/cluster-b/anopheline-sialome-cds-pep-larger-orf65-50SimCLTL27.txt", 15)</f>
        <v>15</v>
      </c>
      <c r="CD723">
        <f>HYPERLINK("http://exon.niaid.nih.gov/transcriptome/Anopheles_sialome/links/cluster-b/anopheline-sialome-cds-pep-larger-orf70-50SimCLU24.txt", 24)</f>
        <v>24</v>
      </c>
      <c r="CE723">
        <f>HYPERLINK("http://exon.niaid.nih.gov/transcriptome/Anopheles_sialome/links/cluster-b/anopheline-sialome-cds-pep-larger-orf70-50SimCLTL24.txt", 15)</f>
        <v>15</v>
      </c>
      <c r="CF723">
        <f>HYPERLINK("http://exon.niaid.nih.gov/transcriptome/Anopheles_sialome/links/cluster-b/anopheline-sialome-cds-pep-larger-orf75-50SimCLU45.txt", 45)</f>
        <v>45</v>
      </c>
      <c r="CG723">
        <f>HYPERLINK("http://exon.niaid.nih.gov/transcriptome/Anopheles_sialome/links/cluster-b/anopheline-sialome-cds-pep-larger-orf75-50SimCLTL45.txt", 5)</f>
        <v>5</v>
      </c>
      <c r="CH723">
        <f>HYPERLINK("http://exon.niaid.nih.gov/transcriptome/Anopheles_sialome/links/cluster-b/anopheline-sialome-cds-pep-larger-orf80-50SimCLU46.txt", 46)</f>
        <v>46</v>
      </c>
      <c r="CI723">
        <f>HYPERLINK("http://exon.niaid.nih.gov/transcriptome/Anopheles_sialome/links/cluster-b/anopheline-sialome-cds-pep-larger-orf80-50SimCLTL46.txt", 5)</f>
        <v>5</v>
      </c>
      <c r="CJ723">
        <v>184</v>
      </c>
      <c r="CK723">
        <v>1</v>
      </c>
      <c r="CL723">
        <v>226</v>
      </c>
      <c r="CM723">
        <v>1</v>
      </c>
      <c r="CN723">
        <v>252</v>
      </c>
      <c r="CO723">
        <v>1</v>
      </c>
    </row>
    <row r="724" spans="1:93">
      <c r="A724" s="2" t="str">
        <f>HYPERLINK("http://exon.niaid.nih.gov/transcriptome/Anopheles_sialome/links/cds/anofar_hyp6.2-cds.txt","anofar_hyp6.2")</f>
        <v>anofar_hyp6.2</v>
      </c>
      <c r="B724">
        <v>270</v>
      </c>
      <c r="C724" t="s">
        <v>4</v>
      </c>
      <c r="D724" s="8" t="s">
        <v>3178</v>
      </c>
      <c r="E724" t="s">
        <v>5</v>
      </c>
      <c r="F724" t="s">
        <v>1</v>
      </c>
      <c r="G724" t="str">
        <f>HYPERLINK("http://exon.niaid.nih.gov/transcriptome/Anopheles_sialome/links/pep/anofar_hyp6.2-pep.txt","anofar_hyp6.2")</f>
        <v>anofar_hyp6.2</v>
      </c>
      <c r="H724">
        <v>89</v>
      </c>
      <c r="I724">
        <v>0</v>
      </c>
      <c r="J724" s="3" t="str">
        <f>HYPERLINK("http://exon.niaid.nih.gov/transcriptome/Anopheles_sialome/links/Sigp/anofar_hyp6.2-SigP.txt","SIG")</f>
        <v>SIG</v>
      </c>
      <c r="K724" t="s">
        <v>715</v>
      </c>
      <c r="L724">
        <v>9.3800000000000008</v>
      </c>
      <c r="M724">
        <v>9.0299999999999994</v>
      </c>
      <c r="N724">
        <v>6.99</v>
      </c>
      <c r="O724">
        <v>8.52</v>
      </c>
      <c r="P724" t="s">
        <v>1318</v>
      </c>
      <c r="Q724" s="3" t="str">
        <f>HYPERLINK("http://exon.niaid.nih.gov/transcriptome/Anopheles_sialome/links/tmhmm/anofar_hyp6.2-tmhmm.txt","1")</f>
        <v>1</v>
      </c>
      <c r="R724">
        <v>21.3</v>
      </c>
      <c r="S724">
        <v>5.6</v>
      </c>
      <c r="T724">
        <v>73</v>
      </c>
      <c r="U724" t="s">
        <v>128</v>
      </c>
      <c r="V724">
        <v>65</v>
      </c>
      <c r="W724" s="3" t="str">
        <f>HYPERLINK("http://exon.niaid.nih.gov/transcriptome/Anopheles_sialome/links/netoglyc/anofar_hyp6.2-netoglyc.txt","4")</f>
        <v>4</v>
      </c>
      <c r="X724">
        <v>13.5</v>
      </c>
      <c r="Y724">
        <v>13.5</v>
      </c>
      <c r="Z724">
        <v>5.6</v>
      </c>
      <c r="AA724" t="s">
        <v>654</v>
      </c>
      <c r="AB724" t="s">
        <v>128</v>
      </c>
      <c r="AC724" s="2" t="str">
        <f>HYPERLINK("http://exon.niaid.nih.gov/transcriptome/Anopheles_sialome/links/DIPTERA/anofar_hyp6.2-DIPTERA.txt","putative secreted salivary basic peptide hyp6.2")</f>
        <v>putative secreted salivary basic peptide hyp6.2</v>
      </c>
      <c r="AD724" t="str">
        <f>HYPERLINK("http://www.ncbi.nlm.nih.gov/sutils/blink.cgi?pid=114864793","4E-016")</f>
        <v>4E-016</v>
      </c>
      <c r="AE724" t="str">
        <f t="shared" si="250"/>
        <v>gi|114864793</v>
      </c>
      <c r="AF724">
        <v>48</v>
      </c>
      <c r="AG724">
        <v>62</v>
      </c>
      <c r="AH724">
        <v>94</v>
      </c>
      <c r="AI724" t="s">
        <v>2266</v>
      </c>
      <c r="AJ724" s="2" t="str">
        <f>HYPERLINK("http://exon.niaid.nih.gov/transcriptome/Anopheles_sialome/links/CULICOMORPHA/anofar_hyp6.2-CULICOMORPHA.txt","putative secreted salivary basic peptide hyp6.2")</f>
        <v>putative secreted salivary basic peptide hyp6.2</v>
      </c>
      <c r="AK724" t="str">
        <f>HYPERLINK("http://www.ncbi.nlm.nih.gov/sutils/blink.cgi?pid=114864793","6E-017")</f>
        <v>6E-017</v>
      </c>
      <c r="AL724" t="str">
        <f t="shared" si="251"/>
        <v>gi|114864793</v>
      </c>
      <c r="AM724">
        <v>48</v>
      </c>
      <c r="AN724">
        <v>62</v>
      </c>
      <c r="AO724">
        <v>94</v>
      </c>
      <c r="AP724" t="s">
        <v>2266</v>
      </c>
      <c r="AQ724" s="2" t="str">
        <f>HYPERLINK("http://exon.niaid.nih.gov/transcriptome/Anopheles_sialome/links/NR-LIGHT/anofar_hyp6.2-NR-LIGHT.txt","putative secreted salivary basic peptide hyp6.2")</f>
        <v>putative secreted salivary basic peptide hyp6.2</v>
      </c>
      <c r="AR724" t="str">
        <f>HYPERLINK("http://www.ncbi.nlm.nih.gov/sutils/blink.cgi?pid=114864793","1E-015")</f>
        <v>1E-015</v>
      </c>
      <c r="AS724" t="str">
        <f t="shared" si="252"/>
        <v>gi|114864793</v>
      </c>
      <c r="AT724">
        <v>48</v>
      </c>
      <c r="AU724">
        <v>62</v>
      </c>
      <c r="AV724">
        <v>94</v>
      </c>
      <c r="AW724" t="s">
        <v>2266</v>
      </c>
      <c r="AX724" s="2" t="str">
        <f>HYPERLINK("http://exon.niaid.nih.gov/transcriptome/Anopheles_sialome/links/CDD/anofar_hyp6.2-CDD.txt","PRK13211")</f>
        <v>PRK13211</v>
      </c>
      <c r="AY724" t="str">
        <f>HYPERLINK("http://www.ncbi.nlm.nih.gov/Structure/cdd/cddsrv.cgi?uid=PRK13211&amp;version=v4.0","3.1")</f>
        <v>3.1</v>
      </c>
      <c r="AZ724" t="s">
        <v>2636</v>
      </c>
      <c r="BA724" s="2" t="str">
        <f>HYPERLINK("http://exon.niaid.nih.gov/transcriptome/Anopheles_sialome/links/KOG/anofar_hyp6.2-KOG.txt","Collagens (type XV)")</f>
        <v>Collagens (type XV)</v>
      </c>
      <c r="BB724" t="str">
        <f>HYPERLINK("http://www.ncbi.nlm.nih.gov/Structure/cdd/cddsrv.cgi?uid=KOG3546","4.9")</f>
        <v>4.9</v>
      </c>
      <c r="BC724" t="s">
        <v>2306</v>
      </c>
      <c r="BD724" t="str">
        <f>HYPERLINK("http://exon.niaid.nih.gov/transcriptome/Anopheles_sialome/links/KOG/anofar_hyp6.2-KOG.txt","KOG3546")</f>
        <v>KOG3546</v>
      </c>
      <c r="BE724" t="str">
        <f>HYPERLINK("http://exon.niaid.nih.gov/transcriptome/Anopheles_sialome/links/PFAM/anofar_hyp6.2-PFAM.txt","Enamelin")</f>
        <v>Enamelin</v>
      </c>
      <c r="BF724" t="str">
        <f>HYPERLINK("http://pfam.sanger.ac.uk/family?acc=PF15362","1.2")</f>
        <v>1.2</v>
      </c>
      <c r="BG724" s="2" t="str">
        <f>HYPERLINK("http://exon.niaid.nih.gov/transcriptome/Anopheles_sialome/links/SMART/anofar_hyp6.2-SMART.txt","SEC63")</f>
        <v>SEC63</v>
      </c>
      <c r="BH724" t="str">
        <f>HYPERLINK("http://smart.embl-heidelberg.de/smart/do_annotation.pl?DOMAIN=SEC63&amp;BLAST=DUMMY","1.1")</f>
        <v>1.1</v>
      </c>
      <c r="BI724" t="s">
        <v>128</v>
      </c>
      <c r="BJ724" s="2" t="s">
        <v>128</v>
      </c>
      <c r="BK724" t="s">
        <v>1317</v>
      </c>
      <c r="BL724">
        <f>HYPERLINK("http://exon.niaid.nih.gov/transcriptome/Anopheles_sialome/links/cluster-b/anopheline-sialome-cds-pep-larger-orf25-50SimCLU1.txt", 1)</f>
        <v>1</v>
      </c>
      <c r="BM724">
        <f>HYPERLINK("http://exon.niaid.nih.gov/transcriptome/Anopheles_sialome/links/cluster-b/anopheline-sialome-cds-pep-larger-orf25-50SimCLTL1.txt", 165)</f>
        <v>165</v>
      </c>
      <c r="BN724">
        <f>HYPERLINK("http://exon.niaid.nih.gov/transcriptome/Anopheles_sialome/links/cluster-b/anopheline-sialome-cds-pep-larger-orf30-50SimCLU1.txt", 1)</f>
        <v>1</v>
      </c>
      <c r="BO724">
        <f>HYPERLINK("http://exon.niaid.nih.gov/transcriptome/Anopheles_sialome/links/cluster-b/anopheline-sialome-cds-pep-larger-orf30-50SimCLTL1.txt", 165)</f>
        <v>165</v>
      </c>
      <c r="BP724">
        <f>HYPERLINK("http://exon.niaid.nih.gov/transcriptome/Anopheles_sialome/links/cluster-b/anopheline-sialome-cds-pep-larger-orf35-50SimCLU4.txt", 4)</f>
        <v>4</v>
      </c>
      <c r="BQ724">
        <f>HYPERLINK("http://exon.niaid.nih.gov/transcriptome/Anopheles_sialome/links/cluster-b/anopheline-sialome-cds-pep-larger-orf35-50SimCLTL4.txt", 76)</f>
        <v>76</v>
      </c>
      <c r="BR724">
        <f>HYPERLINK("http://exon.niaid.nih.gov/transcriptome/Anopheles_sialome/links/cluster-b/anopheline-sialome-cds-pep-larger-orf40-50SimCLU20.txt", 20)</f>
        <v>20</v>
      </c>
      <c r="BS724">
        <f>HYPERLINK("http://exon.niaid.nih.gov/transcriptome/Anopheles_sialome/links/cluster-b/anopheline-sialome-cds-pep-larger-orf40-50SimCLTL20.txt", 18)</f>
        <v>18</v>
      </c>
      <c r="BT724">
        <f>HYPERLINK("http://exon.niaid.nih.gov/transcriptome/Anopheles_sialome/links/cluster-b/anopheline-sialome-cds-pep-larger-orf45-50SimCLU21.txt", 21)</f>
        <v>21</v>
      </c>
      <c r="BU724">
        <f>HYPERLINK("http://exon.niaid.nih.gov/transcriptome/Anopheles_sialome/links/cluster-b/anopheline-sialome-cds-pep-larger-orf45-50SimCLTL21.txt", 18)</f>
        <v>18</v>
      </c>
      <c r="BV724">
        <f>HYPERLINK("http://exon.niaid.nih.gov/transcriptome/Anopheles_sialome/links/cluster-b/anopheline-sialome-cds-pep-larger-orf50-50SimCLU20.txt", 20)</f>
        <v>20</v>
      </c>
      <c r="BW724">
        <f>HYPERLINK("http://exon.niaid.nih.gov/transcriptome/Anopheles_sialome/links/cluster-b/anopheline-sialome-cds-pep-larger-orf50-50SimCLTL20.txt", 18)</f>
        <v>18</v>
      </c>
      <c r="BX724">
        <f>HYPERLINK("http://exon.niaid.nih.gov/transcriptome/Anopheles_sialome/links/cluster-b/anopheline-sialome-cds-pep-larger-orf55-50SimCLU21.txt", 21)</f>
        <v>21</v>
      </c>
      <c r="BY724">
        <f>HYPERLINK("http://exon.niaid.nih.gov/transcriptome/Anopheles_sialome/links/cluster-b/anopheline-sialome-cds-pep-larger-orf55-50SimCLTL21.txt", 18)</f>
        <v>18</v>
      </c>
      <c r="BZ724">
        <f>HYPERLINK("http://exon.niaid.nih.gov/transcriptome/Anopheles_sialome/links/cluster-b/anopheline-sialome-cds-pep-larger-orf60-50SimCLU25.txt", 25)</f>
        <v>25</v>
      </c>
      <c r="CA724">
        <f>HYPERLINK("http://exon.niaid.nih.gov/transcriptome/Anopheles_sialome/links/cluster-b/anopheline-sialome-cds-pep-larger-orf60-50SimCLTL25.txt", 16)</f>
        <v>16</v>
      </c>
      <c r="CB724">
        <f>HYPERLINK("http://exon.niaid.nih.gov/transcriptome/Anopheles_sialome/links/cluster-b/anopheline-sialome-cds-pep-larger-orf65-50SimCLU27.txt", 27)</f>
        <v>27</v>
      </c>
      <c r="CC724">
        <f>HYPERLINK("http://exon.niaid.nih.gov/transcriptome/Anopheles_sialome/links/cluster-b/anopheline-sialome-cds-pep-larger-orf65-50SimCLTL27.txt", 15)</f>
        <v>15</v>
      </c>
      <c r="CD724">
        <f>HYPERLINK("http://exon.niaid.nih.gov/transcriptome/Anopheles_sialome/links/cluster-b/anopheline-sialome-cds-pep-larger-orf70-50SimCLU24.txt", 24)</f>
        <v>24</v>
      </c>
      <c r="CE724">
        <f>HYPERLINK("http://exon.niaid.nih.gov/transcriptome/Anopheles_sialome/links/cluster-b/anopheline-sialome-cds-pep-larger-orf70-50SimCLTL24.txt", 15)</f>
        <v>15</v>
      </c>
      <c r="CF724">
        <f>HYPERLINK("http://exon.niaid.nih.gov/transcriptome/Anopheles_sialome/links/cluster-b/anopheline-sialome-cds-pep-larger-orf75-50SimCLU65.txt", 65)</f>
        <v>65</v>
      </c>
      <c r="CG724">
        <f>HYPERLINK("http://exon.niaid.nih.gov/transcriptome/Anopheles_sialome/links/cluster-b/anopheline-sialome-cds-pep-larger-orf75-50SimCLTL65.txt", 2)</f>
        <v>2</v>
      </c>
      <c r="CH724">
        <f>HYPERLINK("http://exon.niaid.nih.gov/transcriptome/Anopheles_sialome/links/cluster-b/anopheline-sialome-cds-pep-larger-orf80-50SimCLU77.txt", 77)</f>
        <v>77</v>
      </c>
      <c r="CI724">
        <f>HYPERLINK("http://exon.niaid.nih.gov/transcriptome/Anopheles_sialome/links/cluster-b/anopheline-sialome-cds-pep-larger-orf80-50SimCLTL77.txt", 2)</f>
        <v>2</v>
      </c>
      <c r="CJ724">
        <v>185</v>
      </c>
      <c r="CK724">
        <v>1</v>
      </c>
      <c r="CL724">
        <v>229</v>
      </c>
      <c r="CM724">
        <v>1</v>
      </c>
      <c r="CN724">
        <v>255</v>
      </c>
      <c r="CO724">
        <v>1</v>
      </c>
    </row>
    <row r="725" spans="1:93">
      <c r="A725" s="2" t="str">
        <f>HYPERLINK("http://exon.niaid.nih.gov/transcriptome/Anopheles_sialome/links/cds/anodir_hyp6.2-cds.txt","anodir_hyp6.2")</f>
        <v>anodir_hyp6.2</v>
      </c>
      <c r="B725">
        <v>270</v>
      </c>
      <c r="C725" t="s">
        <v>251</v>
      </c>
      <c r="D725" t="s">
        <v>4</v>
      </c>
      <c r="E725" t="s">
        <v>5</v>
      </c>
      <c r="F725" t="s">
        <v>1</v>
      </c>
      <c r="G725" t="str">
        <f>HYPERLINK("http://exon.niaid.nih.gov/transcriptome/Anopheles_sialome/links/pep/anodir_hyp6.2-pep.txt","anodir_hyp6.2")</f>
        <v>anodir_hyp6.2</v>
      </c>
      <c r="H725">
        <v>89</v>
      </c>
      <c r="I725">
        <v>0</v>
      </c>
      <c r="J725" s="3" t="str">
        <f>HYPERLINK("http://exon.niaid.nih.gov/transcriptome/Anopheles_sialome/links/Sigp/anodir_hyp6.2-SigP.txt","SIG")</f>
        <v>SIG</v>
      </c>
      <c r="K725" t="s">
        <v>787</v>
      </c>
      <c r="L725">
        <v>9.327</v>
      </c>
      <c r="M725">
        <v>9.0299999999999994</v>
      </c>
      <c r="N725">
        <v>6.8419999999999996</v>
      </c>
      <c r="O725">
        <v>8.52</v>
      </c>
      <c r="P725" t="s">
        <v>1320</v>
      </c>
      <c r="Q725" s="3">
        <v>0</v>
      </c>
      <c r="R725" t="s">
        <v>128</v>
      </c>
      <c r="S725" t="s">
        <v>128</v>
      </c>
      <c r="T725" t="s">
        <v>128</v>
      </c>
      <c r="U725" t="s">
        <v>128</v>
      </c>
      <c r="V725" t="s">
        <v>128</v>
      </c>
      <c r="W725" s="3" t="str">
        <f>HYPERLINK("http://exon.niaid.nih.gov/transcriptome/Anopheles_sialome/links/netoglyc/anodir_hyp6.2-netoglyc.txt","3")</f>
        <v>3</v>
      </c>
      <c r="X725">
        <v>16.899999999999999</v>
      </c>
      <c r="Y725">
        <v>13.5</v>
      </c>
      <c r="Z725">
        <v>3.4</v>
      </c>
      <c r="AA725" t="s">
        <v>654</v>
      </c>
      <c r="AB725" t="s">
        <v>128</v>
      </c>
      <c r="AC725" s="2" t="str">
        <f>HYPERLINK("http://exon.niaid.nih.gov/transcriptome/Anopheles_sialome/links/DIPTERA/anodir_hyp6.2-DIPTERA.txt","putative secreted salivary basic peptide hyp6.2")</f>
        <v>putative secreted salivary basic peptide hyp6.2</v>
      </c>
      <c r="AD725" t="str">
        <f>HYPERLINK("http://www.ncbi.nlm.nih.gov/sutils/blink.cgi?pid=114864793","4E-021")</f>
        <v>4E-021</v>
      </c>
      <c r="AE725" t="str">
        <f t="shared" si="250"/>
        <v>gi|114864793</v>
      </c>
      <c r="AF725">
        <v>56</v>
      </c>
      <c r="AG725">
        <v>68</v>
      </c>
      <c r="AH725">
        <v>100</v>
      </c>
      <c r="AI725" t="s">
        <v>2266</v>
      </c>
      <c r="AJ725" s="2" t="str">
        <f>HYPERLINK("http://exon.niaid.nih.gov/transcriptome/Anopheles_sialome/links/CULICOMORPHA/anodir_hyp6.2-CULICOMORPHA.txt","putative secreted salivary basic peptide hyp6.2")</f>
        <v>putative secreted salivary basic peptide hyp6.2</v>
      </c>
      <c r="AK725" t="str">
        <f>HYPERLINK("http://www.ncbi.nlm.nih.gov/sutils/blink.cgi?pid=114864793","6E-022")</f>
        <v>6E-022</v>
      </c>
      <c r="AL725" t="str">
        <f t="shared" si="251"/>
        <v>gi|114864793</v>
      </c>
      <c r="AM725">
        <v>56</v>
      </c>
      <c r="AN725">
        <v>68</v>
      </c>
      <c r="AO725">
        <v>100</v>
      </c>
      <c r="AP725" t="s">
        <v>2266</v>
      </c>
      <c r="AQ725" s="2" t="str">
        <f>HYPERLINK("http://exon.niaid.nih.gov/transcriptome/Anopheles_sialome/links/NR-LIGHT/anodir_hyp6.2-NR-LIGHT.txt","putative secreted salivary basic peptide hyp6.2")</f>
        <v>putative secreted salivary basic peptide hyp6.2</v>
      </c>
      <c r="AR725" t="str">
        <f>HYPERLINK("http://www.ncbi.nlm.nih.gov/sutils/blink.cgi?pid=114864793","1E-020")</f>
        <v>1E-020</v>
      </c>
      <c r="AS725" t="str">
        <f t="shared" si="252"/>
        <v>gi|114864793</v>
      </c>
      <c r="AT725">
        <v>56</v>
      </c>
      <c r="AU725">
        <v>68</v>
      </c>
      <c r="AV725">
        <v>100</v>
      </c>
      <c r="AW725" t="s">
        <v>2266</v>
      </c>
      <c r="AX725" s="2" t="str">
        <f>HYPERLINK("http://exon.niaid.nih.gov/transcriptome/Anopheles_sialome/links/CDD/anodir_hyp6.2-CDD.txt","LasB")</f>
        <v>LasB</v>
      </c>
      <c r="AY725" t="str">
        <f>HYPERLINK("http://www.ncbi.nlm.nih.gov/Structure/cdd/cddsrv.cgi?uid=COG3227&amp;version=v4.0","6.3")</f>
        <v>6.3</v>
      </c>
      <c r="AZ725" t="s">
        <v>2637</v>
      </c>
      <c r="BA725" s="2" t="str">
        <f>HYPERLINK("http://exon.niaid.nih.gov/transcriptome/Anopheles_sialome/links/KOG/anodir_hyp6.2-KOG.txt","RNA polymerase II elongator complex, subunit ELP2, WD repeat superfamily")</f>
        <v>RNA polymerase II elongator complex, subunit ELP2, WD repeat superfamily</v>
      </c>
      <c r="BB725" t="str">
        <f>HYPERLINK("http://www.ncbi.nlm.nih.gov/Structure/cdd/cddsrv.cgi?uid=KOG1063","3.8")</f>
        <v>3.8</v>
      </c>
      <c r="BC725" t="s">
        <v>2467</v>
      </c>
      <c r="BD725" t="str">
        <f>HYPERLINK("http://exon.niaid.nih.gov/transcriptome/Anopheles_sialome/links/KOG/anodir_hyp6.2-KOG.txt","KOG1063")</f>
        <v>KOG1063</v>
      </c>
      <c r="BE725" t="str">
        <f>HYPERLINK("http://exon.niaid.nih.gov/transcriptome/Anopheles_sialome/links/PFAM/anodir_hyp6.2-PFAM.txt","DUF4487")</f>
        <v>DUF4487</v>
      </c>
      <c r="BF725" t="str">
        <f>HYPERLINK("http://pfam.sanger.ac.uk/family?acc=PF14868","2.4")</f>
        <v>2.4</v>
      </c>
      <c r="BG725" s="2" t="str">
        <f>HYPERLINK("http://exon.niaid.nih.gov/transcriptome/Anopheles_sialome/links/SMART/anodir_hyp6.2-SMART.txt","OSTEO")</f>
        <v>OSTEO</v>
      </c>
      <c r="BH725" t="str">
        <f>HYPERLINK("http://smart.embl-heidelberg.de/smart/do_annotation.pl?DOMAIN=OSTEO&amp;BLAST=DUMMY","2.2")</f>
        <v>2.2</v>
      </c>
      <c r="BI725" t="s">
        <v>128</v>
      </c>
      <c r="BJ725" s="2" t="s">
        <v>128</v>
      </c>
      <c r="BK725" t="s">
        <v>1319</v>
      </c>
      <c r="BL725">
        <f>HYPERLINK("http://exon.niaid.nih.gov/transcriptome/Anopheles_sialome/links/cluster-b/anopheline-sialome-cds-pep-larger-orf25-50SimCLU1.txt", 1)</f>
        <v>1</v>
      </c>
      <c r="BM725">
        <f>HYPERLINK("http://exon.niaid.nih.gov/transcriptome/Anopheles_sialome/links/cluster-b/anopheline-sialome-cds-pep-larger-orf25-50SimCLTL1.txt", 165)</f>
        <v>165</v>
      </c>
      <c r="BN725">
        <f>HYPERLINK("http://exon.niaid.nih.gov/transcriptome/Anopheles_sialome/links/cluster-b/anopheline-sialome-cds-pep-larger-orf30-50SimCLU1.txt", 1)</f>
        <v>1</v>
      </c>
      <c r="BO725">
        <f>HYPERLINK("http://exon.niaid.nih.gov/transcriptome/Anopheles_sialome/links/cluster-b/anopheline-sialome-cds-pep-larger-orf30-50SimCLTL1.txt", 165)</f>
        <v>165</v>
      </c>
      <c r="BP725">
        <f>HYPERLINK("http://exon.niaid.nih.gov/transcriptome/Anopheles_sialome/links/cluster-b/anopheline-sialome-cds-pep-larger-orf35-50SimCLU4.txt", 4)</f>
        <v>4</v>
      </c>
      <c r="BQ725">
        <f>HYPERLINK("http://exon.niaid.nih.gov/transcriptome/Anopheles_sialome/links/cluster-b/anopheline-sialome-cds-pep-larger-orf35-50SimCLTL4.txt", 76)</f>
        <v>76</v>
      </c>
      <c r="BR725">
        <f>HYPERLINK("http://exon.niaid.nih.gov/transcriptome/Anopheles_sialome/links/cluster-b/anopheline-sialome-cds-pep-larger-orf40-50SimCLU20.txt", 20)</f>
        <v>20</v>
      </c>
      <c r="BS725">
        <f>HYPERLINK("http://exon.niaid.nih.gov/transcriptome/Anopheles_sialome/links/cluster-b/anopheline-sialome-cds-pep-larger-orf40-50SimCLTL20.txt", 18)</f>
        <v>18</v>
      </c>
      <c r="BT725">
        <f>HYPERLINK("http://exon.niaid.nih.gov/transcriptome/Anopheles_sialome/links/cluster-b/anopheline-sialome-cds-pep-larger-orf45-50SimCLU21.txt", 21)</f>
        <v>21</v>
      </c>
      <c r="BU725">
        <f>HYPERLINK("http://exon.niaid.nih.gov/transcriptome/Anopheles_sialome/links/cluster-b/anopheline-sialome-cds-pep-larger-orf45-50SimCLTL21.txt", 18)</f>
        <v>18</v>
      </c>
      <c r="BV725">
        <f>HYPERLINK("http://exon.niaid.nih.gov/transcriptome/Anopheles_sialome/links/cluster-b/anopheline-sialome-cds-pep-larger-orf50-50SimCLU20.txt", 20)</f>
        <v>20</v>
      </c>
      <c r="BW725">
        <f>HYPERLINK("http://exon.niaid.nih.gov/transcriptome/Anopheles_sialome/links/cluster-b/anopheline-sialome-cds-pep-larger-orf50-50SimCLTL20.txt", 18)</f>
        <v>18</v>
      </c>
      <c r="BX725">
        <f>HYPERLINK("http://exon.niaid.nih.gov/transcriptome/Anopheles_sialome/links/cluster-b/anopheline-sialome-cds-pep-larger-orf55-50SimCLU21.txt", 21)</f>
        <v>21</v>
      </c>
      <c r="BY725">
        <f>HYPERLINK("http://exon.niaid.nih.gov/transcriptome/Anopheles_sialome/links/cluster-b/anopheline-sialome-cds-pep-larger-orf55-50SimCLTL21.txt", 18)</f>
        <v>18</v>
      </c>
      <c r="BZ725">
        <f>HYPERLINK("http://exon.niaid.nih.gov/transcriptome/Anopheles_sialome/links/cluster-b/anopheline-sialome-cds-pep-larger-orf60-50SimCLU25.txt", 25)</f>
        <v>25</v>
      </c>
      <c r="CA725">
        <f>HYPERLINK("http://exon.niaid.nih.gov/transcriptome/Anopheles_sialome/links/cluster-b/anopheline-sialome-cds-pep-larger-orf60-50SimCLTL25.txt", 16)</f>
        <v>16</v>
      </c>
      <c r="CB725">
        <f>HYPERLINK("http://exon.niaid.nih.gov/transcriptome/Anopheles_sialome/links/cluster-b/anopheline-sialome-cds-pep-larger-orf65-50SimCLU27.txt", 27)</f>
        <v>27</v>
      </c>
      <c r="CC725">
        <f>HYPERLINK("http://exon.niaid.nih.gov/transcriptome/Anopheles_sialome/links/cluster-b/anopheline-sialome-cds-pep-larger-orf65-50SimCLTL27.txt", 15)</f>
        <v>15</v>
      </c>
      <c r="CD725">
        <f>HYPERLINK("http://exon.niaid.nih.gov/transcriptome/Anopheles_sialome/links/cluster-b/anopheline-sialome-cds-pep-larger-orf70-50SimCLU24.txt", 24)</f>
        <v>24</v>
      </c>
      <c r="CE725">
        <f>HYPERLINK("http://exon.niaid.nih.gov/transcriptome/Anopheles_sialome/links/cluster-b/anopheline-sialome-cds-pep-larger-orf70-50SimCLTL24.txt", 15)</f>
        <v>15</v>
      </c>
      <c r="CF725">
        <f>HYPERLINK("http://exon.niaid.nih.gov/transcriptome/Anopheles_sialome/links/cluster-b/anopheline-sialome-cds-pep-larger-orf75-50SimCLU65.txt", 65)</f>
        <v>65</v>
      </c>
      <c r="CG725">
        <f>HYPERLINK("http://exon.niaid.nih.gov/transcriptome/Anopheles_sialome/links/cluster-b/anopheline-sialome-cds-pep-larger-orf75-50SimCLTL65.txt", 2)</f>
        <v>2</v>
      </c>
      <c r="CH725">
        <f>HYPERLINK("http://exon.niaid.nih.gov/transcriptome/Anopheles_sialome/links/cluster-b/anopheline-sialome-cds-pep-larger-orf80-50SimCLU77.txt", 77)</f>
        <v>77</v>
      </c>
      <c r="CI725">
        <f>HYPERLINK("http://exon.niaid.nih.gov/transcriptome/Anopheles_sialome/links/cluster-b/anopheline-sialome-cds-pep-larger-orf80-50SimCLTL77.txt", 2)</f>
        <v>2</v>
      </c>
      <c r="CJ725">
        <v>186</v>
      </c>
      <c r="CK725">
        <v>1</v>
      </c>
      <c r="CL725">
        <v>230</v>
      </c>
      <c r="CM725">
        <v>1</v>
      </c>
      <c r="CN725">
        <v>256</v>
      </c>
      <c r="CO725">
        <v>1</v>
      </c>
    </row>
    <row r="726" spans="1:93">
      <c r="A726" s="2" t="str">
        <f>HYPERLINK("http://exon.niaid.nih.gov/transcriptome/Anopheles_sialome/links/cds/anoatro_hyp6.2-cds.txt","anoatro_hyp6.2")</f>
        <v>anoatro_hyp6.2</v>
      </c>
      <c r="B726">
        <v>267</v>
      </c>
      <c r="C726" t="s">
        <v>4</v>
      </c>
      <c r="D726" s="8" t="s">
        <v>3178</v>
      </c>
      <c r="E726" t="s">
        <v>5</v>
      </c>
      <c r="F726" t="s">
        <v>1</v>
      </c>
      <c r="G726" t="str">
        <f>HYPERLINK("http://exon.niaid.nih.gov/transcriptome/Anopheles_sialome/links/pep/anoatro_hyp6.2-pep.txt","anoatro_hyp6.2")</f>
        <v>anoatro_hyp6.2</v>
      </c>
      <c r="H726">
        <v>88</v>
      </c>
      <c r="I726">
        <v>0</v>
      </c>
      <c r="J726" s="3" t="str">
        <f>HYPERLINK("http://exon.niaid.nih.gov/transcriptome/Anopheles_sialome/links/Sigp/anoatro_hyp6.2-SigP.txt","SIG")</f>
        <v>SIG</v>
      </c>
      <c r="K726" t="s">
        <v>787</v>
      </c>
      <c r="L726">
        <v>9.5229999999999997</v>
      </c>
      <c r="M726">
        <v>7.87</v>
      </c>
      <c r="N726">
        <v>6.8319999999999999</v>
      </c>
      <c r="O726">
        <v>6.04</v>
      </c>
      <c r="P726" t="s">
        <v>1322</v>
      </c>
      <c r="Q726" s="3" t="str">
        <f>HYPERLINK("http://exon.niaid.nih.gov/transcriptome/Anopheles_sialome/links/tmhmm/anoatro_hyp6.2-tmhmm.txt","1")</f>
        <v>1</v>
      </c>
      <c r="R726">
        <v>25</v>
      </c>
      <c r="S726">
        <v>61.4</v>
      </c>
      <c r="T726">
        <v>13.6</v>
      </c>
      <c r="U726" t="s">
        <v>128</v>
      </c>
      <c r="V726">
        <v>54</v>
      </c>
      <c r="W726" s="3" t="str">
        <f>HYPERLINK("http://exon.niaid.nih.gov/transcriptome/Anopheles_sialome/links/netoglyc/anoatro_hyp6.2-netoglyc.txt","4")</f>
        <v>4</v>
      </c>
      <c r="X726">
        <v>15.9</v>
      </c>
      <c r="Y726">
        <v>14.8</v>
      </c>
      <c r="Z726">
        <v>3.4</v>
      </c>
      <c r="AA726" t="s">
        <v>654</v>
      </c>
      <c r="AB726" t="s">
        <v>128</v>
      </c>
      <c r="AC726" s="2" t="str">
        <f>HYPERLINK("http://exon.niaid.nih.gov/transcriptome/Anopheles_sialome/links/DIPTERA/anoatro_hyp6.2-DIPTERA.txt","putative secreted salivary basic peptide hyp6.2")</f>
        <v>putative secreted salivary basic peptide hyp6.2</v>
      </c>
      <c r="AD726" t="str">
        <f>HYPERLINK("http://www.ncbi.nlm.nih.gov/sutils/blink.cgi?pid=668461765","6E-026")</f>
        <v>6E-026</v>
      </c>
      <c r="AE726" t="str">
        <f>HYPERLINK("http://www.ncbi.nlm.nih.gov/protein/668461765","gi|668461765")</f>
        <v>gi|668461765</v>
      </c>
      <c r="AF726">
        <v>78</v>
      </c>
      <c r="AG726">
        <v>85</v>
      </c>
      <c r="AH726">
        <v>99</v>
      </c>
      <c r="AI726" t="s">
        <v>2277</v>
      </c>
      <c r="AJ726" s="2" t="str">
        <f>HYPERLINK("http://exon.niaid.nih.gov/transcriptome/Anopheles_sialome/links/CULICOMORPHA/anoatro_hyp6.2-CULICOMORPHA.txt","putative secreted salivary basic peptide hyp6.2")</f>
        <v>putative secreted salivary basic peptide hyp6.2</v>
      </c>
      <c r="AK726" t="str">
        <f>HYPERLINK("http://www.ncbi.nlm.nih.gov/sutils/blink.cgi?pid=668461765","1E-026")</f>
        <v>1E-026</v>
      </c>
      <c r="AL726" t="str">
        <f>HYPERLINK("http://www.ncbi.nlm.nih.gov/protein/668461765","gi|668461765")</f>
        <v>gi|668461765</v>
      </c>
      <c r="AM726">
        <v>78</v>
      </c>
      <c r="AN726">
        <v>85</v>
      </c>
      <c r="AO726">
        <v>99</v>
      </c>
      <c r="AP726" t="s">
        <v>2277</v>
      </c>
      <c r="AQ726" s="2" t="str">
        <f>HYPERLINK("http://exon.niaid.nih.gov/transcriptome/Anopheles_sialome/links/NR-LIGHT/anoatro_hyp6.2-NR-LIGHT.txt","putative secreted salivary basic peptide hyp6.2")</f>
        <v>putative secreted salivary basic peptide hyp6.2</v>
      </c>
      <c r="AR726" t="str">
        <f>HYPERLINK("http://www.ncbi.nlm.nih.gov/sutils/blink.cgi?pid=668461765","2E-025")</f>
        <v>2E-025</v>
      </c>
      <c r="AS726" t="str">
        <f>HYPERLINK("http://www.ncbi.nlm.nih.gov/protein/668461765","gi|668461765")</f>
        <v>gi|668461765</v>
      </c>
      <c r="AT726">
        <v>78</v>
      </c>
      <c r="AU726">
        <v>85</v>
      </c>
      <c r="AV726">
        <v>99</v>
      </c>
      <c r="AW726" t="s">
        <v>2277</v>
      </c>
      <c r="AX726" s="2" t="str">
        <f>HYPERLINK("http://exon.niaid.nih.gov/transcriptome/Anopheles_sialome/links/CDD/anoatro_hyp6.2-CDD.txt","DNA_pol_A_pol_I")</f>
        <v>DNA_pol_A_pol_I</v>
      </c>
      <c r="AY726" t="str">
        <f>HYPERLINK("http://www.ncbi.nlm.nih.gov/Structure/cdd/cddsrv.cgi?uid=cd08643&amp;version=v4.0","1.1")</f>
        <v>1.1</v>
      </c>
      <c r="AZ726" t="s">
        <v>2638</v>
      </c>
      <c r="BA726" s="2" t="str">
        <f>HYPERLINK("http://exon.niaid.nih.gov/transcriptome/Anopheles_sialome/links/KOG/anoatro_hyp6.2-KOG.txt","Mitochondrial processing peptidase, beta subunit, and related enzymes (insulinase superfamily)")</f>
        <v>Mitochondrial processing peptidase, beta subunit, and related enzymes (insulinase superfamily)</v>
      </c>
      <c r="BB726" t="str">
        <f>HYPERLINK("http://www.ncbi.nlm.nih.gov/Structure/cdd/cddsrv.cgi?uid=KOG0960","1.3")</f>
        <v>1.3</v>
      </c>
      <c r="BC726" t="s">
        <v>2296</v>
      </c>
      <c r="BD726" t="str">
        <f>HYPERLINK("http://exon.niaid.nih.gov/transcriptome/Anopheles_sialome/links/KOG/anoatro_hyp6.2-KOG.txt","KOG0960")</f>
        <v>KOG0960</v>
      </c>
      <c r="BE726" t="str">
        <f>HYPERLINK("http://exon.niaid.nih.gov/transcriptome/Anopheles_sialome/links/PFAM/anoatro_hyp6.2-PFAM.txt","DUF1072")</f>
        <v>DUF1072</v>
      </c>
      <c r="BF726" t="str">
        <f>HYPERLINK("http://pfam.sanger.ac.uk/family?acc=PF06380","2.1")</f>
        <v>2.1</v>
      </c>
      <c r="BG726" s="2" t="str">
        <f>HYPERLINK("http://exon.niaid.nih.gov/transcriptome/Anopheles_sialome/links/SMART/anoatro_hyp6.2-SMART.txt","AFOR_N")</f>
        <v>AFOR_N</v>
      </c>
      <c r="BH726" t="str">
        <f>HYPERLINK("http://smart.embl-heidelberg.de/smart/do_annotation.pl?DOMAIN=AFOR_N&amp;BLAST=DUMMY","0.48")</f>
        <v>0.48</v>
      </c>
      <c r="BI726" t="s">
        <v>128</v>
      </c>
      <c r="BJ726" s="2" t="s">
        <v>128</v>
      </c>
      <c r="BK726" t="s">
        <v>1321</v>
      </c>
      <c r="BL726">
        <f>HYPERLINK("http://exon.niaid.nih.gov/transcriptome/Anopheles_sialome/links/cluster-b/anopheline-sialome-cds-pep-larger-orf25-50SimCLU1.txt", 1)</f>
        <v>1</v>
      </c>
      <c r="BM726">
        <f>HYPERLINK("http://exon.niaid.nih.gov/transcriptome/Anopheles_sialome/links/cluster-b/anopheline-sialome-cds-pep-larger-orf25-50SimCLTL1.txt", 165)</f>
        <v>165</v>
      </c>
      <c r="BN726">
        <f>HYPERLINK("http://exon.niaid.nih.gov/transcriptome/Anopheles_sialome/links/cluster-b/anopheline-sialome-cds-pep-larger-orf30-50SimCLU1.txt", 1)</f>
        <v>1</v>
      </c>
      <c r="BO726">
        <f>HYPERLINK("http://exon.niaid.nih.gov/transcriptome/Anopheles_sialome/links/cluster-b/anopheline-sialome-cds-pep-larger-orf30-50SimCLTL1.txt", 165)</f>
        <v>165</v>
      </c>
      <c r="BP726">
        <f>HYPERLINK("http://exon.niaid.nih.gov/transcriptome/Anopheles_sialome/links/cluster-b/anopheline-sialome-cds-pep-larger-orf35-50SimCLU4.txt", 4)</f>
        <v>4</v>
      </c>
      <c r="BQ726">
        <f>HYPERLINK("http://exon.niaid.nih.gov/transcriptome/Anopheles_sialome/links/cluster-b/anopheline-sialome-cds-pep-larger-orf35-50SimCLTL4.txt", 76)</f>
        <v>76</v>
      </c>
      <c r="BR726">
        <f>HYPERLINK("http://exon.niaid.nih.gov/transcriptome/Anopheles_sialome/links/cluster-b/anopheline-sialome-cds-pep-larger-orf40-50SimCLU20.txt", 20)</f>
        <v>20</v>
      </c>
      <c r="BS726">
        <f>HYPERLINK("http://exon.niaid.nih.gov/transcriptome/Anopheles_sialome/links/cluster-b/anopheline-sialome-cds-pep-larger-orf40-50SimCLTL20.txt", 18)</f>
        <v>18</v>
      </c>
      <c r="BT726">
        <f>HYPERLINK("http://exon.niaid.nih.gov/transcriptome/Anopheles_sialome/links/cluster-b/anopheline-sialome-cds-pep-larger-orf45-50SimCLU21.txt", 21)</f>
        <v>21</v>
      </c>
      <c r="BU726">
        <f>HYPERLINK("http://exon.niaid.nih.gov/transcriptome/Anopheles_sialome/links/cluster-b/anopheline-sialome-cds-pep-larger-orf45-50SimCLTL21.txt", 18)</f>
        <v>18</v>
      </c>
      <c r="BV726">
        <f>HYPERLINK("http://exon.niaid.nih.gov/transcriptome/Anopheles_sialome/links/cluster-b/anopheline-sialome-cds-pep-larger-orf50-50SimCLU20.txt", 20)</f>
        <v>20</v>
      </c>
      <c r="BW726">
        <f>HYPERLINK("http://exon.niaid.nih.gov/transcriptome/Anopheles_sialome/links/cluster-b/anopheline-sialome-cds-pep-larger-orf50-50SimCLTL20.txt", 18)</f>
        <v>18</v>
      </c>
      <c r="BX726">
        <f>HYPERLINK("http://exon.niaid.nih.gov/transcriptome/Anopheles_sialome/links/cluster-b/anopheline-sialome-cds-pep-larger-orf55-50SimCLU21.txt", 21)</f>
        <v>21</v>
      </c>
      <c r="BY726">
        <f>HYPERLINK("http://exon.niaid.nih.gov/transcriptome/Anopheles_sialome/links/cluster-b/anopheline-sialome-cds-pep-larger-orf55-50SimCLTL21.txt", 18)</f>
        <v>18</v>
      </c>
      <c r="BZ726">
        <f>HYPERLINK("http://exon.niaid.nih.gov/transcriptome/Anopheles_sialome/links/cluster-b/anopheline-sialome-cds-pep-larger-orf60-50SimCLU25.txt", 25)</f>
        <v>25</v>
      </c>
      <c r="CA726">
        <f>HYPERLINK("http://exon.niaid.nih.gov/transcriptome/Anopheles_sialome/links/cluster-b/anopheline-sialome-cds-pep-larger-orf60-50SimCLTL25.txt", 16)</f>
        <v>16</v>
      </c>
      <c r="CB726">
        <v>69</v>
      </c>
      <c r="CC726">
        <v>1</v>
      </c>
      <c r="CD726">
        <v>85</v>
      </c>
      <c r="CE726">
        <v>1</v>
      </c>
      <c r="CF726">
        <v>113</v>
      </c>
      <c r="CG726">
        <v>1</v>
      </c>
      <c r="CH726">
        <v>148</v>
      </c>
      <c r="CI726">
        <v>1</v>
      </c>
      <c r="CJ726">
        <v>187</v>
      </c>
      <c r="CK726">
        <v>1</v>
      </c>
      <c r="CL726">
        <v>231</v>
      </c>
      <c r="CM726">
        <v>1</v>
      </c>
      <c r="CN726">
        <v>257</v>
      </c>
      <c r="CO726">
        <v>1</v>
      </c>
    </row>
    <row r="727" spans="1:93">
      <c r="A727" s="2" t="str">
        <f>HYPERLINK("http://exon.niaid.nih.gov/transcriptome/Anopheles_sialome/links/cds/anoalb_hyp6.2-cds.txt","anoalb_hyp6.2")</f>
        <v>anoalb_hyp6.2</v>
      </c>
      <c r="B727">
        <v>270</v>
      </c>
      <c r="C727" t="s">
        <v>4</v>
      </c>
      <c r="D727" s="8" t="s">
        <v>3178</v>
      </c>
      <c r="E727" t="s">
        <v>5</v>
      </c>
      <c r="F727" t="s">
        <v>1</v>
      </c>
      <c r="G727" t="str">
        <f>HYPERLINK("http://exon.niaid.nih.gov/transcriptome/Anopheles_sialome/links/pep/anoalb_hyp6.2-pep.txt","anoalb_hyp6.2")</f>
        <v>anoalb_hyp6.2</v>
      </c>
      <c r="H727">
        <v>89</v>
      </c>
      <c r="I727">
        <v>0</v>
      </c>
      <c r="J727" s="3" t="str">
        <f>HYPERLINK("http://exon.niaid.nih.gov/transcriptome/Anopheles_sialome/links/Sigp/anoalb_hyp6.2-SigP.txt","SIG")</f>
        <v>SIG</v>
      </c>
      <c r="K727" t="s">
        <v>1324</v>
      </c>
      <c r="L727">
        <v>9.1999999999999993</v>
      </c>
      <c r="M727">
        <v>6.04</v>
      </c>
      <c r="N727">
        <v>5.6219999999999999</v>
      </c>
      <c r="O727">
        <v>6.21</v>
      </c>
      <c r="P727" t="s">
        <v>1325</v>
      </c>
      <c r="Q727" s="3" t="str">
        <f>HYPERLINK("http://exon.niaid.nih.gov/transcriptome/Anopheles_sialome/links/tmhmm/anoalb_hyp6.2-tmhmm.txt","1")</f>
        <v>1</v>
      </c>
      <c r="R727">
        <v>24.7</v>
      </c>
      <c r="S727">
        <v>60.7</v>
      </c>
      <c r="T727">
        <v>14.6</v>
      </c>
      <c r="U727" t="s">
        <v>128</v>
      </c>
      <c r="V727">
        <v>54</v>
      </c>
      <c r="W727" s="3" t="str">
        <f>HYPERLINK("http://exon.niaid.nih.gov/transcriptome/Anopheles_sialome/links/netoglyc/anoalb_hyp6.2-netoglyc.txt","0")</f>
        <v>0</v>
      </c>
      <c r="X727">
        <v>14.6</v>
      </c>
      <c r="Y727">
        <v>13.5</v>
      </c>
      <c r="Z727">
        <v>4.5</v>
      </c>
      <c r="AA727" t="s">
        <v>654</v>
      </c>
      <c r="AB727" t="s">
        <v>128</v>
      </c>
      <c r="AC727" s="2" t="str">
        <f>HYPERLINK("http://exon.niaid.nih.gov/transcriptome/Anopheles_sialome/links/DIPTERA/anoalb_hyp6.2-DIPTERA.txt","putative secreted salivary basic peptide hyp6.2")</f>
        <v>putative secreted salivary basic peptide hyp6.2</v>
      </c>
      <c r="AD727" t="str">
        <f>HYPERLINK("http://www.ncbi.nlm.nih.gov/sutils/blink.cgi?pid=208657661","1E-018")</f>
        <v>1E-018</v>
      </c>
      <c r="AE727" t="str">
        <f>HYPERLINK("http://www.ncbi.nlm.nih.gov/protein/208657661","gi|208657661")</f>
        <v>gi|208657661</v>
      </c>
      <c r="AF727">
        <v>68</v>
      </c>
      <c r="AG727">
        <v>77</v>
      </c>
      <c r="AH727">
        <v>93</v>
      </c>
      <c r="AI727" t="s">
        <v>2283</v>
      </c>
      <c r="AJ727" s="2" t="str">
        <f>HYPERLINK("http://exon.niaid.nih.gov/transcriptome/Anopheles_sialome/links/CULICOMORPHA/anoalb_hyp6.2-CULICOMORPHA.txt","putative secreted salivary basic peptide hyp6.2")</f>
        <v>putative secreted salivary basic peptide hyp6.2</v>
      </c>
      <c r="AK727" t="str">
        <f>HYPERLINK("http://www.ncbi.nlm.nih.gov/sutils/blink.cgi?pid=208657661","2E-019")</f>
        <v>2E-019</v>
      </c>
      <c r="AL727" t="str">
        <f>HYPERLINK("http://www.ncbi.nlm.nih.gov/protein/208657661","gi|208657661")</f>
        <v>gi|208657661</v>
      </c>
      <c r="AM727">
        <v>68</v>
      </c>
      <c r="AN727">
        <v>77</v>
      </c>
      <c r="AO727">
        <v>93</v>
      </c>
      <c r="AP727" t="s">
        <v>2283</v>
      </c>
      <c r="AQ727" s="2" t="str">
        <f>HYPERLINK("http://exon.niaid.nih.gov/transcriptome/Anopheles_sialome/links/NR-LIGHT/anoalb_hyp6.2-NR-LIGHT.txt","putative secreted salivary basic peptide hyp6.2")</f>
        <v>putative secreted salivary basic peptide hyp6.2</v>
      </c>
      <c r="AR727" t="str">
        <f>HYPERLINK("http://www.ncbi.nlm.nih.gov/sutils/blink.cgi?pid=114864793","7E-009")</f>
        <v>7E-009</v>
      </c>
      <c r="AS727" t="str">
        <f>HYPERLINK("http://www.ncbi.nlm.nih.gov/protein/114864793","gi|114864793")</f>
        <v>gi|114864793</v>
      </c>
      <c r="AT727">
        <v>42</v>
      </c>
      <c r="AU727">
        <v>54</v>
      </c>
      <c r="AV727">
        <v>98</v>
      </c>
      <c r="AW727" t="s">
        <v>2266</v>
      </c>
      <c r="AX727" s="2" t="str">
        <f>HYPERLINK("http://exon.niaid.nih.gov/transcriptome/Anopheles_sialome/links/CDD/anoalb_hyp6.2-CDD.txt","PKc_MKK4")</f>
        <v>PKc_MKK4</v>
      </c>
      <c r="AY727" t="str">
        <f>HYPERLINK("http://www.ncbi.nlm.nih.gov/Structure/cdd/cddsrv.cgi?uid=cd06616&amp;version=v4.0","1.2")</f>
        <v>1.2</v>
      </c>
      <c r="AZ727" t="s">
        <v>2639</v>
      </c>
      <c r="BA727" s="2" t="str">
        <f>HYPERLINK("http://exon.niaid.nih.gov/transcriptome/Anopheles_sialome/links/KOG/anoalb_hyp6.2-KOG.txt","Eukaryotic-type DNA primase, catalytic (small) subunit")</f>
        <v>Eukaryotic-type DNA primase, catalytic (small) subunit</v>
      </c>
      <c r="BB727" t="str">
        <f>HYPERLINK("http://www.ncbi.nlm.nih.gov/Structure/cdd/cddsrv.cgi?uid=KOG2851","2.2")</f>
        <v>2.2</v>
      </c>
      <c r="BC727" t="s">
        <v>2290</v>
      </c>
      <c r="BD727" t="str">
        <f>HYPERLINK("http://exon.niaid.nih.gov/transcriptome/Anopheles_sialome/links/KOG/anoalb_hyp6.2-KOG.txt","KOG2851")</f>
        <v>KOG2851</v>
      </c>
      <c r="BE727" t="str">
        <f>HYPERLINK("http://exon.niaid.nih.gov/transcriptome/Anopheles_sialome/links/PFAM/anoalb_hyp6.2-PFAM.txt","Ribonuc_red_sm")</f>
        <v>Ribonuc_red_sm</v>
      </c>
      <c r="BF727" t="str">
        <f>HYPERLINK("http://pfam.sanger.ac.uk/family?acc=PF00268","1.8")</f>
        <v>1.8</v>
      </c>
      <c r="BG727" s="2" t="str">
        <f>HYPERLINK("http://exon.niaid.nih.gov/transcriptome/Anopheles_sialome/links/SMART/anoalb_hyp6.2-SMART.txt","Zn_pept")</f>
        <v>Zn_pept</v>
      </c>
      <c r="BH727" t="str">
        <f>HYPERLINK("http://smart.embl-heidelberg.de/smart/do_annotation.pl?DOMAIN=Zn_pept&amp;BLAST=DUMMY","0.33")</f>
        <v>0.33</v>
      </c>
      <c r="BI727" t="s">
        <v>128</v>
      </c>
      <c r="BJ727" s="2" t="s">
        <v>128</v>
      </c>
      <c r="BK727" t="s">
        <v>1323</v>
      </c>
      <c r="BL727">
        <f>HYPERLINK("http://exon.niaid.nih.gov/transcriptome/Anopheles_sialome/links/cluster-b/anopheline-sialome-cds-pep-larger-orf25-50SimCLU1.txt", 1)</f>
        <v>1</v>
      </c>
      <c r="BM727">
        <f>HYPERLINK("http://exon.niaid.nih.gov/transcriptome/Anopheles_sialome/links/cluster-b/anopheline-sialome-cds-pep-larger-orf25-50SimCLTL1.txt", 165)</f>
        <v>165</v>
      </c>
      <c r="BN727">
        <f>HYPERLINK("http://exon.niaid.nih.gov/transcriptome/Anopheles_sialome/links/cluster-b/anopheline-sialome-cds-pep-larger-orf30-50SimCLU1.txt", 1)</f>
        <v>1</v>
      </c>
      <c r="BO727">
        <f>HYPERLINK("http://exon.niaid.nih.gov/transcriptome/Anopheles_sialome/links/cluster-b/anopheline-sialome-cds-pep-larger-orf30-50SimCLTL1.txt", 165)</f>
        <v>165</v>
      </c>
      <c r="BP727">
        <f>HYPERLINK("http://exon.niaid.nih.gov/transcriptome/Anopheles_sialome/links/cluster-b/anopheline-sialome-cds-pep-larger-orf35-50SimCLU4.txt", 4)</f>
        <v>4</v>
      </c>
      <c r="BQ727">
        <f>HYPERLINK("http://exon.niaid.nih.gov/transcriptome/Anopheles_sialome/links/cluster-b/anopheline-sialome-cds-pep-larger-orf35-50SimCLTL4.txt", 76)</f>
        <v>76</v>
      </c>
      <c r="BR727">
        <f>HYPERLINK("http://exon.niaid.nih.gov/transcriptome/Anopheles_sialome/links/cluster-b/anopheline-sialome-cds-pep-larger-orf40-50SimCLU20.txt", 20)</f>
        <v>20</v>
      </c>
      <c r="BS727">
        <f>HYPERLINK("http://exon.niaid.nih.gov/transcriptome/Anopheles_sialome/links/cluster-b/anopheline-sialome-cds-pep-larger-orf40-50SimCLTL20.txt", 18)</f>
        <v>18</v>
      </c>
      <c r="BT727">
        <f>HYPERLINK("http://exon.niaid.nih.gov/transcriptome/Anopheles_sialome/links/cluster-b/anopheline-sialome-cds-pep-larger-orf45-50SimCLU21.txt", 21)</f>
        <v>21</v>
      </c>
      <c r="BU727">
        <f>HYPERLINK("http://exon.niaid.nih.gov/transcriptome/Anopheles_sialome/links/cluster-b/anopheline-sialome-cds-pep-larger-orf45-50SimCLTL21.txt", 18)</f>
        <v>18</v>
      </c>
      <c r="BV727">
        <f>HYPERLINK("http://exon.niaid.nih.gov/transcriptome/Anopheles_sialome/links/cluster-b/anopheline-sialome-cds-pep-larger-orf50-50SimCLU20.txt", 20)</f>
        <v>20</v>
      </c>
      <c r="BW727">
        <f>HYPERLINK("http://exon.niaid.nih.gov/transcriptome/Anopheles_sialome/links/cluster-b/anopheline-sialome-cds-pep-larger-orf50-50SimCLTL20.txt", 18)</f>
        <v>18</v>
      </c>
      <c r="BX727">
        <f>HYPERLINK("http://exon.niaid.nih.gov/transcriptome/Anopheles_sialome/links/cluster-b/anopheline-sialome-cds-pep-larger-orf55-50SimCLU21.txt", 21)</f>
        <v>21</v>
      </c>
      <c r="BY727">
        <f>HYPERLINK("http://exon.niaid.nih.gov/transcriptome/Anopheles_sialome/links/cluster-b/anopheline-sialome-cds-pep-larger-orf55-50SimCLTL21.txt", 18)</f>
        <v>18</v>
      </c>
      <c r="BZ727">
        <f>HYPERLINK("http://exon.niaid.nih.gov/transcriptome/Anopheles_sialome/links/cluster-b/anopheline-sialome-cds-pep-larger-orf60-50SimCLU40.txt", 40)</f>
        <v>40</v>
      </c>
      <c r="CA727">
        <f>HYPERLINK("http://exon.niaid.nih.gov/transcriptome/Anopheles_sialome/links/cluster-b/anopheline-sialome-cds-pep-larger-orf60-50SimCLTL40.txt", 2)</f>
        <v>2</v>
      </c>
      <c r="CB727">
        <f>HYPERLINK("http://exon.niaid.nih.gov/transcriptome/Anopheles_sialome/links/cluster-b/anopheline-sialome-cds-pep-larger-orf65-50SimCLU47.txt", 47)</f>
        <v>47</v>
      </c>
      <c r="CC727">
        <f>HYPERLINK("http://exon.niaid.nih.gov/transcriptome/Anopheles_sialome/links/cluster-b/anopheline-sialome-cds-pep-larger-orf65-50SimCLTL47.txt", 2)</f>
        <v>2</v>
      </c>
      <c r="CD727">
        <f>HYPERLINK("http://exon.niaid.nih.gov/transcriptome/Anopheles_sialome/links/cluster-b/anopheline-sialome-cds-pep-larger-orf70-50SimCLU51.txt", 51)</f>
        <v>51</v>
      </c>
      <c r="CE727">
        <f>HYPERLINK("http://exon.niaid.nih.gov/transcriptome/Anopheles_sialome/links/cluster-b/anopheline-sialome-cds-pep-larger-orf70-50SimCLTL51.txt", 2)</f>
        <v>2</v>
      </c>
      <c r="CF727">
        <v>114</v>
      </c>
      <c r="CG727">
        <v>1</v>
      </c>
      <c r="CH727">
        <v>149</v>
      </c>
      <c r="CI727">
        <v>1</v>
      </c>
      <c r="CJ727">
        <v>188</v>
      </c>
      <c r="CK727">
        <v>1</v>
      </c>
      <c r="CL727">
        <v>232</v>
      </c>
      <c r="CM727">
        <v>1</v>
      </c>
      <c r="CN727">
        <v>258</v>
      </c>
      <c r="CO727">
        <v>1</v>
      </c>
    </row>
    <row r="728" spans="1:93">
      <c r="A728" s="2" t="str">
        <f>HYPERLINK("http://exon.niaid.nih.gov/transcriptome/Anopheles_sialome/links/cds/anodar_hyp6.2-cds.txt","anodar_hyp6.2")</f>
        <v>anodar_hyp6.2</v>
      </c>
      <c r="B728">
        <v>273</v>
      </c>
      <c r="C728" t="s">
        <v>4</v>
      </c>
      <c r="D728" s="8" t="s">
        <v>3178</v>
      </c>
      <c r="E728" t="s">
        <v>5</v>
      </c>
      <c r="F728" t="s">
        <v>1</v>
      </c>
      <c r="G728" t="str">
        <f>HYPERLINK("http://exon.niaid.nih.gov/transcriptome/Anopheles_sialome/links/pep/anodar_hyp6.2-pep.txt","anodar_hyp6.2")</f>
        <v>anodar_hyp6.2</v>
      </c>
      <c r="H728">
        <v>90</v>
      </c>
      <c r="I728">
        <v>0</v>
      </c>
      <c r="J728" s="3" t="str">
        <f>HYPERLINK("http://exon.niaid.nih.gov/transcriptome/Anopheles_sialome/links/Sigp/anodar_hyp6.2-SigP.txt","SIG")</f>
        <v>SIG</v>
      </c>
      <c r="K728" t="s">
        <v>1220</v>
      </c>
      <c r="L728">
        <v>9.298</v>
      </c>
      <c r="M728">
        <v>6.07</v>
      </c>
      <c r="N728">
        <v>5.298</v>
      </c>
      <c r="O728">
        <v>6.18</v>
      </c>
      <c r="P728" t="s">
        <v>1327</v>
      </c>
      <c r="Q728" s="3" t="str">
        <f>HYPERLINK("http://exon.niaid.nih.gov/transcriptome/Anopheles_sialome/links/tmhmm/anodar_hyp6.2-tmhmm.txt","1")</f>
        <v>1</v>
      </c>
      <c r="R728">
        <v>24.4</v>
      </c>
      <c r="S728">
        <v>56.7</v>
      </c>
      <c r="T728">
        <v>18.899999999999999</v>
      </c>
      <c r="U728" t="s">
        <v>128</v>
      </c>
      <c r="V728">
        <v>51</v>
      </c>
      <c r="W728" s="3" t="str">
        <f>HYPERLINK("http://exon.niaid.nih.gov/transcriptome/Anopheles_sialome/links/netoglyc/anodar_hyp6.2-netoglyc.txt","3")</f>
        <v>3</v>
      </c>
      <c r="X728">
        <v>13.3</v>
      </c>
      <c r="Y728">
        <v>14.4</v>
      </c>
      <c r="Z728">
        <v>3.3</v>
      </c>
      <c r="AA728" t="s">
        <v>654</v>
      </c>
      <c r="AB728" t="s">
        <v>128</v>
      </c>
      <c r="AC728" s="2" t="str">
        <f>HYPERLINK("http://exon.niaid.nih.gov/transcriptome/Anopheles_sialome/links/DIPTERA/anodar_hyp6.2-DIPTERA.txt","putative secreted salivary basic peptide hyp6.2")</f>
        <v>putative secreted salivary basic peptide hyp6.2</v>
      </c>
      <c r="AD728" t="str">
        <f>HYPERLINK("http://www.ncbi.nlm.nih.gov/sutils/blink.cgi?pid=208657661","8E-035")</f>
        <v>8E-035</v>
      </c>
      <c r="AE728" t="str">
        <f>HYPERLINK("http://www.ncbi.nlm.nih.gov/protein/208657661","gi|208657661")</f>
        <v>gi|208657661</v>
      </c>
      <c r="AF728">
        <v>100</v>
      </c>
      <c r="AG728">
        <v>100</v>
      </c>
      <c r="AH728">
        <v>100</v>
      </c>
      <c r="AI728" t="s">
        <v>2283</v>
      </c>
      <c r="AJ728" s="2" t="str">
        <f>HYPERLINK("http://exon.niaid.nih.gov/transcriptome/Anopheles_sialome/links/CULICOMORPHA/anodar_hyp6.2-CULICOMORPHA.txt","putative secreted salivary basic peptide hyp6.2")</f>
        <v>putative secreted salivary basic peptide hyp6.2</v>
      </c>
      <c r="AK728" t="str">
        <f>HYPERLINK("http://www.ncbi.nlm.nih.gov/sutils/blink.cgi?pid=208657661","1E-035")</f>
        <v>1E-035</v>
      </c>
      <c r="AL728" t="str">
        <f>HYPERLINK("http://www.ncbi.nlm.nih.gov/protein/208657661","gi|208657661")</f>
        <v>gi|208657661</v>
      </c>
      <c r="AM728">
        <v>100</v>
      </c>
      <c r="AN728">
        <v>100</v>
      </c>
      <c r="AO728">
        <v>100</v>
      </c>
      <c r="AP728" t="s">
        <v>2283</v>
      </c>
      <c r="AQ728" s="2" t="str">
        <f>HYPERLINK("http://exon.niaid.nih.gov/transcriptome/Anopheles_sialome/links/NR-LIGHT/anodar_hyp6.2-NR-LIGHT.txt","putative secreted salivary basic peptide hyp6.2")</f>
        <v>putative secreted salivary basic peptide hyp6.2</v>
      </c>
      <c r="AR728" t="str">
        <f>HYPERLINK("http://www.ncbi.nlm.nih.gov/sutils/blink.cgi?pid=114864793","5E-012")</f>
        <v>5E-012</v>
      </c>
      <c r="AS728" t="str">
        <f t="shared" ref="AS728" si="253">HYPERLINK("http://www.ncbi.nlm.nih.gov/protein/114864793","gi|114864793")</f>
        <v>gi|114864793</v>
      </c>
      <c r="AT728">
        <v>53</v>
      </c>
      <c r="AU728">
        <v>57</v>
      </c>
      <c r="AV728">
        <v>87</v>
      </c>
      <c r="AW728" t="s">
        <v>2266</v>
      </c>
      <c r="AX728" s="2" t="str">
        <f>HYPERLINK("http://exon.niaid.nih.gov/transcriptome/Anopheles_sialome/links/CDD/anodar_hyp6.2-CDD.txt","PRK06215")</f>
        <v>PRK06215</v>
      </c>
      <c r="AY728" t="str">
        <f>HYPERLINK("http://www.ncbi.nlm.nih.gov/Structure/cdd/cddsrv.cgi?uid=PRK06215&amp;version=v4.0","0.026")</f>
        <v>0.026</v>
      </c>
      <c r="AZ728" t="s">
        <v>2640</v>
      </c>
      <c r="BA728" s="2" t="str">
        <f>HYPERLINK("http://exon.niaid.nih.gov/transcriptome/Anopheles_sialome/links/KOG/anodar_hyp6.2-KOG.txt","Protein kinase C substrate, 80 KD protein, heavy chain")</f>
        <v>Protein kinase C substrate, 80 KD protein, heavy chain</v>
      </c>
      <c r="BB728" t="str">
        <f>HYPERLINK("http://www.ncbi.nlm.nih.gov/Structure/cdd/cddsrv.cgi?uid=KOG2397","0.83")</f>
        <v>0.83</v>
      </c>
      <c r="BC728" t="s">
        <v>2292</v>
      </c>
      <c r="BD728" t="str">
        <f>HYPERLINK("http://exon.niaid.nih.gov/transcriptome/Anopheles_sialome/links/KOG/anodar_hyp6.2-KOG.txt","KOG2397")</f>
        <v>KOG2397</v>
      </c>
      <c r="BE728" t="str">
        <f>HYPERLINK("http://exon.niaid.nih.gov/transcriptome/Anopheles_sialome/links/PFAM/anodar_hyp6.2-PFAM.txt","Strabismus")</f>
        <v>Strabismus</v>
      </c>
      <c r="BF728" t="str">
        <f>HYPERLINK("http://pfam.sanger.ac.uk/family?acc=PF06638","0.87")</f>
        <v>0.87</v>
      </c>
      <c r="BG728" s="2" t="str">
        <f>HYPERLINK("http://exon.niaid.nih.gov/transcriptome/Anopheles_sialome/links/SMART/anodar_hyp6.2-SMART.txt","DM10")</f>
        <v>DM10</v>
      </c>
      <c r="BH728" t="str">
        <f>HYPERLINK("http://smart.embl-heidelberg.de/smart/do_annotation.pl?DOMAIN=DM10&amp;BLAST=DUMMY","0.64")</f>
        <v>0.64</v>
      </c>
      <c r="BI728" t="s">
        <v>128</v>
      </c>
      <c r="BJ728" s="2" t="s">
        <v>128</v>
      </c>
      <c r="BK728" t="s">
        <v>1326</v>
      </c>
      <c r="BL728">
        <f>HYPERLINK("http://exon.niaid.nih.gov/transcriptome/Anopheles_sialome/links/cluster-b/anopheline-sialome-cds-pep-larger-orf25-50SimCLU1.txt", 1)</f>
        <v>1</v>
      </c>
      <c r="BM728">
        <f>HYPERLINK("http://exon.niaid.nih.gov/transcriptome/Anopheles_sialome/links/cluster-b/anopheline-sialome-cds-pep-larger-orf25-50SimCLTL1.txt", 165)</f>
        <v>165</v>
      </c>
      <c r="BN728">
        <f>HYPERLINK("http://exon.niaid.nih.gov/transcriptome/Anopheles_sialome/links/cluster-b/anopheline-sialome-cds-pep-larger-orf30-50SimCLU1.txt", 1)</f>
        <v>1</v>
      </c>
      <c r="BO728">
        <f>HYPERLINK("http://exon.niaid.nih.gov/transcriptome/Anopheles_sialome/links/cluster-b/anopheline-sialome-cds-pep-larger-orf30-50SimCLTL1.txt", 165)</f>
        <v>165</v>
      </c>
      <c r="BP728">
        <f>HYPERLINK("http://exon.niaid.nih.gov/transcriptome/Anopheles_sialome/links/cluster-b/anopheline-sialome-cds-pep-larger-orf35-50SimCLU4.txt", 4)</f>
        <v>4</v>
      </c>
      <c r="BQ728">
        <f>HYPERLINK("http://exon.niaid.nih.gov/transcriptome/Anopheles_sialome/links/cluster-b/anopheline-sialome-cds-pep-larger-orf35-50SimCLTL4.txt", 76)</f>
        <v>76</v>
      </c>
      <c r="BR728">
        <f>HYPERLINK("http://exon.niaid.nih.gov/transcriptome/Anopheles_sialome/links/cluster-b/anopheline-sialome-cds-pep-larger-orf40-50SimCLU20.txt", 20)</f>
        <v>20</v>
      </c>
      <c r="BS728">
        <f>HYPERLINK("http://exon.niaid.nih.gov/transcriptome/Anopheles_sialome/links/cluster-b/anopheline-sialome-cds-pep-larger-orf40-50SimCLTL20.txt", 18)</f>
        <v>18</v>
      </c>
      <c r="BT728">
        <f>HYPERLINK("http://exon.niaid.nih.gov/transcriptome/Anopheles_sialome/links/cluster-b/anopheline-sialome-cds-pep-larger-orf45-50SimCLU21.txt", 21)</f>
        <v>21</v>
      </c>
      <c r="BU728">
        <f>HYPERLINK("http://exon.niaid.nih.gov/transcriptome/Anopheles_sialome/links/cluster-b/anopheline-sialome-cds-pep-larger-orf45-50SimCLTL21.txt", 18)</f>
        <v>18</v>
      </c>
      <c r="BV728">
        <f>HYPERLINK("http://exon.niaid.nih.gov/transcriptome/Anopheles_sialome/links/cluster-b/anopheline-sialome-cds-pep-larger-orf50-50SimCLU20.txt", 20)</f>
        <v>20</v>
      </c>
      <c r="BW728">
        <f>HYPERLINK("http://exon.niaid.nih.gov/transcriptome/Anopheles_sialome/links/cluster-b/anopheline-sialome-cds-pep-larger-orf50-50SimCLTL20.txt", 18)</f>
        <v>18</v>
      </c>
      <c r="BX728">
        <f>HYPERLINK("http://exon.niaid.nih.gov/transcriptome/Anopheles_sialome/links/cluster-b/anopheline-sialome-cds-pep-larger-orf55-50SimCLU21.txt", 21)</f>
        <v>21</v>
      </c>
      <c r="BY728">
        <f>HYPERLINK("http://exon.niaid.nih.gov/transcriptome/Anopheles_sialome/links/cluster-b/anopheline-sialome-cds-pep-larger-orf55-50SimCLTL21.txt", 18)</f>
        <v>18</v>
      </c>
      <c r="BZ728">
        <f>HYPERLINK("http://exon.niaid.nih.gov/transcriptome/Anopheles_sialome/links/cluster-b/anopheline-sialome-cds-pep-larger-orf60-50SimCLU40.txt", 40)</f>
        <v>40</v>
      </c>
      <c r="CA728">
        <f>HYPERLINK("http://exon.niaid.nih.gov/transcriptome/Anopheles_sialome/links/cluster-b/anopheline-sialome-cds-pep-larger-orf60-50SimCLTL40.txt", 2)</f>
        <v>2</v>
      </c>
      <c r="CB728">
        <f>HYPERLINK("http://exon.niaid.nih.gov/transcriptome/Anopheles_sialome/links/cluster-b/anopheline-sialome-cds-pep-larger-orf65-50SimCLU47.txt", 47)</f>
        <v>47</v>
      </c>
      <c r="CC728">
        <f>HYPERLINK("http://exon.niaid.nih.gov/transcriptome/Anopheles_sialome/links/cluster-b/anopheline-sialome-cds-pep-larger-orf65-50SimCLTL47.txt", 2)</f>
        <v>2</v>
      </c>
      <c r="CD728">
        <f>HYPERLINK("http://exon.niaid.nih.gov/transcriptome/Anopheles_sialome/links/cluster-b/anopheline-sialome-cds-pep-larger-orf70-50SimCLU51.txt", 51)</f>
        <v>51</v>
      </c>
      <c r="CE728">
        <f>HYPERLINK("http://exon.niaid.nih.gov/transcriptome/Anopheles_sialome/links/cluster-b/anopheline-sialome-cds-pep-larger-orf70-50SimCLTL51.txt", 2)</f>
        <v>2</v>
      </c>
      <c r="CF728">
        <v>115</v>
      </c>
      <c r="CG728">
        <v>1</v>
      </c>
      <c r="CH728">
        <v>150</v>
      </c>
      <c r="CI728">
        <v>1</v>
      </c>
      <c r="CJ728">
        <v>189</v>
      </c>
      <c r="CK728">
        <v>1</v>
      </c>
      <c r="CL728">
        <v>233</v>
      </c>
      <c r="CM728">
        <v>1</v>
      </c>
      <c r="CN728">
        <v>259</v>
      </c>
      <c r="CO728">
        <v>1</v>
      </c>
    </row>
    <row r="729" spans="1:93">
      <c r="A729" s="14" t="s">
        <v>3145</v>
      </c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3"/>
      <c r="AY729" s="13"/>
      <c r="AZ729" s="13"/>
      <c r="BA729" s="13"/>
      <c r="BB729" s="13"/>
      <c r="BC729" s="13"/>
      <c r="BD729" s="13"/>
      <c r="BE729" s="13"/>
      <c r="BF729" s="13"/>
      <c r="BG729" s="13"/>
      <c r="BH729" s="13"/>
      <c r="BI729" s="13"/>
      <c r="BJ729" s="13"/>
      <c r="BK729" s="13"/>
      <c r="BL729" s="13"/>
      <c r="BM729" s="13"/>
      <c r="BN729" s="13"/>
      <c r="BO729" s="13"/>
      <c r="BP729" s="13"/>
      <c r="BQ729" s="13"/>
      <c r="BR729" s="13"/>
      <c r="BS729" s="13"/>
      <c r="BT729" s="13"/>
      <c r="BU729" s="13"/>
      <c r="BV729" s="13"/>
      <c r="BW729" s="13"/>
      <c r="BX729" s="13"/>
      <c r="BY729" s="13"/>
      <c r="BZ729" s="13"/>
      <c r="CA729" s="13"/>
      <c r="CB729" s="13"/>
      <c r="CC729" s="13"/>
      <c r="CD729" s="13"/>
      <c r="CE729" s="13"/>
      <c r="CF729" s="13"/>
      <c r="CG729" s="13"/>
      <c r="CH729" s="13"/>
      <c r="CI729" s="13"/>
      <c r="CJ729" s="13"/>
      <c r="CK729" s="13"/>
      <c r="CL729" s="13"/>
      <c r="CM729" s="13"/>
      <c r="CN729" s="13"/>
      <c r="CO729" s="13"/>
    </row>
    <row r="730" spans="1:93">
      <c r="A730" s="2" t="str">
        <f>HYPERLINK("http://exon.niaid.nih.gov/transcriptome/Anopheles_sialome/links/cds/anoga_hyp8.2-cds.txt","anoga_hyp8.2")</f>
        <v>anoga_hyp8.2</v>
      </c>
      <c r="B730">
        <v>276</v>
      </c>
      <c r="C730" t="s">
        <v>252</v>
      </c>
      <c r="D730" t="s">
        <v>4</v>
      </c>
      <c r="E730" t="s">
        <v>5</v>
      </c>
      <c r="F730" t="s">
        <v>1</v>
      </c>
      <c r="G730" t="str">
        <f>HYPERLINK("http://exon.niaid.nih.gov/transcriptome/Anopheles_sialome/links/pep/anoga_hyp8.2-pep.txt","anoga_hyp8.2")</f>
        <v>anoga_hyp8.2</v>
      </c>
      <c r="H730">
        <v>91</v>
      </c>
      <c r="I730">
        <v>1</v>
      </c>
      <c r="J730" s="3" t="str">
        <f>HYPERLINK("http://exon.niaid.nih.gov/transcriptome/Anopheles_sialome/links/Sigp/anoga_hyp8.2-SigP.txt","SIG")</f>
        <v>SIG</v>
      </c>
      <c r="K730" t="s">
        <v>925</v>
      </c>
      <c r="L730">
        <v>9.8610000000000007</v>
      </c>
      <c r="M730">
        <v>4.28</v>
      </c>
      <c r="N730">
        <v>7.9139999999999997</v>
      </c>
      <c r="O730">
        <v>4.1900000000000004</v>
      </c>
      <c r="P730" t="s">
        <v>1329</v>
      </c>
      <c r="Q730" s="3">
        <v>0</v>
      </c>
      <c r="R730" t="s">
        <v>128</v>
      </c>
      <c r="S730" t="s">
        <v>128</v>
      </c>
      <c r="T730" t="s">
        <v>128</v>
      </c>
      <c r="U730" t="s">
        <v>128</v>
      </c>
      <c r="V730" t="s">
        <v>128</v>
      </c>
      <c r="W730" s="3" t="str">
        <f>HYPERLINK("http://exon.niaid.nih.gov/transcriptome/Anopheles_sialome/links/netoglyc/anoga_hyp8.2-netoglyc.txt","5")</f>
        <v>5</v>
      </c>
      <c r="X730">
        <v>15.4</v>
      </c>
      <c r="Y730">
        <v>3.3</v>
      </c>
      <c r="Z730">
        <v>5.5</v>
      </c>
      <c r="AA730" t="s">
        <v>654</v>
      </c>
      <c r="AB730" t="s">
        <v>128</v>
      </c>
      <c r="AC730" s="2" t="str">
        <f>HYPERLINK("http://exon.niaid.nih.gov/transcriptome/Anopheles_sialome/links/DIPTERA/anoga_hyp8.2-DIPTERA.txt","AGAP006494-PA")</f>
        <v>AGAP006494-PA</v>
      </c>
      <c r="AD730" t="str">
        <f>HYPERLINK("http://www.ncbi.nlm.nih.gov/sutils/blink.cgi?pid=157016274","3E-045")</f>
        <v>3E-045</v>
      </c>
      <c r="AE730" t="str">
        <f t="shared" ref="AE730:AE737" si="254">HYPERLINK("http://www.ncbi.nlm.nih.gov/protein/157016274","gi|157016274")</f>
        <v>gi|157016274</v>
      </c>
      <c r="AF730">
        <v>100</v>
      </c>
      <c r="AG730">
        <v>100</v>
      </c>
      <c r="AH730">
        <v>100</v>
      </c>
      <c r="AI730" t="s">
        <v>2285</v>
      </c>
      <c r="AJ730" s="2" t="str">
        <f>HYPERLINK("http://exon.niaid.nih.gov/transcriptome/Anopheles_sialome/links/CULICOMORPHA/anoga_hyp8.2-CULICOMORPHA.txt","AGAP006494-PA")</f>
        <v>AGAP006494-PA</v>
      </c>
      <c r="AK730" t="str">
        <f>HYPERLINK("http://www.ncbi.nlm.nih.gov/sutils/blink.cgi?pid=157016274","5E-046")</f>
        <v>5E-046</v>
      </c>
      <c r="AL730" t="str">
        <f t="shared" ref="AL730:AL737" si="255">HYPERLINK("http://www.ncbi.nlm.nih.gov/protein/157016274","gi|157016274")</f>
        <v>gi|157016274</v>
      </c>
      <c r="AM730">
        <v>100</v>
      </c>
      <c r="AN730">
        <v>100</v>
      </c>
      <c r="AO730">
        <v>100</v>
      </c>
      <c r="AP730" t="s">
        <v>2285</v>
      </c>
      <c r="AQ730" s="2" t="str">
        <f>HYPERLINK("http://exon.niaid.nih.gov/transcriptome/Anopheles_sialome/links/NR-LIGHT/anoga_hyp8.2-NR-LIGHT.txt","AGAP006494-PA")</f>
        <v>AGAP006494-PA</v>
      </c>
      <c r="AR730" t="str">
        <f>HYPERLINK("http://www.ncbi.nlm.nih.gov/sutils/blink.cgi?pid=158295940","8E-045")</f>
        <v>8E-045</v>
      </c>
      <c r="AS730" t="str">
        <f t="shared" ref="AS730:AS737" si="256">HYPERLINK("http://www.ncbi.nlm.nih.gov/protein/158295940","gi|158295940")</f>
        <v>gi|158295940</v>
      </c>
      <c r="AT730">
        <v>100</v>
      </c>
      <c r="AU730">
        <v>100</v>
      </c>
      <c r="AV730">
        <v>100</v>
      </c>
      <c r="AW730" t="s">
        <v>2285</v>
      </c>
      <c r="AX730" s="2" t="str">
        <f>HYPERLINK("http://exon.niaid.nih.gov/transcriptome/Anopheles_sialome/links/CDD/anoga_hyp8.2-CDD.txt","F-BAR_FNBP1L")</f>
        <v>F-BAR_FNBP1L</v>
      </c>
      <c r="AY730" t="str">
        <f>HYPERLINK("http://www.ncbi.nlm.nih.gov/Structure/cdd/cddsrv.cgi?uid=cd07675&amp;version=v4.0","1.4")</f>
        <v>1.4</v>
      </c>
      <c r="AZ730" t="s">
        <v>2641</v>
      </c>
      <c r="BA730" s="2" t="str">
        <f>HYPERLINK("http://exon.niaid.nih.gov/transcriptome/Anopheles_sialome/links/KOG/anoga_hyp8.2-KOG.txt","Uncharacterized conserved protein")</f>
        <v>Uncharacterized conserved protein</v>
      </c>
      <c r="BB730" t="str">
        <f>HYPERLINK("http://www.ncbi.nlm.nih.gov/Structure/cdd/cddsrv.cgi?uid=KOG2885","0.17")</f>
        <v>0.17</v>
      </c>
      <c r="BC730" t="s">
        <v>2304</v>
      </c>
      <c r="BD730" t="str">
        <f>HYPERLINK("http://exon.niaid.nih.gov/transcriptome/Anopheles_sialome/links/KOG/anoga_hyp8.2-KOG.txt","KOG2885")</f>
        <v>KOG2885</v>
      </c>
      <c r="BE730" t="str">
        <f>HYPERLINK("http://exon.niaid.nih.gov/transcriptome/Anopheles_sialome/links/PFAM/anoga_hyp8.2-PFAM.txt","Pneumo_att_G")</f>
        <v>Pneumo_att_G</v>
      </c>
      <c r="BF730" t="str">
        <f>HYPERLINK("http://pfam.sanger.ac.uk/family?acc=PF05539","0.35")</f>
        <v>0.35</v>
      </c>
      <c r="BG730" s="2" t="str">
        <f>HYPERLINK("http://exon.niaid.nih.gov/transcriptome/Anopheles_sialome/links/SMART/anoga_hyp8.2-SMART.txt","Tubulin")</f>
        <v>Tubulin</v>
      </c>
      <c r="BH730" t="str">
        <f>HYPERLINK("http://smart.embl-heidelberg.de/smart/do_annotation.pl?DOMAIN=Tubulin&amp;BLAST=DUMMY","3.1")</f>
        <v>3.1</v>
      </c>
      <c r="BI730" t="s">
        <v>128</v>
      </c>
      <c r="BJ730" s="2" t="s">
        <v>128</v>
      </c>
      <c r="BK730" t="s">
        <v>1328</v>
      </c>
      <c r="BL730">
        <f>HYPERLINK("http://exon.niaid.nih.gov/transcriptome/Anopheles_sialome/links/cluster-b/anopheline-sialome-cds-pep-larger-orf25-50SimCLU1.txt", 1)</f>
        <v>1</v>
      </c>
      <c r="BM730">
        <f>HYPERLINK("http://exon.niaid.nih.gov/transcriptome/Anopheles_sialome/links/cluster-b/anopheline-sialome-cds-pep-larger-orf25-50SimCLTL1.txt", 165)</f>
        <v>165</v>
      </c>
      <c r="BN730">
        <f>HYPERLINK("http://exon.niaid.nih.gov/transcriptome/Anopheles_sialome/links/cluster-b/anopheline-sialome-cds-pep-larger-orf30-50SimCLU1.txt", 1)</f>
        <v>1</v>
      </c>
      <c r="BO730">
        <f>HYPERLINK("http://exon.niaid.nih.gov/transcriptome/Anopheles_sialome/links/cluster-b/anopheline-sialome-cds-pep-larger-orf30-50SimCLTL1.txt", 165)</f>
        <v>165</v>
      </c>
      <c r="BP730">
        <f>HYPERLINK("http://exon.niaid.nih.gov/transcriptome/Anopheles_sialome/links/cluster-b/anopheline-sialome-cds-pep-larger-orf35-50SimCLU4.txt", 4)</f>
        <v>4</v>
      </c>
      <c r="BQ730">
        <f>HYPERLINK("http://exon.niaid.nih.gov/transcriptome/Anopheles_sialome/links/cluster-b/anopheline-sialome-cds-pep-larger-orf35-50SimCLTL4.txt", 76)</f>
        <v>76</v>
      </c>
      <c r="BR730">
        <f>HYPERLINK("http://exon.niaid.nih.gov/transcriptome/Anopheles_sialome/links/cluster-b/anopheline-sialome-cds-pep-larger-orf40-50SimCLU13.txt", 13)</f>
        <v>13</v>
      </c>
      <c r="BS730">
        <f>HYPERLINK("http://exon.niaid.nih.gov/transcriptome/Anopheles_sialome/links/cluster-b/anopheline-sialome-cds-pep-larger-orf40-50SimCLTL13.txt", 19)</f>
        <v>19</v>
      </c>
      <c r="BT730">
        <f>HYPERLINK("http://exon.niaid.nih.gov/transcriptome/Anopheles_sialome/links/cluster-b/anopheline-sialome-cds-pep-larger-orf45-50SimCLU13.txt", 13)</f>
        <v>13</v>
      </c>
      <c r="BU730">
        <f>HYPERLINK("http://exon.niaid.nih.gov/transcriptome/Anopheles_sialome/links/cluster-b/anopheline-sialome-cds-pep-larger-orf45-50SimCLTL13.txt", 19)</f>
        <v>19</v>
      </c>
      <c r="BV730">
        <f>HYPERLINK("http://exon.niaid.nih.gov/transcriptome/Anopheles_sialome/links/cluster-b/anopheline-sialome-cds-pep-larger-orf50-50SimCLU21.txt", 21)</f>
        <v>21</v>
      </c>
      <c r="BW730">
        <f>HYPERLINK("http://exon.niaid.nih.gov/transcriptome/Anopheles_sialome/links/cluster-b/anopheline-sialome-cds-pep-larger-orf50-50SimCLTL21.txt", 18)</f>
        <v>18</v>
      </c>
      <c r="BX730">
        <f>HYPERLINK("http://exon.niaid.nih.gov/transcriptome/Anopheles_sialome/links/cluster-b/anopheline-sialome-cds-pep-larger-orf55-50SimCLU23.txt", 23)</f>
        <v>23</v>
      </c>
      <c r="BY730">
        <f>HYPERLINK("http://exon.niaid.nih.gov/transcriptome/Anopheles_sialome/links/cluster-b/anopheline-sialome-cds-pep-larger-orf55-50SimCLTL23.txt", 17)</f>
        <v>17</v>
      </c>
      <c r="BZ730">
        <f>HYPERLINK("http://exon.niaid.nih.gov/transcriptome/Anopheles_sialome/links/cluster-b/anopheline-sialome-cds-pep-larger-orf60-50SimCLU30.txt", 30)</f>
        <v>30</v>
      </c>
      <c r="CA730">
        <f>HYPERLINK("http://exon.niaid.nih.gov/transcriptome/Anopheles_sialome/links/cluster-b/anopheline-sialome-cds-pep-larger-orf60-50SimCLTL30.txt", 14)</f>
        <v>14</v>
      </c>
      <c r="CB730">
        <f>HYPERLINK("http://exon.niaid.nih.gov/transcriptome/Anopheles_sialome/links/cluster-b/anopheline-sialome-cds-pep-larger-orf65-50SimCLU33.txt", 33)</f>
        <v>33</v>
      </c>
      <c r="CC730">
        <f>HYPERLINK("http://exon.niaid.nih.gov/transcriptome/Anopheles_sialome/links/cluster-b/anopheline-sialome-cds-pep-larger-orf65-50SimCLTL33.txt", 13)</f>
        <v>13</v>
      </c>
      <c r="CD730">
        <f>HYPERLINK("http://exon.niaid.nih.gov/transcriptome/Anopheles_sialome/links/cluster-b/anopheline-sialome-cds-pep-larger-orf70-50SimCLU41.txt", 41)</f>
        <v>41</v>
      </c>
      <c r="CE730">
        <f>HYPERLINK("http://exon.niaid.nih.gov/transcriptome/Anopheles_sialome/links/cluster-b/anopheline-sialome-cds-pep-larger-orf70-50SimCLTL41.txt", 8)</f>
        <v>8</v>
      </c>
      <c r="CF730">
        <f>HYPERLINK("http://exon.niaid.nih.gov/transcriptome/Anopheles_sialome/links/cluster-b/anopheline-sialome-cds-pep-larger-orf75-50SimCLU34.txt", 34)</f>
        <v>34</v>
      </c>
      <c r="CG730">
        <f>HYPERLINK("http://exon.niaid.nih.gov/transcriptome/Anopheles_sialome/links/cluster-b/anopheline-sialome-cds-pep-larger-orf75-50SimCLTL34.txt", 8)</f>
        <v>8</v>
      </c>
      <c r="CH730">
        <f>HYPERLINK("http://exon.niaid.nih.gov/transcriptome/Anopheles_sialome/links/cluster-b/anopheline-sialome-cds-pep-larger-orf80-50SimCLU37.txt", 37)</f>
        <v>37</v>
      </c>
      <c r="CI730">
        <f>HYPERLINK("http://exon.niaid.nih.gov/transcriptome/Anopheles_sialome/links/cluster-b/anopheline-sialome-cds-pep-larger-orf80-50SimCLTL37.txt", 6)</f>
        <v>6</v>
      </c>
      <c r="CJ730">
        <f>HYPERLINK("http://exon.niaid.nih.gov/transcriptome/Anopheles_sialome/links/cluster-b/anopheline-sialome-cds-pep-larger-orf85-50SimCLU33.txt", 33)</f>
        <v>33</v>
      </c>
      <c r="CK730">
        <f>HYPERLINK("http://exon.niaid.nih.gov/transcriptome/Anopheles_sialome/links/cluster-b/anopheline-sialome-cds-pep-larger-orf85-50SimCLTL33.txt", 6)</f>
        <v>6</v>
      </c>
      <c r="CL730">
        <f>HYPERLINK("http://exon.niaid.nih.gov/transcriptome/Anopheles_sialome/links/cluster-b/anopheline-sialome-cds-pep-larger-orf90-50SimCLU25.txt", 25)</f>
        <v>25</v>
      </c>
      <c r="CM730">
        <f>HYPERLINK("http://exon.niaid.nih.gov/transcriptome/Anopheles_sialome/links/cluster-b/anopheline-sialome-cds-pep-larger-orf90-50SimCLTL25.txt", 6)</f>
        <v>6</v>
      </c>
      <c r="CN730">
        <f>HYPERLINK("http://exon.niaid.nih.gov/transcriptome/Anopheles_sialome/links/cluster-b/anopheline-sialome-cds-pep-larger-orf95-50SimCLU16.txt", 16)</f>
        <v>16</v>
      </c>
      <c r="CO730">
        <f>HYPERLINK("http://exon.niaid.nih.gov/transcriptome/Anopheles_sialome/links/cluster-b/anopheline-sialome-cds-pep-larger-orf95-50SimCLTL16.txt", 6)</f>
        <v>6</v>
      </c>
    </row>
    <row r="731" spans="1:93">
      <c r="A731" s="2" t="str">
        <f>HYPERLINK("http://exon.niaid.nih.gov/transcriptome/Anopheles_sialome/links/cds/anocol_hyp8.2-cds.txt","anocol_hyp8.2")</f>
        <v>anocol_hyp8.2</v>
      </c>
      <c r="B731">
        <v>276</v>
      </c>
      <c r="C731" t="s">
        <v>4</v>
      </c>
      <c r="D731" s="8" t="s">
        <v>3178</v>
      </c>
      <c r="E731" t="s">
        <v>5</v>
      </c>
      <c r="F731" t="s">
        <v>1</v>
      </c>
      <c r="G731" t="str">
        <f>HYPERLINK("http://exon.niaid.nih.gov/transcriptome/Anopheles_sialome/links/pep/anocol_hyp8.2-pep.txt","anocol_hyp8.2")</f>
        <v>anocol_hyp8.2</v>
      </c>
      <c r="H731">
        <v>91</v>
      </c>
      <c r="I731">
        <v>1</v>
      </c>
      <c r="J731" s="3" t="str">
        <f>HYPERLINK("http://exon.niaid.nih.gov/transcriptome/Anopheles_sialome/links/Sigp/anocol_hyp8.2-SigP.txt","SIG")</f>
        <v>SIG</v>
      </c>
      <c r="K731" t="s">
        <v>925</v>
      </c>
      <c r="L731">
        <v>9.8480000000000008</v>
      </c>
      <c r="M731">
        <v>4.3</v>
      </c>
      <c r="N731">
        <v>7.8979999999999997</v>
      </c>
      <c r="O731">
        <v>4.21</v>
      </c>
      <c r="P731" t="s">
        <v>1043</v>
      </c>
      <c r="Q731" s="3">
        <v>0</v>
      </c>
      <c r="R731" t="s">
        <v>128</v>
      </c>
      <c r="S731" t="s">
        <v>128</v>
      </c>
      <c r="T731" t="s">
        <v>128</v>
      </c>
      <c r="U731" t="s">
        <v>128</v>
      </c>
      <c r="V731" t="s">
        <v>128</v>
      </c>
      <c r="W731" s="3" t="str">
        <f>HYPERLINK("http://exon.niaid.nih.gov/transcriptome/Anopheles_sialome/links/netoglyc/anocol_hyp8.2-netoglyc.txt","4")</f>
        <v>4</v>
      </c>
      <c r="X731">
        <v>14.3</v>
      </c>
      <c r="Y731">
        <v>3.3</v>
      </c>
      <c r="Z731">
        <v>5.5</v>
      </c>
      <c r="AA731" t="s">
        <v>654</v>
      </c>
      <c r="AB731" t="s">
        <v>128</v>
      </c>
      <c r="AC731" s="2" t="str">
        <f>HYPERLINK("http://exon.niaid.nih.gov/transcriptome/Anopheles_sialome/links/DIPTERA/anocol_hyp8.2-DIPTERA.txt","AGAP006494-PA")</f>
        <v>AGAP006494-PA</v>
      </c>
      <c r="AD731" t="str">
        <f>HYPERLINK("http://www.ncbi.nlm.nih.gov/sutils/blink.cgi?pid=157016274","3E-044")</f>
        <v>3E-044</v>
      </c>
      <c r="AE731" t="str">
        <f t="shared" si="254"/>
        <v>gi|157016274</v>
      </c>
      <c r="AF731">
        <v>97</v>
      </c>
      <c r="AG731">
        <v>98</v>
      </c>
      <c r="AH731">
        <v>100</v>
      </c>
      <c r="AI731" t="s">
        <v>2285</v>
      </c>
      <c r="AJ731" s="2" t="str">
        <f>HYPERLINK("http://exon.niaid.nih.gov/transcriptome/Anopheles_sialome/links/CULICOMORPHA/anocol_hyp8.2-CULICOMORPHA.txt","AGAP006494-PA")</f>
        <v>AGAP006494-PA</v>
      </c>
      <c r="AK731" t="str">
        <f>HYPERLINK("http://www.ncbi.nlm.nih.gov/sutils/blink.cgi?pid=157016274","5E-045")</f>
        <v>5E-045</v>
      </c>
      <c r="AL731" t="str">
        <f t="shared" si="255"/>
        <v>gi|157016274</v>
      </c>
      <c r="AM731">
        <v>97</v>
      </c>
      <c r="AN731">
        <v>98</v>
      </c>
      <c r="AO731">
        <v>100</v>
      </c>
      <c r="AP731" t="s">
        <v>2285</v>
      </c>
      <c r="AQ731" s="2" t="str">
        <f>HYPERLINK("http://exon.niaid.nih.gov/transcriptome/Anopheles_sialome/links/NR-LIGHT/anocol_hyp8.2-NR-LIGHT.txt","AGAP006494-PA")</f>
        <v>AGAP006494-PA</v>
      </c>
      <c r="AR731" t="str">
        <f>HYPERLINK("http://www.ncbi.nlm.nih.gov/sutils/blink.cgi?pid=158295940","9E-044")</f>
        <v>9E-044</v>
      </c>
      <c r="AS731" t="str">
        <f t="shared" si="256"/>
        <v>gi|158295940</v>
      </c>
      <c r="AT731">
        <v>97</v>
      </c>
      <c r="AU731">
        <v>98</v>
      </c>
      <c r="AV731">
        <v>100</v>
      </c>
      <c r="AW731" t="s">
        <v>2285</v>
      </c>
      <c r="AX731" s="2" t="str">
        <f>HYPERLINK("http://exon.niaid.nih.gov/transcriptome/Anopheles_sialome/links/CDD/anocol_hyp8.2-CDD.txt","PRK13108")</f>
        <v>PRK13108</v>
      </c>
      <c r="AY731" t="str">
        <f>HYPERLINK("http://www.ncbi.nlm.nih.gov/Structure/cdd/cddsrv.cgi?uid=PRK13108&amp;version=v4.0","0.37")</f>
        <v>0.37</v>
      </c>
      <c r="AZ731" t="s">
        <v>2642</v>
      </c>
      <c r="BA731" s="2" t="str">
        <f>HYPERLINK("http://exon.niaid.nih.gov/transcriptome/Anopheles_sialome/links/KOG/anocol_hyp8.2-KOG.txt","Microfibrillar-associated protein MFAP1")</f>
        <v>Microfibrillar-associated protein MFAP1</v>
      </c>
      <c r="BB731" t="str">
        <f>HYPERLINK("http://www.ncbi.nlm.nih.gov/Structure/cdd/cddsrv.cgi?uid=KOG1425","0.51")</f>
        <v>0.51</v>
      </c>
      <c r="BC731" t="s">
        <v>2312</v>
      </c>
      <c r="BD731" t="str">
        <f>HYPERLINK("http://exon.niaid.nih.gov/transcriptome/Anopheles_sialome/links/KOG/anocol_hyp8.2-KOG.txt","KOG1425")</f>
        <v>KOG1425</v>
      </c>
      <c r="BE731" t="str">
        <f>HYPERLINK("http://exon.niaid.nih.gov/transcriptome/Anopheles_sialome/links/PFAM/anocol_hyp8.2-PFAM.txt","DUF4602")</f>
        <v>DUF4602</v>
      </c>
      <c r="BF731" t="str">
        <f>HYPERLINK("http://pfam.sanger.ac.uk/family?acc=PF15375","0.17")</f>
        <v>0.17</v>
      </c>
      <c r="BG731" s="2" t="str">
        <f>HYPERLINK("http://exon.niaid.nih.gov/transcriptome/Anopheles_sialome/links/SMART/anocol_hyp8.2-SMART.txt","Agro_virD5")</f>
        <v>Agro_virD5</v>
      </c>
      <c r="BH731" t="str">
        <f>HYPERLINK("http://smart.embl-heidelberg.de/smart/do_annotation.pl?DOMAIN=Agro_virD5&amp;BLAST=DUMMY","1.6")</f>
        <v>1.6</v>
      </c>
      <c r="BI731" t="s">
        <v>128</v>
      </c>
      <c r="BJ731" s="2" t="s">
        <v>128</v>
      </c>
      <c r="BK731" t="s">
        <v>1330</v>
      </c>
      <c r="BL731">
        <f>HYPERLINK("http://exon.niaid.nih.gov/transcriptome/Anopheles_sialome/links/cluster-b/anopheline-sialome-cds-pep-larger-orf25-50SimCLU1.txt", 1)</f>
        <v>1</v>
      </c>
      <c r="BM731">
        <f>HYPERLINK("http://exon.niaid.nih.gov/transcriptome/Anopheles_sialome/links/cluster-b/anopheline-sialome-cds-pep-larger-orf25-50SimCLTL1.txt", 165)</f>
        <v>165</v>
      </c>
      <c r="BN731">
        <f>HYPERLINK("http://exon.niaid.nih.gov/transcriptome/Anopheles_sialome/links/cluster-b/anopheline-sialome-cds-pep-larger-orf30-50SimCLU1.txt", 1)</f>
        <v>1</v>
      </c>
      <c r="BO731">
        <f>HYPERLINK("http://exon.niaid.nih.gov/transcriptome/Anopheles_sialome/links/cluster-b/anopheline-sialome-cds-pep-larger-orf30-50SimCLTL1.txt", 165)</f>
        <v>165</v>
      </c>
      <c r="BP731">
        <f>HYPERLINK("http://exon.niaid.nih.gov/transcriptome/Anopheles_sialome/links/cluster-b/anopheline-sialome-cds-pep-larger-orf35-50SimCLU4.txt", 4)</f>
        <v>4</v>
      </c>
      <c r="BQ731">
        <f>HYPERLINK("http://exon.niaid.nih.gov/transcriptome/Anopheles_sialome/links/cluster-b/anopheline-sialome-cds-pep-larger-orf35-50SimCLTL4.txt", 76)</f>
        <v>76</v>
      </c>
      <c r="BR731">
        <f>HYPERLINK("http://exon.niaid.nih.gov/transcriptome/Anopheles_sialome/links/cluster-b/anopheline-sialome-cds-pep-larger-orf40-50SimCLU13.txt", 13)</f>
        <v>13</v>
      </c>
      <c r="BS731">
        <f>HYPERLINK("http://exon.niaid.nih.gov/transcriptome/Anopheles_sialome/links/cluster-b/anopheline-sialome-cds-pep-larger-orf40-50SimCLTL13.txt", 19)</f>
        <v>19</v>
      </c>
      <c r="BT731">
        <f>HYPERLINK("http://exon.niaid.nih.gov/transcriptome/Anopheles_sialome/links/cluster-b/anopheline-sialome-cds-pep-larger-orf45-50SimCLU13.txt", 13)</f>
        <v>13</v>
      </c>
      <c r="BU731">
        <f>HYPERLINK("http://exon.niaid.nih.gov/transcriptome/Anopheles_sialome/links/cluster-b/anopheline-sialome-cds-pep-larger-orf45-50SimCLTL13.txt", 19)</f>
        <v>19</v>
      </c>
      <c r="BV731">
        <f>HYPERLINK("http://exon.niaid.nih.gov/transcriptome/Anopheles_sialome/links/cluster-b/anopheline-sialome-cds-pep-larger-orf50-50SimCLU21.txt", 21)</f>
        <v>21</v>
      </c>
      <c r="BW731">
        <f>HYPERLINK("http://exon.niaid.nih.gov/transcriptome/Anopheles_sialome/links/cluster-b/anopheline-sialome-cds-pep-larger-orf50-50SimCLTL21.txt", 18)</f>
        <v>18</v>
      </c>
      <c r="BX731">
        <f>HYPERLINK("http://exon.niaid.nih.gov/transcriptome/Anopheles_sialome/links/cluster-b/anopheline-sialome-cds-pep-larger-orf55-50SimCLU23.txt", 23)</f>
        <v>23</v>
      </c>
      <c r="BY731">
        <f>HYPERLINK("http://exon.niaid.nih.gov/transcriptome/Anopheles_sialome/links/cluster-b/anopheline-sialome-cds-pep-larger-orf55-50SimCLTL23.txt", 17)</f>
        <v>17</v>
      </c>
      <c r="BZ731">
        <f>HYPERLINK("http://exon.niaid.nih.gov/transcriptome/Anopheles_sialome/links/cluster-b/anopheline-sialome-cds-pep-larger-orf60-50SimCLU30.txt", 30)</f>
        <v>30</v>
      </c>
      <c r="CA731">
        <f>HYPERLINK("http://exon.niaid.nih.gov/transcriptome/Anopheles_sialome/links/cluster-b/anopheline-sialome-cds-pep-larger-orf60-50SimCLTL30.txt", 14)</f>
        <v>14</v>
      </c>
      <c r="CB731">
        <f>HYPERLINK("http://exon.niaid.nih.gov/transcriptome/Anopheles_sialome/links/cluster-b/anopheline-sialome-cds-pep-larger-orf65-50SimCLU33.txt", 33)</f>
        <v>33</v>
      </c>
      <c r="CC731">
        <f>HYPERLINK("http://exon.niaid.nih.gov/transcriptome/Anopheles_sialome/links/cluster-b/anopheline-sialome-cds-pep-larger-orf65-50SimCLTL33.txt", 13)</f>
        <v>13</v>
      </c>
      <c r="CD731">
        <f>HYPERLINK("http://exon.niaid.nih.gov/transcriptome/Anopheles_sialome/links/cluster-b/anopheline-sialome-cds-pep-larger-orf70-50SimCLU41.txt", 41)</f>
        <v>41</v>
      </c>
      <c r="CE731">
        <f>HYPERLINK("http://exon.niaid.nih.gov/transcriptome/Anopheles_sialome/links/cluster-b/anopheline-sialome-cds-pep-larger-orf70-50SimCLTL41.txt", 8)</f>
        <v>8</v>
      </c>
      <c r="CF731">
        <f>HYPERLINK("http://exon.niaid.nih.gov/transcriptome/Anopheles_sialome/links/cluster-b/anopheline-sialome-cds-pep-larger-orf75-50SimCLU34.txt", 34)</f>
        <v>34</v>
      </c>
      <c r="CG731">
        <f>HYPERLINK("http://exon.niaid.nih.gov/transcriptome/Anopheles_sialome/links/cluster-b/anopheline-sialome-cds-pep-larger-orf75-50SimCLTL34.txt", 8)</f>
        <v>8</v>
      </c>
      <c r="CH731">
        <f>HYPERLINK("http://exon.niaid.nih.gov/transcriptome/Anopheles_sialome/links/cluster-b/anopheline-sialome-cds-pep-larger-orf80-50SimCLU37.txt", 37)</f>
        <v>37</v>
      </c>
      <c r="CI731">
        <f>HYPERLINK("http://exon.niaid.nih.gov/transcriptome/Anopheles_sialome/links/cluster-b/anopheline-sialome-cds-pep-larger-orf80-50SimCLTL37.txt", 6)</f>
        <v>6</v>
      </c>
      <c r="CJ731">
        <f>HYPERLINK("http://exon.niaid.nih.gov/transcriptome/Anopheles_sialome/links/cluster-b/anopheline-sialome-cds-pep-larger-orf85-50SimCLU33.txt", 33)</f>
        <v>33</v>
      </c>
      <c r="CK731">
        <f>HYPERLINK("http://exon.niaid.nih.gov/transcriptome/Anopheles_sialome/links/cluster-b/anopheline-sialome-cds-pep-larger-orf85-50SimCLTL33.txt", 6)</f>
        <v>6</v>
      </c>
      <c r="CL731">
        <f>HYPERLINK("http://exon.niaid.nih.gov/transcriptome/Anopheles_sialome/links/cluster-b/anopheline-sialome-cds-pep-larger-orf90-50SimCLU25.txt", 25)</f>
        <v>25</v>
      </c>
      <c r="CM731">
        <f>HYPERLINK("http://exon.niaid.nih.gov/transcriptome/Anopheles_sialome/links/cluster-b/anopheline-sialome-cds-pep-larger-orf90-50SimCLTL25.txt", 6)</f>
        <v>6</v>
      </c>
      <c r="CN731">
        <f>HYPERLINK("http://exon.niaid.nih.gov/transcriptome/Anopheles_sialome/links/cluster-b/anopheline-sialome-cds-pep-larger-orf95-50SimCLU16.txt", 16)</f>
        <v>16</v>
      </c>
      <c r="CO731">
        <f>HYPERLINK("http://exon.niaid.nih.gov/transcriptome/Anopheles_sialome/links/cluster-b/anopheline-sialome-cds-pep-larger-orf95-50SimCLTL16.txt", 6)</f>
        <v>6</v>
      </c>
    </row>
    <row r="732" spans="1:93">
      <c r="A732" s="2" t="str">
        <f>HYPERLINK("http://exon.niaid.nih.gov/transcriptome/Anopheles_sialome/links/cds/anoara_hyp8.2-cds.txt","anoara_hyp8.2")</f>
        <v>anoara_hyp8.2</v>
      </c>
      <c r="B732">
        <v>276</v>
      </c>
      <c r="C732" t="s">
        <v>4</v>
      </c>
      <c r="D732" s="8" t="s">
        <v>3178</v>
      </c>
      <c r="E732" t="s">
        <v>5</v>
      </c>
      <c r="F732" t="s">
        <v>1</v>
      </c>
      <c r="G732" t="str">
        <f>HYPERLINK("http://exon.niaid.nih.gov/transcriptome/Anopheles_sialome/links/pep/anoara_hyp8.2-pep.txt","anoara_hyp8.2")</f>
        <v>anoara_hyp8.2</v>
      </c>
      <c r="H732">
        <v>91</v>
      </c>
      <c r="I732">
        <v>1</v>
      </c>
      <c r="J732" s="3" t="str">
        <f>HYPERLINK("http://exon.niaid.nih.gov/transcriptome/Anopheles_sialome/links/Sigp/anoara_hyp8.2-SigP.txt","SIG")</f>
        <v>SIG</v>
      </c>
      <c r="K732" t="s">
        <v>925</v>
      </c>
      <c r="L732">
        <v>9.8480000000000008</v>
      </c>
      <c r="M732">
        <v>4.3</v>
      </c>
      <c r="N732">
        <v>7.8979999999999997</v>
      </c>
      <c r="O732">
        <v>4.21</v>
      </c>
      <c r="P732" t="s">
        <v>1043</v>
      </c>
      <c r="Q732" s="3">
        <v>0</v>
      </c>
      <c r="R732" t="s">
        <v>128</v>
      </c>
      <c r="S732" t="s">
        <v>128</v>
      </c>
      <c r="T732" t="s">
        <v>128</v>
      </c>
      <c r="U732" t="s">
        <v>128</v>
      </c>
      <c r="V732" t="s">
        <v>128</v>
      </c>
      <c r="W732" s="3" t="str">
        <f>HYPERLINK("http://exon.niaid.nih.gov/transcriptome/Anopheles_sialome/links/netoglyc/anoara_hyp8.2-netoglyc.txt","4")</f>
        <v>4</v>
      </c>
      <c r="X732">
        <v>14.3</v>
      </c>
      <c r="Y732">
        <v>3.3</v>
      </c>
      <c r="Z732">
        <v>5.5</v>
      </c>
      <c r="AA732" t="s">
        <v>654</v>
      </c>
      <c r="AB732" t="s">
        <v>128</v>
      </c>
      <c r="AC732" s="2" t="str">
        <f>HYPERLINK("http://exon.niaid.nih.gov/transcriptome/Anopheles_sialome/links/DIPTERA/anoara_hyp8.2-DIPTERA.txt","AGAP006494-PA")</f>
        <v>AGAP006494-PA</v>
      </c>
      <c r="AD732" t="str">
        <f>HYPERLINK("http://www.ncbi.nlm.nih.gov/sutils/blink.cgi?pid=157016274","3E-044")</f>
        <v>3E-044</v>
      </c>
      <c r="AE732" t="str">
        <f t="shared" si="254"/>
        <v>gi|157016274</v>
      </c>
      <c r="AF732">
        <v>97</v>
      </c>
      <c r="AG732">
        <v>98</v>
      </c>
      <c r="AH732">
        <v>100</v>
      </c>
      <c r="AI732" t="s">
        <v>2285</v>
      </c>
      <c r="AJ732" s="2" t="str">
        <f>HYPERLINK("http://exon.niaid.nih.gov/transcriptome/Anopheles_sialome/links/CULICOMORPHA/anoara_hyp8.2-CULICOMORPHA.txt","AGAP006494-PA")</f>
        <v>AGAP006494-PA</v>
      </c>
      <c r="AK732" t="str">
        <f>HYPERLINK("http://www.ncbi.nlm.nih.gov/sutils/blink.cgi?pid=157016274","5E-045")</f>
        <v>5E-045</v>
      </c>
      <c r="AL732" t="str">
        <f t="shared" si="255"/>
        <v>gi|157016274</v>
      </c>
      <c r="AM732">
        <v>97</v>
      </c>
      <c r="AN732">
        <v>98</v>
      </c>
      <c r="AO732">
        <v>100</v>
      </c>
      <c r="AP732" t="s">
        <v>2285</v>
      </c>
      <c r="AQ732" s="2" t="str">
        <f>HYPERLINK("http://exon.niaid.nih.gov/transcriptome/Anopheles_sialome/links/NR-LIGHT/anoara_hyp8.2-NR-LIGHT.txt","AGAP006494-PA")</f>
        <v>AGAP006494-PA</v>
      </c>
      <c r="AR732" t="str">
        <f>HYPERLINK("http://www.ncbi.nlm.nih.gov/sutils/blink.cgi?pid=158295940","9E-044")</f>
        <v>9E-044</v>
      </c>
      <c r="AS732" t="str">
        <f t="shared" si="256"/>
        <v>gi|158295940</v>
      </c>
      <c r="AT732">
        <v>97</v>
      </c>
      <c r="AU732">
        <v>98</v>
      </c>
      <c r="AV732">
        <v>100</v>
      </c>
      <c r="AW732" t="s">
        <v>2285</v>
      </c>
      <c r="AX732" s="2" t="str">
        <f>HYPERLINK("http://exon.niaid.nih.gov/transcriptome/Anopheles_sialome/links/CDD/anoara_hyp8.2-CDD.txt","PRK13108")</f>
        <v>PRK13108</v>
      </c>
      <c r="AY732" t="str">
        <f>HYPERLINK("http://www.ncbi.nlm.nih.gov/Structure/cdd/cddsrv.cgi?uid=PRK13108&amp;version=v4.0","0.37")</f>
        <v>0.37</v>
      </c>
      <c r="AZ732" t="s">
        <v>2642</v>
      </c>
      <c r="BA732" s="2" t="str">
        <f>HYPERLINK("http://exon.niaid.nih.gov/transcriptome/Anopheles_sialome/links/KOG/anoara_hyp8.2-KOG.txt","Microfibrillar-associated protein MFAP1")</f>
        <v>Microfibrillar-associated protein MFAP1</v>
      </c>
      <c r="BB732" t="str">
        <f>HYPERLINK("http://www.ncbi.nlm.nih.gov/Structure/cdd/cddsrv.cgi?uid=KOG1425","0.51")</f>
        <v>0.51</v>
      </c>
      <c r="BC732" t="s">
        <v>2312</v>
      </c>
      <c r="BD732" t="str">
        <f>HYPERLINK("http://exon.niaid.nih.gov/transcriptome/Anopheles_sialome/links/KOG/anoara_hyp8.2-KOG.txt","KOG1425")</f>
        <v>KOG1425</v>
      </c>
      <c r="BE732" t="str">
        <f>HYPERLINK("http://exon.niaid.nih.gov/transcriptome/Anopheles_sialome/links/PFAM/anoara_hyp8.2-PFAM.txt","DUF4602")</f>
        <v>DUF4602</v>
      </c>
      <c r="BF732" t="str">
        <f>HYPERLINK("http://pfam.sanger.ac.uk/family?acc=PF15375","0.17")</f>
        <v>0.17</v>
      </c>
      <c r="BG732" s="2" t="str">
        <f>HYPERLINK("http://exon.niaid.nih.gov/transcriptome/Anopheles_sialome/links/SMART/anoara_hyp8.2-SMART.txt","Agro_virD5")</f>
        <v>Agro_virD5</v>
      </c>
      <c r="BH732" t="str">
        <f>HYPERLINK("http://smart.embl-heidelberg.de/smart/do_annotation.pl?DOMAIN=Agro_virD5&amp;BLAST=DUMMY","1.6")</f>
        <v>1.6</v>
      </c>
      <c r="BI732" t="s">
        <v>128</v>
      </c>
      <c r="BJ732" s="2" t="s">
        <v>128</v>
      </c>
      <c r="BK732" t="s">
        <v>1331</v>
      </c>
      <c r="BL732">
        <f>HYPERLINK("http://exon.niaid.nih.gov/transcriptome/Anopheles_sialome/links/cluster-b/anopheline-sialome-cds-pep-larger-orf25-50SimCLU1.txt", 1)</f>
        <v>1</v>
      </c>
      <c r="BM732">
        <f>HYPERLINK("http://exon.niaid.nih.gov/transcriptome/Anopheles_sialome/links/cluster-b/anopheline-sialome-cds-pep-larger-orf25-50SimCLTL1.txt", 165)</f>
        <v>165</v>
      </c>
      <c r="BN732">
        <f>HYPERLINK("http://exon.niaid.nih.gov/transcriptome/Anopheles_sialome/links/cluster-b/anopheline-sialome-cds-pep-larger-orf30-50SimCLU1.txt", 1)</f>
        <v>1</v>
      </c>
      <c r="BO732">
        <f>HYPERLINK("http://exon.niaid.nih.gov/transcriptome/Anopheles_sialome/links/cluster-b/anopheline-sialome-cds-pep-larger-orf30-50SimCLTL1.txt", 165)</f>
        <v>165</v>
      </c>
      <c r="BP732">
        <f>HYPERLINK("http://exon.niaid.nih.gov/transcriptome/Anopheles_sialome/links/cluster-b/anopheline-sialome-cds-pep-larger-orf35-50SimCLU4.txt", 4)</f>
        <v>4</v>
      </c>
      <c r="BQ732">
        <f>HYPERLINK("http://exon.niaid.nih.gov/transcriptome/Anopheles_sialome/links/cluster-b/anopheline-sialome-cds-pep-larger-orf35-50SimCLTL4.txt", 76)</f>
        <v>76</v>
      </c>
      <c r="BR732">
        <f>HYPERLINK("http://exon.niaid.nih.gov/transcriptome/Anopheles_sialome/links/cluster-b/anopheline-sialome-cds-pep-larger-orf40-50SimCLU13.txt", 13)</f>
        <v>13</v>
      </c>
      <c r="BS732">
        <f>HYPERLINK("http://exon.niaid.nih.gov/transcriptome/Anopheles_sialome/links/cluster-b/anopheline-sialome-cds-pep-larger-orf40-50SimCLTL13.txt", 19)</f>
        <v>19</v>
      </c>
      <c r="BT732">
        <f>HYPERLINK("http://exon.niaid.nih.gov/transcriptome/Anopheles_sialome/links/cluster-b/anopheline-sialome-cds-pep-larger-orf45-50SimCLU13.txt", 13)</f>
        <v>13</v>
      </c>
      <c r="BU732">
        <f>HYPERLINK("http://exon.niaid.nih.gov/transcriptome/Anopheles_sialome/links/cluster-b/anopheline-sialome-cds-pep-larger-orf45-50SimCLTL13.txt", 19)</f>
        <v>19</v>
      </c>
      <c r="BV732">
        <f>HYPERLINK("http://exon.niaid.nih.gov/transcriptome/Anopheles_sialome/links/cluster-b/anopheline-sialome-cds-pep-larger-orf50-50SimCLU21.txt", 21)</f>
        <v>21</v>
      </c>
      <c r="BW732">
        <f>HYPERLINK("http://exon.niaid.nih.gov/transcriptome/Anopheles_sialome/links/cluster-b/anopheline-sialome-cds-pep-larger-orf50-50SimCLTL21.txt", 18)</f>
        <v>18</v>
      </c>
      <c r="BX732">
        <f>HYPERLINK("http://exon.niaid.nih.gov/transcriptome/Anopheles_sialome/links/cluster-b/anopheline-sialome-cds-pep-larger-orf55-50SimCLU23.txt", 23)</f>
        <v>23</v>
      </c>
      <c r="BY732">
        <f>HYPERLINK("http://exon.niaid.nih.gov/transcriptome/Anopheles_sialome/links/cluster-b/anopheline-sialome-cds-pep-larger-orf55-50SimCLTL23.txt", 17)</f>
        <v>17</v>
      </c>
      <c r="BZ732">
        <f>HYPERLINK("http://exon.niaid.nih.gov/transcriptome/Anopheles_sialome/links/cluster-b/anopheline-sialome-cds-pep-larger-orf60-50SimCLU30.txt", 30)</f>
        <v>30</v>
      </c>
      <c r="CA732">
        <f>HYPERLINK("http://exon.niaid.nih.gov/transcriptome/Anopheles_sialome/links/cluster-b/anopheline-sialome-cds-pep-larger-orf60-50SimCLTL30.txt", 14)</f>
        <v>14</v>
      </c>
      <c r="CB732">
        <f>HYPERLINK("http://exon.niaid.nih.gov/transcriptome/Anopheles_sialome/links/cluster-b/anopheline-sialome-cds-pep-larger-orf65-50SimCLU33.txt", 33)</f>
        <v>33</v>
      </c>
      <c r="CC732">
        <f>HYPERLINK("http://exon.niaid.nih.gov/transcriptome/Anopheles_sialome/links/cluster-b/anopheline-sialome-cds-pep-larger-orf65-50SimCLTL33.txt", 13)</f>
        <v>13</v>
      </c>
      <c r="CD732">
        <f>HYPERLINK("http://exon.niaid.nih.gov/transcriptome/Anopheles_sialome/links/cluster-b/anopheline-sialome-cds-pep-larger-orf70-50SimCLU41.txt", 41)</f>
        <v>41</v>
      </c>
      <c r="CE732">
        <f>HYPERLINK("http://exon.niaid.nih.gov/transcriptome/Anopheles_sialome/links/cluster-b/anopheline-sialome-cds-pep-larger-orf70-50SimCLTL41.txt", 8)</f>
        <v>8</v>
      </c>
      <c r="CF732">
        <f>HYPERLINK("http://exon.niaid.nih.gov/transcriptome/Anopheles_sialome/links/cluster-b/anopheline-sialome-cds-pep-larger-orf75-50SimCLU34.txt", 34)</f>
        <v>34</v>
      </c>
      <c r="CG732">
        <f>HYPERLINK("http://exon.niaid.nih.gov/transcriptome/Anopheles_sialome/links/cluster-b/anopheline-sialome-cds-pep-larger-orf75-50SimCLTL34.txt", 8)</f>
        <v>8</v>
      </c>
      <c r="CH732">
        <f>HYPERLINK("http://exon.niaid.nih.gov/transcriptome/Anopheles_sialome/links/cluster-b/anopheline-sialome-cds-pep-larger-orf80-50SimCLU37.txt", 37)</f>
        <v>37</v>
      </c>
      <c r="CI732">
        <f>HYPERLINK("http://exon.niaid.nih.gov/transcriptome/Anopheles_sialome/links/cluster-b/anopheline-sialome-cds-pep-larger-orf80-50SimCLTL37.txt", 6)</f>
        <v>6</v>
      </c>
      <c r="CJ732">
        <f>HYPERLINK("http://exon.niaid.nih.gov/transcriptome/Anopheles_sialome/links/cluster-b/anopheline-sialome-cds-pep-larger-orf85-50SimCLU33.txt", 33)</f>
        <v>33</v>
      </c>
      <c r="CK732">
        <f>HYPERLINK("http://exon.niaid.nih.gov/transcriptome/Anopheles_sialome/links/cluster-b/anopheline-sialome-cds-pep-larger-orf85-50SimCLTL33.txt", 6)</f>
        <v>6</v>
      </c>
      <c r="CL732">
        <f>HYPERLINK("http://exon.niaid.nih.gov/transcriptome/Anopheles_sialome/links/cluster-b/anopheline-sialome-cds-pep-larger-orf90-50SimCLU25.txt", 25)</f>
        <v>25</v>
      </c>
      <c r="CM732">
        <f>HYPERLINK("http://exon.niaid.nih.gov/transcriptome/Anopheles_sialome/links/cluster-b/anopheline-sialome-cds-pep-larger-orf90-50SimCLTL25.txt", 6)</f>
        <v>6</v>
      </c>
      <c r="CN732">
        <f>HYPERLINK("http://exon.niaid.nih.gov/transcriptome/Anopheles_sialome/links/cluster-b/anopheline-sialome-cds-pep-larger-orf95-50SimCLU16.txt", 16)</f>
        <v>16</v>
      </c>
      <c r="CO732">
        <f>HYPERLINK("http://exon.niaid.nih.gov/transcriptome/Anopheles_sialome/links/cluster-b/anopheline-sialome-cds-pep-larger-orf95-50SimCLTL16.txt", 6)</f>
        <v>6</v>
      </c>
    </row>
    <row r="733" spans="1:93">
      <c r="A733" s="2" t="str">
        <f>HYPERLINK("http://exon.niaid.nih.gov/transcriptome/Anopheles_sialome/links/cds/anoqua_hyp8.2-cds.txt","anoqua_hyp8.2")</f>
        <v>anoqua_hyp8.2</v>
      </c>
      <c r="B733">
        <v>276</v>
      </c>
      <c r="C733" t="s">
        <v>253</v>
      </c>
      <c r="D733" t="s">
        <v>4</v>
      </c>
      <c r="E733" t="s">
        <v>5</v>
      </c>
      <c r="F733" t="s">
        <v>1</v>
      </c>
      <c r="G733" t="str">
        <f>HYPERLINK("http://exon.niaid.nih.gov/transcriptome/Anopheles_sialome/links/pep/anoqua_hyp8.2-pep.txt","anoqua_hyp8.2")</f>
        <v>anoqua_hyp8.2</v>
      </c>
      <c r="H733">
        <v>91</v>
      </c>
      <c r="I733">
        <v>1</v>
      </c>
      <c r="J733" s="3" t="str">
        <f>HYPERLINK("http://exon.niaid.nih.gov/transcriptome/Anopheles_sialome/links/Sigp/anoqua_hyp8.2-SigP.txt","SIG")</f>
        <v>SIG</v>
      </c>
      <c r="K733" t="s">
        <v>925</v>
      </c>
      <c r="L733">
        <v>9.8379999999999992</v>
      </c>
      <c r="M733">
        <v>4.3</v>
      </c>
      <c r="N733">
        <v>7.8879999999999999</v>
      </c>
      <c r="O733">
        <v>4.21</v>
      </c>
      <c r="P733" t="s">
        <v>1043</v>
      </c>
      <c r="Q733" s="3">
        <v>0</v>
      </c>
      <c r="R733" t="s">
        <v>128</v>
      </c>
      <c r="S733" t="s">
        <v>128</v>
      </c>
      <c r="T733" t="s">
        <v>128</v>
      </c>
      <c r="U733" t="s">
        <v>128</v>
      </c>
      <c r="V733" t="s">
        <v>128</v>
      </c>
      <c r="W733" s="3" t="str">
        <f>HYPERLINK("http://exon.niaid.nih.gov/transcriptome/Anopheles_sialome/links/netoglyc/anoqua_hyp8.2-netoglyc.txt","4")</f>
        <v>4</v>
      </c>
      <c r="X733">
        <v>15.4</v>
      </c>
      <c r="Y733">
        <v>3.3</v>
      </c>
      <c r="Z733">
        <v>4.4000000000000004</v>
      </c>
      <c r="AA733" t="s">
        <v>654</v>
      </c>
      <c r="AB733" t="s">
        <v>128</v>
      </c>
      <c r="AC733" s="2" t="str">
        <f>HYPERLINK("http://exon.niaid.nih.gov/transcriptome/Anopheles_sialome/links/DIPTERA/anoqua_hyp8.2-DIPTERA.txt","AGAP006494-PA")</f>
        <v>AGAP006494-PA</v>
      </c>
      <c r="AD733" t="str">
        <f>HYPERLINK("http://www.ncbi.nlm.nih.gov/sutils/blink.cgi?pid=157016274","3E-043")</f>
        <v>3E-043</v>
      </c>
      <c r="AE733" t="str">
        <f t="shared" si="254"/>
        <v>gi|157016274</v>
      </c>
      <c r="AF733">
        <v>96</v>
      </c>
      <c r="AG733">
        <v>97</v>
      </c>
      <c r="AH733">
        <v>100</v>
      </c>
      <c r="AI733" t="s">
        <v>2285</v>
      </c>
      <c r="AJ733" s="2" t="str">
        <f>HYPERLINK("http://exon.niaid.nih.gov/transcriptome/Anopheles_sialome/links/CULICOMORPHA/anoqua_hyp8.2-CULICOMORPHA.txt","AGAP006494-PA")</f>
        <v>AGAP006494-PA</v>
      </c>
      <c r="AK733" t="str">
        <f>HYPERLINK("http://www.ncbi.nlm.nih.gov/sutils/blink.cgi?pid=157016274","4E-044")</f>
        <v>4E-044</v>
      </c>
      <c r="AL733" t="str">
        <f t="shared" si="255"/>
        <v>gi|157016274</v>
      </c>
      <c r="AM733">
        <v>96</v>
      </c>
      <c r="AN733">
        <v>97</v>
      </c>
      <c r="AO733">
        <v>100</v>
      </c>
      <c r="AP733" t="s">
        <v>2285</v>
      </c>
      <c r="AQ733" s="2" t="str">
        <f>HYPERLINK("http://exon.niaid.nih.gov/transcriptome/Anopheles_sialome/links/NR-LIGHT/anoqua_hyp8.2-NR-LIGHT.txt","AGAP006494-PA")</f>
        <v>AGAP006494-PA</v>
      </c>
      <c r="AR733" t="str">
        <f>HYPERLINK("http://www.ncbi.nlm.nih.gov/sutils/blink.cgi?pid=158295940","7E-043")</f>
        <v>7E-043</v>
      </c>
      <c r="AS733" t="str">
        <f t="shared" si="256"/>
        <v>gi|158295940</v>
      </c>
      <c r="AT733">
        <v>96</v>
      </c>
      <c r="AU733">
        <v>97</v>
      </c>
      <c r="AV733">
        <v>100</v>
      </c>
      <c r="AW733" t="s">
        <v>2285</v>
      </c>
      <c r="AX733" s="2" t="str">
        <f>HYPERLINK("http://exon.niaid.nih.gov/transcriptome/Anopheles_sialome/links/CDD/anoqua_hyp8.2-CDD.txt","PRK13108")</f>
        <v>PRK13108</v>
      </c>
      <c r="AY733" t="str">
        <f>HYPERLINK("http://www.ncbi.nlm.nih.gov/Structure/cdd/cddsrv.cgi?uid=PRK13108&amp;version=v4.0","0.21")</f>
        <v>0.21</v>
      </c>
      <c r="AZ733" t="s">
        <v>2643</v>
      </c>
      <c r="BA733" s="2" t="str">
        <f>HYPERLINK("http://exon.niaid.nih.gov/transcriptome/Anopheles_sialome/links/KOG/anoqua_hyp8.2-KOG.txt","Nuclear receptor coregulator SMRT/SMRTER, contains Myb-like domains")</f>
        <v>Nuclear receptor coregulator SMRT/SMRTER, contains Myb-like domains</v>
      </c>
      <c r="BB733" t="str">
        <f>HYPERLINK("http://www.ncbi.nlm.nih.gov/Structure/cdd/cddsrv.cgi?uid=KOG1878","0.41")</f>
        <v>0.41</v>
      </c>
      <c r="BC733" t="s">
        <v>2262</v>
      </c>
      <c r="BD733" t="str">
        <f>HYPERLINK("http://exon.niaid.nih.gov/transcriptome/Anopheles_sialome/links/KOG/anoqua_hyp8.2-KOG.txt","KOG1878")</f>
        <v>KOG1878</v>
      </c>
      <c r="BE733" t="str">
        <f>HYPERLINK("http://exon.niaid.nih.gov/transcriptome/Anopheles_sialome/links/PFAM/anoqua_hyp8.2-PFAM.txt","DUF4602")</f>
        <v>DUF4602</v>
      </c>
      <c r="BF733" t="str">
        <f>HYPERLINK("http://pfam.sanger.ac.uk/family?acc=PF15375","0.083")</f>
        <v>0.083</v>
      </c>
      <c r="BG733" s="2" t="str">
        <f>HYPERLINK("http://exon.niaid.nih.gov/transcriptome/Anopheles_sialome/links/SMART/anoqua_hyp8.2-SMART.txt","Tubulin")</f>
        <v>Tubulin</v>
      </c>
      <c r="BH733" t="str">
        <f>HYPERLINK("http://smart.embl-heidelberg.de/smart/do_annotation.pl?DOMAIN=Tubulin&amp;BLAST=DUMMY","3.2")</f>
        <v>3.2</v>
      </c>
      <c r="BI733" t="s">
        <v>128</v>
      </c>
      <c r="BJ733" s="2" t="s">
        <v>128</v>
      </c>
      <c r="BK733" t="s">
        <v>1332</v>
      </c>
      <c r="BL733">
        <f>HYPERLINK("http://exon.niaid.nih.gov/transcriptome/Anopheles_sialome/links/cluster-b/anopheline-sialome-cds-pep-larger-orf25-50SimCLU1.txt", 1)</f>
        <v>1</v>
      </c>
      <c r="BM733">
        <f>HYPERLINK("http://exon.niaid.nih.gov/transcriptome/Anopheles_sialome/links/cluster-b/anopheline-sialome-cds-pep-larger-orf25-50SimCLTL1.txt", 165)</f>
        <v>165</v>
      </c>
      <c r="BN733">
        <f>HYPERLINK("http://exon.niaid.nih.gov/transcriptome/Anopheles_sialome/links/cluster-b/anopheline-sialome-cds-pep-larger-orf30-50SimCLU1.txt", 1)</f>
        <v>1</v>
      </c>
      <c r="BO733">
        <f>HYPERLINK("http://exon.niaid.nih.gov/transcriptome/Anopheles_sialome/links/cluster-b/anopheline-sialome-cds-pep-larger-orf30-50SimCLTL1.txt", 165)</f>
        <v>165</v>
      </c>
      <c r="BP733">
        <f>HYPERLINK("http://exon.niaid.nih.gov/transcriptome/Anopheles_sialome/links/cluster-b/anopheline-sialome-cds-pep-larger-orf35-50SimCLU4.txt", 4)</f>
        <v>4</v>
      </c>
      <c r="BQ733">
        <f>HYPERLINK("http://exon.niaid.nih.gov/transcriptome/Anopheles_sialome/links/cluster-b/anopheline-sialome-cds-pep-larger-orf35-50SimCLTL4.txt", 76)</f>
        <v>76</v>
      </c>
      <c r="BR733">
        <f>HYPERLINK("http://exon.niaid.nih.gov/transcriptome/Anopheles_sialome/links/cluster-b/anopheline-sialome-cds-pep-larger-orf40-50SimCLU13.txt", 13)</f>
        <v>13</v>
      </c>
      <c r="BS733">
        <f>HYPERLINK("http://exon.niaid.nih.gov/transcriptome/Anopheles_sialome/links/cluster-b/anopheline-sialome-cds-pep-larger-orf40-50SimCLTL13.txt", 19)</f>
        <v>19</v>
      </c>
      <c r="BT733">
        <f>HYPERLINK("http://exon.niaid.nih.gov/transcriptome/Anopheles_sialome/links/cluster-b/anopheline-sialome-cds-pep-larger-orf45-50SimCLU13.txt", 13)</f>
        <v>13</v>
      </c>
      <c r="BU733">
        <f>HYPERLINK("http://exon.niaid.nih.gov/transcriptome/Anopheles_sialome/links/cluster-b/anopheline-sialome-cds-pep-larger-orf45-50SimCLTL13.txt", 19)</f>
        <v>19</v>
      </c>
      <c r="BV733">
        <f>HYPERLINK("http://exon.niaid.nih.gov/transcriptome/Anopheles_sialome/links/cluster-b/anopheline-sialome-cds-pep-larger-orf50-50SimCLU21.txt", 21)</f>
        <v>21</v>
      </c>
      <c r="BW733">
        <f>HYPERLINK("http://exon.niaid.nih.gov/transcriptome/Anopheles_sialome/links/cluster-b/anopheline-sialome-cds-pep-larger-orf50-50SimCLTL21.txt", 18)</f>
        <v>18</v>
      </c>
      <c r="BX733">
        <f>HYPERLINK("http://exon.niaid.nih.gov/transcriptome/Anopheles_sialome/links/cluster-b/anopheline-sialome-cds-pep-larger-orf55-50SimCLU23.txt", 23)</f>
        <v>23</v>
      </c>
      <c r="BY733">
        <f>HYPERLINK("http://exon.niaid.nih.gov/transcriptome/Anopheles_sialome/links/cluster-b/anopheline-sialome-cds-pep-larger-orf55-50SimCLTL23.txt", 17)</f>
        <v>17</v>
      </c>
      <c r="BZ733">
        <f>HYPERLINK("http://exon.niaid.nih.gov/transcriptome/Anopheles_sialome/links/cluster-b/anopheline-sialome-cds-pep-larger-orf60-50SimCLU30.txt", 30)</f>
        <v>30</v>
      </c>
      <c r="CA733">
        <f>HYPERLINK("http://exon.niaid.nih.gov/transcriptome/Anopheles_sialome/links/cluster-b/anopheline-sialome-cds-pep-larger-orf60-50SimCLTL30.txt", 14)</f>
        <v>14</v>
      </c>
      <c r="CB733">
        <f>HYPERLINK("http://exon.niaid.nih.gov/transcriptome/Anopheles_sialome/links/cluster-b/anopheline-sialome-cds-pep-larger-orf65-50SimCLU33.txt", 33)</f>
        <v>33</v>
      </c>
      <c r="CC733">
        <f>HYPERLINK("http://exon.niaid.nih.gov/transcriptome/Anopheles_sialome/links/cluster-b/anopheline-sialome-cds-pep-larger-orf65-50SimCLTL33.txt", 13)</f>
        <v>13</v>
      </c>
      <c r="CD733">
        <f>HYPERLINK("http://exon.niaid.nih.gov/transcriptome/Anopheles_sialome/links/cluster-b/anopheline-sialome-cds-pep-larger-orf70-50SimCLU41.txt", 41)</f>
        <v>41</v>
      </c>
      <c r="CE733">
        <f>HYPERLINK("http://exon.niaid.nih.gov/transcriptome/Anopheles_sialome/links/cluster-b/anopheline-sialome-cds-pep-larger-orf70-50SimCLTL41.txt", 8)</f>
        <v>8</v>
      </c>
      <c r="CF733">
        <f>HYPERLINK("http://exon.niaid.nih.gov/transcriptome/Anopheles_sialome/links/cluster-b/anopheline-sialome-cds-pep-larger-orf75-50SimCLU34.txt", 34)</f>
        <v>34</v>
      </c>
      <c r="CG733">
        <f>HYPERLINK("http://exon.niaid.nih.gov/transcriptome/Anopheles_sialome/links/cluster-b/anopheline-sialome-cds-pep-larger-orf75-50SimCLTL34.txt", 8)</f>
        <v>8</v>
      </c>
      <c r="CH733">
        <f>HYPERLINK("http://exon.niaid.nih.gov/transcriptome/Anopheles_sialome/links/cluster-b/anopheline-sialome-cds-pep-larger-orf80-50SimCLU37.txt", 37)</f>
        <v>37</v>
      </c>
      <c r="CI733">
        <f>HYPERLINK("http://exon.niaid.nih.gov/transcriptome/Anopheles_sialome/links/cluster-b/anopheline-sialome-cds-pep-larger-orf80-50SimCLTL37.txt", 6)</f>
        <v>6</v>
      </c>
      <c r="CJ733">
        <f>HYPERLINK("http://exon.niaid.nih.gov/transcriptome/Anopheles_sialome/links/cluster-b/anopheline-sialome-cds-pep-larger-orf85-50SimCLU33.txt", 33)</f>
        <v>33</v>
      </c>
      <c r="CK733">
        <f>HYPERLINK("http://exon.niaid.nih.gov/transcriptome/Anopheles_sialome/links/cluster-b/anopheline-sialome-cds-pep-larger-orf85-50SimCLTL33.txt", 6)</f>
        <v>6</v>
      </c>
      <c r="CL733">
        <f>HYPERLINK("http://exon.niaid.nih.gov/transcriptome/Anopheles_sialome/links/cluster-b/anopheline-sialome-cds-pep-larger-orf90-50SimCLU25.txt", 25)</f>
        <v>25</v>
      </c>
      <c r="CM733">
        <f>HYPERLINK("http://exon.niaid.nih.gov/transcriptome/Anopheles_sialome/links/cluster-b/anopheline-sialome-cds-pep-larger-orf90-50SimCLTL25.txt", 6)</f>
        <v>6</v>
      </c>
      <c r="CN733">
        <f>HYPERLINK("http://exon.niaid.nih.gov/transcriptome/Anopheles_sialome/links/cluster-b/anopheline-sialome-cds-pep-larger-orf95-50SimCLU16.txt", 16)</f>
        <v>16</v>
      </c>
      <c r="CO733">
        <f>HYPERLINK("http://exon.niaid.nih.gov/transcriptome/Anopheles_sialome/links/cluster-b/anopheline-sialome-cds-pep-larger-orf95-50SimCLTL16.txt", 6)</f>
        <v>6</v>
      </c>
    </row>
    <row r="734" spans="1:93">
      <c r="A734" s="2" t="str">
        <f>HYPERLINK("http://exon.niaid.nih.gov/transcriptome/Anopheles_sialome/links/cds/anomer_hyp8.2-cds.txt","anomer_hyp8.2")</f>
        <v>anomer_hyp8.2</v>
      </c>
      <c r="B734">
        <v>276</v>
      </c>
      <c r="C734" t="s">
        <v>4</v>
      </c>
      <c r="D734" s="8" t="s">
        <v>3178</v>
      </c>
      <c r="E734" t="s">
        <v>5</v>
      </c>
      <c r="F734" t="s">
        <v>1</v>
      </c>
      <c r="G734" t="str">
        <f>HYPERLINK("http://exon.niaid.nih.gov/transcriptome/Anopheles_sialome/links/pep/anomer_hyp8.2-pep.txt","anomer_hyp8.2")</f>
        <v>anomer_hyp8.2</v>
      </c>
      <c r="H734">
        <v>91</v>
      </c>
      <c r="I734">
        <v>1</v>
      </c>
      <c r="J734" s="3" t="str">
        <f>HYPERLINK("http://exon.niaid.nih.gov/transcriptome/Anopheles_sialome/links/Sigp/anomer_hyp8.2-SigP.txt","SIG")</f>
        <v>SIG</v>
      </c>
      <c r="K734" t="s">
        <v>925</v>
      </c>
      <c r="L734">
        <v>9.8870000000000005</v>
      </c>
      <c r="M734">
        <v>4.21</v>
      </c>
      <c r="N734">
        <v>7.9370000000000003</v>
      </c>
      <c r="O734">
        <v>4.1100000000000003</v>
      </c>
      <c r="P734" t="s">
        <v>1334</v>
      </c>
      <c r="Q734" s="3">
        <v>0</v>
      </c>
      <c r="R734" t="s">
        <v>128</v>
      </c>
      <c r="S734" t="s">
        <v>128</v>
      </c>
      <c r="T734" t="s">
        <v>128</v>
      </c>
      <c r="U734" t="s">
        <v>128</v>
      </c>
      <c r="V734" t="s">
        <v>128</v>
      </c>
      <c r="W734" s="3" t="str">
        <f>HYPERLINK("http://exon.niaid.nih.gov/transcriptome/Anopheles_sialome/links/netoglyc/anomer_hyp8.2-netoglyc.txt","5")</f>
        <v>5</v>
      </c>
      <c r="X734">
        <v>13.2</v>
      </c>
      <c r="Y734">
        <v>3.3</v>
      </c>
      <c r="Z734">
        <v>6.6</v>
      </c>
      <c r="AA734" t="s">
        <v>654</v>
      </c>
      <c r="AB734" t="s">
        <v>128</v>
      </c>
      <c r="AC734" s="2" t="str">
        <f>HYPERLINK("http://exon.niaid.nih.gov/transcriptome/Anopheles_sialome/links/DIPTERA/anomer_hyp8.2-DIPTERA.txt","AGAP006494-PA")</f>
        <v>AGAP006494-PA</v>
      </c>
      <c r="AD734" t="str">
        <f>HYPERLINK("http://www.ncbi.nlm.nih.gov/sutils/blink.cgi?pid=157016274","3E-043")</f>
        <v>3E-043</v>
      </c>
      <c r="AE734" t="str">
        <f t="shared" si="254"/>
        <v>gi|157016274</v>
      </c>
      <c r="AF734">
        <v>95</v>
      </c>
      <c r="AG734">
        <v>97</v>
      </c>
      <c r="AH734">
        <v>100</v>
      </c>
      <c r="AI734" t="s">
        <v>2285</v>
      </c>
      <c r="AJ734" s="2" t="str">
        <f>HYPERLINK("http://exon.niaid.nih.gov/transcriptome/Anopheles_sialome/links/CULICOMORPHA/anomer_hyp8.2-CULICOMORPHA.txt","AGAP006494-PA")</f>
        <v>AGAP006494-PA</v>
      </c>
      <c r="AK734" t="str">
        <f>HYPERLINK("http://www.ncbi.nlm.nih.gov/sutils/blink.cgi?pid=157016274","6E-044")</f>
        <v>6E-044</v>
      </c>
      <c r="AL734" t="str">
        <f t="shared" si="255"/>
        <v>gi|157016274</v>
      </c>
      <c r="AM734">
        <v>95</v>
      </c>
      <c r="AN734">
        <v>97</v>
      </c>
      <c r="AO734">
        <v>100</v>
      </c>
      <c r="AP734" t="s">
        <v>2285</v>
      </c>
      <c r="AQ734" s="2" t="str">
        <f>HYPERLINK("http://exon.niaid.nih.gov/transcriptome/Anopheles_sialome/links/NR-LIGHT/anomer_hyp8.2-NR-LIGHT.txt","AGAP006494-PA")</f>
        <v>AGAP006494-PA</v>
      </c>
      <c r="AR734" t="str">
        <f>HYPERLINK("http://www.ncbi.nlm.nih.gov/sutils/blink.cgi?pid=158295940","1E-042")</f>
        <v>1E-042</v>
      </c>
      <c r="AS734" t="str">
        <f t="shared" si="256"/>
        <v>gi|158295940</v>
      </c>
      <c r="AT734">
        <v>95</v>
      </c>
      <c r="AU734">
        <v>97</v>
      </c>
      <c r="AV734">
        <v>100</v>
      </c>
      <c r="AW734" t="s">
        <v>2285</v>
      </c>
      <c r="AX734" s="2" t="str">
        <f>HYPERLINK("http://exon.niaid.nih.gov/transcriptome/Anopheles_sialome/links/CDD/anomer_hyp8.2-CDD.txt","Neisseria_TspB")</f>
        <v>Neisseria_TspB</v>
      </c>
      <c r="AY734" t="str">
        <f>HYPERLINK("http://www.ncbi.nlm.nih.gov/Structure/cdd/cddsrv.cgi?uid=pfam05616&amp;version=v4.0","0.20")</f>
        <v>0.20</v>
      </c>
      <c r="AZ734" t="s">
        <v>2644</v>
      </c>
      <c r="BA734" s="2" t="str">
        <f>HYPERLINK("http://exon.niaid.nih.gov/transcriptome/Anopheles_sialome/links/KOG/anomer_hyp8.2-KOG.txt","Uncharacterized conserved protein")</f>
        <v>Uncharacterized conserved protein</v>
      </c>
      <c r="BB734" t="str">
        <f>HYPERLINK("http://www.ncbi.nlm.nih.gov/Structure/cdd/cddsrv.cgi?uid=KOG2885","0.42")</f>
        <v>0.42</v>
      </c>
      <c r="BC734" t="s">
        <v>2304</v>
      </c>
      <c r="BD734" t="str">
        <f>HYPERLINK("http://exon.niaid.nih.gov/transcriptome/Anopheles_sialome/links/KOG/anomer_hyp8.2-KOG.txt","KOG2885")</f>
        <v>KOG2885</v>
      </c>
      <c r="BE734" t="str">
        <f>HYPERLINK("http://exon.niaid.nih.gov/transcriptome/Anopheles_sialome/links/PFAM/anomer_hyp8.2-PFAM.txt","Neisseria_TspB")</f>
        <v>Neisseria_TspB</v>
      </c>
      <c r="BF734" t="str">
        <f>HYPERLINK("http://pfam.sanger.ac.uk/family?acc=PF05616","0.044")</f>
        <v>0.044</v>
      </c>
      <c r="BG734" s="2" t="str">
        <f>HYPERLINK("http://exon.niaid.nih.gov/transcriptome/Anopheles_sialome/links/SMART/anomer_hyp8.2-SMART.txt","POX")</f>
        <v>POX</v>
      </c>
      <c r="BH734" t="str">
        <f>HYPERLINK("http://smart.embl-heidelberg.de/smart/do_annotation.pl?DOMAIN=POX&amp;BLAST=DUMMY","2.7")</f>
        <v>2.7</v>
      </c>
      <c r="BI734" t="s">
        <v>128</v>
      </c>
      <c r="BJ734" s="2" t="s">
        <v>128</v>
      </c>
      <c r="BK734" t="s">
        <v>1333</v>
      </c>
      <c r="BL734">
        <f>HYPERLINK("http://exon.niaid.nih.gov/transcriptome/Anopheles_sialome/links/cluster-b/anopheline-sialome-cds-pep-larger-orf25-50SimCLU1.txt", 1)</f>
        <v>1</v>
      </c>
      <c r="BM734">
        <f>HYPERLINK("http://exon.niaid.nih.gov/transcriptome/Anopheles_sialome/links/cluster-b/anopheline-sialome-cds-pep-larger-orf25-50SimCLTL1.txt", 165)</f>
        <v>165</v>
      </c>
      <c r="BN734">
        <f>HYPERLINK("http://exon.niaid.nih.gov/transcriptome/Anopheles_sialome/links/cluster-b/anopheline-sialome-cds-pep-larger-orf30-50SimCLU1.txt", 1)</f>
        <v>1</v>
      </c>
      <c r="BO734">
        <f>HYPERLINK("http://exon.niaid.nih.gov/transcriptome/Anopheles_sialome/links/cluster-b/anopheline-sialome-cds-pep-larger-orf30-50SimCLTL1.txt", 165)</f>
        <v>165</v>
      </c>
      <c r="BP734">
        <f>HYPERLINK("http://exon.niaid.nih.gov/transcriptome/Anopheles_sialome/links/cluster-b/anopheline-sialome-cds-pep-larger-orf35-50SimCLU4.txt", 4)</f>
        <v>4</v>
      </c>
      <c r="BQ734">
        <f>HYPERLINK("http://exon.niaid.nih.gov/transcriptome/Anopheles_sialome/links/cluster-b/anopheline-sialome-cds-pep-larger-orf35-50SimCLTL4.txt", 76)</f>
        <v>76</v>
      </c>
      <c r="BR734">
        <f>HYPERLINK("http://exon.niaid.nih.gov/transcriptome/Anopheles_sialome/links/cluster-b/anopheline-sialome-cds-pep-larger-orf40-50SimCLU13.txt", 13)</f>
        <v>13</v>
      </c>
      <c r="BS734">
        <f>HYPERLINK("http://exon.niaid.nih.gov/transcriptome/Anopheles_sialome/links/cluster-b/anopheline-sialome-cds-pep-larger-orf40-50SimCLTL13.txt", 19)</f>
        <v>19</v>
      </c>
      <c r="BT734">
        <f>HYPERLINK("http://exon.niaid.nih.gov/transcriptome/Anopheles_sialome/links/cluster-b/anopheline-sialome-cds-pep-larger-orf45-50SimCLU13.txt", 13)</f>
        <v>13</v>
      </c>
      <c r="BU734">
        <f>HYPERLINK("http://exon.niaid.nih.gov/transcriptome/Anopheles_sialome/links/cluster-b/anopheline-sialome-cds-pep-larger-orf45-50SimCLTL13.txt", 19)</f>
        <v>19</v>
      </c>
      <c r="BV734">
        <f>HYPERLINK("http://exon.niaid.nih.gov/transcriptome/Anopheles_sialome/links/cluster-b/anopheline-sialome-cds-pep-larger-orf50-50SimCLU21.txt", 21)</f>
        <v>21</v>
      </c>
      <c r="BW734">
        <f>HYPERLINK("http://exon.niaid.nih.gov/transcriptome/Anopheles_sialome/links/cluster-b/anopheline-sialome-cds-pep-larger-orf50-50SimCLTL21.txt", 18)</f>
        <v>18</v>
      </c>
      <c r="BX734">
        <f>HYPERLINK("http://exon.niaid.nih.gov/transcriptome/Anopheles_sialome/links/cluster-b/anopheline-sialome-cds-pep-larger-orf55-50SimCLU23.txt", 23)</f>
        <v>23</v>
      </c>
      <c r="BY734">
        <f>HYPERLINK("http://exon.niaid.nih.gov/transcriptome/Anopheles_sialome/links/cluster-b/anopheline-sialome-cds-pep-larger-orf55-50SimCLTL23.txt", 17)</f>
        <v>17</v>
      </c>
      <c r="BZ734">
        <f>HYPERLINK("http://exon.niaid.nih.gov/transcriptome/Anopheles_sialome/links/cluster-b/anopheline-sialome-cds-pep-larger-orf60-50SimCLU30.txt", 30)</f>
        <v>30</v>
      </c>
      <c r="CA734">
        <f>HYPERLINK("http://exon.niaid.nih.gov/transcriptome/Anopheles_sialome/links/cluster-b/anopheline-sialome-cds-pep-larger-orf60-50SimCLTL30.txt", 14)</f>
        <v>14</v>
      </c>
      <c r="CB734">
        <f>HYPERLINK("http://exon.niaid.nih.gov/transcriptome/Anopheles_sialome/links/cluster-b/anopheline-sialome-cds-pep-larger-orf65-50SimCLU33.txt", 33)</f>
        <v>33</v>
      </c>
      <c r="CC734">
        <f>HYPERLINK("http://exon.niaid.nih.gov/transcriptome/Anopheles_sialome/links/cluster-b/anopheline-sialome-cds-pep-larger-orf65-50SimCLTL33.txt", 13)</f>
        <v>13</v>
      </c>
      <c r="CD734">
        <f>HYPERLINK("http://exon.niaid.nih.gov/transcriptome/Anopheles_sialome/links/cluster-b/anopheline-sialome-cds-pep-larger-orf70-50SimCLU41.txt", 41)</f>
        <v>41</v>
      </c>
      <c r="CE734">
        <f>HYPERLINK("http://exon.niaid.nih.gov/transcriptome/Anopheles_sialome/links/cluster-b/anopheline-sialome-cds-pep-larger-orf70-50SimCLTL41.txt", 8)</f>
        <v>8</v>
      </c>
      <c r="CF734">
        <f>HYPERLINK("http://exon.niaid.nih.gov/transcriptome/Anopheles_sialome/links/cluster-b/anopheline-sialome-cds-pep-larger-orf75-50SimCLU34.txt", 34)</f>
        <v>34</v>
      </c>
      <c r="CG734">
        <f>HYPERLINK("http://exon.niaid.nih.gov/transcriptome/Anopheles_sialome/links/cluster-b/anopheline-sialome-cds-pep-larger-orf75-50SimCLTL34.txt", 8)</f>
        <v>8</v>
      </c>
      <c r="CH734">
        <f>HYPERLINK("http://exon.niaid.nih.gov/transcriptome/Anopheles_sialome/links/cluster-b/anopheline-sialome-cds-pep-larger-orf80-50SimCLU37.txt", 37)</f>
        <v>37</v>
      </c>
      <c r="CI734">
        <f>HYPERLINK("http://exon.niaid.nih.gov/transcriptome/Anopheles_sialome/links/cluster-b/anopheline-sialome-cds-pep-larger-orf80-50SimCLTL37.txt", 6)</f>
        <v>6</v>
      </c>
      <c r="CJ734">
        <f>HYPERLINK("http://exon.niaid.nih.gov/transcriptome/Anopheles_sialome/links/cluster-b/anopheline-sialome-cds-pep-larger-orf85-50SimCLU33.txt", 33)</f>
        <v>33</v>
      </c>
      <c r="CK734">
        <f>HYPERLINK("http://exon.niaid.nih.gov/transcriptome/Anopheles_sialome/links/cluster-b/anopheline-sialome-cds-pep-larger-orf85-50SimCLTL33.txt", 6)</f>
        <v>6</v>
      </c>
      <c r="CL734">
        <f>HYPERLINK("http://exon.niaid.nih.gov/transcriptome/Anopheles_sialome/links/cluster-b/anopheline-sialome-cds-pep-larger-orf90-50SimCLU25.txt", 25)</f>
        <v>25</v>
      </c>
      <c r="CM734">
        <f>HYPERLINK("http://exon.niaid.nih.gov/transcriptome/Anopheles_sialome/links/cluster-b/anopheline-sialome-cds-pep-larger-orf90-50SimCLTL25.txt", 6)</f>
        <v>6</v>
      </c>
      <c r="CN734">
        <f>HYPERLINK("http://exon.niaid.nih.gov/transcriptome/Anopheles_sialome/links/cluster-b/anopheline-sialome-cds-pep-larger-orf95-50SimCLU16.txt", 16)</f>
        <v>16</v>
      </c>
      <c r="CO734">
        <f>HYPERLINK("http://exon.niaid.nih.gov/transcriptome/Anopheles_sialome/links/cluster-b/anopheline-sialome-cds-pep-larger-orf95-50SimCLTL16.txt", 6)</f>
        <v>6</v>
      </c>
    </row>
    <row r="735" spans="1:93">
      <c r="A735" s="2" t="str">
        <f>HYPERLINK("http://exon.niaid.nih.gov/transcriptome/Anopheles_sialome/links/cds/anomel_hyp8.2-cds.txt","anomel_hyp8.2")</f>
        <v>anomel_hyp8.2</v>
      </c>
      <c r="B735">
        <v>276</v>
      </c>
      <c r="C735" t="s">
        <v>4</v>
      </c>
      <c r="D735" s="8" t="s">
        <v>3178</v>
      </c>
      <c r="E735" t="s">
        <v>5</v>
      </c>
      <c r="F735" t="s">
        <v>1</v>
      </c>
      <c r="G735" t="str">
        <f>HYPERLINK("http://exon.niaid.nih.gov/transcriptome/Anopheles_sialome/links/pep/anomel_hyp8.2-pep.txt","anomel_hyp8.2")</f>
        <v>anomel_hyp8.2</v>
      </c>
      <c r="H735">
        <v>91</v>
      </c>
      <c r="I735">
        <v>1</v>
      </c>
      <c r="J735" s="3" t="str">
        <f>HYPERLINK("http://exon.niaid.nih.gov/transcriptome/Anopheles_sialome/links/Sigp/anomel_hyp8.2-SigP.txt","SIG")</f>
        <v>SIG</v>
      </c>
      <c r="K735" t="s">
        <v>925</v>
      </c>
      <c r="L735">
        <v>9.8339999999999996</v>
      </c>
      <c r="M735">
        <v>4.28</v>
      </c>
      <c r="N735">
        <v>7.8840000000000003</v>
      </c>
      <c r="O735">
        <v>4.1900000000000004</v>
      </c>
      <c r="P735" t="s">
        <v>1043</v>
      </c>
      <c r="Q735" s="3">
        <v>0</v>
      </c>
      <c r="R735" t="s">
        <v>128</v>
      </c>
      <c r="S735" t="s">
        <v>128</v>
      </c>
      <c r="T735" t="s">
        <v>128</v>
      </c>
      <c r="U735" t="s">
        <v>128</v>
      </c>
      <c r="V735" t="s">
        <v>128</v>
      </c>
      <c r="W735" s="3" t="str">
        <f>HYPERLINK("http://exon.niaid.nih.gov/transcriptome/Anopheles_sialome/links/netoglyc/anomel_hyp8.2-netoglyc.txt","4")</f>
        <v>4</v>
      </c>
      <c r="X735">
        <v>14.3</v>
      </c>
      <c r="Y735">
        <v>3.3</v>
      </c>
      <c r="Z735">
        <v>5.5</v>
      </c>
      <c r="AA735" t="s">
        <v>654</v>
      </c>
      <c r="AB735" t="s">
        <v>128</v>
      </c>
      <c r="AC735" s="2" t="str">
        <f>HYPERLINK("http://exon.niaid.nih.gov/transcriptome/Anopheles_sialome/links/DIPTERA/anomel_hyp8.2-DIPTERA.txt","AGAP006494-PA")</f>
        <v>AGAP006494-PA</v>
      </c>
      <c r="AD735" t="str">
        <f>HYPERLINK("http://www.ncbi.nlm.nih.gov/sutils/blink.cgi?pid=157016274","7E-044")</f>
        <v>7E-044</v>
      </c>
      <c r="AE735" t="str">
        <f t="shared" si="254"/>
        <v>gi|157016274</v>
      </c>
      <c r="AF735">
        <v>96</v>
      </c>
      <c r="AG735">
        <v>98</v>
      </c>
      <c r="AH735">
        <v>100</v>
      </c>
      <c r="AI735" t="s">
        <v>2285</v>
      </c>
      <c r="AJ735" s="2" t="str">
        <f>HYPERLINK("http://exon.niaid.nih.gov/transcriptome/Anopheles_sialome/links/CULICOMORPHA/anomel_hyp8.2-CULICOMORPHA.txt","AGAP006494-PA")</f>
        <v>AGAP006494-PA</v>
      </c>
      <c r="AK735" t="str">
        <f>HYPERLINK("http://www.ncbi.nlm.nih.gov/sutils/blink.cgi?pid=157016274","1E-044")</f>
        <v>1E-044</v>
      </c>
      <c r="AL735" t="str">
        <f t="shared" si="255"/>
        <v>gi|157016274</v>
      </c>
      <c r="AM735">
        <v>96</v>
      </c>
      <c r="AN735">
        <v>98</v>
      </c>
      <c r="AO735">
        <v>100</v>
      </c>
      <c r="AP735" t="s">
        <v>2285</v>
      </c>
      <c r="AQ735" s="2" t="str">
        <f>HYPERLINK("http://exon.niaid.nih.gov/transcriptome/Anopheles_sialome/links/NR-LIGHT/anomel_hyp8.2-NR-LIGHT.txt","AGAP006494-PA")</f>
        <v>AGAP006494-PA</v>
      </c>
      <c r="AR735" t="str">
        <f>HYPERLINK("http://www.ncbi.nlm.nih.gov/sutils/blink.cgi?pid=158295940","2E-043")</f>
        <v>2E-043</v>
      </c>
      <c r="AS735" t="str">
        <f t="shared" si="256"/>
        <v>gi|158295940</v>
      </c>
      <c r="AT735">
        <v>96</v>
      </c>
      <c r="AU735">
        <v>98</v>
      </c>
      <c r="AV735">
        <v>100</v>
      </c>
      <c r="AW735" t="s">
        <v>2285</v>
      </c>
      <c r="AX735" s="2" t="str">
        <f>HYPERLINK("http://exon.niaid.nih.gov/transcriptome/Anopheles_sialome/links/CDD/anomel_hyp8.2-CDD.txt","PRK13108")</f>
        <v>PRK13108</v>
      </c>
      <c r="AY735" t="str">
        <f>HYPERLINK("http://www.ncbi.nlm.nih.gov/Structure/cdd/cddsrv.cgi?uid=PRK13108&amp;version=v4.0","0.12")</f>
        <v>0.12</v>
      </c>
      <c r="AZ735" t="s">
        <v>2645</v>
      </c>
      <c r="BA735" s="2" t="str">
        <f>HYPERLINK("http://exon.niaid.nih.gov/transcriptome/Anopheles_sialome/links/KOG/anomel_hyp8.2-KOG.txt","Nucleolar GTPase/ATPase p130")</f>
        <v>Nucleolar GTPase/ATPase p130</v>
      </c>
      <c r="BB735" t="str">
        <f>HYPERLINK("http://www.ncbi.nlm.nih.gov/Structure/cdd/cddsrv.cgi?uid=KOG2992","0.36")</f>
        <v>0.36</v>
      </c>
      <c r="BC735" t="s">
        <v>2646</v>
      </c>
      <c r="BD735" t="str">
        <f>HYPERLINK("http://exon.niaid.nih.gov/transcriptome/Anopheles_sialome/links/KOG/anomel_hyp8.2-KOG.txt","KOG2992")</f>
        <v>KOG2992</v>
      </c>
      <c r="BE735" t="str">
        <f>HYPERLINK("http://exon.niaid.nih.gov/transcriptome/Anopheles_sialome/links/PFAM/anomel_hyp8.2-PFAM.txt","DUF4602")</f>
        <v>DUF4602</v>
      </c>
      <c r="BF735" t="str">
        <f>HYPERLINK("http://pfam.sanger.ac.uk/family?acc=PF15375","0.11")</f>
        <v>0.11</v>
      </c>
      <c r="BG735" s="2" t="str">
        <f>HYPERLINK("http://exon.niaid.nih.gov/transcriptome/Anopheles_sialome/links/SMART/anomel_hyp8.2-SMART.txt","Agro_virD5")</f>
        <v>Agro_virD5</v>
      </c>
      <c r="BH735" t="str">
        <f>HYPERLINK("http://smart.embl-heidelberg.de/smart/do_annotation.pl?DOMAIN=Agro_virD5&amp;BLAST=DUMMY","0.71")</f>
        <v>0.71</v>
      </c>
      <c r="BI735" t="s">
        <v>128</v>
      </c>
      <c r="BJ735" s="2" t="s">
        <v>128</v>
      </c>
      <c r="BK735" t="s">
        <v>1335</v>
      </c>
      <c r="BL735">
        <f>HYPERLINK("http://exon.niaid.nih.gov/transcriptome/Anopheles_sialome/links/cluster-b/anopheline-sialome-cds-pep-larger-orf25-50SimCLU1.txt", 1)</f>
        <v>1</v>
      </c>
      <c r="BM735">
        <f>HYPERLINK("http://exon.niaid.nih.gov/transcriptome/Anopheles_sialome/links/cluster-b/anopheline-sialome-cds-pep-larger-orf25-50SimCLTL1.txt", 165)</f>
        <v>165</v>
      </c>
      <c r="BN735">
        <f>HYPERLINK("http://exon.niaid.nih.gov/transcriptome/Anopheles_sialome/links/cluster-b/anopheline-sialome-cds-pep-larger-orf30-50SimCLU1.txt", 1)</f>
        <v>1</v>
      </c>
      <c r="BO735">
        <f>HYPERLINK("http://exon.niaid.nih.gov/transcriptome/Anopheles_sialome/links/cluster-b/anopheline-sialome-cds-pep-larger-orf30-50SimCLTL1.txt", 165)</f>
        <v>165</v>
      </c>
      <c r="BP735">
        <f>HYPERLINK("http://exon.niaid.nih.gov/transcriptome/Anopheles_sialome/links/cluster-b/anopheline-sialome-cds-pep-larger-orf35-50SimCLU4.txt", 4)</f>
        <v>4</v>
      </c>
      <c r="BQ735">
        <f>HYPERLINK("http://exon.niaid.nih.gov/transcriptome/Anopheles_sialome/links/cluster-b/anopheline-sialome-cds-pep-larger-orf35-50SimCLTL4.txt", 76)</f>
        <v>76</v>
      </c>
      <c r="BR735">
        <f>HYPERLINK("http://exon.niaid.nih.gov/transcriptome/Anopheles_sialome/links/cluster-b/anopheline-sialome-cds-pep-larger-orf40-50SimCLU13.txt", 13)</f>
        <v>13</v>
      </c>
      <c r="BS735">
        <f>HYPERLINK("http://exon.niaid.nih.gov/transcriptome/Anopheles_sialome/links/cluster-b/anopheline-sialome-cds-pep-larger-orf40-50SimCLTL13.txt", 19)</f>
        <v>19</v>
      </c>
      <c r="BT735">
        <f>HYPERLINK("http://exon.niaid.nih.gov/transcriptome/Anopheles_sialome/links/cluster-b/anopheline-sialome-cds-pep-larger-orf45-50SimCLU13.txt", 13)</f>
        <v>13</v>
      </c>
      <c r="BU735">
        <f>HYPERLINK("http://exon.niaid.nih.gov/transcriptome/Anopheles_sialome/links/cluster-b/anopheline-sialome-cds-pep-larger-orf45-50SimCLTL13.txt", 19)</f>
        <v>19</v>
      </c>
      <c r="BV735">
        <f>HYPERLINK("http://exon.niaid.nih.gov/transcriptome/Anopheles_sialome/links/cluster-b/anopheline-sialome-cds-pep-larger-orf50-50SimCLU21.txt", 21)</f>
        <v>21</v>
      </c>
      <c r="BW735">
        <f>HYPERLINK("http://exon.niaid.nih.gov/transcriptome/Anopheles_sialome/links/cluster-b/anopheline-sialome-cds-pep-larger-orf50-50SimCLTL21.txt", 18)</f>
        <v>18</v>
      </c>
      <c r="BX735">
        <f>HYPERLINK("http://exon.niaid.nih.gov/transcriptome/Anopheles_sialome/links/cluster-b/anopheline-sialome-cds-pep-larger-orf55-50SimCLU23.txt", 23)</f>
        <v>23</v>
      </c>
      <c r="BY735">
        <f>HYPERLINK("http://exon.niaid.nih.gov/transcriptome/Anopheles_sialome/links/cluster-b/anopheline-sialome-cds-pep-larger-orf55-50SimCLTL23.txt", 17)</f>
        <v>17</v>
      </c>
      <c r="BZ735">
        <f>HYPERLINK("http://exon.niaid.nih.gov/transcriptome/Anopheles_sialome/links/cluster-b/anopheline-sialome-cds-pep-larger-orf60-50SimCLU30.txt", 30)</f>
        <v>30</v>
      </c>
      <c r="CA735">
        <f>HYPERLINK("http://exon.niaid.nih.gov/transcriptome/Anopheles_sialome/links/cluster-b/anopheline-sialome-cds-pep-larger-orf60-50SimCLTL30.txt", 14)</f>
        <v>14</v>
      </c>
      <c r="CB735">
        <f>HYPERLINK("http://exon.niaid.nih.gov/transcriptome/Anopheles_sialome/links/cluster-b/anopheline-sialome-cds-pep-larger-orf65-50SimCLU33.txt", 33)</f>
        <v>33</v>
      </c>
      <c r="CC735">
        <f>HYPERLINK("http://exon.niaid.nih.gov/transcriptome/Anopheles_sialome/links/cluster-b/anopheline-sialome-cds-pep-larger-orf65-50SimCLTL33.txt", 13)</f>
        <v>13</v>
      </c>
      <c r="CD735">
        <f>HYPERLINK("http://exon.niaid.nih.gov/transcriptome/Anopheles_sialome/links/cluster-b/anopheline-sialome-cds-pep-larger-orf70-50SimCLU41.txt", 41)</f>
        <v>41</v>
      </c>
      <c r="CE735">
        <f>HYPERLINK("http://exon.niaid.nih.gov/transcriptome/Anopheles_sialome/links/cluster-b/anopheline-sialome-cds-pep-larger-orf70-50SimCLTL41.txt", 8)</f>
        <v>8</v>
      </c>
      <c r="CF735">
        <f>HYPERLINK("http://exon.niaid.nih.gov/transcriptome/Anopheles_sialome/links/cluster-b/anopheline-sialome-cds-pep-larger-orf75-50SimCLU34.txt", 34)</f>
        <v>34</v>
      </c>
      <c r="CG735">
        <f>HYPERLINK("http://exon.niaid.nih.gov/transcriptome/Anopheles_sialome/links/cluster-b/anopheline-sialome-cds-pep-larger-orf75-50SimCLTL34.txt", 8)</f>
        <v>8</v>
      </c>
      <c r="CH735">
        <f>HYPERLINK("http://exon.niaid.nih.gov/transcriptome/Anopheles_sialome/links/cluster-b/anopheline-sialome-cds-pep-larger-orf80-50SimCLU37.txt", 37)</f>
        <v>37</v>
      </c>
      <c r="CI735">
        <f>HYPERLINK("http://exon.niaid.nih.gov/transcriptome/Anopheles_sialome/links/cluster-b/anopheline-sialome-cds-pep-larger-orf80-50SimCLTL37.txt", 6)</f>
        <v>6</v>
      </c>
      <c r="CJ735">
        <f>HYPERLINK("http://exon.niaid.nih.gov/transcriptome/Anopheles_sialome/links/cluster-b/anopheline-sialome-cds-pep-larger-orf85-50SimCLU33.txt", 33)</f>
        <v>33</v>
      </c>
      <c r="CK735">
        <f>HYPERLINK("http://exon.niaid.nih.gov/transcriptome/Anopheles_sialome/links/cluster-b/anopheline-sialome-cds-pep-larger-orf85-50SimCLTL33.txt", 6)</f>
        <v>6</v>
      </c>
      <c r="CL735">
        <f>HYPERLINK("http://exon.niaid.nih.gov/transcriptome/Anopheles_sialome/links/cluster-b/anopheline-sialome-cds-pep-larger-orf90-50SimCLU25.txt", 25)</f>
        <v>25</v>
      </c>
      <c r="CM735">
        <f>HYPERLINK("http://exon.niaid.nih.gov/transcriptome/Anopheles_sialome/links/cluster-b/anopheline-sialome-cds-pep-larger-orf90-50SimCLTL25.txt", 6)</f>
        <v>6</v>
      </c>
      <c r="CN735">
        <f>HYPERLINK("http://exon.niaid.nih.gov/transcriptome/Anopheles_sialome/links/cluster-b/anopheline-sialome-cds-pep-larger-orf95-50SimCLU16.txt", 16)</f>
        <v>16</v>
      </c>
      <c r="CO735">
        <f>HYPERLINK("http://exon.niaid.nih.gov/transcriptome/Anopheles_sialome/links/cluster-b/anopheline-sialome-cds-pep-larger-orf95-50SimCLTL16.txt", 6)</f>
        <v>6</v>
      </c>
    </row>
    <row r="736" spans="1:93">
      <c r="A736" s="2" t="str">
        <f>HYPERLINK("http://exon.niaid.nih.gov/transcriptome/Anopheles_sialome/links/cds/anochris_hyp8.2-cds.txt","anochris_hyp8.2")</f>
        <v>anochris_hyp8.2</v>
      </c>
      <c r="B736">
        <v>279</v>
      </c>
      <c r="C736" t="s">
        <v>254</v>
      </c>
      <c r="D736" t="s">
        <v>4</v>
      </c>
      <c r="E736" t="s">
        <v>5</v>
      </c>
      <c r="F736" t="s">
        <v>1</v>
      </c>
      <c r="G736" t="str">
        <f>HYPERLINK("http://exon.niaid.nih.gov/transcriptome/Anopheles_sialome/links/pep/anochris_hyp8.2-pep.txt","anochris_hyp8.2")</f>
        <v>anochris_hyp8.2</v>
      </c>
      <c r="H736">
        <v>92</v>
      </c>
      <c r="I736">
        <v>0</v>
      </c>
      <c r="J736" s="3" t="str">
        <f>HYPERLINK("http://exon.niaid.nih.gov/transcriptome/Anopheles_sialome/links/Sigp/anochris_hyp8.2-SigP.txt","SIG")</f>
        <v>SIG</v>
      </c>
      <c r="K736" t="s">
        <v>925</v>
      </c>
      <c r="L736">
        <v>10.058999999999999</v>
      </c>
      <c r="M736">
        <v>4.5599999999999996</v>
      </c>
      <c r="N736">
        <v>8.1159999999999997</v>
      </c>
      <c r="O736">
        <v>4.43</v>
      </c>
      <c r="P736" t="s">
        <v>1072</v>
      </c>
      <c r="Q736" s="3">
        <v>0</v>
      </c>
      <c r="R736" t="s">
        <v>128</v>
      </c>
      <c r="S736" t="s">
        <v>128</v>
      </c>
      <c r="T736" t="s">
        <v>128</v>
      </c>
      <c r="U736" t="s">
        <v>128</v>
      </c>
      <c r="V736" t="s">
        <v>128</v>
      </c>
      <c r="W736" s="3" t="str">
        <f>HYPERLINK("http://exon.niaid.nih.gov/transcriptome/Anopheles_sialome/links/netoglyc/anochris_hyp8.2-netoglyc.txt","9")</f>
        <v>9</v>
      </c>
      <c r="X736">
        <v>21.7</v>
      </c>
      <c r="Y736">
        <v>4.3</v>
      </c>
      <c r="Z736">
        <v>5.4</v>
      </c>
      <c r="AA736" t="s">
        <v>654</v>
      </c>
      <c r="AB736" t="s">
        <v>128</v>
      </c>
      <c r="AC736" s="2" t="str">
        <f>HYPERLINK("http://exon.niaid.nih.gov/transcriptome/Anopheles_sialome/links/DIPTERA/anochris_hyp8.2-DIPTERA.txt","AGAP006494-PA")</f>
        <v>AGAP006494-PA</v>
      </c>
      <c r="AD736" t="str">
        <f>HYPERLINK("http://www.ncbi.nlm.nih.gov/sutils/blink.cgi?pid=157016274","6E-024")</f>
        <v>6E-024</v>
      </c>
      <c r="AE736" t="str">
        <f t="shared" si="254"/>
        <v>gi|157016274</v>
      </c>
      <c r="AF736">
        <v>62</v>
      </c>
      <c r="AG736">
        <v>78</v>
      </c>
      <c r="AH736">
        <v>102</v>
      </c>
      <c r="AI736" t="s">
        <v>2285</v>
      </c>
      <c r="AJ736" s="2" t="str">
        <f>HYPERLINK("http://exon.niaid.nih.gov/transcriptome/Anopheles_sialome/links/CULICOMORPHA/anochris_hyp8.2-CULICOMORPHA.txt","AGAP006494-PA")</f>
        <v>AGAP006494-PA</v>
      </c>
      <c r="AK736" t="str">
        <f>HYPERLINK("http://www.ncbi.nlm.nih.gov/sutils/blink.cgi?pid=157016274","1E-024")</f>
        <v>1E-024</v>
      </c>
      <c r="AL736" t="str">
        <f t="shared" si="255"/>
        <v>gi|157016274</v>
      </c>
      <c r="AM736">
        <v>62</v>
      </c>
      <c r="AN736">
        <v>78</v>
      </c>
      <c r="AO736">
        <v>102</v>
      </c>
      <c r="AP736" t="s">
        <v>2285</v>
      </c>
      <c r="AQ736" s="2" t="str">
        <f>HYPERLINK("http://exon.niaid.nih.gov/transcriptome/Anopheles_sialome/links/NR-LIGHT/anochris_hyp8.2-NR-LIGHT.txt","AGAP006494-PA")</f>
        <v>AGAP006494-PA</v>
      </c>
      <c r="AR736" t="str">
        <f>HYPERLINK("http://www.ncbi.nlm.nih.gov/sutils/blink.cgi?pid=158295940","2E-023")</f>
        <v>2E-023</v>
      </c>
      <c r="AS736" t="str">
        <f t="shared" si="256"/>
        <v>gi|158295940</v>
      </c>
      <c r="AT736">
        <v>62</v>
      </c>
      <c r="AU736">
        <v>78</v>
      </c>
      <c r="AV736">
        <v>102</v>
      </c>
      <c r="AW736" t="s">
        <v>2285</v>
      </c>
      <c r="AX736" s="2" t="str">
        <f>HYPERLINK("http://exon.niaid.nih.gov/transcriptome/Anopheles_sialome/links/CDD/anochris_hyp8.2-CDD.txt","CeuA")</f>
        <v>CeuA</v>
      </c>
      <c r="AY736" t="str">
        <f>HYPERLINK("http://www.ncbi.nlm.nih.gov/Structure/cdd/cddsrv.cgi?uid=COG4607&amp;version=v4.0","0.28")</f>
        <v>0.28</v>
      </c>
      <c r="AZ736" t="s">
        <v>2647</v>
      </c>
      <c r="BA736" s="2" t="str">
        <f>HYPERLINK("http://exon.niaid.nih.gov/transcriptome/Anopheles_sialome/links/KOG/anochris_hyp8.2-KOG.txt","RNA-binding protein (contains RRM and Pumilio-like repeats)")</f>
        <v>RNA-binding protein (contains RRM and Pumilio-like repeats)</v>
      </c>
      <c r="BB736" t="str">
        <f>HYPERLINK("http://www.ncbi.nlm.nih.gov/Structure/cdd/cddsrv.cgi?uid=KOG4574","1.5")</f>
        <v>1.5</v>
      </c>
      <c r="BC736" t="s">
        <v>2310</v>
      </c>
      <c r="BD736" t="str">
        <f>HYPERLINK("http://exon.niaid.nih.gov/transcriptome/Anopheles_sialome/links/KOG/anochris_hyp8.2-KOG.txt","KOG4574")</f>
        <v>KOG4574</v>
      </c>
      <c r="BE736" t="str">
        <f>HYPERLINK("http://exon.niaid.nih.gov/transcriptome/Anopheles_sialome/links/PFAM/anochris_hyp8.2-PFAM.txt","DUF773")</f>
        <v>DUF773</v>
      </c>
      <c r="BF736" t="str">
        <f>HYPERLINK("http://pfam.sanger.ac.uk/family?acc=PF05600","0.40")</f>
        <v>0.40</v>
      </c>
      <c r="BG736" s="2" t="str">
        <f>HYPERLINK("http://exon.niaid.nih.gov/transcriptome/Anopheles_sialome/links/SMART/anochris_hyp8.2-SMART.txt","PRP")</f>
        <v>PRP</v>
      </c>
      <c r="BH736" t="str">
        <f>HYPERLINK("http://smart.embl-heidelberg.de/smart/do_annotation.pl?DOMAIN=PRP&amp;BLAST=DUMMY","0.007")</f>
        <v>0.007</v>
      </c>
      <c r="BI736" t="s">
        <v>128</v>
      </c>
      <c r="BJ736" s="2" t="s">
        <v>128</v>
      </c>
      <c r="BK736" t="s">
        <v>1336</v>
      </c>
      <c r="BL736">
        <f>HYPERLINK("http://exon.niaid.nih.gov/transcriptome/Anopheles_sialome/links/cluster-b/anopheline-sialome-cds-pep-larger-orf25-50SimCLU1.txt", 1)</f>
        <v>1</v>
      </c>
      <c r="BM736">
        <f>HYPERLINK("http://exon.niaid.nih.gov/transcriptome/Anopheles_sialome/links/cluster-b/anopheline-sialome-cds-pep-larger-orf25-50SimCLTL1.txt", 165)</f>
        <v>165</v>
      </c>
      <c r="BN736">
        <f>HYPERLINK("http://exon.niaid.nih.gov/transcriptome/Anopheles_sialome/links/cluster-b/anopheline-sialome-cds-pep-larger-orf30-50SimCLU1.txt", 1)</f>
        <v>1</v>
      </c>
      <c r="BO736">
        <f>HYPERLINK("http://exon.niaid.nih.gov/transcriptome/Anopheles_sialome/links/cluster-b/anopheline-sialome-cds-pep-larger-orf30-50SimCLTL1.txt", 165)</f>
        <v>165</v>
      </c>
      <c r="BP736">
        <f>HYPERLINK("http://exon.niaid.nih.gov/transcriptome/Anopheles_sialome/links/cluster-b/anopheline-sialome-cds-pep-larger-orf35-50SimCLU4.txt", 4)</f>
        <v>4</v>
      </c>
      <c r="BQ736">
        <f>HYPERLINK("http://exon.niaid.nih.gov/transcriptome/Anopheles_sialome/links/cluster-b/anopheline-sialome-cds-pep-larger-orf35-50SimCLTL4.txt", 76)</f>
        <v>76</v>
      </c>
      <c r="BR736">
        <f>HYPERLINK("http://exon.niaid.nih.gov/transcriptome/Anopheles_sialome/links/cluster-b/anopheline-sialome-cds-pep-larger-orf40-50SimCLU13.txt", 13)</f>
        <v>13</v>
      </c>
      <c r="BS736">
        <f>HYPERLINK("http://exon.niaid.nih.gov/transcriptome/Anopheles_sialome/links/cluster-b/anopheline-sialome-cds-pep-larger-orf40-50SimCLTL13.txt", 19)</f>
        <v>19</v>
      </c>
      <c r="BT736">
        <f>HYPERLINK("http://exon.niaid.nih.gov/transcriptome/Anopheles_sialome/links/cluster-b/anopheline-sialome-cds-pep-larger-orf45-50SimCLU13.txt", 13)</f>
        <v>13</v>
      </c>
      <c r="BU736">
        <f>HYPERLINK("http://exon.niaid.nih.gov/transcriptome/Anopheles_sialome/links/cluster-b/anopheline-sialome-cds-pep-larger-orf45-50SimCLTL13.txt", 19)</f>
        <v>19</v>
      </c>
      <c r="BV736">
        <f>HYPERLINK("http://exon.niaid.nih.gov/transcriptome/Anopheles_sialome/links/cluster-b/anopheline-sialome-cds-pep-larger-orf50-50SimCLU21.txt", 21)</f>
        <v>21</v>
      </c>
      <c r="BW736">
        <f>HYPERLINK("http://exon.niaid.nih.gov/transcriptome/Anopheles_sialome/links/cluster-b/anopheline-sialome-cds-pep-larger-orf50-50SimCLTL21.txt", 18)</f>
        <v>18</v>
      </c>
      <c r="BX736">
        <f>HYPERLINK("http://exon.niaid.nih.gov/transcriptome/Anopheles_sialome/links/cluster-b/anopheline-sialome-cds-pep-larger-orf55-50SimCLU23.txt", 23)</f>
        <v>23</v>
      </c>
      <c r="BY736">
        <f>HYPERLINK("http://exon.niaid.nih.gov/transcriptome/Anopheles_sialome/links/cluster-b/anopheline-sialome-cds-pep-larger-orf55-50SimCLTL23.txt", 17)</f>
        <v>17</v>
      </c>
      <c r="BZ736">
        <f>HYPERLINK("http://exon.niaid.nih.gov/transcriptome/Anopheles_sialome/links/cluster-b/anopheline-sialome-cds-pep-larger-orf60-50SimCLU30.txt", 30)</f>
        <v>30</v>
      </c>
      <c r="CA736">
        <f>HYPERLINK("http://exon.niaid.nih.gov/transcriptome/Anopheles_sialome/links/cluster-b/anopheline-sialome-cds-pep-larger-orf60-50SimCLTL30.txt", 14)</f>
        <v>14</v>
      </c>
      <c r="CB736">
        <f>HYPERLINK("http://exon.niaid.nih.gov/transcriptome/Anopheles_sialome/links/cluster-b/anopheline-sialome-cds-pep-larger-orf65-50SimCLU33.txt", 33)</f>
        <v>33</v>
      </c>
      <c r="CC736">
        <f>HYPERLINK("http://exon.niaid.nih.gov/transcriptome/Anopheles_sialome/links/cluster-b/anopheline-sialome-cds-pep-larger-orf65-50SimCLTL33.txt", 13)</f>
        <v>13</v>
      </c>
      <c r="CD736">
        <f>HYPERLINK("http://exon.niaid.nih.gov/transcriptome/Anopheles_sialome/links/cluster-b/anopheline-sialome-cds-pep-larger-orf70-50SimCLU41.txt", 41)</f>
        <v>41</v>
      </c>
      <c r="CE736">
        <f>HYPERLINK("http://exon.niaid.nih.gov/transcriptome/Anopheles_sialome/links/cluster-b/anopheline-sialome-cds-pep-larger-orf70-50SimCLTL41.txt", 8)</f>
        <v>8</v>
      </c>
      <c r="CF736">
        <f>HYPERLINK("http://exon.niaid.nih.gov/transcriptome/Anopheles_sialome/links/cluster-b/anopheline-sialome-cds-pep-larger-orf75-50SimCLU34.txt", 34)</f>
        <v>34</v>
      </c>
      <c r="CG736">
        <f>HYPERLINK("http://exon.niaid.nih.gov/transcriptome/Anopheles_sialome/links/cluster-b/anopheline-sialome-cds-pep-larger-orf75-50SimCLTL34.txt", 8)</f>
        <v>8</v>
      </c>
      <c r="CH736">
        <f>HYPERLINK("http://exon.niaid.nih.gov/transcriptome/Anopheles_sialome/links/cluster-b/anopheline-sialome-cds-pep-larger-orf80-50SimCLU78.txt", 78)</f>
        <v>78</v>
      </c>
      <c r="CI736">
        <f>HYPERLINK("http://exon.niaid.nih.gov/transcriptome/Anopheles_sialome/links/cluster-b/anopheline-sialome-cds-pep-larger-orf80-50SimCLTL78.txt", 2)</f>
        <v>2</v>
      </c>
      <c r="CJ736">
        <v>190</v>
      </c>
      <c r="CK736">
        <v>1</v>
      </c>
      <c r="CL736">
        <v>234</v>
      </c>
      <c r="CM736">
        <v>1</v>
      </c>
      <c r="CN736">
        <v>260</v>
      </c>
      <c r="CO736">
        <v>1</v>
      </c>
    </row>
    <row r="737" spans="1:93">
      <c r="A737" s="2" t="str">
        <f>HYPERLINK("http://exon.niaid.nih.gov/transcriptome/Anopheles_sialome/links/cds/anoepi_hyp8.2-cds.txt","anoepi_hyp8.2")</f>
        <v>anoepi_hyp8.2</v>
      </c>
      <c r="B737">
        <v>276</v>
      </c>
      <c r="C737" t="s">
        <v>255</v>
      </c>
      <c r="D737" t="s">
        <v>4</v>
      </c>
      <c r="E737" t="s">
        <v>5</v>
      </c>
      <c r="F737" t="s">
        <v>1</v>
      </c>
      <c r="G737" t="str">
        <f>HYPERLINK("http://exon.niaid.nih.gov/transcriptome/Anopheles_sialome/links/pep/anoepi_hyp8.2-pep.txt","anoepi_hyp8.2")</f>
        <v>anoepi_hyp8.2</v>
      </c>
      <c r="H737">
        <v>91</v>
      </c>
      <c r="I737">
        <v>0</v>
      </c>
      <c r="J737" s="3" t="str">
        <f>HYPERLINK("http://exon.niaid.nih.gov/transcriptome/Anopheles_sialome/links/Sigp/anoepi_hyp8.2-SigP.txt","SIG")</f>
        <v>SIG</v>
      </c>
      <c r="K737" t="s">
        <v>652</v>
      </c>
      <c r="L737">
        <v>10.007999999999999</v>
      </c>
      <c r="M737">
        <v>4.5599999999999996</v>
      </c>
      <c r="N737">
        <v>7.9740000000000002</v>
      </c>
      <c r="O737">
        <v>4.4400000000000004</v>
      </c>
      <c r="P737" t="s">
        <v>1334</v>
      </c>
      <c r="Q737" s="3">
        <v>0</v>
      </c>
      <c r="R737" t="s">
        <v>128</v>
      </c>
      <c r="S737" t="s">
        <v>128</v>
      </c>
      <c r="T737" t="s">
        <v>128</v>
      </c>
      <c r="U737" t="s">
        <v>128</v>
      </c>
      <c r="V737" t="s">
        <v>128</v>
      </c>
      <c r="W737" s="3" t="str">
        <f>HYPERLINK("http://exon.niaid.nih.gov/transcriptome/Anopheles_sialome/links/netoglyc/anoepi_hyp8.2-netoglyc.txt","7")</f>
        <v>7</v>
      </c>
      <c r="X737">
        <v>19.8</v>
      </c>
      <c r="Y737">
        <v>5.5</v>
      </c>
      <c r="Z737">
        <v>5.5</v>
      </c>
      <c r="AA737" t="s">
        <v>654</v>
      </c>
      <c r="AB737" t="s">
        <v>128</v>
      </c>
      <c r="AC737" s="2" t="str">
        <f>HYPERLINK("http://exon.niaid.nih.gov/transcriptome/Anopheles_sialome/links/DIPTERA/anoepi_hyp8.2-DIPTERA.txt","AGAP006494-PA")</f>
        <v>AGAP006494-PA</v>
      </c>
      <c r="AD737" t="str">
        <f>HYPERLINK("http://www.ncbi.nlm.nih.gov/sutils/blink.cgi?pid=157016274","5E-025")</f>
        <v>5E-025</v>
      </c>
      <c r="AE737" t="str">
        <f t="shared" si="254"/>
        <v>gi|157016274</v>
      </c>
      <c r="AF737">
        <v>58</v>
      </c>
      <c r="AG737">
        <v>79</v>
      </c>
      <c r="AH737">
        <v>100</v>
      </c>
      <c r="AI737" t="s">
        <v>2285</v>
      </c>
      <c r="AJ737" s="2" t="str">
        <f>HYPERLINK("http://exon.niaid.nih.gov/transcriptome/Anopheles_sialome/links/CULICOMORPHA/anoepi_hyp8.2-CULICOMORPHA.txt","AGAP006494-PA")</f>
        <v>AGAP006494-PA</v>
      </c>
      <c r="AK737" t="str">
        <f>HYPERLINK("http://www.ncbi.nlm.nih.gov/sutils/blink.cgi?pid=157016274","9E-026")</f>
        <v>9E-026</v>
      </c>
      <c r="AL737" t="str">
        <f t="shared" si="255"/>
        <v>gi|157016274</v>
      </c>
      <c r="AM737">
        <v>58</v>
      </c>
      <c r="AN737">
        <v>79</v>
      </c>
      <c r="AO737">
        <v>100</v>
      </c>
      <c r="AP737" t="s">
        <v>2285</v>
      </c>
      <c r="AQ737" s="2" t="str">
        <f>HYPERLINK("http://exon.niaid.nih.gov/transcriptome/Anopheles_sialome/links/NR-LIGHT/anoepi_hyp8.2-NR-LIGHT.txt","AGAP006494-PA")</f>
        <v>AGAP006494-PA</v>
      </c>
      <c r="AR737" t="str">
        <f>HYPERLINK("http://www.ncbi.nlm.nih.gov/sutils/blink.cgi?pid=158295940","2E-024")</f>
        <v>2E-024</v>
      </c>
      <c r="AS737" t="str">
        <f t="shared" si="256"/>
        <v>gi|158295940</v>
      </c>
      <c r="AT737">
        <v>58</v>
      </c>
      <c r="AU737">
        <v>79</v>
      </c>
      <c r="AV737">
        <v>100</v>
      </c>
      <c r="AW737" t="s">
        <v>2285</v>
      </c>
      <c r="AX737" s="2" t="str">
        <f>HYPERLINK("http://exon.niaid.nih.gov/transcriptome/Anopheles_sialome/links/CDD/anoepi_hyp8.2-CDD.txt","Sig-70_plancto1")</f>
        <v>Sig-70_plancto1</v>
      </c>
      <c r="AY737" t="str">
        <f>HYPERLINK("http://www.ncbi.nlm.nih.gov/Structure/cdd/cddsrv.cgi?uid=TIGR02984&amp;version=v4.0","2.0")</f>
        <v>2.0</v>
      </c>
      <c r="AZ737" t="s">
        <v>2648</v>
      </c>
      <c r="BA737" s="2" t="str">
        <f>HYPERLINK("http://exon.niaid.nih.gov/transcriptome/Anopheles_sialome/links/KOG/anoepi_hyp8.2-KOG.txt","Cyclic nucleotide-gated cation channel CNCG4")</f>
        <v>Cyclic nucleotide-gated cation channel CNCG4</v>
      </c>
      <c r="BB737" t="str">
        <f>HYPERLINK("http://www.ncbi.nlm.nih.gov/Structure/cdd/cddsrv.cgi?uid=KOG0499","0.61")</f>
        <v>0.61</v>
      </c>
      <c r="BC737" t="s">
        <v>2649</v>
      </c>
      <c r="BD737" t="str">
        <f>HYPERLINK("http://exon.niaid.nih.gov/transcriptome/Anopheles_sialome/links/KOG/anoepi_hyp8.2-KOG.txt","KOG0499")</f>
        <v>KOG0499</v>
      </c>
      <c r="BE737" t="str">
        <f>HYPERLINK("http://exon.niaid.nih.gov/transcriptome/Anopheles_sialome/links/PFAM/anoepi_hyp8.2-PFAM.txt","DUF4015")</f>
        <v>DUF4015</v>
      </c>
      <c r="BF737" t="str">
        <f>HYPERLINK("http://pfam.sanger.ac.uk/family?acc=PF13200","0.44")</f>
        <v>0.44</v>
      </c>
      <c r="BG737" s="2" t="str">
        <f>HYPERLINK("http://exon.niaid.nih.gov/transcriptome/Anopheles_sialome/links/SMART/anoepi_hyp8.2-SMART.txt","CoA_binding")</f>
        <v>CoA_binding</v>
      </c>
      <c r="BH737" t="str">
        <f>HYPERLINK("http://smart.embl-heidelberg.de/smart/do_annotation.pl?DOMAIN=CoA_binding&amp;BLAST=DUMMY","0.73")</f>
        <v>0.73</v>
      </c>
      <c r="BI737" t="s">
        <v>128</v>
      </c>
      <c r="BJ737" s="2" t="s">
        <v>128</v>
      </c>
      <c r="BK737" t="s">
        <v>1337</v>
      </c>
      <c r="BL737">
        <f>HYPERLINK("http://exon.niaid.nih.gov/transcriptome/Anopheles_sialome/links/cluster-b/anopheline-sialome-cds-pep-larger-orf25-50SimCLU1.txt", 1)</f>
        <v>1</v>
      </c>
      <c r="BM737">
        <f>HYPERLINK("http://exon.niaid.nih.gov/transcriptome/Anopheles_sialome/links/cluster-b/anopheline-sialome-cds-pep-larger-orf25-50SimCLTL1.txt", 165)</f>
        <v>165</v>
      </c>
      <c r="BN737">
        <f>HYPERLINK("http://exon.niaid.nih.gov/transcriptome/Anopheles_sialome/links/cluster-b/anopheline-sialome-cds-pep-larger-orf30-50SimCLU1.txt", 1)</f>
        <v>1</v>
      </c>
      <c r="BO737">
        <f>HYPERLINK("http://exon.niaid.nih.gov/transcriptome/Anopheles_sialome/links/cluster-b/anopheline-sialome-cds-pep-larger-orf30-50SimCLTL1.txt", 165)</f>
        <v>165</v>
      </c>
      <c r="BP737">
        <f>HYPERLINK("http://exon.niaid.nih.gov/transcriptome/Anopheles_sialome/links/cluster-b/anopheline-sialome-cds-pep-larger-orf35-50SimCLU4.txt", 4)</f>
        <v>4</v>
      </c>
      <c r="BQ737">
        <f>HYPERLINK("http://exon.niaid.nih.gov/transcriptome/Anopheles_sialome/links/cluster-b/anopheline-sialome-cds-pep-larger-orf35-50SimCLTL4.txt", 76)</f>
        <v>76</v>
      </c>
      <c r="BR737">
        <f>HYPERLINK("http://exon.niaid.nih.gov/transcriptome/Anopheles_sialome/links/cluster-b/anopheline-sialome-cds-pep-larger-orf40-50SimCLU13.txt", 13)</f>
        <v>13</v>
      </c>
      <c r="BS737">
        <f>HYPERLINK("http://exon.niaid.nih.gov/transcriptome/Anopheles_sialome/links/cluster-b/anopheline-sialome-cds-pep-larger-orf40-50SimCLTL13.txt", 19)</f>
        <v>19</v>
      </c>
      <c r="BT737">
        <f>HYPERLINK("http://exon.niaid.nih.gov/transcriptome/Anopheles_sialome/links/cluster-b/anopheline-sialome-cds-pep-larger-orf45-50SimCLU13.txt", 13)</f>
        <v>13</v>
      </c>
      <c r="BU737">
        <f>HYPERLINK("http://exon.niaid.nih.gov/transcriptome/Anopheles_sialome/links/cluster-b/anopheline-sialome-cds-pep-larger-orf45-50SimCLTL13.txt", 19)</f>
        <v>19</v>
      </c>
      <c r="BV737">
        <f>HYPERLINK("http://exon.niaid.nih.gov/transcriptome/Anopheles_sialome/links/cluster-b/anopheline-sialome-cds-pep-larger-orf50-50SimCLU21.txt", 21)</f>
        <v>21</v>
      </c>
      <c r="BW737">
        <f>HYPERLINK("http://exon.niaid.nih.gov/transcriptome/Anopheles_sialome/links/cluster-b/anopheline-sialome-cds-pep-larger-orf50-50SimCLTL21.txt", 18)</f>
        <v>18</v>
      </c>
      <c r="BX737">
        <f>HYPERLINK("http://exon.niaid.nih.gov/transcriptome/Anopheles_sialome/links/cluster-b/anopheline-sialome-cds-pep-larger-orf55-50SimCLU23.txt", 23)</f>
        <v>23</v>
      </c>
      <c r="BY737">
        <f>HYPERLINK("http://exon.niaid.nih.gov/transcriptome/Anopheles_sialome/links/cluster-b/anopheline-sialome-cds-pep-larger-orf55-50SimCLTL23.txt", 17)</f>
        <v>17</v>
      </c>
      <c r="BZ737">
        <f>HYPERLINK("http://exon.niaid.nih.gov/transcriptome/Anopheles_sialome/links/cluster-b/anopheline-sialome-cds-pep-larger-orf60-50SimCLU30.txt", 30)</f>
        <v>30</v>
      </c>
      <c r="CA737">
        <f>HYPERLINK("http://exon.niaid.nih.gov/transcriptome/Anopheles_sialome/links/cluster-b/anopheline-sialome-cds-pep-larger-orf60-50SimCLTL30.txt", 14)</f>
        <v>14</v>
      </c>
      <c r="CB737">
        <f>HYPERLINK("http://exon.niaid.nih.gov/transcriptome/Anopheles_sialome/links/cluster-b/anopheline-sialome-cds-pep-larger-orf65-50SimCLU33.txt", 33)</f>
        <v>33</v>
      </c>
      <c r="CC737">
        <f>HYPERLINK("http://exon.niaid.nih.gov/transcriptome/Anopheles_sialome/links/cluster-b/anopheline-sialome-cds-pep-larger-orf65-50SimCLTL33.txt", 13)</f>
        <v>13</v>
      </c>
      <c r="CD737">
        <f>HYPERLINK("http://exon.niaid.nih.gov/transcriptome/Anopheles_sialome/links/cluster-b/anopheline-sialome-cds-pep-larger-orf70-50SimCLU41.txt", 41)</f>
        <v>41</v>
      </c>
      <c r="CE737">
        <f>HYPERLINK("http://exon.niaid.nih.gov/transcriptome/Anopheles_sialome/links/cluster-b/anopheline-sialome-cds-pep-larger-orf70-50SimCLTL41.txt", 8)</f>
        <v>8</v>
      </c>
      <c r="CF737">
        <f>HYPERLINK("http://exon.niaid.nih.gov/transcriptome/Anopheles_sialome/links/cluster-b/anopheline-sialome-cds-pep-larger-orf75-50SimCLU34.txt", 34)</f>
        <v>34</v>
      </c>
      <c r="CG737">
        <f>HYPERLINK("http://exon.niaid.nih.gov/transcriptome/Anopheles_sialome/links/cluster-b/anopheline-sialome-cds-pep-larger-orf75-50SimCLTL34.txt", 8)</f>
        <v>8</v>
      </c>
      <c r="CH737">
        <f>HYPERLINK("http://exon.niaid.nih.gov/transcriptome/Anopheles_sialome/links/cluster-b/anopheline-sialome-cds-pep-larger-orf80-50SimCLU78.txt", 78)</f>
        <v>78</v>
      </c>
      <c r="CI737">
        <f>HYPERLINK("http://exon.niaid.nih.gov/transcriptome/Anopheles_sialome/links/cluster-b/anopheline-sialome-cds-pep-larger-orf80-50SimCLTL78.txt", 2)</f>
        <v>2</v>
      </c>
      <c r="CJ737">
        <v>191</v>
      </c>
      <c r="CK737">
        <v>1</v>
      </c>
      <c r="CL737">
        <v>235</v>
      </c>
      <c r="CM737">
        <v>1</v>
      </c>
      <c r="CN737">
        <v>261</v>
      </c>
      <c r="CO737">
        <v>1</v>
      </c>
    </row>
    <row r="738" spans="1:93">
      <c r="A738" s="2" t="str">
        <f>HYPERLINK("http://exon.niaid.nih.gov/transcriptome/Anopheles_sialome/links/cds/anofun_hyp8.2-cds.txt","anofun_hyp8.2")</f>
        <v>anofun_hyp8.2</v>
      </c>
      <c r="B738">
        <v>288</v>
      </c>
      <c r="C738" t="s">
        <v>4</v>
      </c>
      <c r="D738" s="8" t="s">
        <v>3178</v>
      </c>
      <c r="E738" t="s">
        <v>5</v>
      </c>
      <c r="F738" t="s">
        <v>1</v>
      </c>
      <c r="G738" t="str">
        <f>HYPERLINK("http://exon.niaid.nih.gov/transcriptome/Anopheles_sialome/links/pep/anofun_hyp8.2-pep.txt","anofun_hyp8.2")</f>
        <v>anofun_hyp8.2</v>
      </c>
      <c r="H738">
        <v>95</v>
      </c>
      <c r="I738">
        <v>0</v>
      </c>
      <c r="J738" s="3" t="str">
        <f>HYPERLINK("http://exon.niaid.nih.gov/transcriptome/Anopheles_sialome/links/Sigp/anofun_hyp8.2-SigP.txt","SIG")</f>
        <v>SIG</v>
      </c>
      <c r="K738" t="s">
        <v>925</v>
      </c>
      <c r="L738">
        <v>10.478</v>
      </c>
      <c r="M738">
        <v>5.08</v>
      </c>
      <c r="N738">
        <v>8.3770000000000007</v>
      </c>
      <c r="O738">
        <v>4.8899999999999997</v>
      </c>
      <c r="P738" t="s">
        <v>947</v>
      </c>
      <c r="Q738" s="3">
        <v>0</v>
      </c>
      <c r="R738" t="s">
        <v>128</v>
      </c>
      <c r="S738" t="s">
        <v>128</v>
      </c>
      <c r="T738" t="s">
        <v>128</v>
      </c>
      <c r="U738" t="s">
        <v>128</v>
      </c>
      <c r="V738" t="s">
        <v>128</v>
      </c>
      <c r="W738" s="3" t="str">
        <f>HYPERLINK("http://exon.niaid.nih.gov/transcriptome/Anopheles_sialome/links/netoglyc/anofun_hyp8.2-netoglyc.txt","10")</f>
        <v>10</v>
      </c>
      <c r="X738">
        <v>16.8</v>
      </c>
      <c r="Y738">
        <v>2.1</v>
      </c>
      <c r="Z738">
        <v>8.4</v>
      </c>
      <c r="AA738" t="s">
        <v>654</v>
      </c>
      <c r="AB738" t="s">
        <v>128</v>
      </c>
      <c r="AC738" s="2" t="str">
        <f>HYPERLINK("http://exon.niaid.nih.gov/transcriptome/Anopheles_sialome/links/DIPTERA/anofun_hyp8.2-DIPTERA.txt","hypothetical salivary protein 8.2")</f>
        <v>hypothetical salivary protein 8.2</v>
      </c>
      <c r="AD738" t="str">
        <f>HYPERLINK("http://www.ncbi.nlm.nih.gov/sutils/blink.cgi?pid=114864677","2E-045")</f>
        <v>2E-045</v>
      </c>
      <c r="AE738" t="str">
        <f>HYPERLINK("http://www.ncbi.nlm.nih.gov/protein/114864677","gi|114864677")</f>
        <v>gi|114864677</v>
      </c>
      <c r="AF738">
        <v>95</v>
      </c>
      <c r="AG738">
        <v>97</v>
      </c>
      <c r="AH738">
        <v>100</v>
      </c>
      <c r="AI738" t="s">
        <v>2266</v>
      </c>
      <c r="AJ738" s="2" t="str">
        <f>HYPERLINK("http://exon.niaid.nih.gov/transcriptome/Anopheles_sialome/links/CULICOMORPHA/anofun_hyp8.2-CULICOMORPHA.txt","putative salivary protein 8.2")</f>
        <v>putative salivary protein 8.2</v>
      </c>
      <c r="AK738" t="str">
        <f>HYPERLINK("http://www.ncbi.nlm.nih.gov/sutils/blink.cgi?pid=114864677","3E-046")</f>
        <v>3E-046</v>
      </c>
      <c r="AL738" t="str">
        <f>HYPERLINK("http://www.ncbi.nlm.nih.gov/protein/114864677","gi|114864677")</f>
        <v>gi|114864677</v>
      </c>
      <c r="AM738">
        <v>95</v>
      </c>
      <c r="AN738">
        <v>97</v>
      </c>
      <c r="AO738">
        <v>100</v>
      </c>
      <c r="AP738" t="s">
        <v>2266</v>
      </c>
      <c r="AQ738" s="2" t="str">
        <f>HYPERLINK("http://exon.niaid.nih.gov/transcriptome/Anopheles_sialome/links/NR-LIGHT/anofun_hyp8.2-NR-LIGHT.txt","hypothetical salivary protein 8.2")</f>
        <v>hypothetical salivary protein 8.2</v>
      </c>
      <c r="AR738" t="str">
        <f>HYPERLINK("http://www.ncbi.nlm.nih.gov/sutils/blink.cgi?pid=114864677","5E-045")</f>
        <v>5E-045</v>
      </c>
      <c r="AS738" t="str">
        <f>HYPERLINK("http://www.ncbi.nlm.nih.gov/protein/114864677","gi|114864677")</f>
        <v>gi|114864677</v>
      </c>
      <c r="AT738">
        <v>95</v>
      </c>
      <c r="AU738">
        <v>97</v>
      </c>
      <c r="AV738">
        <v>100</v>
      </c>
      <c r="AW738" t="s">
        <v>2266</v>
      </c>
      <c r="AX738" s="2" t="str">
        <f>HYPERLINK("http://exon.niaid.nih.gov/transcriptome/Anopheles_sialome/links/CDD/anofun_hyp8.2-CDD.txt","PRK06302")</f>
        <v>PRK06302</v>
      </c>
      <c r="AY738" t="str">
        <f>HYPERLINK("http://www.ncbi.nlm.nih.gov/Structure/cdd/cddsrv.cgi?uid=PRK06302&amp;version=v4.0","0.58")</f>
        <v>0.58</v>
      </c>
      <c r="AZ738" t="s">
        <v>2650</v>
      </c>
      <c r="BA738" s="2" t="str">
        <f>HYPERLINK("http://exon.niaid.nih.gov/transcriptome/Anopheles_sialome/links/KOG/anofun_hyp8.2-KOG.txt","Uncharacterized conserved protein")</f>
        <v>Uncharacterized conserved protein</v>
      </c>
      <c r="BB738" t="str">
        <f>HYPERLINK("http://www.ncbi.nlm.nih.gov/Structure/cdd/cddsrv.cgi?uid=KOG3622","1.1")</f>
        <v>1.1</v>
      </c>
      <c r="BC738" t="s">
        <v>2304</v>
      </c>
      <c r="BD738" t="str">
        <f>HYPERLINK("http://exon.niaid.nih.gov/transcriptome/Anopheles_sialome/links/KOG/anofun_hyp8.2-KOG.txt","KOG3622")</f>
        <v>KOG3622</v>
      </c>
      <c r="BE738" t="str">
        <f>HYPERLINK("http://exon.niaid.nih.gov/transcriptome/Anopheles_sialome/links/PFAM/anofun_hyp8.2-PFAM.txt","CXCL17")</f>
        <v>CXCL17</v>
      </c>
      <c r="BF738" t="str">
        <f>HYPERLINK("http://pfam.sanger.ac.uk/family?acc=PF15211","0.15")</f>
        <v>0.15</v>
      </c>
      <c r="BG738" s="2" t="str">
        <f>HYPERLINK("http://exon.niaid.nih.gov/transcriptome/Anopheles_sialome/links/SMART/anofun_hyp8.2-SMART.txt","TyrKc")</f>
        <v>TyrKc</v>
      </c>
      <c r="BH738" t="str">
        <f>HYPERLINK("http://smart.embl-heidelberg.de/smart/do_annotation.pl?DOMAIN=TyrKc&amp;BLAST=DUMMY","0.49")</f>
        <v>0.49</v>
      </c>
      <c r="BI738" t="s">
        <v>128</v>
      </c>
      <c r="BJ738" s="2" t="s">
        <v>128</v>
      </c>
      <c r="BK738" t="s">
        <v>1338</v>
      </c>
      <c r="BL738">
        <f>HYPERLINK("http://exon.niaid.nih.gov/transcriptome/Anopheles_sialome/links/cluster-b/anopheline-sialome-cds-pep-larger-orf25-50SimCLU1.txt", 1)</f>
        <v>1</v>
      </c>
      <c r="BM738">
        <f>HYPERLINK("http://exon.niaid.nih.gov/transcriptome/Anopheles_sialome/links/cluster-b/anopheline-sialome-cds-pep-larger-orf25-50SimCLTL1.txt", 165)</f>
        <v>165</v>
      </c>
      <c r="BN738">
        <f>HYPERLINK("http://exon.niaid.nih.gov/transcriptome/Anopheles_sialome/links/cluster-b/anopheline-sialome-cds-pep-larger-orf30-50SimCLU1.txt", 1)</f>
        <v>1</v>
      </c>
      <c r="BO738">
        <f>HYPERLINK("http://exon.niaid.nih.gov/transcriptome/Anopheles_sialome/links/cluster-b/anopheline-sialome-cds-pep-larger-orf30-50SimCLTL1.txt", 165)</f>
        <v>165</v>
      </c>
      <c r="BP738">
        <f>HYPERLINK("http://exon.niaid.nih.gov/transcriptome/Anopheles_sialome/links/cluster-b/anopheline-sialome-cds-pep-larger-orf35-50SimCLU4.txt", 4)</f>
        <v>4</v>
      </c>
      <c r="BQ738">
        <f>HYPERLINK("http://exon.niaid.nih.gov/transcriptome/Anopheles_sialome/links/cluster-b/anopheline-sialome-cds-pep-larger-orf35-50SimCLTL4.txt", 76)</f>
        <v>76</v>
      </c>
      <c r="BR738">
        <f>HYPERLINK("http://exon.niaid.nih.gov/transcriptome/Anopheles_sialome/links/cluster-b/anopheline-sialome-cds-pep-larger-orf40-50SimCLU13.txt", 13)</f>
        <v>13</v>
      </c>
      <c r="BS738">
        <f>HYPERLINK("http://exon.niaid.nih.gov/transcriptome/Anopheles_sialome/links/cluster-b/anopheline-sialome-cds-pep-larger-orf40-50SimCLTL13.txt", 19)</f>
        <v>19</v>
      </c>
      <c r="BT738">
        <f>HYPERLINK("http://exon.niaid.nih.gov/transcriptome/Anopheles_sialome/links/cluster-b/anopheline-sialome-cds-pep-larger-orf45-50SimCLU13.txt", 13)</f>
        <v>13</v>
      </c>
      <c r="BU738">
        <f>HYPERLINK("http://exon.niaid.nih.gov/transcriptome/Anopheles_sialome/links/cluster-b/anopheline-sialome-cds-pep-larger-orf45-50SimCLTL13.txt", 19)</f>
        <v>19</v>
      </c>
      <c r="BV738">
        <f>HYPERLINK("http://exon.niaid.nih.gov/transcriptome/Anopheles_sialome/links/cluster-b/anopheline-sialome-cds-pep-larger-orf50-50SimCLU21.txt", 21)</f>
        <v>21</v>
      </c>
      <c r="BW738">
        <f>HYPERLINK("http://exon.niaid.nih.gov/transcriptome/Anopheles_sialome/links/cluster-b/anopheline-sialome-cds-pep-larger-orf50-50SimCLTL21.txt", 18)</f>
        <v>18</v>
      </c>
      <c r="BX738">
        <f>HYPERLINK("http://exon.niaid.nih.gov/transcriptome/Anopheles_sialome/links/cluster-b/anopheline-sialome-cds-pep-larger-orf55-50SimCLU23.txt", 23)</f>
        <v>23</v>
      </c>
      <c r="BY738">
        <f>HYPERLINK("http://exon.niaid.nih.gov/transcriptome/Anopheles_sialome/links/cluster-b/anopheline-sialome-cds-pep-larger-orf55-50SimCLTL23.txt", 17)</f>
        <v>17</v>
      </c>
      <c r="BZ738">
        <f>HYPERLINK("http://exon.niaid.nih.gov/transcriptome/Anopheles_sialome/links/cluster-b/anopheline-sialome-cds-pep-larger-orf60-50SimCLU30.txt", 30)</f>
        <v>30</v>
      </c>
      <c r="CA738">
        <f>HYPERLINK("http://exon.niaid.nih.gov/transcriptome/Anopheles_sialome/links/cluster-b/anopheline-sialome-cds-pep-larger-orf60-50SimCLTL30.txt", 14)</f>
        <v>14</v>
      </c>
      <c r="CB738">
        <f>HYPERLINK("http://exon.niaid.nih.gov/transcriptome/Anopheles_sialome/links/cluster-b/anopheline-sialome-cds-pep-larger-orf65-50SimCLU33.txt", 33)</f>
        <v>33</v>
      </c>
      <c r="CC738">
        <f>HYPERLINK("http://exon.niaid.nih.gov/transcriptome/Anopheles_sialome/links/cluster-b/anopheline-sialome-cds-pep-larger-orf65-50SimCLTL33.txt", 13)</f>
        <v>13</v>
      </c>
      <c r="CD738">
        <v>86</v>
      </c>
      <c r="CE738">
        <v>1</v>
      </c>
      <c r="CF738">
        <v>116</v>
      </c>
      <c r="CG738">
        <v>1</v>
      </c>
      <c r="CH738">
        <v>151</v>
      </c>
      <c r="CI738">
        <v>1</v>
      </c>
      <c r="CJ738">
        <v>192</v>
      </c>
      <c r="CK738">
        <v>1</v>
      </c>
      <c r="CL738">
        <v>236</v>
      </c>
      <c r="CM738">
        <v>1</v>
      </c>
      <c r="CN738">
        <v>262</v>
      </c>
      <c r="CO738">
        <v>1</v>
      </c>
    </row>
    <row r="739" spans="1:93">
      <c r="A739" s="2" t="str">
        <f>HYPERLINK("http://exon.niaid.nih.gov/transcriptome/Anopheles_sialome/links/cds/anomin_hyp8.2-cds.txt","anomin_hyp8.2")</f>
        <v>anomin_hyp8.2</v>
      </c>
      <c r="B739">
        <v>285</v>
      </c>
      <c r="C739" t="s">
        <v>248</v>
      </c>
      <c r="D739" t="s">
        <v>7</v>
      </c>
      <c r="E739" t="s">
        <v>5</v>
      </c>
      <c r="F739" t="s">
        <v>1</v>
      </c>
      <c r="G739" t="str">
        <f>HYPERLINK("http://exon.niaid.nih.gov/transcriptome/Anopheles_sialome/links/pep/anomin_hyp8.2-pep.txt","anomin_hyp8.2")</f>
        <v>anomin_hyp8.2</v>
      </c>
      <c r="H739">
        <v>94</v>
      </c>
      <c r="I739">
        <v>0</v>
      </c>
      <c r="J739" s="3" t="str">
        <f>HYPERLINK("http://exon.niaid.nih.gov/transcriptome/Anopheles_sialome/links/Sigp/anomin_hyp8.2-SigP.txt","SIG")</f>
        <v>SIG</v>
      </c>
      <c r="K739" t="s">
        <v>925</v>
      </c>
      <c r="L739">
        <v>10.486000000000001</v>
      </c>
      <c r="M739">
        <v>4.49</v>
      </c>
      <c r="N739">
        <v>8.4930000000000003</v>
      </c>
      <c r="O739">
        <v>4.38</v>
      </c>
      <c r="P739" t="s">
        <v>1340</v>
      </c>
      <c r="Q739" s="3">
        <v>0</v>
      </c>
      <c r="R739" t="s">
        <v>128</v>
      </c>
      <c r="S739" t="s">
        <v>128</v>
      </c>
      <c r="T739" t="s">
        <v>128</v>
      </c>
      <c r="U739" t="s">
        <v>128</v>
      </c>
      <c r="V739" t="s">
        <v>128</v>
      </c>
      <c r="W739" s="3" t="str">
        <f>HYPERLINK("http://exon.niaid.nih.gov/transcriptome/Anopheles_sialome/links/netoglyc/anomin_hyp8.2-netoglyc.txt","11")</f>
        <v>11</v>
      </c>
      <c r="X739">
        <v>14.9</v>
      </c>
      <c r="Y739">
        <v>2.1</v>
      </c>
      <c r="Z739">
        <v>12.8</v>
      </c>
      <c r="AA739" t="s">
        <v>654</v>
      </c>
      <c r="AB739" t="s">
        <v>128</v>
      </c>
      <c r="AC739" s="2" t="str">
        <f>HYPERLINK("http://exon.niaid.nih.gov/transcriptome/Anopheles_sialome/links/DIPTERA/anomin_hyp8.2-DIPTERA.txt","hypothetical salivary protein 8.2")</f>
        <v>hypothetical salivary protein 8.2</v>
      </c>
      <c r="AD739" t="str">
        <f>HYPERLINK("http://www.ncbi.nlm.nih.gov/sutils/blink.cgi?pid=114864677","2E-020")</f>
        <v>2E-020</v>
      </c>
      <c r="AE739" t="str">
        <f>HYPERLINK("http://www.ncbi.nlm.nih.gov/protein/114864677","gi|114864677")</f>
        <v>gi|114864677</v>
      </c>
      <c r="AF739">
        <v>53</v>
      </c>
      <c r="AG739">
        <v>67</v>
      </c>
      <c r="AH739">
        <v>100</v>
      </c>
      <c r="AI739" t="s">
        <v>2266</v>
      </c>
      <c r="AJ739" s="2" t="str">
        <f>HYPERLINK("http://exon.niaid.nih.gov/transcriptome/Anopheles_sialome/links/CULICOMORPHA/anomin_hyp8.2-CULICOMORPHA.txt","putative salivary protein 8.2")</f>
        <v>putative salivary protein 8.2</v>
      </c>
      <c r="AK739" t="str">
        <f>HYPERLINK("http://www.ncbi.nlm.nih.gov/sutils/blink.cgi?pid=114864677","3E-021")</f>
        <v>3E-021</v>
      </c>
      <c r="AL739" t="str">
        <f>HYPERLINK("http://www.ncbi.nlm.nih.gov/protein/114864677","gi|114864677")</f>
        <v>gi|114864677</v>
      </c>
      <c r="AM739">
        <v>53</v>
      </c>
      <c r="AN739">
        <v>67</v>
      </c>
      <c r="AO739">
        <v>100</v>
      </c>
      <c r="AP739" t="s">
        <v>2266</v>
      </c>
      <c r="AQ739" s="2" t="str">
        <f>HYPERLINK("http://exon.niaid.nih.gov/transcriptome/Anopheles_sialome/links/NR-LIGHT/anomin_hyp8.2-NR-LIGHT.txt","hypothetical salivary protein 8.2")</f>
        <v>hypothetical salivary protein 8.2</v>
      </c>
      <c r="AR739" t="str">
        <f>HYPERLINK("http://www.ncbi.nlm.nih.gov/sutils/blink.cgi?pid=114864677","5E-020")</f>
        <v>5E-020</v>
      </c>
      <c r="AS739" t="str">
        <f>HYPERLINK("http://www.ncbi.nlm.nih.gov/protein/114864677","gi|114864677")</f>
        <v>gi|114864677</v>
      </c>
      <c r="AT739">
        <v>53</v>
      </c>
      <c r="AU739">
        <v>67</v>
      </c>
      <c r="AV739">
        <v>100</v>
      </c>
      <c r="AW739" t="s">
        <v>2266</v>
      </c>
      <c r="AX739" s="2" t="str">
        <f>HYPERLINK("http://exon.niaid.nih.gov/transcriptome/Anopheles_sialome/links/CDD/anomin_hyp8.2-CDD.txt","PRK09194")</f>
        <v>PRK09194</v>
      </c>
      <c r="AY739" t="str">
        <f>HYPERLINK("http://www.ncbi.nlm.nih.gov/Structure/cdd/cddsrv.cgi?uid=PRK09194&amp;version=v4.0","0.24")</f>
        <v>0.24</v>
      </c>
      <c r="AZ739" t="s">
        <v>2651</v>
      </c>
      <c r="BA739" s="2" t="str">
        <f>HYPERLINK("http://exon.niaid.nih.gov/transcriptome/Anopheles_sialome/links/KOG/anomin_hyp8.2-KOG.txt","Postreplication repair protein RAD18")</f>
        <v>Postreplication repair protein RAD18</v>
      </c>
      <c r="BB739" t="str">
        <f>HYPERLINK("http://www.ncbi.nlm.nih.gov/Structure/cdd/cddsrv.cgi?uid=KOG0287","0.73")</f>
        <v>0.73</v>
      </c>
      <c r="BC739" t="s">
        <v>2290</v>
      </c>
      <c r="BD739" t="str">
        <f>HYPERLINK("http://exon.niaid.nih.gov/transcriptome/Anopheles_sialome/links/KOG/anomin_hyp8.2-KOG.txt","KOG0287")</f>
        <v>KOG0287</v>
      </c>
      <c r="BE739" t="str">
        <f>HYPERLINK("http://exon.niaid.nih.gov/transcriptome/Anopheles_sialome/links/PFAM/anomin_hyp8.2-PFAM.txt","Spc7_N")</f>
        <v>Spc7_N</v>
      </c>
      <c r="BF739" t="str">
        <f>HYPERLINK("http://pfam.sanger.ac.uk/family?acc=PF15402","0.38")</f>
        <v>0.38</v>
      </c>
      <c r="BG739" s="2" t="str">
        <f>HYPERLINK("http://exon.niaid.nih.gov/transcriptome/Anopheles_sialome/links/SMART/anomin_hyp8.2-SMART.txt","AAA_PrkA")</f>
        <v>AAA_PrkA</v>
      </c>
      <c r="BH739">
        <v>0.96</v>
      </c>
      <c r="BI739" t="s">
        <v>128</v>
      </c>
      <c r="BJ739" s="2" t="s">
        <v>128</v>
      </c>
      <c r="BK739" t="s">
        <v>1339</v>
      </c>
      <c r="BL739">
        <f>HYPERLINK("http://exon.niaid.nih.gov/transcriptome/Anopheles_sialome/links/cluster-b/anopheline-sialome-cds-pep-larger-orf25-50SimCLU1.txt", 1)</f>
        <v>1</v>
      </c>
      <c r="BM739">
        <f>HYPERLINK("http://exon.niaid.nih.gov/transcriptome/Anopheles_sialome/links/cluster-b/anopheline-sialome-cds-pep-larger-orf25-50SimCLTL1.txt", 165)</f>
        <v>165</v>
      </c>
      <c r="BN739">
        <f>HYPERLINK("http://exon.niaid.nih.gov/transcriptome/Anopheles_sialome/links/cluster-b/anopheline-sialome-cds-pep-larger-orf30-50SimCLU1.txt", 1)</f>
        <v>1</v>
      </c>
      <c r="BO739">
        <f>HYPERLINK("http://exon.niaid.nih.gov/transcriptome/Anopheles_sialome/links/cluster-b/anopheline-sialome-cds-pep-larger-orf30-50SimCLTL1.txt", 165)</f>
        <v>165</v>
      </c>
      <c r="BP739">
        <f>HYPERLINK("http://exon.niaid.nih.gov/transcriptome/Anopheles_sialome/links/cluster-b/anopheline-sialome-cds-pep-larger-orf35-50SimCLU4.txt", 4)</f>
        <v>4</v>
      </c>
      <c r="BQ739">
        <f>HYPERLINK("http://exon.niaid.nih.gov/transcriptome/Anopheles_sialome/links/cluster-b/anopheline-sialome-cds-pep-larger-orf35-50SimCLTL4.txt", 76)</f>
        <v>76</v>
      </c>
      <c r="BR739">
        <f>HYPERLINK("http://exon.niaid.nih.gov/transcriptome/Anopheles_sialome/links/cluster-b/anopheline-sialome-cds-pep-larger-orf40-50SimCLU13.txt", 13)</f>
        <v>13</v>
      </c>
      <c r="BS739">
        <f>HYPERLINK("http://exon.niaid.nih.gov/transcriptome/Anopheles_sialome/links/cluster-b/anopheline-sialome-cds-pep-larger-orf40-50SimCLTL13.txt", 19)</f>
        <v>19</v>
      </c>
      <c r="BT739">
        <f>HYPERLINK("http://exon.niaid.nih.gov/transcriptome/Anopheles_sialome/links/cluster-b/anopheline-sialome-cds-pep-larger-orf45-50SimCLU13.txt", 13)</f>
        <v>13</v>
      </c>
      <c r="BU739">
        <f>HYPERLINK("http://exon.niaid.nih.gov/transcriptome/Anopheles_sialome/links/cluster-b/anopheline-sialome-cds-pep-larger-orf45-50SimCLTL13.txt", 19)</f>
        <v>19</v>
      </c>
      <c r="BV739">
        <f>HYPERLINK("http://exon.niaid.nih.gov/transcriptome/Anopheles_sialome/links/cluster-b/anopheline-sialome-cds-pep-larger-orf50-50SimCLU21.txt", 21)</f>
        <v>21</v>
      </c>
      <c r="BW739">
        <f>HYPERLINK("http://exon.niaid.nih.gov/transcriptome/Anopheles_sialome/links/cluster-b/anopheline-sialome-cds-pep-larger-orf50-50SimCLTL21.txt", 18)</f>
        <v>18</v>
      </c>
      <c r="BX739">
        <f>HYPERLINK("http://exon.niaid.nih.gov/transcriptome/Anopheles_sialome/links/cluster-b/anopheline-sialome-cds-pep-larger-orf55-50SimCLU23.txt", 23)</f>
        <v>23</v>
      </c>
      <c r="BY739">
        <f>HYPERLINK("http://exon.niaid.nih.gov/transcriptome/Anopheles_sialome/links/cluster-b/anopheline-sialome-cds-pep-larger-orf55-50SimCLTL23.txt", 17)</f>
        <v>17</v>
      </c>
      <c r="BZ739">
        <f>HYPERLINK("http://exon.niaid.nih.gov/transcriptome/Anopheles_sialome/links/cluster-b/anopheline-sialome-cds-pep-larger-orf60-50SimCLU30.txt", 30)</f>
        <v>30</v>
      </c>
      <c r="CA739">
        <f>HYPERLINK("http://exon.niaid.nih.gov/transcriptome/Anopheles_sialome/links/cluster-b/anopheline-sialome-cds-pep-larger-orf60-50SimCLTL30.txt", 14)</f>
        <v>14</v>
      </c>
      <c r="CB739">
        <f>HYPERLINK("http://exon.niaid.nih.gov/transcriptome/Anopheles_sialome/links/cluster-b/anopheline-sialome-cds-pep-larger-orf65-50SimCLU33.txt", 33)</f>
        <v>33</v>
      </c>
      <c r="CC739">
        <f>HYPERLINK("http://exon.niaid.nih.gov/transcriptome/Anopheles_sialome/links/cluster-b/anopheline-sialome-cds-pep-larger-orf65-50SimCLTL33.txt", 13)</f>
        <v>13</v>
      </c>
      <c r="CD739">
        <f>HYPERLINK("http://exon.niaid.nih.gov/transcriptome/Anopheles_sialome/links/cluster-b/anopheline-sialome-cds-pep-larger-orf70-50SimCLU52.txt", 52)</f>
        <v>52</v>
      </c>
      <c r="CE739">
        <f>HYPERLINK("http://exon.niaid.nih.gov/transcriptome/Anopheles_sialome/links/cluster-b/anopheline-sialome-cds-pep-larger-orf70-50SimCLTL52.txt", 2)</f>
        <v>2</v>
      </c>
      <c r="CF739">
        <f>HYPERLINK("http://exon.niaid.nih.gov/transcriptome/Anopheles_sialome/links/cluster-b/anopheline-sialome-cds-pep-larger-orf75-50SimCLU66.txt", 66)</f>
        <v>66</v>
      </c>
      <c r="CG739">
        <f>HYPERLINK("http://exon.niaid.nih.gov/transcriptome/Anopheles_sialome/links/cluster-b/anopheline-sialome-cds-pep-larger-orf75-50SimCLTL66.txt", 2)</f>
        <v>2</v>
      </c>
      <c r="CH739">
        <f>HYPERLINK("http://exon.niaid.nih.gov/transcriptome/Anopheles_sialome/links/cluster-b/anopheline-sialome-cds-pep-larger-orf80-50SimCLU79.txt", 79)</f>
        <v>79</v>
      </c>
      <c r="CI739">
        <f>HYPERLINK("http://exon.niaid.nih.gov/transcriptome/Anopheles_sialome/links/cluster-b/anopheline-sialome-cds-pep-larger-orf80-50SimCLTL79.txt", 2)</f>
        <v>2</v>
      </c>
      <c r="CJ739">
        <v>193</v>
      </c>
      <c r="CK739">
        <v>1</v>
      </c>
      <c r="CL739">
        <v>237</v>
      </c>
      <c r="CM739">
        <v>1</v>
      </c>
      <c r="CN739">
        <v>263</v>
      </c>
      <c r="CO739">
        <v>1</v>
      </c>
    </row>
    <row r="740" spans="1:93">
      <c r="A740" s="2" t="str">
        <f>HYPERLINK("http://exon.niaid.nih.gov/transcriptome/Anopheles_sialome/links/cds/anocul_hyp8.2-cds.txt","anocul_hyp8.2")</f>
        <v>anocul_hyp8.2</v>
      </c>
      <c r="B740">
        <v>270</v>
      </c>
      <c r="C740" t="s">
        <v>249</v>
      </c>
      <c r="D740" t="s">
        <v>7</v>
      </c>
      <c r="E740" t="s">
        <v>5</v>
      </c>
      <c r="F740" t="s">
        <v>1</v>
      </c>
      <c r="G740" t="str">
        <f>HYPERLINK("http://exon.niaid.nih.gov/transcriptome/Anopheles_sialome/links/pep/anocul_hyp8.2-pep.txt","anocul_hyp8.2")</f>
        <v>anocul_hyp8.2</v>
      </c>
      <c r="H740">
        <v>89</v>
      </c>
      <c r="I740">
        <v>0</v>
      </c>
      <c r="J740" s="3" t="str">
        <f>HYPERLINK("http://exon.niaid.nih.gov/transcriptome/Anopheles_sialome/links/Sigp/anocul_hyp8.2-SigP.txt","SIG")</f>
        <v>SIG</v>
      </c>
      <c r="K740" t="s">
        <v>925</v>
      </c>
      <c r="L740">
        <v>9.7769999999999992</v>
      </c>
      <c r="M740">
        <v>4.96</v>
      </c>
      <c r="N740">
        <v>7.8609999999999998</v>
      </c>
      <c r="O740">
        <v>4.75</v>
      </c>
      <c r="P740" t="s">
        <v>1342</v>
      </c>
      <c r="Q740" s="3" t="str">
        <f>HYPERLINK("http://exon.niaid.nih.gov/transcriptome/Anopheles_sialome/links/tmhmm/anocul_hyp8.2-tmhmm.txt","1")</f>
        <v>1</v>
      </c>
      <c r="R740">
        <v>21.3</v>
      </c>
      <c r="S740">
        <v>4.5</v>
      </c>
      <c r="T740">
        <v>74.2</v>
      </c>
      <c r="U740" t="s">
        <v>128</v>
      </c>
      <c r="V740">
        <v>66</v>
      </c>
      <c r="W740" s="3" t="str">
        <f>HYPERLINK("http://exon.niaid.nih.gov/transcriptome/Anopheles_sialome/links/netoglyc/anocul_hyp8.2-netoglyc.txt","9")</f>
        <v>9</v>
      </c>
      <c r="X740">
        <v>12.4</v>
      </c>
      <c r="Y740">
        <v>2.2000000000000002</v>
      </c>
      <c r="Z740">
        <v>10.1</v>
      </c>
      <c r="AA740" t="s">
        <v>654</v>
      </c>
      <c r="AB740" t="s">
        <v>128</v>
      </c>
      <c r="AC740" s="2" t="str">
        <f>HYPERLINK("http://exon.niaid.nih.gov/transcriptome/Anopheles_sialome/links/DIPTERA/anocul_hyp8.2-DIPTERA.txt","hypothetical salivary protein 8.2")</f>
        <v>hypothetical salivary protein 8.2</v>
      </c>
      <c r="AD740" t="str">
        <f>HYPERLINK("http://www.ncbi.nlm.nih.gov/sutils/blink.cgi?pid=27372899","9E-017")</f>
        <v>9E-017</v>
      </c>
      <c r="AE740" t="str">
        <f>HYPERLINK("http://www.ncbi.nlm.nih.gov/protein/27372899","gi|27372899")</f>
        <v>gi|27372899</v>
      </c>
      <c r="AF740">
        <v>50</v>
      </c>
      <c r="AG740">
        <v>64</v>
      </c>
      <c r="AH740">
        <v>98</v>
      </c>
      <c r="AI740" t="s">
        <v>2271</v>
      </c>
      <c r="AJ740" s="2" t="str">
        <f>HYPERLINK("http://exon.niaid.nih.gov/transcriptome/Anopheles_sialome/links/CULICOMORPHA/anocul_hyp8.2-CULICOMORPHA.txt","hypothetical salivary protein 8.2")</f>
        <v>hypothetical salivary protein 8.2</v>
      </c>
      <c r="AK740" t="str">
        <f>HYPERLINK("http://www.ncbi.nlm.nih.gov/sutils/blink.cgi?pid=27372899","2E-017")</f>
        <v>2E-017</v>
      </c>
      <c r="AL740" t="str">
        <f>HYPERLINK("http://www.ncbi.nlm.nih.gov/protein/27372899","gi|27372899")</f>
        <v>gi|27372899</v>
      </c>
      <c r="AM740">
        <v>50</v>
      </c>
      <c r="AN740">
        <v>64</v>
      </c>
      <c r="AO740">
        <v>98</v>
      </c>
      <c r="AP740" t="s">
        <v>2271</v>
      </c>
      <c r="AQ740" s="2" t="str">
        <f>HYPERLINK("http://exon.niaid.nih.gov/transcriptome/Anopheles_sialome/links/NR-LIGHT/anocul_hyp8.2-NR-LIGHT.txt","hypothetical salivary protein 8.2")</f>
        <v>hypothetical salivary protein 8.2</v>
      </c>
      <c r="AR740" t="str">
        <f>HYPERLINK("http://www.ncbi.nlm.nih.gov/sutils/blink.cgi?pid=27372899","3E-016")</f>
        <v>3E-016</v>
      </c>
      <c r="AS740" t="str">
        <f>HYPERLINK("http://www.ncbi.nlm.nih.gov/protein/27372899","gi|27372899")</f>
        <v>gi|27372899</v>
      </c>
      <c r="AT740">
        <v>50</v>
      </c>
      <c r="AU740">
        <v>64</v>
      </c>
      <c r="AV740">
        <v>98</v>
      </c>
      <c r="AW740" t="s">
        <v>2271</v>
      </c>
      <c r="AX740" s="2" t="str">
        <f>HYPERLINK("http://exon.niaid.nih.gov/transcriptome/Anopheles_sialome/links/CDD/anocul_hyp8.2-CDD.txt","RINT1_TIP1")</f>
        <v>RINT1_TIP1</v>
      </c>
      <c r="AY740" t="str">
        <f>HYPERLINK("http://www.ncbi.nlm.nih.gov/Structure/cdd/cddsrv.cgi?uid=pfam04437&amp;version=v4.0","0.45")</f>
        <v>0.45</v>
      </c>
      <c r="AZ740" t="s">
        <v>2652</v>
      </c>
      <c r="BA740" s="2" t="str">
        <f>HYPERLINK("http://exon.niaid.nih.gov/transcriptome/Anopheles_sialome/links/KOG/anocul_hyp8.2-KOG.txt","Aspartyl-tRNA synthetase, mitochondrial")</f>
        <v>Aspartyl-tRNA synthetase, mitochondrial</v>
      </c>
      <c r="BB740" t="str">
        <f>HYPERLINK("http://www.ncbi.nlm.nih.gov/Structure/cdd/cddsrv.cgi?uid=KOG2411","1.8")</f>
        <v>1.8</v>
      </c>
      <c r="BC740" t="s">
        <v>2260</v>
      </c>
      <c r="BD740" t="str">
        <f>HYPERLINK("http://exon.niaid.nih.gov/transcriptome/Anopheles_sialome/links/KOG/anocul_hyp8.2-KOG.txt","KOG2411")</f>
        <v>KOG2411</v>
      </c>
      <c r="BE740" t="str">
        <f>HYPERLINK("http://exon.niaid.nih.gov/transcriptome/Anopheles_sialome/links/PFAM/anocul_hyp8.2-PFAM.txt","RINT1_TIP1")</f>
        <v>RINT1_TIP1</v>
      </c>
      <c r="BF740" t="str">
        <f>HYPERLINK("http://pfam.sanger.ac.uk/family?acc=PF04437","0.10")</f>
        <v>0.10</v>
      </c>
      <c r="BG740" s="2" t="str">
        <f>HYPERLINK("http://exon.niaid.nih.gov/transcriptome/Anopheles_sialome/links/SMART/anocul_hyp8.2-SMART.txt","MADF")</f>
        <v>MADF</v>
      </c>
      <c r="BH740" t="str">
        <f>HYPERLINK("http://smart.embl-heidelberg.de/smart/do_annotation.pl?DOMAIN=MADF&amp;BLAST=DUMMY","1.0")</f>
        <v>1.0</v>
      </c>
      <c r="BI740" t="s">
        <v>128</v>
      </c>
      <c r="BJ740" s="2" t="s">
        <v>128</v>
      </c>
      <c r="BK740" t="s">
        <v>1341</v>
      </c>
      <c r="BL740">
        <f>HYPERLINK("http://exon.niaid.nih.gov/transcriptome/Anopheles_sialome/links/cluster-b/anopheline-sialome-cds-pep-larger-orf25-50SimCLU1.txt", 1)</f>
        <v>1</v>
      </c>
      <c r="BM740">
        <f>HYPERLINK("http://exon.niaid.nih.gov/transcriptome/Anopheles_sialome/links/cluster-b/anopheline-sialome-cds-pep-larger-orf25-50SimCLTL1.txt", 165)</f>
        <v>165</v>
      </c>
      <c r="BN740">
        <f>HYPERLINK("http://exon.niaid.nih.gov/transcriptome/Anopheles_sialome/links/cluster-b/anopheline-sialome-cds-pep-larger-orf30-50SimCLU1.txt", 1)</f>
        <v>1</v>
      </c>
      <c r="BO740">
        <f>HYPERLINK("http://exon.niaid.nih.gov/transcriptome/Anopheles_sialome/links/cluster-b/anopheline-sialome-cds-pep-larger-orf30-50SimCLTL1.txt", 165)</f>
        <v>165</v>
      </c>
      <c r="BP740">
        <f>HYPERLINK("http://exon.niaid.nih.gov/transcriptome/Anopheles_sialome/links/cluster-b/anopheline-sialome-cds-pep-larger-orf35-50SimCLU4.txt", 4)</f>
        <v>4</v>
      </c>
      <c r="BQ740">
        <f>HYPERLINK("http://exon.niaid.nih.gov/transcriptome/Anopheles_sialome/links/cluster-b/anopheline-sialome-cds-pep-larger-orf35-50SimCLTL4.txt", 76)</f>
        <v>76</v>
      </c>
      <c r="BR740">
        <f>HYPERLINK("http://exon.niaid.nih.gov/transcriptome/Anopheles_sialome/links/cluster-b/anopheline-sialome-cds-pep-larger-orf40-50SimCLU13.txt", 13)</f>
        <v>13</v>
      </c>
      <c r="BS740">
        <f>HYPERLINK("http://exon.niaid.nih.gov/transcriptome/Anopheles_sialome/links/cluster-b/anopheline-sialome-cds-pep-larger-orf40-50SimCLTL13.txt", 19)</f>
        <v>19</v>
      </c>
      <c r="BT740">
        <f>HYPERLINK("http://exon.niaid.nih.gov/transcriptome/Anopheles_sialome/links/cluster-b/anopheline-sialome-cds-pep-larger-orf45-50SimCLU13.txt", 13)</f>
        <v>13</v>
      </c>
      <c r="BU740">
        <f>HYPERLINK("http://exon.niaid.nih.gov/transcriptome/Anopheles_sialome/links/cluster-b/anopheline-sialome-cds-pep-larger-orf45-50SimCLTL13.txt", 19)</f>
        <v>19</v>
      </c>
      <c r="BV740">
        <f>HYPERLINK("http://exon.niaid.nih.gov/transcriptome/Anopheles_sialome/links/cluster-b/anopheline-sialome-cds-pep-larger-orf50-50SimCLU21.txt", 21)</f>
        <v>21</v>
      </c>
      <c r="BW740">
        <f>HYPERLINK("http://exon.niaid.nih.gov/transcriptome/Anopheles_sialome/links/cluster-b/anopheline-sialome-cds-pep-larger-orf50-50SimCLTL21.txt", 18)</f>
        <v>18</v>
      </c>
      <c r="BX740">
        <f>HYPERLINK("http://exon.niaid.nih.gov/transcriptome/Anopheles_sialome/links/cluster-b/anopheline-sialome-cds-pep-larger-orf55-50SimCLU23.txt", 23)</f>
        <v>23</v>
      </c>
      <c r="BY740">
        <f>HYPERLINK("http://exon.niaid.nih.gov/transcriptome/Anopheles_sialome/links/cluster-b/anopheline-sialome-cds-pep-larger-orf55-50SimCLTL23.txt", 17)</f>
        <v>17</v>
      </c>
      <c r="BZ740">
        <f>HYPERLINK("http://exon.niaid.nih.gov/transcriptome/Anopheles_sialome/links/cluster-b/anopheline-sialome-cds-pep-larger-orf60-50SimCLU30.txt", 30)</f>
        <v>30</v>
      </c>
      <c r="CA740">
        <f>HYPERLINK("http://exon.niaid.nih.gov/transcriptome/Anopheles_sialome/links/cluster-b/anopheline-sialome-cds-pep-larger-orf60-50SimCLTL30.txt", 14)</f>
        <v>14</v>
      </c>
      <c r="CB740">
        <f>HYPERLINK("http://exon.niaid.nih.gov/transcriptome/Anopheles_sialome/links/cluster-b/anopheline-sialome-cds-pep-larger-orf65-50SimCLU33.txt", 33)</f>
        <v>33</v>
      </c>
      <c r="CC740">
        <f>HYPERLINK("http://exon.niaid.nih.gov/transcriptome/Anopheles_sialome/links/cluster-b/anopheline-sialome-cds-pep-larger-orf65-50SimCLTL33.txt", 13)</f>
        <v>13</v>
      </c>
      <c r="CD740">
        <f>HYPERLINK("http://exon.niaid.nih.gov/transcriptome/Anopheles_sialome/links/cluster-b/anopheline-sialome-cds-pep-larger-orf70-50SimCLU52.txt", 52)</f>
        <v>52</v>
      </c>
      <c r="CE740">
        <f>HYPERLINK("http://exon.niaid.nih.gov/transcriptome/Anopheles_sialome/links/cluster-b/anopheline-sialome-cds-pep-larger-orf70-50SimCLTL52.txt", 2)</f>
        <v>2</v>
      </c>
      <c r="CF740">
        <f>HYPERLINK("http://exon.niaid.nih.gov/transcriptome/Anopheles_sialome/links/cluster-b/anopheline-sialome-cds-pep-larger-orf75-50SimCLU66.txt", 66)</f>
        <v>66</v>
      </c>
      <c r="CG740">
        <f>HYPERLINK("http://exon.niaid.nih.gov/transcriptome/Anopheles_sialome/links/cluster-b/anopheline-sialome-cds-pep-larger-orf75-50SimCLTL66.txt", 2)</f>
        <v>2</v>
      </c>
      <c r="CH740">
        <f>HYPERLINK("http://exon.niaid.nih.gov/transcriptome/Anopheles_sialome/links/cluster-b/anopheline-sialome-cds-pep-larger-orf80-50SimCLU79.txt", 79)</f>
        <v>79</v>
      </c>
      <c r="CI740">
        <f>HYPERLINK("http://exon.niaid.nih.gov/transcriptome/Anopheles_sialome/links/cluster-b/anopheline-sialome-cds-pep-larger-orf80-50SimCLTL79.txt", 2)</f>
        <v>2</v>
      </c>
      <c r="CJ740">
        <v>194</v>
      </c>
      <c r="CK740">
        <v>1</v>
      </c>
      <c r="CL740">
        <v>238</v>
      </c>
      <c r="CM740">
        <v>1</v>
      </c>
      <c r="CN740">
        <v>264</v>
      </c>
      <c r="CO740">
        <v>1</v>
      </c>
    </row>
    <row r="741" spans="1:93">
      <c r="A741" s="2" t="str">
        <f>HYPERLINK("http://exon.niaid.nih.gov/transcriptome/Anopheles_sialome/links/cds/anoste_hyp8.2-cds.txt","anoste_hyp8.2")</f>
        <v>anoste_hyp8.2</v>
      </c>
      <c r="B741">
        <v>282</v>
      </c>
      <c r="C741" t="s">
        <v>250</v>
      </c>
      <c r="D741" t="s">
        <v>7</v>
      </c>
      <c r="E741" t="s">
        <v>5</v>
      </c>
      <c r="F741" t="s">
        <v>1</v>
      </c>
      <c r="G741" t="str">
        <f>HYPERLINK("http://exon.niaid.nih.gov/transcriptome/Anopheles_sialome/links/pep/anoste_hyp8.2-pep.txt","anoste_hyp8.2")</f>
        <v>anoste_hyp8.2</v>
      </c>
      <c r="H741">
        <v>93</v>
      </c>
      <c r="I741">
        <v>0</v>
      </c>
      <c r="J741" s="3" t="str">
        <f>HYPERLINK("http://exon.niaid.nih.gov/transcriptome/Anopheles_sialome/links/Sigp/anoste_hyp8.2-SigP.txt","SIG")</f>
        <v>SIG</v>
      </c>
      <c r="K741" t="s">
        <v>925</v>
      </c>
      <c r="L741">
        <v>10.234999999999999</v>
      </c>
      <c r="M741">
        <v>4.6500000000000004</v>
      </c>
      <c r="N741">
        <v>8.33</v>
      </c>
      <c r="O741">
        <v>4.51</v>
      </c>
      <c r="P741" t="s">
        <v>1344</v>
      </c>
      <c r="Q741" s="3">
        <v>0</v>
      </c>
      <c r="R741" t="s">
        <v>128</v>
      </c>
      <c r="S741" t="s">
        <v>128</v>
      </c>
      <c r="T741" t="s">
        <v>128</v>
      </c>
      <c r="U741" t="s">
        <v>128</v>
      </c>
      <c r="V741" t="s">
        <v>128</v>
      </c>
      <c r="W741" s="3" t="str">
        <f>HYPERLINK("http://exon.niaid.nih.gov/transcriptome/Anopheles_sialome/links/netoglyc/anoste_hyp8.2-netoglyc.txt","6")</f>
        <v>6</v>
      </c>
      <c r="X741">
        <v>12.9</v>
      </c>
      <c r="Y741">
        <v>1.1000000000000001</v>
      </c>
      <c r="Z741">
        <v>7.5</v>
      </c>
      <c r="AA741" t="s">
        <v>654</v>
      </c>
      <c r="AB741" t="s">
        <v>128</v>
      </c>
      <c r="AC741" s="2" t="str">
        <f>HYPERLINK("http://exon.niaid.nih.gov/transcriptome/Anopheles_sialome/links/DIPTERA/anoste_hyp8.2-DIPTERA.txt","hypothetical salivary protein 8.2")</f>
        <v>hypothetical salivary protein 8.2</v>
      </c>
      <c r="AD741" t="str">
        <f>HYPERLINK("http://www.ncbi.nlm.nih.gov/sutils/blink.cgi?pid=27372899","9E-046")</f>
        <v>9E-046</v>
      </c>
      <c r="AE741" t="str">
        <f>HYPERLINK("http://www.ncbi.nlm.nih.gov/protein/27372899","gi|27372899")</f>
        <v>gi|27372899</v>
      </c>
      <c r="AF741">
        <v>100</v>
      </c>
      <c r="AG741">
        <v>100</v>
      </c>
      <c r="AH741">
        <v>100</v>
      </c>
      <c r="AI741" t="s">
        <v>2271</v>
      </c>
      <c r="AJ741" s="2" t="str">
        <f>HYPERLINK("http://exon.niaid.nih.gov/transcriptome/Anopheles_sialome/links/CULICOMORPHA/anoste_hyp8.2-CULICOMORPHA.txt","hypothetical salivary protein 8.2")</f>
        <v>hypothetical salivary protein 8.2</v>
      </c>
      <c r="AK741" t="str">
        <f>HYPERLINK("http://www.ncbi.nlm.nih.gov/sutils/blink.cgi?pid=27372899","2E-046")</f>
        <v>2E-046</v>
      </c>
      <c r="AL741" t="str">
        <f>HYPERLINK("http://www.ncbi.nlm.nih.gov/protein/27372899","gi|27372899")</f>
        <v>gi|27372899</v>
      </c>
      <c r="AM741">
        <v>100</v>
      </c>
      <c r="AN741">
        <v>100</v>
      </c>
      <c r="AO741">
        <v>100</v>
      </c>
      <c r="AP741" t="s">
        <v>2271</v>
      </c>
      <c r="AQ741" s="2" t="str">
        <f>HYPERLINK("http://exon.niaid.nih.gov/transcriptome/Anopheles_sialome/links/NR-LIGHT/anoste_hyp8.2-NR-LIGHT.txt","hypothetical salivary protein 8.2")</f>
        <v>hypothetical salivary protein 8.2</v>
      </c>
      <c r="AR741" t="str">
        <f>HYPERLINK("http://www.ncbi.nlm.nih.gov/sutils/blink.cgi?pid=27372899","3E-045")</f>
        <v>3E-045</v>
      </c>
      <c r="AS741" t="str">
        <f>HYPERLINK("http://www.ncbi.nlm.nih.gov/protein/27372899","gi|27372899")</f>
        <v>gi|27372899</v>
      </c>
      <c r="AT741">
        <v>100</v>
      </c>
      <c r="AU741">
        <v>100</v>
      </c>
      <c r="AV741">
        <v>100</v>
      </c>
      <c r="AW741" t="s">
        <v>2271</v>
      </c>
      <c r="AX741" s="2" t="str">
        <f>HYPERLINK("http://exon.niaid.nih.gov/transcriptome/Anopheles_sialome/links/CDD/anoste_hyp8.2-CDD.txt","Tetraspannin")</f>
        <v>Tetraspannin</v>
      </c>
      <c r="AY741" t="str">
        <f>HYPERLINK("http://www.ncbi.nlm.nih.gov/Structure/cdd/cddsrv.cgi?uid=pfam00335&amp;version=v4.0","0.66")</f>
        <v>0.66</v>
      </c>
      <c r="AZ741" t="s">
        <v>2653</v>
      </c>
      <c r="BA741" s="2" t="str">
        <f>HYPERLINK("http://exon.niaid.nih.gov/transcriptome/Anopheles_sialome/links/KOG/anoste_hyp8.2-KOG.txt","Serine/threonine protein kinase, contains leucine zipper domain")</f>
        <v>Serine/threonine protein kinase, contains leucine zipper domain</v>
      </c>
      <c r="BB741" t="str">
        <f>HYPERLINK("http://www.ncbi.nlm.nih.gov/Structure/cdd/cddsrv.cgi?uid=KOG4721","1.5")</f>
        <v>1.5</v>
      </c>
      <c r="BC741" t="s">
        <v>2292</v>
      </c>
      <c r="BD741" t="str">
        <f>HYPERLINK("http://exon.niaid.nih.gov/transcriptome/Anopheles_sialome/links/KOG/anoste_hyp8.2-KOG.txt","KOG4721")</f>
        <v>KOG4721</v>
      </c>
      <c r="BE741" t="str">
        <f>HYPERLINK("http://exon.niaid.nih.gov/transcriptome/Anopheles_sialome/links/PFAM/anoste_hyp8.2-PFAM.txt","Tetraspannin")</f>
        <v>Tetraspannin</v>
      </c>
      <c r="BF741" t="str">
        <f>HYPERLINK("http://pfam.sanger.ac.uk/family?acc=PF00335","0.15")</f>
        <v>0.15</v>
      </c>
      <c r="BG741" s="2" t="str">
        <f>HYPERLINK("http://exon.niaid.nih.gov/transcriptome/Anopheles_sialome/links/SMART/anoste_hyp8.2-SMART.txt","PSN")</f>
        <v>PSN</v>
      </c>
      <c r="BH741" t="str">
        <f>HYPERLINK("http://smart.embl-heidelberg.de/smart/do_annotation.pl?DOMAIN=PSN&amp;BLAST=DUMMY","3.0")</f>
        <v>3.0</v>
      </c>
      <c r="BI741" t="s">
        <v>128</v>
      </c>
      <c r="BJ741" s="2" t="s">
        <v>128</v>
      </c>
      <c r="BK741" t="s">
        <v>1343</v>
      </c>
      <c r="BL741">
        <f>HYPERLINK("http://exon.niaid.nih.gov/transcriptome/Anopheles_sialome/links/cluster-b/anopheline-sialome-cds-pep-larger-orf25-50SimCLU1.txt", 1)</f>
        <v>1</v>
      </c>
      <c r="BM741">
        <f>HYPERLINK("http://exon.niaid.nih.gov/transcriptome/Anopheles_sialome/links/cluster-b/anopheline-sialome-cds-pep-larger-orf25-50SimCLTL1.txt", 165)</f>
        <v>165</v>
      </c>
      <c r="BN741">
        <f>HYPERLINK("http://exon.niaid.nih.gov/transcriptome/Anopheles_sialome/links/cluster-b/anopheline-sialome-cds-pep-larger-orf30-50SimCLU1.txt", 1)</f>
        <v>1</v>
      </c>
      <c r="BO741">
        <f>HYPERLINK("http://exon.niaid.nih.gov/transcriptome/Anopheles_sialome/links/cluster-b/anopheline-sialome-cds-pep-larger-orf30-50SimCLTL1.txt", 165)</f>
        <v>165</v>
      </c>
      <c r="BP741">
        <f>HYPERLINK("http://exon.niaid.nih.gov/transcriptome/Anopheles_sialome/links/cluster-b/anopheline-sialome-cds-pep-larger-orf35-50SimCLU4.txt", 4)</f>
        <v>4</v>
      </c>
      <c r="BQ741">
        <f>HYPERLINK("http://exon.niaid.nih.gov/transcriptome/Anopheles_sialome/links/cluster-b/anopheline-sialome-cds-pep-larger-orf35-50SimCLTL4.txt", 76)</f>
        <v>76</v>
      </c>
      <c r="BR741">
        <f>HYPERLINK("http://exon.niaid.nih.gov/transcriptome/Anopheles_sialome/links/cluster-b/anopheline-sialome-cds-pep-larger-orf40-50SimCLU13.txt", 13)</f>
        <v>13</v>
      </c>
      <c r="BS741">
        <f>HYPERLINK("http://exon.niaid.nih.gov/transcriptome/Anopheles_sialome/links/cluster-b/anopheline-sialome-cds-pep-larger-orf40-50SimCLTL13.txt", 19)</f>
        <v>19</v>
      </c>
      <c r="BT741">
        <f>HYPERLINK("http://exon.niaid.nih.gov/transcriptome/Anopheles_sialome/links/cluster-b/anopheline-sialome-cds-pep-larger-orf45-50SimCLU13.txt", 13)</f>
        <v>13</v>
      </c>
      <c r="BU741">
        <f>HYPERLINK("http://exon.niaid.nih.gov/transcriptome/Anopheles_sialome/links/cluster-b/anopheline-sialome-cds-pep-larger-orf45-50SimCLTL13.txt", 19)</f>
        <v>19</v>
      </c>
      <c r="BV741">
        <f>HYPERLINK("http://exon.niaid.nih.gov/transcriptome/Anopheles_sialome/links/cluster-b/anopheline-sialome-cds-pep-larger-orf50-50SimCLU21.txt", 21)</f>
        <v>21</v>
      </c>
      <c r="BW741">
        <f>HYPERLINK("http://exon.niaid.nih.gov/transcriptome/Anopheles_sialome/links/cluster-b/anopheline-sialome-cds-pep-larger-orf50-50SimCLTL21.txt", 18)</f>
        <v>18</v>
      </c>
      <c r="BX741">
        <f>HYPERLINK("http://exon.niaid.nih.gov/transcriptome/Anopheles_sialome/links/cluster-b/anopheline-sialome-cds-pep-larger-orf55-50SimCLU23.txt", 23)</f>
        <v>23</v>
      </c>
      <c r="BY741">
        <f>HYPERLINK("http://exon.niaid.nih.gov/transcriptome/Anopheles_sialome/links/cluster-b/anopheline-sialome-cds-pep-larger-orf55-50SimCLTL23.txt", 17)</f>
        <v>17</v>
      </c>
      <c r="BZ741">
        <f>HYPERLINK("http://exon.niaid.nih.gov/transcriptome/Anopheles_sialome/links/cluster-b/anopheline-sialome-cds-pep-larger-orf60-50SimCLU30.txt", 30)</f>
        <v>30</v>
      </c>
      <c r="CA741">
        <f>HYPERLINK("http://exon.niaid.nih.gov/transcriptome/Anopheles_sialome/links/cluster-b/anopheline-sialome-cds-pep-larger-orf60-50SimCLTL30.txt", 14)</f>
        <v>14</v>
      </c>
      <c r="CB741">
        <f>HYPERLINK("http://exon.niaid.nih.gov/transcriptome/Anopheles_sialome/links/cluster-b/anopheline-sialome-cds-pep-larger-orf65-50SimCLU33.txt", 33)</f>
        <v>33</v>
      </c>
      <c r="CC741">
        <f>HYPERLINK("http://exon.niaid.nih.gov/transcriptome/Anopheles_sialome/links/cluster-b/anopheline-sialome-cds-pep-larger-orf65-50SimCLTL33.txt", 13)</f>
        <v>13</v>
      </c>
      <c r="CD741">
        <f>HYPERLINK("http://exon.niaid.nih.gov/transcriptome/Anopheles_sialome/links/cluster-b/anopheline-sialome-cds-pep-larger-orf70-50SimCLU53.txt", 53)</f>
        <v>53</v>
      </c>
      <c r="CE741">
        <f>HYPERLINK("http://exon.niaid.nih.gov/transcriptome/Anopheles_sialome/links/cluster-b/anopheline-sialome-cds-pep-larger-orf70-50SimCLTL53.txt", 2)</f>
        <v>2</v>
      </c>
      <c r="CF741">
        <f>HYPERLINK("http://exon.niaid.nih.gov/transcriptome/Anopheles_sialome/links/cluster-b/anopheline-sialome-cds-pep-larger-orf75-50SimCLU67.txt", 67)</f>
        <v>67</v>
      </c>
      <c r="CG741">
        <f>HYPERLINK("http://exon.niaid.nih.gov/transcriptome/Anopheles_sialome/links/cluster-b/anopheline-sialome-cds-pep-larger-orf75-50SimCLTL67.txt", 2)</f>
        <v>2</v>
      </c>
      <c r="CH741">
        <f>HYPERLINK("http://exon.niaid.nih.gov/transcriptome/Anopheles_sialome/links/cluster-b/anopheline-sialome-cds-pep-larger-orf80-50SimCLU80.txt", 80)</f>
        <v>80</v>
      </c>
      <c r="CI741">
        <f>HYPERLINK("http://exon.niaid.nih.gov/transcriptome/Anopheles_sialome/links/cluster-b/anopheline-sialome-cds-pep-larger-orf80-50SimCLTL80.txt", 2)</f>
        <v>2</v>
      </c>
      <c r="CJ741">
        <f>HYPERLINK("http://exon.niaid.nih.gov/transcriptome/Anopheles_sialome/links/cluster-b/anopheline-sialome-cds-pep-larger-orf85-50SimCLU82.txt", 82)</f>
        <v>82</v>
      </c>
      <c r="CK741">
        <f>HYPERLINK("http://exon.niaid.nih.gov/transcriptome/Anopheles_sialome/links/cluster-b/anopheline-sialome-cds-pep-larger-orf85-50SimCLTL82.txt", 2)</f>
        <v>2</v>
      </c>
      <c r="CL741">
        <v>239</v>
      </c>
      <c r="CM741">
        <v>1</v>
      </c>
      <c r="CN741">
        <v>265</v>
      </c>
      <c r="CO741">
        <v>1</v>
      </c>
    </row>
    <row r="742" spans="1:93">
      <c r="A742" s="2" t="str">
        <f>HYPERLINK("http://exon.niaid.nih.gov/transcriptome/Anopheles_sialome/links/cds/anomac_hyp8.2-cds.txt","anomac_hyp8.2")</f>
        <v>anomac_hyp8.2</v>
      </c>
      <c r="B742">
        <v>285</v>
      </c>
      <c r="C742" t="s">
        <v>256</v>
      </c>
      <c r="D742" t="s">
        <v>7</v>
      </c>
      <c r="E742" t="s">
        <v>5</v>
      </c>
      <c r="F742" t="s">
        <v>1</v>
      </c>
      <c r="G742" t="str">
        <f>HYPERLINK("http://exon.niaid.nih.gov/transcriptome/Anopheles_sialome/links/pep/anomac_hyp8.2-pep.txt","anomac_hyp8.2")</f>
        <v>anomac_hyp8.2</v>
      </c>
      <c r="H742">
        <v>94</v>
      </c>
      <c r="I742">
        <v>0</v>
      </c>
      <c r="J742" s="3" t="str">
        <f>HYPERLINK("http://exon.niaid.nih.gov/transcriptome/Anopheles_sialome/links/Sigp/anomac_hyp8.2-SigP.txt","SIG")</f>
        <v>SIG</v>
      </c>
      <c r="K742" t="s">
        <v>787</v>
      </c>
      <c r="L742">
        <v>10.351000000000001</v>
      </c>
      <c r="M742">
        <v>4.55</v>
      </c>
      <c r="N742">
        <v>7.6760000000000002</v>
      </c>
      <c r="O742">
        <v>4.47</v>
      </c>
      <c r="P742" t="s">
        <v>1346</v>
      </c>
      <c r="Q742" s="3">
        <v>0</v>
      </c>
      <c r="R742" t="s">
        <v>128</v>
      </c>
      <c r="S742" t="s">
        <v>128</v>
      </c>
      <c r="T742" t="s">
        <v>128</v>
      </c>
      <c r="U742" t="s">
        <v>128</v>
      </c>
      <c r="V742" t="s">
        <v>128</v>
      </c>
      <c r="W742" s="3" t="str">
        <f>HYPERLINK("http://exon.niaid.nih.gov/transcriptome/Anopheles_sialome/links/netoglyc/anomac_hyp8.2-netoglyc.txt","6")</f>
        <v>6</v>
      </c>
      <c r="X742">
        <v>14.9</v>
      </c>
      <c r="Y742">
        <v>1.1000000000000001</v>
      </c>
      <c r="Z742">
        <v>8.5</v>
      </c>
      <c r="AA742" t="s">
        <v>654</v>
      </c>
      <c r="AB742" t="s">
        <v>128</v>
      </c>
      <c r="AC742" s="2" t="str">
        <f>HYPERLINK("http://exon.niaid.nih.gov/transcriptome/Anopheles_sialome/links/DIPTERA/anomac_hyp8.2-DIPTERA.txt","hypothetical salivary protein 8.2")</f>
        <v>hypothetical salivary protein 8.2</v>
      </c>
      <c r="AD742" t="str">
        <f>HYPERLINK("http://www.ncbi.nlm.nih.gov/sutils/blink.cgi?pid=27372899","1E-034")</f>
        <v>1E-034</v>
      </c>
      <c r="AE742" t="str">
        <f>HYPERLINK("http://www.ncbi.nlm.nih.gov/protein/27372899","gi|27372899")</f>
        <v>gi|27372899</v>
      </c>
      <c r="AF742">
        <v>79</v>
      </c>
      <c r="AG742">
        <v>89</v>
      </c>
      <c r="AH742">
        <v>101</v>
      </c>
      <c r="AI742" t="s">
        <v>2271</v>
      </c>
      <c r="AJ742" s="2" t="str">
        <f>HYPERLINK("http://exon.niaid.nih.gov/transcriptome/Anopheles_sialome/links/CULICOMORPHA/anomac_hyp8.2-CULICOMORPHA.txt","hypothetical salivary protein 8.2")</f>
        <v>hypothetical salivary protein 8.2</v>
      </c>
      <c r="AK742" t="str">
        <f>HYPERLINK("http://www.ncbi.nlm.nih.gov/sutils/blink.cgi?pid=27372899","2E-035")</f>
        <v>2E-035</v>
      </c>
      <c r="AL742" t="str">
        <f>HYPERLINK("http://www.ncbi.nlm.nih.gov/protein/27372899","gi|27372899")</f>
        <v>gi|27372899</v>
      </c>
      <c r="AM742">
        <v>79</v>
      </c>
      <c r="AN742">
        <v>89</v>
      </c>
      <c r="AO742">
        <v>101</v>
      </c>
      <c r="AP742" t="s">
        <v>2271</v>
      </c>
      <c r="AQ742" s="2" t="str">
        <f>HYPERLINK("http://exon.niaid.nih.gov/transcriptome/Anopheles_sialome/links/NR-LIGHT/anomac_hyp8.2-NR-LIGHT.txt","hypothetical salivary protein 8.2")</f>
        <v>hypothetical salivary protein 8.2</v>
      </c>
      <c r="AR742" t="str">
        <f>HYPERLINK("http://www.ncbi.nlm.nih.gov/sutils/blink.cgi?pid=27372899","4E-034")</f>
        <v>4E-034</v>
      </c>
      <c r="AS742" t="str">
        <f>HYPERLINK("http://www.ncbi.nlm.nih.gov/protein/27372899","gi|27372899")</f>
        <v>gi|27372899</v>
      </c>
      <c r="AT742">
        <v>79</v>
      </c>
      <c r="AU742">
        <v>89</v>
      </c>
      <c r="AV742">
        <v>101</v>
      </c>
      <c r="AW742" t="s">
        <v>2271</v>
      </c>
      <c r="AX742" s="2" t="str">
        <f>HYPERLINK("http://exon.niaid.nih.gov/transcriptome/Anopheles_sialome/links/CDD/anomac_hyp8.2-CDD.txt","PRK13524")</f>
        <v>PRK13524</v>
      </c>
      <c r="AY742" t="str">
        <f>HYPERLINK("http://www.ncbi.nlm.nih.gov/Structure/cdd/cddsrv.cgi?uid=PRK13524&amp;version=v4.0","1.5")</f>
        <v>1.5</v>
      </c>
      <c r="AZ742" t="s">
        <v>2654</v>
      </c>
      <c r="BA742" s="2" t="str">
        <f>HYPERLINK("http://exon.niaid.nih.gov/transcriptome/Anopheles_sialome/links/KOG/anomac_hyp8.2-KOG.txt","Translation initiation factor 3, subunit c (eIF-3c)")</f>
        <v>Translation initiation factor 3, subunit c (eIF-3c)</v>
      </c>
      <c r="BB742" t="str">
        <f>HYPERLINK("http://www.ncbi.nlm.nih.gov/Structure/cdd/cddsrv.cgi?uid=KOG1076","0.25")</f>
        <v>0.25</v>
      </c>
      <c r="BC742" t="s">
        <v>2260</v>
      </c>
      <c r="BD742" t="str">
        <f>HYPERLINK("http://exon.niaid.nih.gov/transcriptome/Anopheles_sialome/links/KOG/anomac_hyp8.2-KOG.txt","KOG1076")</f>
        <v>KOG1076</v>
      </c>
      <c r="BE742" t="str">
        <f>HYPERLINK("http://exon.niaid.nih.gov/transcriptome/Anopheles_sialome/links/PFAM/anomac_hyp8.2-PFAM.txt","PSK")</f>
        <v>PSK</v>
      </c>
      <c r="BF742" t="str">
        <f>HYPERLINK("http://pfam.sanger.ac.uk/family?acc=PF06404","1.1")</f>
        <v>1.1</v>
      </c>
      <c r="BG742" s="2" t="str">
        <f>HYPERLINK("http://exon.niaid.nih.gov/transcriptome/Anopheles_sialome/links/SMART/anomac_hyp8.2-SMART.txt","Amelin")</f>
        <v>Amelin</v>
      </c>
      <c r="BH742" t="str">
        <f>HYPERLINK("http://smart.embl-heidelberg.de/smart/do_annotation.pl?DOMAIN=Amelin&amp;BLAST=DUMMY","2.7")</f>
        <v>2.7</v>
      </c>
      <c r="BI742" t="s">
        <v>128</v>
      </c>
      <c r="BJ742" s="2" t="s">
        <v>128</v>
      </c>
      <c r="BK742" t="s">
        <v>1345</v>
      </c>
      <c r="BL742">
        <f>HYPERLINK("http://exon.niaid.nih.gov/transcriptome/Anopheles_sialome/links/cluster-b/anopheline-sialome-cds-pep-larger-orf25-50SimCLU1.txt", 1)</f>
        <v>1</v>
      </c>
      <c r="BM742">
        <f>HYPERLINK("http://exon.niaid.nih.gov/transcriptome/Anopheles_sialome/links/cluster-b/anopheline-sialome-cds-pep-larger-orf25-50SimCLTL1.txt", 165)</f>
        <v>165</v>
      </c>
      <c r="BN742">
        <f>HYPERLINK("http://exon.niaid.nih.gov/transcriptome/Anopheles_sialome/links/cluster-b/anopheline-sialome-cds-pep-larger-orf30-50SimCLU1.txt", 1)</f>
        <v>1</v>
      </c>
      <c r="BO742">
        <f>HYPERLINK("http://exon.niaid.nih.gov/transcriptome/Anopheles_sialome/links/cluster-b/anopheline-sialome-cds-pep-larger-orf30-50SimCLTL1.txt", 165)</f>
        <v>165</v>
      </c>
      <c r="BP742">
        <f>HYPERLINK("http://exon.niaid.nih.gov/transcriptome/Anopheles_sialome/links/cluster-b/anopheline-sialome-cds-pep-larger-orf35-50SimCLU4.txt", 4)</f>
        <v>4</v>
      </c>
      <c r="BQ742">
        <f>HYPERLINK("http://exon.niaid.nih.gov/transcriptome/Anopheles_sialome/links/cluster-b/anopheline-sialome-cds-pep-larger-orf35-50SimCLTL4.txt", 76)</f>
        <v>76</v>
      </c>
      <c r="BR742">
        <f>HYPERLINK("http://exon.niaid.nih.gov/transcriptome/Anopheles_sialome/links/cluster-b/anopheline-sialome-cds-pep-larger-orf40-50SimCLU13.txt", 13)</f>
        <v>13</v>
      </c>
      <c r="BS742">
        <f>HYPERLINK("http://exon.niaid.nih.gov/transcriptome/Anopheles_sialome/links/cluster-b/anopheline-sialome-cds-pep-larger-orf40-50SimCLTL13.txt", 19)</f>
        <v>19</v>
      </c>
      <c r="BT742">
        <f>HYPERLINK("http://exon.niaid.nih.gov/transcriptome/Anopheles_sialome/links/cluster-b/anopheline-sialome-cds-pep-larger-orf45-50SimCLU13.txt", 13)</f>
        <v>13</v>
      </c>
      <c r="BU742">
        <f>HYPERLINK("http://exon.niaid.nih.gov/transcriptome/Anopheles_sialome/links/cluster-b/anopheline-sialome-cds-pep-larger-orf45-50SimCLTL13.txt", 19)</f>
        <v>19</v>
      </c>
      <c r="BV742">
        <f>HYPERLINK("http://exon.niaid.nih.gov/transcriptome/Anopheles_sialome/links/cluster-b/anopheline-sialome-cds-pep-larger-orf50-50SimCLU21.txt", 21)</f>
        <v>21</v>
      </c>
      <c r="BW742">
        <f>HYPERLINK("http://exon.niaid.nih.gov/transcriptome/Anopheles_sialome/links/cluster-b/anopheline-sialome-cds-pep-larger-orf50-50SimCLTL21.txt", 18)</f>
        <v>18</v>
      </c>
      <c r="BX742">
        <f>HYPERLINK("http://exon.niaid.nih.gov/transcriptome/Anopheles_sialome/links/cluster-b/anopheline-sialome-cds-pep-larger-orf55-50SimCLU23.txt", 23)</f>
        <v>23</v>
      </c>
      <c r="BY742">
        <f>HYPERLINK("http://exon.niaid.nih.gov/transcriptome/Anopheles_sialome/links/cluster-b/anopheline-sialome-cds-pep-larger-orf55-50SimCLTL23.txt", 17)</f>
        <v>17</v>
      </c>
      <c r="BZ742">
        <f>HYPERLINK("http://exon.niaid.nih.gov/transcriptome/Anopheles_sialome/links/cluster-b/anopheline-sialome-cds-pep-larger-orf60-50SimCLU30.txt", 30)</f>
        <v>30</v>
      </c>
      <c r="CA742">
        <f>HYPERLINK("http://exon.niaid.nih.gov/transcriptome/Anopheles_sialome/links/cluster-b/anopheline-sialome-cds-pep-larger-orf60-50SimCLTL30.txt", 14)</f>
        <v>14</v>
      </c>
      <c r="CB742">
        <f>HYPERLINK("http://exon.niaid.nih.gov/transcriptome/Anopheles_sialome/links/cluster-b/anopheline-sialome-cds-pep-larger-orf65-50SimCLU33.txt", 33)</f>
        <v>33</v>
      </c>
      <c r="CC742">
        <f>HYPERLINK("http://exon.niaid.nih.gov/transcriptome/Anopheles_sialome/links/cluster-b/anopheline-sialome-cds-pep-larger-orf65-50SimCLTL33.txt", 13)</f>
        <v>13</v>
      </c>
      <c r="CD742">
        <f>HYPERLINK("http://exon.niaid.nih.gov/transcriptome/Anopheles_sialome/links/cluster-b/anopheline-sialome-cds-pep-larger-orf70-50SimCLU53.txt", 53)</f>
        <v>53</v>
      </c>
      <c r="CE742">
        <f>HYPERLINK("http://exon.niaid.nih.gov/transcriptome/Anopheles_sialome/links/cluster-b/anopheline-sialome-cds-pep-larger-orf70-50SimCLTL53.txt", 2)</f>
        <v>2</v>
      </c>
      <c r="CF742">
        <f>HYPERLINK("http://exon.niaid.nih.gov/transcriptome/Anopheles_sialome/links/cluster-b/anopheline-sialome-cds-pep-larger-orf75-50SimCLU67.txt", 67)</f>
        <v>67</v>
      </c>
      <c r="CG742">
        <f>HYPERLINK("http://exon.niaid.nih.gov/transcriptome/Anopheles_sialome/links/cluster-b/anopheline-sialome-cds-pep-larger-orf75-50SimCLTL67.txt", 2)</f>
        <v>2</v>
      </c>
      <c r="CH742">
        <f>HYPERLINK("http://exon.niaid.nih.gov/transcriptome/Anopheles_sialome/links/cluster-b/anopheline-sialome-cds-pep-larger-orf80-50SimCLU80.txt", 80)</f>
        <v>80</v>
      </c>
      <c r="CI742">
        <f>HYPERLINK("http://exon.niaid.nih.gov/transcriptome/Anopheles_sialome/links/cluster-b/anopheline-sialome-cds-pep-larger-orf80-50SimCLTL80.txt", 2)</f>
        <v>2</v>
      </c>
      <c r="CJ742">
        <f>HYPERLINK("http://exon.niaid.nih.gov/transcriptome/Anopheles_sialome/links/cluster-b/anopheline-sialome-cds-pep-larger-orf85-50SimCLU82.txt", 82)</f>
        <v>82</v>
      </c>
      <c r="CK742">
        <f>HYPERLINK("http://exon.niaid.nih.gov/transcriptome/Anopheles_sialome/links/cluster-b/anopheline-sialome-cds-pep-larger-orf85-50SimCLTL82.txt", 2)</f>
        <v>2</v>
      </c>
      <c r="CL742">
        <v>240</v>
      </c>
      <c r="CM742">
        <v>1</v>
      </c>
      <c r="CN742">
        <v>266</v>
      </c>
      <c r="CO742">
        <v>1</v>
      </c>
    </row>
    <row r="743" spans="1:93">
      <c r="A743" s="2" t="str">
        <f>HYPERLINK("http://exon.niaid.nih.gov/transcriptome/Anopheles_sialome/links/cds/anofar_hyp8.2-cds.txt","anofar_hyp8.2")</f>
        <v>anofar_hyp8.2</v>
      </c>
      <c r="B743">
        <v>267</v>
      </c>
      <c r="C743" t="s">
        <v>4</v>
      </c>
      <c r="D743" s="8" t="s">
        <v>3178</v>
      </c>
      <c r="E743" t="s">
        <v>5</v>
      </c>
      <c r="F743" t="s">
        <v>1</v>
      </c>
      <c r="G743" t="str">
        <f>HYPERLINK("http://exon.niaid.nih.gov/transcriptome/Anopheles_sialome/links/pep/anofar_hyp8.2-pep.txt","anofar_hyp8.2")</f>
        <v>anofar_hyp8.2</v>
      </c>
      <c r="H743">
        <v>88</v>
      </c>
      <c r="I743">
        <v>1</v>
      </c>
      <c r="J743" s="3" t="str">
        <f>HYPERLINK("http://exon.niaid.nih.gov/transcriptome/Anopheles_sialome/links/Sigp/anofar_hyp8.2-SigP.txt","SIG")</f>
        <v>SIG</v>
      </c>
      <c r="K743" t="s">
        <v>689</v>
      </c>
      <c r="L743">
        <v>9.3119999999999994</v>
      </c>
      <c r="M743">
        <v>5.13</v>
      </c>
      <c r="N743">
        <v>7.085</v>
      </c>
      <c r="O743">
        <v>4.8499999999999996</v>
      </c>
      <c r="P743" t="s">
        <v>1348</v>
      </c>
      <c r="Q743" s="3">
        <v>0</v>
      </c>
      <c r="R743" t="s">
        <v>128</v>
      </c>
      <c r="S743" t="s">
        <v>128</v>
      </c>
      <c r="T743" t="s">
        <v>128</v>
      </c>
      <c r="U743" t="s">
        <v>128</v>
      </c>
      <c r="V743" t="s">
        <v>128</v>
      </c>
      <c r="W743" s="3" t="str">
        <f>HYPERLINK("http://exon.niaid.nih.gov/transcriptome/Anopheles_sialome/links/netoglyc/anofar_hyp8.2-netoglyc.txt","8")</f>
        <v>8</v>
      </c>
      <c r="X743">
        <v>15.9</v>
      </c>
      <c r="Y743">
        <v>10.199999999999999</v>
      </c>
      <c r="Z743">
        <v>6.8</v>
      </c>
      <c r="AA743" t="s">
        <v>654</v>
      </c>
      <c r="AB743" t="s">
        <v>128</v>
      </c>
      <c r="AC743" s="2" t="str">
        <f>HYPERLINK("http://exon.niaid.nih.gov/transcriptome/Anopheles_sialome/links/DIPTERA/anofar_hyp8.2-DIPTERA.txt","hypothetical salivary protein 8.2")</f>
        <v>hypothetical salivary protein 8.2</v>
      </c>
      <c r="AD743" t="str">
        <f>HYPERLINK("http://www.ncbi.nlm.nih.gov/sutils/blink.cgi?pid=27372899","2E-010")</f>
        <v>2E-010</v>
      </c>
      <c r="AE743" t="str">
        <f>HYPERLINK("http://www.ncbi.nlm.nih.gov/protein/27372899","gi|27372899")</f>
        <v>gi|27372899</v>
      </c>
      <c r="AF743">
        <v>42</v>
      </c>
      <c r="AG743">
        <v>59</v>
      </c>
      <c r="AH743">
        <v>95</v>
      </c>
      <c r="AI743" t="s">
        <v>2271</v>
      </c>
      <c r="AJ743" s="2" t="str">
        <f>HYPERLINK("http://exon.niaid.nih.gov/transcriptome/Anopheles_sialome/links/CULICOMORPHA/anofar_hyp8.2-CULICOMORPHA.txt","hypothetical salivary protein 8.2")</f>
        <v>hypothetical salivary protein 8.2</v>
      </c>
      <c r="AK743" t="str">
        <f>HYPERLINK("http://www.ncbi.nlm.nih.gov/sutils/blink.cgi?pid=27372899","3E-011")</f>
        <v>3E-011</v>
      </c>
      <c r="AL743" t="str">
        <f>HYPERLINK("http://www.ncbi.nlm.nih.gov/protein/27372899","gi|27372899")</f>
        <v>gi|27372899</v>
      </c>
      <c r="AM743">
        <v>42</v>
      </c>
      <c r="AN743">
        <v>59</v>
      </c>
      <c r="AO743">
        <v>95</v>
      </c>
      <c r="AP743" t="s">
        <v>2271</v>
      </c>
      <c r="AQ743" s="2" t="str">
        <f>HYPERLINK("http://exon.niaid.nih.gov/transcriptome/Anopheles_sialome/links/NR-LIGHT/anofar_hyp8.2-NR-LIGHT.txt","hypothetical salivary protein 8.2")</f>
        <v>hypothetical salivary protein 8.2</v>
      </c>
      <c r="AR743" t="str">
        <f>HYPERLINK("http://www.ncbi.nlm.nih.gov/sutils/blink.cgi?pid=27372899","5E-010")</f>
        <v>5E-010</v>
      </c>
      <c r="AS743" t="str">
        <f>HYPERLINK("http://www.ncbi.nlm.nih.gov/protein/27372899","gi|27372899")</f>
        <v>gi|27372899</v>
      </c>
      <c r="AT743">
        <v>42</v>
      </c>
      <c r="AU743">
        <v>59</v>
      </c>
      <c r="AV743">
        <v>95</v>
      </c>
      <c r="AW743" t="s">
        <v>2271</v>
      </c>
      <c r="AX743" s="2" t="str">
        <f>HYPERLINK("http://exon.niaid.nih.gov/transcriptome/Anopheles_sialome/links/CDD/anofar_hyp8.2-CDD.txt","ureA")</f>
        <v>ureA</v>
      </c>
      <c r="AY743" t="str">
        <f>HYPERLINK("http://www.ncbi.nlm.nih.gov/Structure/cdd/cddsrv.cgi?uid=PRK13242&amp;version=v4.0","0.17")</f>
        <v>0.17</v>
      </c>
      <c r="AZ743" t="s">
        <v>2655</v>
      </c>
      <c r="BA743" s="2" t="str">
        <f>HYPERLINK("http://exon.niaid.nih.gov/transcriptome/Anopheles_sialome/links/KOG/anofar_hyp8.2-KOG.txt","Mitogen-activated protein kinase scaffold protein JIP")</f>
        <v>Mitogen-activated protein kinase scaffold protein JIP</v>
      </c>
      <c r="BB743" t="str">
        <f>HYPERLINK("http://www.ncbi.nlm.nih.gov/Structure/cdd/cddsrv.cgi?uid=KOG3775","0.32")</f>
        <v>0.32</v>
      </c>
      <c r="BC743" t="s">
        <v>2292</v>
      </c>
      <c r="BD743" t="str">
        <f>HYPERLINK("http://exon.niaid.nih.gov/transcriptome/Anopheles_sialome/links/KOG/anofar_hyp8.2-KOG.txt","KOG3775")</f>
        <v>KOG3775</v>
      </c>
      <c r="BE743" t="str">
        <f>HYPERLINK("http://exon.niaid.nih.gov/transcriptome/Anopheles_sialome/links/PFAM/anofar_hyp8.2-PFAM.txt","DUF1434")</f>
        <v>DUF1434</v>
      </c>
      <c r="BF743" t="str">
        <f>HYPERLINK("http://pfam.sanger.ac.uk/family?acc=PF07254","0.56")</f>
        <v>0.56</v>
      </c>
      <c r="BG743" s="2" t="str">
        <f>HYPERLINK("http://exon.niaid.nih.gov/transcriptome/Anopheles_sialome/links/SMART/anofar_hyp8.2-SMART.txt","Agglutinin")</f>
        <v>Agglutinin</v>
      </c>
      <c r="BH743" t="str">
        <f>HYPERLINK("http://smart.embl-heidelberg.de/smart/do_annotation.pl?DOMAIN=Agglutinin&amp;BLAST=DUMMY","0.17")</f>
        <v>0.17</v>
      </c>
      <c r="BI743" t="s">
        <v>128</v>
      </c>
      <c r="BJ743" s="2" t="s">
        <v>128</v>
      </c>
      <c r="BK743" t="s">
        <v>1347</v>
      </c>
      <c r="BL743">
        <f>HYPERLINK("http://exon.niaid.nih.gov/transcriptome/Anopheles_sialome/links/cluster-b/anopheline-sialome-cds-pep-larger-orf25-50SimCLU1.txt", 1)</f>
        <v>1</v>
      </c>
      <c r="BM743">
        <f>HYPERLINK("http://exon.niaid.nih.gov/transcriptome/Anopheles_sialome/links/cluster-b/anopheline-sialome-cds-pep-larger-orf25-50SimCLTL1.txt", 165)</f>
        <v>165</v>
      </c>
      <c r="BN743">
        <f>HYPERLINK("http://exon.niaid.nih.gov/transcriptome/Anopheles_sialome/links/cluster-b/anopheline-sialome-cds-pep-larger-orf30-50SimCLU1.txt", 1)</f>
        <v>1</v>
      </c>
      <c r="BO743">
        <f>HYPERLINK("http://exon.niaid.nih.gov/transcriptome/Anopheles_sialome/links/cluster-b/anopheline-sialome-cds-pep-larger-orf30-50SimCLTL1.txt", 165)</f>
        <v>165</v>
      </c>
      <c r="BP743">
        <f>HYPERLINK("http://exon.niaid.nih.gov/transcriptome/Anopheles_sialome/links/cluster-b/anopheline-sialome-cds-pep-larger-orf35-50SimCLU4.txt", 4)</f>
        <v>4</v>
      </c>
      <c r="BQ743">
        <f>HYPERLINK("http://exon.niaid.nih.gov/transcriptome/Anopheles_sialome/links/cluster-b/anopheline-sialome-cds-pep-larger-orf35-50SimCLTL4.txt", 76)</f>
        <v>76</v>
      </c>
      <c r="BR743">
        <f>HYPERLINK("http://exon.niaid.nih.gov/transcriptome/Anopheles_sialome/links/cluster-b/anopheline-sialome-cds-pep-larger-orf40-50SimCLU13.txt", 13)</f>
        <v>13</v>
      </c>
      <c r="BS743">
        <f>HYPERLINK("http://exon.niaid.nih.gov/transcriptome/Anopheles_sialome/links/cluster-b/anopheline-sialome-cds-pep-larger-orf40-50SimCLTL13.txt", 19)</f>
        <v>19</v>
      </c>
      <c r="BT743">
        <f>HYPERLINK("http://exon.niaid.nih.gov/transcriptome/Anopheles_sialome/links/cluster-b/anopheline-sialome-cds-pep-larger-orf45-50SimCLU13.txt", 13)</f>
        <v>13</v>
      </c>
      <c r="BU743">
        <f>HYPERLINK("http://exon.niaid.nih.gov/transcriptome/Anopheles_sialome/links/cluster-b/anopheline-sialome-cds-pep-larger-orf45-50SimCLTL13.txt", 19)</f>
        <v>19</v>
      </c>
      <c r="BV743">
        <f>HYPERLINK("http://exon.niaid.nih.gov/transcriptome/Anopheles_sialome/links/cluster-b/anopheline-sialome-cds-pep-larger-orf50-50SimCLU21.txt", 21)</f>
        <v>21</v>
      </c>
      <c r="BW743">
        <f>HYPERLINK("http://exon.niaid.nih.gov/transcriptome/Anopheles_sialome/links/cluster-b/anopheline-sialome-cds-pep-larger-orf50-50SimCLTL21.txt", 18)</f>
        <v>18</v>
      </c>
      <c r="BX743">
        <f>HYPERLINK("http://exon.niaid.nih.gov/transcriptome/Anopheles_sialome/links/cluster-b/anopheline-sialome-cds-pep-larger-orf55-50SimCLU23.txt", 23)</f>
        <v>23</v>
      </c>
      <c r="BY743">
        <f>HYPERLINK("http://exon.niaid.nih.gov/transcriptome/Anopheles_sialome/links/cluster-b/anopheline-sialome-cds-pep-larger-orf55-50SimCLTL23.txt", 17)</f>
        <v>17</v>
      </c>
      <c r="BZ743">
        <v>56</v>
      </c>
      <c r="CA743">
        <v>1</v>
      </c>
      <c r="CB743">
        <v>70</v>
      </c>
      <c r="CC743">
        <v>1</v>
      </c>
      <c r="CD743">
        <v>87</v>
      </c>
      <c r="CE743">
        <v>1</v>
      </c>
      <c r="CF743">
        <v>117</v>
      </c>
      <c r="CG743">
        <v>1</v>
      </c>
      <c r="CH743">
        <v>152</v>
      </c>
      <c r="CI743">
        <v>1</v>
      </c>
      <c r="CJ743">
        <v>195</v>
      </c>
      <c r="CK743">
        <v>1</v>
      </c>
      <c r="CL743">
        <v>241</v>
      </c>
      <c r="CM743">
        <v>1</v>
      </c>
      <c r="CN743">
        <v>267</v>
      </c>
      <c r="CO743">
        <v>1</v>
      </c>
    </row>
    <row r="744" spans="1:93">
      <c r="A744" s="2" t="str">
        <f>HYPERLINK("http://exon.niaid.nih.gov/transcriptome/Anopheles_sialome/links/cds/anodir_hyp8.2-cds.txt","anodir_hyp8.2")</f>
        <v>anodir_hyp8.2</v>
      </c>
      <c r="B744">
        <v>276</v>
      </c>
      <c r="C744" t="s">
        <v>257</v>
      </c>
      <c r="D744" t="s">
        <v>7</v>
      </c>
      <c r="E744" t="s">
        <v>5</v>
      </c>
      <c r="F744" t="s">
        <v>1</v>
      </c>
      <c r="G744" t="str">
        <f>HYPERLINK("http://exon.niaid.nih.gov/transcriptome/Anopheles_sialome/links/pep/anodir_hyp8.2-pep.txt","anodir_hyp8.2")</f>
        <v>anodir_hyp8.2</v>
      </c>
      <c r="H744">
        <v>91</v>
      </c>
      <c r="I744">
        <v>1</v>
      </c>
      <c r="J744" s="3" t="str">
        <f>HYPERLINK("http://exon.niaid.nih.gov/transcriptome/Anopheles_sialome/links/Sigp/anodir_hyp8.2-SigP.txt","SIG")</f>
        <v>SIG</v>
      </c>
      <c r="K744" t="s">
        <v>652</v>
      </c>
      <c r="L744">
        <v>9.6180000000000003</v>
      </c>
      <c r="M744">
        <v>4.68</v>
      </c>
      <c r="N744">
        <v>7.4829999999999997</v>
      </c>
      <c r="O744">
        <v>4.3899999999999997</v>
      </c>
      <c r="P744" t="s">
        <v>1350</v>
      </c>
      <c r="Q744" s="3">
        <v>0</v>
      </c>
      <c r="R744" t="s">
        <v>128</v>
      </c>
      <c r="S744" t="s">
        <v>128</v>
      </c>
      <c r="T744" t="s">
        <v>128</v>
      </c>
      <c r="U744" t="s">
        <v>128</v>
      </c>
      <c r="V744" t="s">
        <v>128</v>
      </c>
      <c r="W744" s="3" t="str">
        <f>HYPERLINK("http://exon.niaid.nih.gov/transcriptome/Anopheles_sialome/links/netoglyc/anodir_hyp8.2-netoglyc.txt","9")</f>
        <v>9</v>
      </c>
      <c r="X744">
        <v>19.8</v>
      </c>
      <c r="Y744">
        <v>5.5</v>
      </c>
      <c r="Z744">
        <v>6.6</v>
      </c>
      <c r="AA744" t="s">
        <v>654</v>
      </c>
      <c r="AB744" t="s">
        <v>128</v>
      </c>
      <c r="AC744" s="2" t="str">
        <f>HYPERLINK("http://exon.niaid.nih.gov/transcriptome/Anopheles_sialome/links/DIPTERA/anodir_hyp8.2-DIPTERA.txt","hypothetical salivary protein 8.2")</f>
        <v>hypothetical salivary protein 8.2</v>
      </c>
      <c r="AD744" t="str">
        <f>HYPERLINK("http://www.ncbi.nlm.nih.gov/sutils/blink.cgi?pid=114864677","9E-007")</f>
        <v>9E-007</v>
      </c>
      <c r="AE744" t="str">
        <f>HYPERLINK("http://www.ncbi.nlm.nih.gov/protein/114864677","gi|114864677")</f>
        <v>gi|114864677</v>
      </c>
      <c r="AF744">
        <v>33</v>
      </c>
      <c r="AG744">
        <v>55</v>
      </c>
      <c r="AH744">
        <v>78</v>
      </c>
      <c r="AI744" t="s">
        <v>2266</v>
      </c>
      <c r="AJ744" s="2" t="str">
        <f>HYPERLINK("http://exon.niaid.nih.gov/transcriptome/Anopheles_sialome/links/CULICOMORPHA/anodir_hyp8.2-CULICOMORPHA.txt","putative salivary protein 8.2")</f>
        <v>putative salivary protein 8.2</v>
      </c>
      <c r="AK744" t="str">
        <f>HYPERLINK("http://www.ncbi.nlm.nih.gov/sutils/blink.cgi?pid=114864677","1E-007")</f>
        <v>1E-007</v>
      </c>
      <c r="AL744" t="str">
        <f>HYPERLINK("http://www.ncbi.nlm.nih.gov/protein/114864677","gi|114864677")</f>
        <v>gi|114864677</v>
      </c>
      <c r="AM744">
        <v>33</v>
      </c>
      <c r="AN744">
        <v>55</v>
      </c>
      <c r="AO744">
        <v>78</v>
      </c>
      <c r="AP744" t="s">
        <v>2266</v>
      </c>
      <c r="AQ744" s="2" t="str">
        <f>HYPERLINK("http://exon.niaid.nih.gov/transcriptome/Anopheles_sialome/links/NR-LIGHT/anodir_hyp8.2-NR-LIGHT.txt","hypothetical salivary protein 8.2")</f>
        <v>hypothetical salivary protein 8.2</v>
      </c>
      <c r="AR744" t="str">
        <f>HYPERLINK("http://www.ncbi.nlm.nih.gov/sutils/blink.cgi?pid=114864677","2E-006")</f>
        <v>2E-006</v>
      </c>
      <c r="AS744" t="str">
        <f>HYPERLINK("http://www.ncbi.nlm.nih.gov/protein/114864677","gi|114864677")</f>
        <v>gi|114864677</v>
      </c>
      <c r="AT744">
        <v>33</v>
      </c>
      <c r="AU744">
        <v>55</v>
      </c>
      <c r="AV744">
        <v>78</v>
      </c>
      <c r="AW744" t="s">
        <v>2266</v>
      </c>
      <c r="AX744" s="2" t="str">
        <f>HYPERLINK("http://exon.niaid.nih.gov/transcriptome/Anopheles_sialome/links/CDD/anodir_hyp8.2-CDD.txt","PRK10547")</f>
        <v>PRK10547</v>
      </c>
      <c r="AY744" t="str">
        <f>HYPERLINK("http://www.ncbi.nlm.nih.gov/Structure/cdd/cddsrv.cgi?uid=PRK10547&amp;version=v4.0","0.42")</f>
        <v>0.42</v>
      </c>
      <c r="AZ744" t="s">
        <v>2656</v>
      </c>
      <c r="BA744" s="2" t="str">
        <f>HYPERLINK("http://exon.niaid.nih.gov/transcriptome/Anopheles_sialome/links/KOG/anodir_hyp8.2-KOG.txt","Protein conjugation factor involved in autophagy")</f>
        <v>Protein conjugation factor involved in autophagy</v>
      </c>
      <c r="BB744" t="str">
        <f>HYPERLINK("http://www.ncbi.nlm.nih.gov/Structure/cdd/cddsrv.cgi?uid=KOG3439","0.53")</f>
        <v>0.53</v>
      </c>
      <c r="BC744" t="s">
        <v>2296</v>
      </c>
      <c r="BD744" t="str">
        <f>HYPERLINK("http://exon.niaid.nih.gov/transcriptome/Anopheles_sialome/links/KOG/anodir_hyp8.2-KOG.txt","KOG3439")</f>
        <v>KOG3439</v>
      </c>
      <c r="BE744" t="str">
        <f>HYPERLINK("http://exon.niaid.nih.gov/transcriptome/Anopheles_sialome/links/PFAM/anodir_hyp8.2-PFAM.txt","Sigma70_ner")</f>
        <v>Sigma70_ner</v>
      </c>
      <c r="BF744" t="str">
        <f>HYPERLINK("http://pfam.sanger.ac.uk/family?acc=PF04546","0.32")</f>
        <v>0.32</v>
      </c>
      <c r="BG744" s="2" t="str">
        <f>HYPERLINK("http://exon.niaid.nih.gov/transcriptome/Anopheles_sialome/links/SMART/anodir_hyp8.2-SMART.txt","ALAD")</f>
        <v>ALAD</v>
      </c>
      <c r="BH744" t="str">
        <f>HYPERLINK("http://smart.embl-heidelberg.de/smart/do_annotation.pl?DOMAIN=ALAD&amp;BLAST=DUMMY","1.3")</f>
        <v>1.3</v>
      </c>
      <c r="BI744" t="s">
        <v>128</v>
      </c>
      <c r="BJ744" s="2" t="s">
        <v>128</v>
      </c>
      <c r="BK744" t="s">
        <v>1349</v>
      </c>
      <c r="BL744">
        <f>HYPERLINK("http://exon.niaid.nih.gov/transcriptome/Anopheles_sialome/links/cluster-b/anopheline-sialome-cds-pep-larger-orf25-50SimCLU1.txt", 1)</f>
        <v>1</v>
      </c>
      <c r="BM744">
        <f>HYPERLINK("http://exon.niaid.nih.gov/transcriptome/Anopheles_sialome/links/cluster-b/anopheline-sialome-cds-pep-larger-orf25-50SimCLTL1.txt", 165)</f>
        <v>165</v>
      </c>
      <c r="BN744">
        <f>HYPERLINK("http://exon.niaid.nih.gov/transcriptome/Anopheles_sialome/links/cluster-b/anopheline-sialome-cds-pep-larger-orf30-50SimCLU1.txt", 1)</f>
        <v>1</v>
      </c>
      <c r="BO744">
        <f>HYPERLINK("http://exon.niaid.nih.gov/transcriptome/Anopheles_sialome/links/cluster-b/anopheline-sialome-cds-pep-larger-orf30-50SimCLTL1.txt", 165)</f>
        <v>165</v>
      </c>
      <c r="BP744">
        <f>HYPERLINK("http://exon.niaid.nih.gov/transcriptome/Anopheles_sialome/links/cluster-b/anopheline-sialome-cds-pep-larger-orf35-50SimCLU4.txt", 4)</f>
        <v>4</v>
      </c>
      <c r="BQ744">
        <f>HYPERLINK("http://exon.niaid.nih.gov/transcriptome/Anopheles_sialome/links/cluster-b/anopheline-sialome-cds-pep-larger-orf35-50SimCLTL4.txt", 76)</f>
        <v>76</v>
      </c>
      <c r="BR744">
        <f>HYPERLINK("http://exon.niaid.nih.gov/transcriptome/Anopheles_sialome/links/cluster-b/anopheline-sialome-cds-pep-larger-orf40-50SimCLU13.txt", 13)</f>
        <v>13</v>
      </c>
      <c r="BS744">
        <f>HYPERLINK("http://exon.niaid.nih.gov/transcriptome/Anopheles_sialome/links/cluster-b/anopheline-sialome-cds-pep-larger-orf40-50SimCLTL13.txt", 19)</f>
        <v>19</v>
      </c>
      <c r="BT744">
        <f>HYPERLINK("http://exon.niaid.nih.gov/transcriptome/Anopheles_sialome/links/cluster-b/anopheline-sialome-cds-pep-larger-orf45-50SimCLU13.txt", 13)</f>
        <v>13</v>
      </c>
      <c r="BU744">
        <f>HYPERLINK("http://exon.niaid.nih.gov/transcriptome/Anopheles_sialome/links/cluster-b/anopheline-sialome-cds-pep-larger-orf45-50SimCLTL13.txt", 19)</f>
        <v>19</v>
      </c>
      <c r="BV744">
        <f>HYPERLINK("http://exon.niaid.nih.gov/transcriptome/Anopheles_sialome/links/cluster-b/anopheline-sialome-cds-pep-larger-orf50-50SimCLU21.txt", 21)</f>
        <v>21</v>
      </c>
      <c r="BW744">
        <f>HYPERLINK("http://exon.niaid.nih.gov/transcriptome/Anopheles_sialome/links/cluster-b/anopheline-sialome-cds-pep-larger-orf50-50SimCLTL21.txt", 18)</f>
        <v>18</v>
      </c>
      <c r="BX744">
        <f>HYPERLINK("http://exon.niaid.nih.gov/transcriptome/Anopheles_sialome/links/cluster-b/anopheline-sialome-cds-pep-larger-orf55-50SimCLU23.txt", 23)</f>
        <v>23</v>
      </c>
      <c r="BY744">
        <f>HYPERLINK("http://exon.niaid.nih.gov/transcriptome/Anopheles_sialome/links/cluster-b/anopheline-sialome-cds-pep-larger-orf55-50SimCLTL23.txt", 17)</f>
        <v>17</v>
      </c>
      <c r="BZ744">
        <f>HYPERLINK("http://exon.niaid.nih.gov/transcriptome/Anopheles_sialome/links/cluster-b/anopheline-sialome-cds-pep-larger-orf60-50SimCLU30.txt", 30)</f>
        <v>30</v>
      </c>
      <c r="CA744">
        <f>HYPERLINK("http://exon.niaid.nih.gov/transcriptome/Anopheles_sialome/links/cluster-b/anopheline-sialome-cds-pep-larger-orf60-50SimCLTL30.txt", 14)</f>
        <v>14</v>
      </c>
      <c r="CB744">
        <v>71</v>
      </c>
      <c r="CC744">
        <v>1</v>
      </c>
      <c r="CD744">
        <v>88</v>
      </c>
      <c r="CE744">
        <v>1</v>
      </c>
      <c r="CF744">
        <v>118</v>
      </c>
      <c r="CG744">
        <v>1</v>
      </c>
      <c r="CH744">
        <v>153</v>
      </c>
      <c r="CI744">
        <v>1</v>
      </c>
      <c r="CJ744">
        <v>196</v>
      </c>
      <c r="CK744">
        <v>1</v>
      </c>
      <c r="CL744">
        <v>242</v>
      </c>
      <c r="CM744">
        <v>1</v>
      </c>
      <c r="CN744">
        <v>268</v>
      </c>
      <c r="CO744">
        <v>1</v>
      </c>
    </row>
    <row r="745" spans="1:93">
      <c r="A745" s="2" t="str">
        <f>HYPERLINK("http://exon.niaid.nih.gov/transcriptome/Anopheles_sialome/links/cds/anoatro_hyp8.2-cds.txt","anoatro_hyp8.2")</f>
        <v>anoatro_hyp8.2</v>
      </c>
      <c r="B745">
        <v>309</v>
      </c>
      <c r="C745" t="s">
        <v>258</v>
      </c>
      <c r="D745" t="s">
        <v>7</v>
      </c>
      <c r="E745" t="s">
        <v>5</v>
      </c>
      <c r="F745" t="s">
        <v>1</v>
      </c>
      <c r="G745" t="str">
        <f>HYPERLINK("http://exon.niaid.nih.gov/transcriptome/Anopheles_sialome/links/pep/anoatro_hyp8.2-pep.txt","anoatro_hyp8.2")</f>
        <v>anoatro_hyp8.2</v>
      </c>
      <c r="H745">
        <v>102</v>
      </c>
      <c r="I745">
        <v>1</v>
      </c>
      <c r="J745" s="3" t="str">
        <f>HYPERLINK("http://exon.niaid.nih.gov/transcriptome/Anopheles_sialome/links/Sigp/anoatro_hyp8.2-SigP.txt","SIG")</f>
        <v>SIG</v>
      </c>
      <c r="K745" t="s">
        <v>652</v>
      </c>
      <c r="L745">
        <v>10.859</v>
      </c>
      <c r="M745">
        <v>4.6399999999999997</v>
      </c>
      <c r="N745">
        <v>8.9269999999999996</v>
      </c>
      <c r="O745">
        <v>4.53</v>
      </c>
      <c r="P745" t="s">
        <v>1204</v>
      </c>
      <c r="Q745" s="3">
        <v>0</v>
      </c>
      <c r="R745" t="s">
        <v>128</v>
      </c>
      <c r="S745" t="s">
        <v>128</v>
      </c>
      <c r="T745" t="s">
        <v>128</v>
      </c>
      <c r="U745" t="s">
        <v>128</v>
      </c>
      <c r="V745" t="s">
        <v>128</v>
      </c>
      <c r="W745" s="3" t="str">
        <f>HYPERLINK("http://exon.niaid.nih.gov/transcriptome/Anopheles_sialome/links/netoglyc/anoatro_hyp8.2-netoglyc.txt","11")</f>
        <v>11</v>
      </c>
      <c r="X745">
        <v>17.600000000000001</v>
      </c>
      <c r="Y745">
        <v>4.9000000000000004</v>
      </c>
      <c r="Z745">
        <v>5.9</v>
      </c>
      <c r="AA745" t="s">
        <v>654</v>
      </c>
      <c r="AB745" t="s">
        <v>128</v>
      </c>
      <c r="AC745" s="2" t="str">
        <f>HYPERLINK("http://exon.niaid.nih.gov/transcriptome/Anopheles_sialome/links/DIPTERA/anoatro_hyp8.2-DIPTERA.txt","hypothetical protein ZHAS_00017420")</f>
        <v>hypothetical protein ZHAS_00017420</v>
      </c>
      <c r="AD745" t="str">
        <f>HYPERLINK("http://www.ncbi.nlm.nih.gov/sutils/blink.cgi?pid=668461766","2E-018")</f>
        <v>2E-018</v>
      </c>
      <c r="AE745" t="str">
        <f>HYPERLINK("http://www.ncbi.nlm.nih.gov/protein/668461766","gi|668461766")</f>
        <v>gi|668461766</v>
      </c>
      <c r="AF745">
        <v>53</v>
      </c>
      <c r="AG745">
        <v>63</v>
      </c>
      <c r="AH745">
        <v>107</v>
      </c>
      <c r="AI745" t="s">
        <v>2277</v>
      </c>
      <c r="AJ745" s="2" t="str">
        <f>HYPERLINK("http://exon.niaid.nih.gov/transcriptome/Anopheles_sialome/links/CULICOMORPHA/anoatro_hyp8.2-CULICOMORPHA.txt","hypothetical protein ZHAS_00017420")</f>
        <v>hypothetical protein ZHAS_00017420</v>
      </c>
      <c r="AK745" t="str">
        <f>HYPERLINK("http://www.ncbi.nlm.nih.gov/sutils/blink.cgi?pid=668461766","3E-019")</f>
        <v>3E-019</v>
      </c>
      <c r="AL745" t="str">
        <f>HYPERLINK("http://www.ncbi.nlm.nih.gov/protein/668461766","gi|668461766")</f>
        <v>gi|668461766</v>
      </c>
      <c r="AM745">
        <v>53</v>
      </c>
      <c r="AN745">
        <v>63</v>
      </c>
      <c r="AO745">
        <v>107</v>
      </c>
      <c r="AP745" t="s">
        <v>2277</v>
      </c>
      <c r="AQ745" s="2" t="str">
        <f>HYPERLINK("http://exon.niaid.nih.gov/transcriptome/Anopheles_sialome/links/NR-LIGHT/anoatro_hyp8.2-NR-LIGHT.txt","hypothetical protein ZHAS_00017420")</f>
        <v>hypothetical protein ZHAS_00017420</v>
      </c>
      <c r="AR745" t="str">
        <f>HYPERLINK("http://www.ncbi.nlm.nih.gov/sutils/blink.cgi?pid=668461766","5E-018")</f>
        <v>5E-018</v>
      </c>
      <c r="AS745" t="str">
        <f>HYPERLINK("http://www.ncbi.nlm.nih.gov/protein/668461766","gi|668461766")</f>
        <v>gi|668461766</v>
      </c>
      <c r="AT745">
        <v>53</v>
      </c>
      <c r="AU745">
        <v>63</v>
      </c>
      <c r="AV745">
        <v>107</v>
      </c>
      <c r="AW745" t="s">
        <v>2277</v>
      </c>
      <c r="AX745" s="2" t="str">
        <f>HYPERLINK("http://exon.niaid.nih.gov/transcriptome/Anopheles_sialome/links/CDD/anoatro_hyp8.2-CDD.txt","rps5")</f>
        <v>rps5</v>
      </c>
      <c r="AY745" t="str">
        <f>HYPERLINK("http://www.ncbi.nlm.nih.gov/Structure/cdd/cddsrv.cgi?uid=CHL00138&amp;version=v4.0","0.56")</f>
        <v>0.56</v>
      </c>
      <c r="AZ745" t="s">
        <v>2657</v>
      </c>
      <c r="BA745" s="2" t="str">
        <f>HYPERLINK("http://exon.niaid.nih.gov/transcriptome/Anopheles_sialome/links/KOG/anoatro_hyp8.2-KOG.txt","WD40 repeat protein")</f>
        <v>WD40 repeat protein</v>
      </c>
      <c r="BB745" t="str">
        <f>HYPERLINK("http://www.ncbi.nlm.nih.gov/Structure/cdd/cddsrv.cgi?uid=KOG2321","0.046")</f>
        <v>0.046</v>
      </c>
      <c r="BC745" t="s">
        <v>2310</v>
      </c>
      <c r="BD745" t="str">
        <f>HYPERLINK("http://exon.niaid.nih.gov/transcriptome/Anopheles_sialome/links/KOG/anoatro_hyp8.2-KOG.txt","KOG2321")</f>
        <v>KOG2321</v>
      </c>
      <c r="BE745" t="str">
        <f>HYPERLINK("http://exon.niaid.nih.gov/transcriptome/Anopheles_sialome/links/PFAM/anoatro_hyp8.2-PFAM.txt","HTH_42")</f>
        <v>HTH_42</v>
      </c>
      <c r="BF745" t="str">
        <f>HYPERLINK("http://pfam.sanger.ac.uk/family?acc=PF06224","0.93")</f>
        <v>0.93</v>
      </c>
      <c r="BG745" s="2" t="str">
        <f>HYPERLINK("http://exon.niaid.nih.gov/transcriptome/Anopheles_sialome/links/SMART/anoatro_hyp8.2-SMART.txt","PTPc")</f>
        <v>PTPc</v>
      </c>
      <c r="BH745" t="str">
        <f>HYPERLINK("http://smart.embl-heidelberg.de/smart/do_annotation.pl?DOMAIN=PTPc&amp;BLAST=DUMMY","0.46")</f>
        <v>0.46</v>
      </c>
      <c r="BI745" t="s">
        <v>128</v>
      </c>
      <c r="BJ745" s="2" t="s">
        <v>128</v>
      </c>
      <c r="BK745" t="s">
        <v>1351</v>
      </c>
      <c r="BL745">
        <f>HYPERLINK("http://exon.niaid.nih.gov/transcriptome/Anopheles_sialome/links/cluster-b/anopheline-sialome-cds-pep-larger-orf25-50SimCLU1.txt", 1)</f>
        <v>1</v>
      </c>
      <c r="BM745">
        <f>HYPERLINK("http://exon.niaid.nih.gov/transcriptome/Anopheles_sialome/links/cluster-b/anopheline-sialome-cds-pep-larger-orf25-50SimCLTL1.txt", 165)</f>
        <v>165</v>
      </c>
      <c r="BN745">
        <f>HYPERLINK("http://exon.niaid.nih.gov/transcriptome/Anopheles_sialome/links/cluster-b/anopheline-sialome-cds-pep-larger-orf30-50SimCLU1.txt", 1)</f>
        <v>1</v>
      </c>
      <c r="BO745">
        <f>HYPERLINK("http://exon.niaid.nih.gov/transcriptome/Anopheles_sialome/links/cluster-b/anopheline-sialome-cds-pep-larger-orf30-50SimCLTL1.txt", 165)</f>
        <v>165</v>
      </c>
      <c r="BP745">
        <f>HYPERLINK("http://exon.niaid.nih.gov/transcriptome/Anopheles_sialome/links/cluster-b/anopheline-sialome-cds-pep-larger-orf35-50SimCLU4.txt", 4)</f>
        <v>4</v>
      </c>
      <c r="BQ745">
        <f>HYPERLINK("http://exon.niaid.nih.gov/transcriptome/Anopheles_sialome/links/cluster-b/anopheline-sialome-cds-pep-larger-orf35-50SimCLTL4.txt", 76)</f>
        <v>76</v>
      </c>
      <c r="BR745">
        <f>HYPERLINK("http://exon.niaid.nih.gov/transcriptome/Anopheles_sialome/links/cluster-b/anopheline-sialome-cds-pep-larger-orf40-50SimCLU13.txt", 13)</f>
        <v>13</v>
      </c>
      <c r="BS745">
        <f>HYPERLINK("http://exon.niaid.nih.gov/transcriptome/Anopheles_sialome/links/cluster-b/anopheline-sialome-cds-pep-larger-orf40-50SimCLTL13.txt", 19)</f>
        <v>19</v>
      </c>
      <c r="BT745">
        <f>HYPERLINK("http://exon.niaid.nih.gov/transcriptome/Anopheles_sialome/links/cluster-b/anopheline-sialome-cds-pep-larger-orf45-50SimCLU13.txt", 13)</f>
        <v>13</v>
      </c>
      <c r="BU745">
        <f>HYPERLINK("http://exon.niaid.nih.gov/transcriptome/Anopheles_sialome/links/cluster-b/anopheline-sialome-cds-pep-larger-orf45-50SimCLTL13.txt", 19)</f>
        <v>19</v>
      </c>
      <c r="BV745">
        <f>HYPERLINK("http://exon.niaid.nih.gov/transcriptome/Anopheles_sialome/links/cluster-b/anopheline-sialome-cds-pep-larger-orf50-50SimCLU21.txt", 21)</f>
        <v>21</v>
      </c>
      <c r="BW745">
        <f>HYPERLINK("http://exon.niaid.nih.gov/transcriptome/Anopheles_sialome/links/cluster-b/anopheline-sialome-cds-pep-larger-orf50-50SimCLTL21.txt", 18)</f>
        <v>18</v>
      </c>
      <c r="BX745">
        <f>HYPERLINK("http://exon.niaid.nih.gov/transcriptome/Anopheles_sialome/links/cluster-b/anopheline-sialome-cds-pep-larger-orf55-50SimCLU23.txt", 23)</f>
        <v>23</v>
      </c>
      <c r="BY745">
        <f>HYPERLINK("http://exon.niaid.nih.gov/transcriptome/Anopheles_sialome/links/cluster-b/anopheline-sialome-cds-pep-larger-orf55-50SimCLTL23.txt", 17)</f>
        <v>17</v>
      </c>
      <c r="BZ745">
        <f>HYPERLINK("http://exon.niaid.nih.gov/transcriptome/Anopheles_sialome/links/cluster-b/anopheline-sialome-cds-pep-larger-orf60-50SimCLU41.txt", 41)</f>
        <v>41</v>
      </c>
      <c r="CA745">
        <f>HYPERLINK("http://exon.niaid.nih.gov/transcriptome/Anopheles_sialome/links/cluster-b/anopheline-sialome-cds-pep-larger-orf60-50SimCLTL41.txt", 2)</f>
        <v>2</v>
      </c>
      <c r="CB745">
        <v>72</v>
      </c>
      <c r="CC745">
        <v>1</v>
      </c>
      <c r="CD745">
        <v>89</v>
      </c>
      <c r="CE745">
        <v>1</v>
      </c>
      <c r="CF745">
        <v>119</v>
      </c>
      <c r="CG745">
        <v>1</v>
      </c>
      <c r="CH745">
        <v>154</v>
      </c>
      <c r="CI745">
        <v>1</v>
      </c>
      <c r="CJ745">
        <v>197</v>
      </c>
      <c r="CK745">
        <v>1</v>
      </c>
      <c r="CL745">
        <v>243</v>
      </c>
      <c r="CM745">
        <v>1</v>
      </c>
      <c r="CN745">
        <v>269</v>
      </c>
      <c r="CO745">
        <v>1</v>
      </c>
    </row>
    <row r="746" spans="1:93">
      <c r="A746" s="2" t="str">
        <f>HYPERLINK("http://exon.niaid.nih.gov/transcriptome/Anopheles_sialome/links/cds/anosin_hyp8.2-cds.txt","anosin_hyp8.2")</f>
        <v>anosin_hyp8.2</v>
      </c>
      <c r="B746">
        <v>300</v>
      </c>
      <c r="C746" t="s">
        <v>4</v>
      </c>
      <c r="D746" s="8" t="s">
        <v>3178</v>
      </c>
      <c r="E746" t="s">
        <v>5</v>
      </c>
      <c r="F746" t="s">
        <v>1</v>
      </c>
      <c r="G746" t="str">
        <f>HYPERLINK("http://exon.niaid.nih.gov/transcriptome/Anopheles_sialome/links/pep/anosin_hyp8.2-pep.txt","anosin_hyp8.2")</f>
        <v>anosin_hyp8.2</v>
      </c>
      <c r="H746">
        <v>99</v>
      </c>
      <c r="I746">
        <v>2</v>
      </c>
      <c r="J746" s="3" t="str">
        <f>HYPERLINK("http://exon.niaid.nih.gov/transcriptome/Anopheles_sialome/links/Sigp/anosin_hyp8.2-SigP.txt","SIG")</f>
        <v>SIG</v>
      </c>
      <c r="K746" t="s">
        <v>695</v>
      </c>
      <c r="L746">
        <v>10.305</v>
      </c>
      <c r="M746">
        <v>5.13</v>
      </c>
      <c r="N746">
        <v>8.032</v>
      </c>
      <c r="O746">
        <v>5.41</v>
      </c>
      <c r="P746" t="s">
        <v>1353</v>
      </c>
      <c r="Q746" s="3">
        <v>0</v>
      </c>
      <c r="R746" t="s">
        <v>128</v>
      </c>
      <c r="S746" t="s">
        <v>128</v>
      </c>
      <c r="T746" t="s">
        <v>128</v>
      </c>
      <c r="U746" t="s">
        <v>128</v>
      </c>
      <c r="V746" t="s">
        <v>128</v>
      </c>
      <c r="W746" s="3" t="str">
        <f>HYPERLINK("http://exon.niaid.nih.gov/transcriptome/Anopheles_sialome/links/netoglyc/anosin_hyp8.2-netoglyc.txt","6")</f>
        <v>6</v>
      </c>
      <c r="X746">
        <v>18.2</v>
      </c>
      <c r="Y746">
        <v>8.1</v>
      </c>
      <c r="Z746">
        <v>5.0999999999999996</v>
      </c>
      <c r="AA746" t="s">
        <v>654</v>
      </c>
      <c r="AB746" t="s">
        <v>128</v>
      </c>
      <c r="AC746" s="2" t="str">
        <f>HYPERLINK("http://exon.niaid.nih.gov/transcriptome/Anopheles_sialome/links/DIPTERA/anosin_hyp8.2-DIPTERA.txt","hypothetical protein ZHAS_00017420")</f>
        <v>hypothetical protein ZHAS_00017420</v>
      </c>
      <c r="AD746" t="str">
        <f>HYPERLINK("http://www.ncbi.nlm.nih.gov/sutils/blink.cgi?pid=668461766","1E-045")</f>
        <v>1E-045</v>
      </c>
      <c r="AE746" t="str">
        <f>HYPERLINK("http://www.ncbi.nlm.nih.gov/protein/668461766","gi|668461766")</f>
        <v>gi|668461766</v>
      </c>
      <c r="AF746">
        <v>94</v>
      </c>
      <c r="AG746">
        <v>96</v>
      </c>
      <c r="AH746">
        <v>100</v>
      </c>
      <c r="AI746" t="s">
        <v>2277</v>
      </c>
      <c r="AJ746" s="2" t="str">
        <f>HYPERLINK("http://exon.niaid.nih.gov/transcriptome/Anopheles_sialome/links/CULICOMORPHA/anosin_hyp8.2-CULICOMORPHA.txt","hypothetical protein ZHAS_00017420")</f>
        <v>hypothetical protein ZHAS_00017420</v>
      </c>
      <c r="AK746" t="str">
        <f>HYPERLINK("http://www.ncbi.nlm.nih.gov/sutils/blink.cgi?pid=668461766","2E-046")</f>
        <v>2E-046</v>
      </c>
      <c r="AL746" t="str">
        <f>HYPERLINK("http://www.ncbi.nlm.nih.gov/protein/668461766","gi|668461766")</f>
        <v>gi|668461766</v>
      </c>
      <c r="AM746">
        <v>94</v>
      </c>
      <c r="AN746">
        <v>96</v>
      </c>
      <c r="AO746">
        <v>100</v>
      </c>
      <c r="AP746" t="s">
        <v>2277</v>
      </c>
      <c r="AQ746" s="2" t="str">
        <f>HYPERLINK("http://exon.niaid.nih.gov/transcriptome/Anopheles_sialome/links/NR-LIGHT/anosin_hyp8.2-NR-LIGHT.txt","hypothetical protein ZHAS_00017420")</f>
        <v>hypothetical protein ZHAS_00017420</v>
      </c>
      <c r="AR746" t="str">
        <f>HYPERLINK("http://www.ncbi.nlm.nih.gov/sutils/blink.cgi?pid=668461766","4E-045")</f>
        <v>4E-045</v>
      </c>
      <c r="AS746" t="str">
        <f>HYPERLINK("http://www.ncbi.nlm.nih.gov/protein/668461766","gi|668461766")</f>
        <v>gi|668461766</v>
      </c>
      <c r="AT746">
        <v>94</v>
      </c>
      <c r="AU746">
        <v>96</v>
      </c>
      <c r="AV746">
        <v>100</v>
      </c>
      <c r="AW746" t="s">
        <v>2277</v>
      </c>
      <c r="AX746" s="2" t="str">
        <f>HYPERLINK("http://exon.niaid.nih.gov/transcriptome/Anopheles_sialome/links/CDD/anosin_hyp8.2-CDD.txt","DUF3633")</f>
        <v>DUF3633</v>
      </c>
      <c r="AY746" t="str">
        <f>HYPERLINK("http://www.ncbi.nlm.nih.gov/Structure/cdd/cddsrv.cgi?uid=pfam12315&amp;version=v4.0","1.6")</f>
        <v>1.6</v>
      </c>
      <c r="AZ746" t="s">
        <v>2658</v>
      </c>
      <c r="BA746" s="2" t="str">
        <f>HYPERLINK("http://exon.niaid.nih.gov/transcriptome/Anopheles_sialome/links/KOG/anosin_hyp8.2-KOG.txt","Predicted DNA-binding protein, contains Myb-like, SANT and ELM2 domains")</f>
        <v>Predicted DNA-binding protein, contains Myb-like, SANT and ELM2 domains</v>
      </c>
      <c r="BB746" t="str">
        <f>HYPERLINK("http://www.ncbi.nlm.nih.gov/Structure/cdd/cddsrv.cgi?uid=KOG1194","0.47")</f>
        <v>0.47</v>
      </c>
      <c r="BC746" t="s">
        <v>2262</v>
      </c>
      <c r="BD746" t="str">
        <f>HYPERLINK("http://exon.niaid.nih.gov/transcriptome/Anopheles_sialome/links/KOG/anosin_hyp8.2-KOG.txt","KOG1194")</f>
        <v>KOG1194</v>
      </c>
      <c r="BE746" t="str">
        <f>HYPERLINK("http://exon.niaid.nih.gov/transcriptome/Anopheles_sialome/links/PFAM/anosin_hyp8.2-PFAM.txt","DUF3633")</f>
        <v>DUF3633</v>
      </c>
      <c r="BF746" t="str">
        <f>HYPERLINK("http://pfam.sanger.ac.uk/family?acc=PF12315","0.36")</f>
        <v>0.36</v>
      </c>
      <c r="BG746" s="2" t="str">
        <f>HYPERLINK("http://exon.niaid.nih.gov/transcriptome/Anopheles_sialome/links/SMART/anosin_hyp8.2-SMART.txt","Beach")</f>
        <v>Beach</v>
      </c>
      <c r="BH746" t="str">
        <f>HYPERLINK("http://smart.embl-heidelberg.de/smart/do_annotation.pl?DOMAIN=Beach&amp;BLAST=DUMMY","0.67")</f>
        <v>0.67</v>
      </c>
      <c r="BI746" t="s">
        <v>128</v>
      </c>
      <c r="BJ746" s="2" t="s">
        <v>128</v>
      </c>
      <c r="BK746" t="s">
        <v>1352</v>
      </c>
      <c r="BL746">
        <f>HYPERLINK("http://exon.niaid.nih.gov/transcriptome/Anopheles_sialome/links/cluster-b/anopheline-sialome-cds-pep-larger-orf25-50SimCLU1.txt", 1)</f>
        <v>1</v>
      </c>
      <c r="BM746">
        <f>HYPERLINK("http://exon.niaid.nih.gov/transcriptome/Anopheles_sialome/links/cluster-b/anopheline-sialome-cds-pep-larger-orf25-50SimCLTL1.txt", 165)</f>
        <v>165</v>
      </c>
      <c r="BN746">
        <f>HYPERLINK("http://exon.niaid.nih.gov/transcriptome/Anopheles_sialome/links/cluster-b/anopheline-sialome-cds-pep-larger-orf30-50SimCLU1.txt", 1)</f>
        <v>1</v>
      </c>
      <c r="BO746">
        <f>HYPERLINK("http://exon.niaid.nih.gov/transcriptome/Anopheles_sialome/links/cluster-b/anopheline-sialome-cds-pep-larger-orf30-50SimCLTL1.txt", 165)</f>
        <v>165</v>
      </c>
      <c r="BP746">
        <f>HYPERLINK("http://exon.niaid.nih.gov/transcriptome/Anopheles_sialome/links/cluster-b/anopheline-sialome-cds-pep-larger-orf35-50SimCLU4.txt", 4)</f>
        <v>4</v>
      </c>
      <c r="BQ746">
        <f>HYPERLINK("http://exon.niaid.nih.gov/transcriptome/Anopheles_sialome/links/cluster-b/anopheline-sialome-cds-pep-larger-orf35-50SimCLTL4.txt", 76)</f>
        <v>76</v>
      </c>
      <c r="BR746">
        <f>HYPERLINK("http://exon.niaid.nih.gov/transcriptome/Anopheles_sialome/links/cluster-b/anopheline-sialome-cds-pep-larger-orf40-50SimCLU13.txt", 13)</f>
        <v>13</v>
      </c>
      <c r="BS746">
        <f>HYPERLINK("http://exon.niaid.nih.gov/transcriptome/Anopheles_sialome/links/cluster-b/anopheline-sialome-cds-pep-larger-orf40-50SimCLTL13.txt", 19)</f>
        <v>19</v>
      </c>
      <c r="BT746">
        <f>HYPERLINK("http://exon.niaid.nih.gov/transcriptome/Anopheles_sialome/links/cluster-b/anopheline-sialome-cds-pep-larger-orf45-50SimCLU13.txt", 13)</f>
        <v>13</v>
      </c>
      <c r="BU746">
        <f>HYPERLINK("http://exon.niaid.nih.gov/transcriptome/Anopheles_sialome/links/cluster-b/anopheline-sialome-cds-pep-larger-orf45-50SimCLTL13.txt", 19)</f>
        <v>19</v>
      </c>
      <c r="BV746">
        <f>HYPERLINK("http://exon.niaid.nih.gov/transcriptome/Anopheles_sialome/links/cluster-b/anopheline-sialome-cds-pep-larger-orf50-50SimCLU21.txt", 21)</f>
        <v>21</v>
      </c>
      <c r="BW746">
        <f>HYPERLINK("http://exon.niaid.nih.gov/transcriptome/Anopheles_sialome/links/cluster-b/anopheline-sialome-cds-pep-larger-orf50-50SimCLTL21.txt", 18)</f>
        <v>18</v>
      </c>
      <c r="BX746">
        <f>HYPERLINK("http://exon.niaid.nih.gov/transcriptome/Anopheles_sialome/links/cluster-b/anopheline-sialome-cds-pep-larger-orf55-50SimCLU23.txt", 23)</f>
        <v>23</v>
      </c>
      <c r="BY746">
        <f>HYPERLINK("http://exon.niaid.nih.gov/transcriptome/Anopheles_sialome/links/cluster-b/anopheline-sialome-cds-pep-larger-orf55-50SimCLTL23.txt", 17)</f>
        <v>17</v>
      </c>
      <c r="BZ746">
        <f>HYPERLINK("http://exon.niaid.nih.gov/transcriptome/Anopheles_sialome/links/cluster-b/anopheline-sialome-cds-pep-larger-orf60-50SimCLU41.txt", 41)</f>
        <v>41</v>
      </c>
      <c r="CA746">
        <f>HYPERLINK("http://exon.niaid.nih.gov/transcriptome/Anopheles_sialome/links/cluster-b/anopheline-sialome-cds-pep-larger-orf60-50SimCLTL41.txt", 2)</f>
        <v>2</v>
      </c>
      <c r="CB746">
        <v>73</v>
      </c>
      <c r="CC746">
        <v>1</v>
      </c>
      <c r="CD746">
        <v>90</v>
      </c>
      <c r="CE746">
        <v>1</v>
      </c>
      <c r="CF746">
        <v>120</v>
      </c>
      <c r="CG746">
        <v>1</v>
      </c>
      <c r="CH746">
        <v>155</v>
      </c>
      <c r="CI746">
        <v>1</v>
      </c>
      <c r="CJ746">
        <v>198</v>
      </c>
      <c r="CK746">
        <v>1</v>
      </c>
      <c r="CL746">
        <v>244</v>
      </c>
      <c r="CM746">
        <v>1</v>
      </c>
      <c r="CN746">
        <v>270</v>
      </c>
      <c r="CO746">
        <v>1</v>
      </c>
    </row>
    <row r="747" spans="1:93">
      <c r="A747" s="2" t="str">
        <f>HYPERLINK("http://exon.niaid.nih.gov/transcriptome/Anopheles_sialome/links/cds/anoalb_hyp8.2-cds.txt","anoalb_hyp8.2")</f>
        <v>anoalb_hyp8.2</v>
      </c>
      <c r="B747">
        <v>252</v>
      </c>
      <c r="C747" t="s">
        <v>259</v>
      </c>
      <c r="D747" t="s">
        <v>7</v>
      </c>
      <c r="E747" t="s">
        <v>5</v>
      </c>
      <c r="F747" t="s">
        <v>1</v>
      </c>
      <c r="G747" t="str">
        <f>HYPERLINK("http://exon.niaid.nih.gov/transcriptome/Anopheles_sialome/links/pep/anoalb_hyp8.2-pep.txt","anoalb_hyp8.2")</f>
        <v>anoalb_hyp8.2</v>
      </c>
      <c r="H747">
        <v>83</v>
      </c>
      <c r="I747">
        <v>0</v>
      </c>
      <c r="J747" s="3" t="str">
        <f>HYPERLINK("http://exon.niaid.nih.gov/transcriptome/Anopheles_sialome/links/Sigp/anoalb_hyp8.2-SigP.txt","SIG")</f>
        <v>SIG</v>
      </c>
      <c r="K747" t="s">
        <v>692</v>
      </c>
      <c r="L747">
        <v>8.8339999999999996</v>
      </c>
      <c r="M747">
        <v>4.72</v>
      </c>
      <c r="N747">
        <v>6.7850000000000001</v>
      </c>
      <c r="O747">
        <v>4.53</v>
      </c>
      <c r="P747" t="s">
        <v>1355</v>
      </c>
      <c r="Q747" s="3">
        <v>0</v>
      </c>
      <c r="R747" t="s">
        <v>128</v>
      </c>
      <c r="S747" t="s">
        <v>128</v>
      </c>
      <c r="T747" t="s">
        <v>128</v>
      </c>
      <c r="U747" t="s">
        <v>128</v>
      </c>
      <c r="V747" t="s">
        <v>128</v>
      </c>
      <c r="W747" s="3" t="str">
        <f>HYPERLINK("http://exon.niaid.nih.gov/transcriptome/Anopheles_sialome/links/netoglyc/anoalb_hyp8.2-netoglyc.txt","7")</f>
        <v>7</v>
      </c>
      <c r="X747">
        <v>13.3</v>
      </c>
      <c r="Y747">
        <v>7.2</v>
      </c>
      <c r="Z747">
        <v>8.4</v>
      </c>
      <c r="AA747" t="s">
        <v>654</v>
      </c>
      <c r="AB747" t="s">
        <v>128</v>
      </c>
      <c r="AC747" s="2" t="str">
        <f>HYPERLINK("http://exon.niaid.nih.gov/transcriptome/Anopheles_sialome/links/DIPTERA/anoalb_hyp8.2-DIPTERA.txt","hypothetical salivary protein 8.2")</f>
        <v>hypothetical salivary protein 8.2</v>
      </c>
      <c r="AD747" t="str">
        <f>HYPERLINK("http://www.ncbi.nlm.nih.gov/sutils/blink.cgi?pid=208657771","7E-025")</f>
        <v>7E-025</v>
      </c>
      <c r="AE747" t="str">
        <f>HYPERLINK("http://www.ncbi.nlm.nih.gov/protein/208657771","gi|208657771")</f>
        <v>gi|208657771</v>
      </c>
      <c r="AF747">
        <v>65</v>
      </c>
      <c r="AG747">
        <v>73</v>
      </c>
      <c r="AH747">
        <v>100</v>
      </c>
      <c r="AI747" t="s">
        <v>2283</v>
      </c>
      <c r="AJ747" s="2" t="str">
        <f>HYPERLINK("http://exon.niaid.nih.gov/transcriptome/Anopheles_sialome/links/CULICOMORPHA/anoalb_hyp8.2-CULICOMORPHA.txt","hypothetical salivary protein 8.2")</f>
        <v>hypothetical salivary protein 8.2</v>
      </c>
      <c r="AK747" t="str">
        <f>HYPERLINK("http://www.ncbi.nlm.nih.gov/sutils/blink.cgi?pid=208657771","1E-025")</f>
        <v>1E-025</v>
      </c>
      <c r="AL747" t="str">
        <f>HYPERLINK("http://www.ncbi.nlm.nih.gov/protein/208657771","gi|208657771")</f>
        <v>gi|208657771</v>
      </c>
      <c r="AM747">
        <v>65</v>
      </c>
      <c r="AN747">
        <v>73</v>
      </c>
      <c r="AO747">
        <v>100</v>
      </c>
      <c r="AP747" t="s">
        <v>2283</v>
      </c>
      <c r="AQ747" s="2" t="str">
        <f>HYPERLINK("http://exon.niaid.nih.gov/transcriptome/Anopheles_sialome/links/NR-LIGHT/anoalb_hyp8.2-NR-LIGHT.txt","hypothetical salivary protein 8.2")</f>
        <v>hypothetical salivary protein 8.2</v>
      </c>
      <c r="AR747" t="str">
        <f>HYPERLINK("http://www.ncbi.nlm.nih.gov/sutils/blink.cgi?pid=27372899","0.10")</f>
        <v>0.10</v>
      </c>
      <c r="AS747" t="str">
        <f>HYPERLINK("http://www.ncbi.nlm.nih.gov/protein/27372899","gi|27372899")</f>
        <v>gi|27372899</v>
      </c>
      <c r="AT747">
        <v>27</v>
      </c>
      <c r="AU747">
        <v>50</v>
      </c>
      <c r="AV747">
        <v>99</v>
      </c>
      <c r="AW747" t="s">
        <v>2271</v>
      </c>
      <c r="AX747" s="2" t="str">
        <f>HYPERLINK("http://exon.niaid.nih.gov/transcriptome/Anopheles_sialome/links/CDD/anoalb_hyp8.2-CDD.txt","INO1")</f>
        <v>INO1</v>
      </c>
      <c r="AY747" t="str">
        <f>HYPERLINK("http://www.ncbi.nlm.nih.gov/Structure/cdd/cddsrv.cgi?uid=COG1260&amp;version=v4.0","0.85")</f>
        <v>0.85</v>
      </c>
      <c r="AZ747" t="s">
        <v>2659</v>
      </c>
      <c r="BA747" s="2" t="str">
        <f>HYPERLINK("http://exon.niaid.nih.gov/transcriptome/Anopheles_sialome/links/KOG/anoalb_hyp8.2-KOG.txt","Cytoplasmic dynein intermediate chain")</f>
        <v>Cytoplasmic dynein intermediate chain</v>
      </c>
      <c r="BB747" t="str">
        <f>HYPERLINK("http://www.ncbi.nlm.nih.gov/Structure/cdd/cddsrv.cgi?uid=KOG1587","0.18")</f>
        <v>0.18</v>
      </c>
      <c r="BC747" t="s">
        <v>2312</v>
      </c>
      <c r="BD747" t="str">
        <f>HYPERLINK("http://exon.niaid.nih.gov/transcriptome/Anopheles_sialome/links/KOG/anoalb_hyp8.2-KOG.txt","KOG1587")</f>
        <v>KOG1587</v>
      </c>
      <c r="BE747" t="str">
        <f>HYPERLINK("http://exon.niaid.nih.gov/transcriptome/Anopheles_sialome/links/PFAM/anoalb_hyp8.2-PFAM.txt","Peptidase_C4")</f>
        <v>Peptidase_C4</v>
      </c>
      <c r="BF747" t="str">
        <f>HYPERLINK("http://pfam.sanger.ac.uk/family?acc=PF00863","0.61")</f>
        <v>0.61</v>
      </c>
      <c r="BG747" s="2" t="str">
        <f>HYPERLINK("http://exon.niaid.nih.gov/transcriptome/Anopheles_sialome/links/SMART/anoalb_hyp8.2-SMART.txt","HELICc")</f>
        <v>HELICc</v>
      </c>
      <c r="BH747" t="str">
        <f>HYPERLINK("http://smart.embl-heidelberg.de/smart/do_annotation.pl?DOMAIN=HELICc&amp;BLAST=DUMMY","0.93")</f>
        <v>0.93</v>
      </c>
      <c r="BI747" t="s">
        <v>128</v>
      </c>
      <c r="BJ747" s="2" t="s">
        <v>128</v>
      </c>
      <c r="BK747" t="s">
        <v>1354</v>
      </c>
      <c r="BL747">
        <f>HYPERLINK("http://exon.niaid.nih.gov/transcriptome/Anopheles_sialome/links/cluster-b/anopheline-sialome-cds-pep-larger-orf25-50SimCLU1.txt", 1)</f>
        <v>1</v>
      </c>
      <c r="BM747">
        <f>HYPERLINK("http://exon.niaid.nih.gov/transcriptome/Anopheles_sialome/links/cluster-b/anopheline-sialome-cds-pep-larger-orf25-50SimCLTL1.txt", 165)</f>
        <v>165</v>
      </c>
      <c r="BN747">
        <f>HYPERLINK("http://exon.niaid.nih.gov/transcriptome/Anopheles_sialome/links/cluster-b/anopheline-sialome-cds-pep-larger-orf30-50SimCLU1.txt", 1)</f>
        <v>1</v>
      </c>
      <c r="BO747">
        <f>HYPERLINK("http://exon.niaid.nih.gov/transcriptome/Anopheles_sialome/links/cluster-b/anopheline-sialome-cds-pep-larger-orf30-50SimCLTL1.txt", 165)</f>
        <v>165</v>
      </c>
      <c r="BP747">
        <f>HYPERLINK("http://exon.niaid.nih.gov/transcriptome/Anopheles_sialome/links/cluster-b/anopheline-sialome-cds-pep-larger-orf35-50SimCLU4.txt", 4)</f>
        <v>4</v>
      </c>
      <c r="BQ747">
        <f>HYPERLINK("http://exon.niaid.nih.gov/transcriptome/Anopheles_sialome/links/cluster-b/anopheline-sialome-cds-pep-larger-orf35-50SimCLTL4.txt", 76)</f>
        <v>76</v>
      </c>
      <c r="BR747">
        <f>HYPERLINK("http://exon.niaid.nih.gov/transcriptome/Anopheles_sialome/links/cluster-b/anopheline-sialome-cds-pep-larger-orf40-50SimCLU13.txt", 13)</f>
        <v>13</v>
      </c>
      <c r="BS747">
        <f>HYPERLINK("http://exon.niaid.nih.gov/transcriptome/Anopheles_sialome/links/cluster-b/anopheline-sialome-cds-pep-larger-orf40-50SimCLTL13.txt", 19)</f>
        <v>19</v>
      </c>
      <c r="BT747">
        <f>HYPERLINK("http://exon.niaid.nih.gov/transcriptome/Anopheles_sialome/links/cluster-b/anopheline-sialome-cds-pep-larger-orf45-50SimCLU13.txt", 13)</f>
        <v>13</v>
      </c>
      <c r="BU747">
        <f>HYPERLINK("http://exon.niaid.nih.gov/transcriptome/Anopheles_sialome/links/cluster-b/anopheline-sialome-cds-pep-larger-orf45-50SimCLTL13.txt", 19)</f>
        <v>19</v>
      </c>
      <c r="BV747">
        <f>HYPERLINK("http://exon.niaid.nih.gov/transcriptome/Anopheles_sialome/links/cluster-b/anopheline-sialome-cds-pep-larger-orf50-50SimCLU21.txt", 21)</f>
        <v>21</v>
      </c>
      <c r="BW747">
        <f>HYPERLINK("http://exon.niaid.nih.gov/transcriptome/Anopheles_sialome/links/cluster-b/anopheline-sialome-cds-pep-larger-orf50-50SimCLTL21.txt", 18)</f>
        <v>18</v>
      </c>
      <c r="BX747">
        <v>38</v>
      </c>
      <c r="BY747">
        <v>1</v>
      </c>
      <c r="BZ747">
        <v>57</v>
      </c>
      <c r="CA747">
        <v>1</v>
      </c>
      <c r="CB747">
        <v>74</v>
      </c>
      <c r="CC747">
        <v>1</v>
      </c>
      <c r="CD747">
        <v>91</v>
      </c>
      <c r="CE747">
        <v>1</v>
      </c>
      <c r="CF747">
        <v>121</v>
      </c>
      <c r="CG747">
        <v>1</v>
      </c>
      <c r="CH747">
        <v>156</v>
      </c>
      <c r="CI747">
        <v>1</v>
      </c>
      <c r="CJ747">
        <v>199</v>
      </c>
      <c r="CK747">
        <v>1</v>
      </c>
      <c r="CL747">
        <v>245</v>
      </c>
      <c r="CM747">
        <v>1</v>
      </c>
      <c r="CN747">
        <v>271</v>
      </c>
      <c r="CO747">
        <v>1</v>
      </c>
    </row>
    <row r="748" spans="1:93">
      <c r="A748" s="2" t="str">
        <f>HYPERLINK("http://exon.niaid.nih.gov/transcriptome/Anopheles_sialome/links/cds/anodar_hyp8.2-cds.txt","anodar_hyp8.2")</f>
        <v>anodar_hyp8.2</v>
      </c>
      <c r="B748">
        <v>285</v>
      </c>
      <c r="C748" t="s">
        <v>4</v>
      </c>
      <c r="D748" s="8" t="s">
        <v>3178</v>
      </c>
      <c r="E748" t="s">
        <v>5</v>
      </c>
      <c r="F748" t="s">
        <v>1</v>
      </c>
      <c r="G748" t="str">
        <f>HYPERLINK("http://exon.niaid.nih.gov/transcriptome/Anopheles_sialome/links/pep/anodar_hyp8.2-pep.txt","anodar_hyp8.2")</f>
        <v>anodar_hyp8.2</v>
      </c>
      <c r="H748">
        <v>94</v>
      </c>
      <c r="I748">
        <v>1</v>
      </c>
      <c r="J748" s="3" t="str">
        <f>HYPERLINK("http://exon.niaid.nih.gov/transcriptome/Anopheles_sialome/links/Sigp/anodar_hyp8.2-SigP.txt","SIG")</f>
        <v>SIG</v>
      </c>
      <c r="K748" t="s">
        <v>925</v>
      </c>
      <c r="L748">
        <v>10.106999999999999</v>
      </c>
      <c r="M748">
        <v>4.0599999999999996</v>
      </c>
      <c r="N748">
        <v>8.1609999999999996</v>
      </c>
      <c r="O748">
        <v>4.0599999999999996</v>
      </c>
      <c r="P748" t="s">
        <v>1357</v>
      </c>
      <c r="Q748" s="3" t="str">
        <f>HYPERLINK("http://exon.niaid.nih.gov/transcriptome/Anopheles_sialome/links/tmhmm/anodar_hyp8.2-tmhmm.txt","1")</f>
        <v>1</v>
      </c>
      <c r="R748">
        <v>18.100000000000001</v>
      </c>
      <c r="S748">
        <v>76.599999999999994</v>
      </c>
      <c r="T748">
        <v>5.3</v>
      </c>
      <c r="U748" t="s">
        <v>128</v>
      </c>
      <c r="V748">
        <v>72</v>
      </c>
      <c r="W748" s="3" t="str">
        <f>HYPERLINK("http://exon.niaid.nih.gov/transcriptome/Anopheles_sialome/links/netoglyc/anodar_hyp8.2-netoglyc.txt","0")</f>
        <v>0</v>
      </c>
      <c r="X748">
        <v>11.7</v>
      </c>
      <c r="Y748">
        <v>8.5</v>
      </c>
      <c r="Z748">
        <v>5.3</v>
      </c>
      <c r="AA748" t="s">
        <v>654</v>
      </c>
      <c r="AB748" t="s">
        <v>128</v>
      </c>
      <c r="AC748" s="2" t="str">
        <f>HYPERLINK("http://exon.niaid.nih.gov/transcriptome/Anopheles_sialome/links/DIPTERA/anodar_hyp8.2-DIPTERA.txt","hypothetical salivary protein 8.2")</f>
        <v>hypothetical salivary protein 8.2</v>
      </c>
      <c r="AD748" t="str">
        <f>HYPERLINK("http://www.ncbi.nlm.nih.gov/sutils/blink.cgi?pid=208657815","1E-047")</f>
        <v>1E-047</v>
      </c>
      <c r="AE748" t="str">
        <f>HYPERLINK("http://www.ncbi.nlm.nih.gov/protein/208657815","gi|208657815")</f>
        <v>gi|208657815</v>
      </c>
      <c r="AF748">
        <v>97</v>
      </c>
      <c r="AG748">
        <v>98</v>
      </c>
      <c r="AH748">
        <v>100</v>
      </c>
      <c r="AI748" t="s">
        <v>2283</v>
      </c>
      <c r="AJ748" s="2" t="str">
        <f>HYPERLINK("http://exon.niaid.nih.gov/transcriptome/Anopheles_sialome/links/CULICOMORPHA/anodar_hyp8.2-CULICOMORPHA.txt","hypothetical salivary protein 8.2")</f>
        <v>hypothetical salivary protein 8.2</v>
      </c>
      <c r="AK748" t="str">
        <f>HYPERLINK("http://www.ncbi.nlm.nih.gov/sutils/blink.cgi?pid=208657815","2E-048")</f>
        <v>2E-048</v>
      </c>
      <c r="AL748" t="str">
        <f>HYPERLINK("http://www.ncbi.nlm.nih.gov/protein/208657815","gi|208657815")</f>
        <v>gi|208657815</v>
      </c>
      <c r="AM748">
        <v>97</v>
      </c>
      <c r="AN748">
        <v>98</v>
      </c>
      <c r="AO748">
        <v>100</v>
      </c>
      <c r="AP748" t="s">
        <v>2283</v>
      </c>
      <c r="AQ748" s="2" t="str">
        <f>HYPERLINK("http://exon.niaid.nih.gov/transcriptome/Anopheles_sialome/links/NR-LIGHT/anodar_hyp8.2-NR-LIGHT.txt","hypothetical salivary protein 8.2")</f>
        <v>hypothetical salivary protein 8.2</v>
      </c>
      <c r="AR748" t="str">
        <f>HYPERLINK("http://www.ncbi.nlm.nih.gov/sutils/blink.cgi?pid=27372899","0.004")</f>
        <v>0.004</v>
      </c>
      <c r="AS748" t="str">
        <f>HYPERLINK("http://www.ncbi.nlm.nih.gov/protein/27372899","gi|27372899")</f>
        <v>gi|27372899</v>
      </c>
      <c r="AT748">
        <v>28</v>
      </c>
      <c r="AU748">
        <v>47</v>
      </c>
      <c r="AV748">
        <v>102</v>
      </c>
      <c r="AW748" t="s">
        <v>2271</v>
      </c>
      <c r="AX748" s="2" t="str">
        <f>HYPERLINK("http://exon.niaid.nih.gov/transcriptome/Anopheles_sialome/links/CDD/anodar_hyp8.2-CDD.txt","DUF1832")</f>
        <v>DUF1832</v>
      </c>
      <c r="AY748" t="str">
        <f>HYPERLINK("http://www.ncbi.nlm.nih.gov/Structure/cdd/cddsrv.cgi?uid=pfam08870&amp;version=v4.0","0.58")</f>
        <v>0.58</v>
      </c>
      <c r="AZ748" t="s">
        <v>2660</v>
      </c>
      <c r="BA748" s="2" t="str">
        <f>HYPERLINK("http://exon.niaid.nih.gov/transcriptome/Anopheles_sialome/links/KOG/anodar_hyp8.2-KOG.txt","HIV-1 Vpr-binding protein")</f>
        <v>HIV-1 Vpr-binding protein</v>
      </c>
      <c r="BB748" t="str">
        <f>HYPERLINK("http://www.ncbi.nlm.nih.gov/Structure/cdd/cddsrv.cgi?uid=KOG1832","0.53")</f>
        <v>0.53</v>
      </c>
      <c r="BC748" t="s">
        <v>2256</v>
      </c>
      <c r="BD748" t="str">
        <f>HYPERLINK("http://exon.niaid.nih.gov/transcriptome/Anopheles_sialome/links/KOG/anodar_hyp8.2-KOG.txt","KOG1832")</f>
        <v>KOG1832</v>
      </c>
      <c r="BE748" t="str">
        <f>HYPERLINK("http://exon.niaid.nih.gov/transcriptome/Anopheles_sialome/links/PFAM/anodar_hyp8.2-PFAM.txt","DUF1832")</f>
        <v>DUF1832</v>
      </c>
      <c r="BF748" t="str">
        <f>HYPERLINK("http://pfam.sanger.ac.uk/family?acc=PF08870","0.13")</f>
        <v>0.13</v>
      </c>
      <c r="BG748" s="2" t="str">
        <f>HYPERLINK("http://exon.niaid.nih.gov/transcriptome/Anopheles_sialome/links/SMART/anodar_hyp8.2-SMART.txt","Glyco_18")</f>
        <v>Glyco_18</v>
      </c>
      <c r="BH748" t="str">
        <f>HYPERLINK("http://smart.embl-heidelberg.de/smart/do_annotation.pl?DOMAIN=Glyco_18&amp;BLAST=DUMMY","0.44")</f>
        <v>0.44</v>
      </c>
      <c r="BI748" t="s">
        <v>128</v>
      </c>
      <c r="BJ748" s="2" t="s">
        <v>128</v>
      </c>
      <c r="BK748" t="s">
        <v>1356</v>
      </c>
      <c r="BL748">
        <f>HYPERLINK("http://exon.niaid.nih.gov/transcriptome/Anopheles_sialome/links/cluster-b/anopheline-sialome-cds-pep-larger-orf25-50SimCLU1.txt", 1)</f>
        <v>1</v>
      </c>
      <c r="BM748">
        <f>HYPERLINK("http://exon.niaid.nih.gov/transcriptome/Anopheles_sialome/links/cluster-b/anopheline-sialome-cds-pep-larger-orf25-50SimCLTL1.txt", 165)</f>
        <v>165</v>
      </c>
      <c r="BN748">
        <f>HYPERLINK("http://exon.niaid.nih.gov/transcriptome/Anopheles_sialome/links/cluster-b/anopheline-sialome-cds-pep-larger-orf30-50SimCLU1.txt", 1)</f>
        <v>1</v>
      </c>
      <c r="BO748">
        <f>HYPERLINK("http://exon.niaid.nih.gov/transcriptome/Anopheles_sialome/links/cluster-b/anopheline-sialome-cds-pep-larger-orf30-50SimCLTL1.txt", 165)</f>
        <v>165</v>
      </c>
      <c r="BP748">
        <f>HYPERLINK("http://exon.niaid.nih.gov/transcriptome/Anopheles_sialome/links/cluster-b/anopheline-sialome-cds-pep-larger-orf35-50SimCLU4.txt", 4)</f>
        <v>4</v>
      </c>
      <c r="BQ748">
        <f>HYPERLINK("http://exon.niaid.nih.gov/transcriptome/Anopheles_sialome/links/cluster-b/anopheline-sialome-cds-pep-larger-orf35-50SimCLTL4.txt", 76)</f>
        <v>76</v>
      </c>
      <c r="BR748">
        <f>HYPERLINK("http://exon.niaid.nih.gov/transcriptome/Anopheles_sialome/links/cluster-b/anopheline-sialome-cds-pep-larger-orf40-50SimCLU13.txt", 13)</f>
        <v>13</v>
      </c>
      <c r="BS748">
        <f>HYPERLINK("http://exon.niaid.nih.gov/transcriptome/Anopheles_sialome/links/cluster-b/anopheline-sialome-cds-pep-larger-orf40-50SimCLTL13.txt", 19)</f>
        <v>19</v>
      </c>
      <c r="BT748">
        <f>HYPERLINK("http://exon.niaid.nih.gov/transcriptome/Anopheles_sialome/links/cluster-b/anopheline-sialome-cds-pep-larger-orf45-50SimCLU13.txt", 13)</f>
        <v>13</v>
      </c>
      <c r="BU748">
        <f>HYPERLINK("http://exon.niaid.nih.gov/transcriptome/Anopheles_sialome/links/cluster-b/anopheline-sialome-cds-pep-larger-orf45-50SimCLTL13.txt", 19)</f>
        <v>19</v>
      </c>
      <c r="BV748">
        <v>33</v>
      </c>
      <c r="BW748">
        <v>1</v>
      </c>
      <c r="BX748">
        <v>39</v>
      </c>
      <c r="BY748">
        <v>1</v>
      </c>
      <c r="BZ748">
        <v>58</v>
      </c>
      <c r="CA748">
        <v>1</v>
      </c>
      <c r="CB748">
        <v>75</v>
      </c>
      <c r="CC748">
        <v>1</v>
      </c>
      <c r="CD748">
        <v>92</v>
      </c>
      <c r="CE748">
        <v>1</v>
      </c>
      <c r="CF748">
        <v>122</v>
      </c>
      <c r="CG748">
        <v>1</v>
      </c>
      <c r="CH748">
        <v>157</v>
      </c>
      <c r="CI748">
        <v>1</v>
      </c>
      <c r="CJ748">
        <v>200</v>
      </c>
      <c r="CK748">
        <v>1</v>
      </c>
      <c r="CL748">
        <v>246</v>
      </c>
      <c r="CM748">
        <v>1</v>
      </c>
      <c r="CN748">
        <v>272</v>
      </c>
      <c r="CO748">
        <v>1</v>
      </c>
    </row>
    <row r="749" spans="1:93">
      <c r="A749" s="14" t="s">
        <v>3146</v>
      </c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  <c r="AV749" s="13"/>
      <c r="AW749" s="13"/>
      <c r="AX749" s="13"/>
      <c r="AY749" s="13"/>
      <c r="AZ749" s="13"/>
      <c r="BA749" s="13"/>
      <c r="BB749" s="13"/>
      <c r="BC749" s="13"/>
      <c r="BD749" s="13"/>
      <c r="BE749" s="13"/>
      <c r="BF749" s="13"/>
      <c r="BG749" s="13"/>
      <c r="BH749" s="13"/>
      <c r="BI749" s="13"/>
      <c r="BJ749" s="13"/>
      <c r="BK749" s="13"/>
      <c r="BL749" s="13"/>
      <c r="BM749" s="13"/>
      <c r="BN749" s="13"/>
      <c r="BO749" s="13"/>
      <c r="BP749" s="13"/>
      <c r="BQ749" s="13"/>
      <c r="BR749" s="13"/>
      <c r="BS749" s="13"/>
      <c r="BT749" s="13"/>
      <c r="BU749" s="13"/>
      <c r="BV749" s="13"/>
      <c r="BW749" s="13"/>
      <c r="BX749" s="13"/>
      <c r="BY749" s="13"/>
      <c r="BZ749" s="13"/>
      <c r="CA749" s="13"/>
      <c r="CB749" s="13"/>
      <c r="CC749" s="13"/>
      <c r="CD749" s="13"/>
      <c r="CE749" s="13"/>
      <c r="CF749" s="13"/>
      <c r="CG749" s="13"/>
      <c r="CH749" s="13"/>
      <c r="CI749" s="13"/>
      <c r="CJ749" s="13"/>
      <c r="CK749" s="13"/>
      <c r="CL749" s="13"/>
      <c r="CM749" s="13"/>
      <c r="CN749" s="13"/>
      <c r="CO749" s="13"/>
    </row>
    <row r="750" spans="1:93">
      <c r="A750" s="5" t="s">
        <v>3216</v>
      </c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</row>
    <row r="751" spans="1:93">
      <c r="A751" s="2" t="str">
        <f>HYPERLINK("http://exon.niaid.nih.gov/transcriptome/Anopheles_sialome/links/cds/anoga_hyp10-cds.txt","anoga_hyp10")</f>
        <v>anoga_hyp10</v>
      </c>
      <c r="B751">
        <v>273</v>
      </c>
      <c r="C751" t="s">
        <v>260</v>
      </c>
      <c r="D751" t="s">
        <v>4</v>
      </c>
      <c r="E751" t="s">
        <v>5</v>
      </c>
      <c r="F751" t="s">
        <v>1</v>
      </c>
      <c r="G751" t="str">
        <f>HYPERLINK("http://exon.niaid.nih.gov/transcriptome/Anopheles_sialome/links/pep/anoga_hyp10-pep.txt","anoga_hyp10")</f>
        <v>anoga_hyp10</v>
      </c>
      <c r="H751">
        <v>90</v>
      </c>
      <c r="I751">
        <v>1</v>
      </c>
      <c r="J751" s="3" t="str">
        <f>HYPERLINK("http://exon.niaid.nih.gov/transcriptome/Anopheles_sialome/links/Sigp/anoga_hyp10-SigP.txt","SIG")</f>
        <v>SIG</v>
      </c>
      <c r="K751" t="s">
        <v>708</v>
      </c>
      <c r="L751">
        <v>10.016</v>
      </c>
      <c r="M751">
        <v>5.81</v>
      </c>
      <c r="N751">
        <v>7.5279999999999996</v>
      </c>
      <c r="O751">
        <v>5.42</v>
      </c>
      <c r="P751" t="s">
        <v>1359</v>
      </c>
      <c r="Q751" s="3">
        <v>0</v>
      </c>
      <c r="R751" t="s">
        <v>128</v>
      </c>
      <c r="S751" t="s">
        <v>128</v>
      </c>
      <c r="T751" t="s">
        <v>128</v>
      </c>
      <c r="U751" t="s">
        <v>128</v>
      </c>
      <c r="V751" t="s">
        <v>128</v>
      </c>
      <c r="W751" s="3" t="str">
        <f>HYPERLINK("http://exon.niaid.nih.gov/transcriptome/Anopheles_sialome/links/netoglyc/anoga_hyp10-netoglyc.txt","0")</f>
        <v>0</v>
      </c>
      <c r="X751">
        <v>12.2</v>
      </c>
      <c r="Y751">
        <v>6.7</v>
      </c>
      <c r="Z751">
        <v>2.2000000000000002</v>
      </c>
      <c r="AA751" t="s">
        <v>654</v>
      </c>
      <c r="AB751" t="s">
        <v>128</v>
      </c>
      <c r="AC751" s="2" t="str">
        <f>HYPERLINK("http://exon.niaid.nih.gov/transcriptome/Anopheles_sialome/links/DIPTERA/anoga_hyp10-DIPTERA.txt","AGAP008307-PA")</f>
        <v>AGAP008307-PA</v>
      </c>
      <c r="AD751" t="str">
        <f>HYPERLINK("http://www.ncbi.nlm.nih.gov/sutils/blink.cgi?pid=30175316","1E-046")</f>
        <v>1E-046</v>
      </c>
      <c r="AE751" t="str">
        <f>HYPERLINK("http://www.ncbi.nlm.nih.gov/protein/30175316","gi|30175316")</f>
        <v>gi|30175316</v>
      </c>
      <c r="AF751">
        <v>100</v>
      </c>
      <c r="AG751">
        <v>100</v>
      </c>
      <c r="AH751">
        <v>100</v>
      </c>
      <c r="AI751" t="s">
        <v>2285</v>
      </c>
      <c r="AJ751" s="2" t="str">
        <f>HYPERLINK("http://exon.niaid.nih.gov/transcriptome/Anopheles_sialome/links/CULICOMORPHA/anoga_hyp10-CULICOMORPHA.txt","AGAP008307-PA")</f>
        <v>AGAP008307-PA</v>
      </c>
      <c r="AK751" t="str">
        <f>HYPERLINK("http://www.ncbi.nlm.nih.gov/sutils/blink.cgi?pid=30175316","3E-047")</f>
        <v>3E-047</v>
      </c>
      <c r="AL751" t="str">
        <f>HYPERLINK("http://www.ncbi.nlm.nih.gov/protein/30175316","gi|30175316")</f>
        <v>gi|30175316</v>
      </c>
      <c r="AM751">
        <v>100</v>
      </c>
      <c r="AN751">
        <v>100</v>
      </c>
      <c r="AO751">
        <v>100</v>
      </c>
      <c r="AP751" t="s">
        <v>2285</v>
      </c>
      <c r="AQ751" s="2" t="str">
        <f>HYPERLINK("http://exon.niaid.nih.gov/transcriptome/Anopheles_sialome/links/NR-LIGHT/anoga_hyp10-NR-LIGHT.txt","AGAP008307-PA")</f>
        <v>AGAP008307-PA</v>
      </c>
      <c r="AR751" t="str">
        <f>HYPERLINK("http://www.ncbi.nlm.nih.gov/sutils/blink.cgi?pid=31222290","4E-046")</f>
        <v>4E-046</v>
      </c>
      <c r="AS751" t="str">
        <f>HYPERLINK("http://www.ncbi.nlm.nih.gov/protein/31222290","gi|31222290")</f>
        <v>gi|31222290</v>
      </c>
      <c r="AT751">
        <v>100</v>
      </c>
      <c r="AU751">
        <v>100</v>
      </c>
      <c r="AV751">
        <v>100</v>
      </c>
      <c r="AW751" t="s">
        <v>2285</v>
      </c>
      <c r="AX751" s="2" t="str">
        <f>HYPERLINK("http://exon.niaid.nih.gov/transcriptome/Anopheles_sialome/links/CDD/anoga_hyp10-CDD.txt","GTSE1_N")</f>
        <v>GTSE1_N</v>
      </c>
      <c r="AY751" t="str">
        <f>HYPERLINK("http://www.ncbi.nlm.nih.gov/Structure/cdd/cddsrv.cgi?uid=pfam15259&amp;version=v4.0","1.5")</f>
        <v>1.5</v>
      </c>
      <c r="AZ751" t="s">
        <v>2661</v>
      </c>
      <c r="BA751" s="2" t="str">
        <f>HYPERLINK("http://exon.niaid.nih.gov/transcriptome/Anopheles_sialome/links/KOG/anoga_hyp10-KOG.txt","Cytochrome c oxidase, subunit IV/COX5b")</f>
        <v>Cytochrome c oxidase, subunit IV/COX5b</v>
      </c>
      <c r="BB751" t="str">
        <f>HYPERLINK("http://www.ncbi.nlm.nih.gov/Structure/cdd/cddsrv.cgi?uid=KOG4075","2.4")</f>
        <v>2.4</v>
      </c>
      <c r="BC751" t="s">
        <v>2516</v>
      </c>
      <c r="BD751" t="str">
        <f>HYPERLINK("http://exon.niaid.nih.gov/transcriptome/Anopheles_sialome/links/KOG/anoga_hyp10-KOG.txt","KOG4075")</f>
        <v>KOG4075</v>
      </c>
      <c r="BE751" t="str">
        <f>HYPERLINK("http://exon.niaid.nih.gov/transcriptome/Anopheles_sialome/links/PFAM/anoga_hyp10-PFAM.txt","GTSE1_N")</f>
        <v>GTSE1_N</v>
      </c>
      <c r="BF751" t="str">
        <f>HYPERLINK("http://pfam.sanger.ac.uk/family?acc=PF15259","0.33")</f>
        <v>0.33</v>
      </c>
      <c r="BG751" s="2" t="str">
        <f>HYPERLINK("http://exon.niaid.nih.gov/transcriptome/Anopheles_sialome/links/SMART/anoga_hyp10-SMART.txt","Sema")</f>
        <v>Sema</v>
      </c>
      <c r="BH751" t="str">
        <f>HYPERLINK("http://smart.embl-heidelberg.de/smart/do_annotation.pl?DOMAIN=Sema&amp;BLAST=DUMMY","0.72")</f>
        <v>0.72</v>
      </c>
      <c r="BI751" t="str">
        <f>HYPERLINK("http://exon.niaid.nih.gov/transcriptome/Anopheles_sialome/links/TICK-BLOCKS/anoga_hyp10-TICK-BLOCKS.txt","hyp10_hyp12_anopheline_family |")</f>
        <v>hyp10_hyp12_anopheline_family |</v>
      </c>
      <c r="BJ751" s="2" t="s">
        <v>2662</v>
      </c>
      <c r="BK751" t="s">
        <v>1358</v>
      </c>
      <c r="BL751">
        <f>HYPERLINK("http://exon.niaid.nih.gov/transcriptome/Anopheles_sialome/links/cluster-b/anopheline-sialome-cds-pep-larger-orf25-50SimCLU1.txt", 1)</f>
        <v>1</v>
      </c>
      <c r="BM751">
        <f>HYPERLINK("http://exon.niaid.nih.gov/transcriptome/Anopheles_sialome/links/cluster-b/anopheline-sialome-cds-pep-larger-orf25-50SimCLTL1.txt", 165)</f>
        <v>165</v>
      </c>
      <c r="BN751">
        <f>HYPERLINK("http://exon.niaid.nih.gov/transcriptome/Anopheles_sialome/links/cluster-b/anopheline-sialome-cds-pep-larger-orf30-50SimCLU1.txt", 1)</f>
        <v>1</v>
      </c>
      <c r="BO751">
        <f>HYPERLINK("http://exon.niaid.nih.gov/transcriptome/Anopheles_sialome/links/cluster-b/anopheline-sialome-cds-pep-larger-orf30-50SimCLTL1.txt", 165)</f>
        <v>165</v>
      </c>
      <c r="BP751">
        <f>HYPERLINK("http://exon.niaid.nih.gov/transcriptome/Anopheles_sialome/links/cluster-b/anopheline-sialome-cds-pep-larger-orf35-50SimCLU5.txt", 5)</f>
        <v>5</v>
      </c>
      <c r="BQ751">
        <f>HYPERLINK("http://exon.niaid.nih.gov/transcriptome/Anopheles_sialome/links/cluster-b/anopheline-sialome-cds-pep-larger-orf35-50SimCLTL5.txt", 61)</f>
        <v>61</v>
      </c>
      <c r="BR751">
        <f>HYPERLINK("http://exon.niaid.nih.gov/transcriptome/Anopheles_sialome/links/cluster-b/anopheline-sialome-cds-pep-larger-orf40-50SimCLU9.txt", 9)</f>
        <v>9</v>
      </c>
      <c r="BS751">
        <f>HYPERLINK("http://exon.niaid.nih.gov/transcriptome/Anopheles_sialome/links/cluster-b/anopheline-sialome-cds-pep-larger-orf40-50SimCLTL9.txt", 28)</f>
        <v>28</v>
      </c>
      <c r="BT751">
        <f>HYPERLINK("http://exon.niaid.nih.gov/transcriptome/Anopheles_sialome/links/cluster-b/anopheline-sialome-cds-pep-larger-orf45-50SimCLU8.txt", 8)</f>
        <v>8</v>
      </c>
      <c r="BU751">
        <f>HYPERLINK("http://exon.niaid.nih.gov/transcriptome/Anopheles_sialome/links/cluster-b/anopheline-sialome-cds-pep-larger-orf45-50SimCLTL8.txt", 28)</f>
        <v>28</v>
      </c>
      <c r="BV751">
        <f>HYPERLINK("http://exon.niaid.nih.gov/transcriptome/Anopheles_sialome/links/cluster-b/anopheline-sialome-cds-pep-larger-orf50-50SimCLU8.txt", 8)</f>
        <v>8</v>
      </c>
      <c r="BW751">
        <f>HYPERLINK("http://exon.niaid.nih.gov/transcriptome/Anopheles_sialome/links/cluster-b/anopheline-sialome-cds-pep-larger-orf50-50SimCLTL8.txt", 28)</f>
        <v>28</v>
      </c>
      <c r="BX751">
        <f>HYPERLINK("http://exon.niaid.nih.gov/transcriptome/Anopheles_sialome/links/cluster-b/anopheline-sialome-cds-pep-larger-orf55-50SimCLU8.txt", 8)</f>
        <v>8</v>
      </c>
      <c r="BY751">
        <f>HYPERLINK("http://exon.niaid.nih.gov/transcriptome/Anopheles_sialome/links/cluster-b/anopheline-sialome-cds-pep-larger-orf55-50SimCLTL8.txt", 28)</f>
        <v>28</v>
      </c>
      <c r="BZ751">
        <f>HYPERLINK("http://exon.niaid.nih.gov/transcriptome/Anopheles_sialome/links/cluster-b/anopheline-sialome-cds-pep-larger-orf60-50SimCLU6.txt", 6)</f>
        <v>6</v>
      </c>
      <c r="CA751">
        <f>HYPERLINK("http://exon.niaid.nih.gov/transcriptome/Anopheles_sialome/links/cluster-b/anopheline-sialome-cds-pep-larger-orf60-50SimCLTL6.txt", 28)</f>
        <v>28</v>
      </c>
      <c r="CB751">
        <f>HYPERLINK("http://exon.niaid.nih.gov/transcriptome/Anopheles_sialome/links/cluster-b/anopheline-sialome-cds-pep-larger-orf65-50SimCLU31.txt", 31)</f>
        <v>31</v>
      </c>
      <c r="CC751">
        <f>HYPERLINK("http://exon.niaid.nih.gov/transcriptome/Anopheles_sialome/links/cluster-b/anopheline-sialome-cds-pep-larger-orf65-50SimCLTL31.txt", 14)</f>
        <v>14</v>
      </c>
      <c r="CD751">
        <f>HYPERLINK("http://exon.niaid.nih.gov/transcriptome/Anopheles_sialome/links/cluster-b/anopheline-sialome-cds-pep-larger-orf70-50SimCLU30.txt", 30)</f>
        <v>30</v>
      </c>
      <c r="CE751">
        <f>HYPERLINK("http://exon.niaid.nih.gov/transcriptome/Anopheles_sialome/links/cluster-b/anopheline-sialome-cds-pep-larger-orf70-50SimCLTL30.txt", 14)</f>
        <v>14</v>
      </c>
      <c r="CF751">
        <f>HYPERLINK("http://exon.niaid.nih.gov/transcriptome/Anopheles_sialome/links/cluster-b/anopheline-sialome-cds-pep-larger-orf75-50SimCLU33.txt", 33)</f>
        <v>33</v>
      </c>
      <c r="CG751">
        <f>HYPERLINK("http://exon.niaid.nih.gov/transcriptome/Anopheles_sialome/links/cluster-b/anopheline-sialome-cds-pep-larger-orf75-50SimCLTL33.txt", 11)</f>
        <v>11</v>
      </c>
      <c r="CH751">
        <f>HYPERLINK("http://exon.niaid.nih.gov/transcriptome/Anopheles_sialome/links/cluster-b/anopheline-sialome-cds-pep-larger-orf80-50SimCLU38.txt", 38)</f>
        <v>38</v>
      </c>
      <c r="CI751">
        <f>HYPERLINK("http://exon.niaid.nih.gov/transcriptome/Anopheles_sialome/links/cluster-b/anopheline-sialome-cds-pep-larger-orf80-50SimCLTL38.txt", 6)</f>
        <v>6</v>
      </c>
      <c r="CJ751">
        <f>HYPERLINK("http://exon.niaid.nih.gov/transcriptome/Anopheles_sialome/links/cluster-b/anopheline-sialome-cds-pep-larger-orf85-50SimCLU34.txt", 34)</f>
        <v>34</v>
      </c>
      <c r="CK751">
        <f>HYPERLINK("http://exon.niaid.nih.gov/transcriptome/Anopheles_sialome/links/cluster-b/anopheline-sialome-cds-pep-larger-orf85-50SimCLTL34.txt", 6)</f>
        <v>6</v>
      </c>
      <c r="CL751">
        <f>HYPERLINK("http://exon.niaid.nih.gov/transcriptome/Anopheles_sialome/links/cluster-b/anopheline-sialome-cds-pep-larger-orf90-50SimCLU26.txt", 26)</f>
        <v>26</v>
      </c>
      <c r="CM751">
        <f>HYPERLINK("http://exon.niaid.nih.gov/transcriptome/Anopheles_sialome/links/cluster-b/anopheline-sialome-cds-pep-larger-orf90-50SimCLTL26.txt", 6)</f>
        <v>6</v>
      </c>
      <c r="CN751">
        <f>HYPERLINK("http://exon.niaid.nih.gov/transcriptome/Anopheles_sialome/links/cluster-b/anopheline-sialome-cds-pep-larger-orf95-50SimCLU17.txt", 17)</f>
        <v>17</v>
      </c>
      <c r="CO751">
        <f>HYPERLINK("http://exon.niaid.nih.gov/transcriptome/Anopheles_sialome/links/cluster-b/anopheline-sialome-cds-pep-larger-orf95-50SimCLTL17.txt", 6)</f>
        <v>6</v>
      </c>
    </row>
    <row r="752" spans="1:93">
      <c r="A752" s="2" t="str">
        <f>HYPERLINK("http://exon.niaid.nih.gov/transcriptome/Anopheles_sialome/links/cds/anocol_hyp10-cds.txt","anocol_hyp10")</f>
        <v>anocol_hyp10</v>
      </c>
      <c r="B752">
        <v>273</v>
      </c>
      <c r="C752" t="s">
        <v>4</v>
      </c>
      <c r="D752" s="8" t="s">
        <v>3178</v>
      </c>
      <c r="E752" t="s">
        <v>5</v>
      </c>
      <c r="F752" t="s">
        <v>1</v>
      </c>
      <c r="G752" t="str">
        <f>HYPERLINK("http://exon.niaid.nih.gov/transcriptome/Anopheles_sialome/links/pep/anocol_hyp10-pep.txt","anocol_hyp10")</f>
        <v>anocol_hyp10</v>
      </c>
      <c r="H752">
        <v>90</v>
      </c>
      <c r="I752">
        <v>0</v>
      </c>
      <c r="J752" s="3" t="str">
        <f>HYPERLINK("http://exon.niaid.nih.gov/transcriptome/Anopheles_sialome/links/Sigp/anocol_hyp10-SigP.txt","SIG")</f>
        <v>SIG</v>
      </c>
      <c r="K752" t="s">
        <v>708</v>
      </c>
      <c r="L752">
        <v>9.9909999999999997</v>
      </c>
      <c r="M752">
        <v>5.81</v>
      </c>
      <c r="N752">
        <v>7.5179999999999998</v>
      </c>
      <c r="O752">
        <v>5.42</v>
      </c>
      <c r="P752" t="s">
        <v>1361</v>
      </c>
      <c r="Q752" s="3">
        <v>0</v>
      </c>
      <c r="R752" t="s">
        <v>128</v>
      </c>
      <c r="S752" t="s">
        <v>128</v>
      </c>
      <c r="T752" t="s">
        <v>128</v>
      </c>
      <c r="U752" t="s">
        <v>128</v>
      </c>
      <c r="V752" t="s">
        <v>128</v>
      </c>
      <c r="W752" s="3" t="str">
        <f>HYPERLINK("http://exon.niaid.nih.gov/transcriptome/Anopheles_sialome/links/netoglyc/anocol_hyp10-netoglyc.txt","0")</f>
        <v>0</v>
      </c>
      <c r="X752">
        <v>13.3</v>
      </c>
      <c r="Y752">
        <v>6.7</v>
      </c>
      <c r="Z752">
        <v>1.1000000000000001</v>
      </c>
      <c r="AA752" t="s">
        <v>654</v>
      </c>
      <c r="AB752" t="s">
        <v>128</v>
      </c>
      <c r="AC752" s="2" t="str">
        <f>HYPERLINK("http://exon.niaid.nih.gov/transcriptome/Anopheles_sialome/links/DIPTERA/anocol_hyp10-DIPTERA.txt","hypothetical protein 10")</f>
        <v>hypothetical protein 10</v>
      </c>
      <c r="AD752" t="str">
        <f>HYPERLINK("http://www.ncbi.nlm.nih.gov/sutils/blink.cgi?pid=18389901","2E-045")</f>
        <v>2E-045</v>
      </c>
      <c r="AE752" t="str">
        <f t="shared" ref="AE752:AE758" si="257">HYPERLINK("http://www.ncbi.nlm.nih.gov/protein/18389901","gi|18389901")</f>
        <v>gi|18389901</v>
      </c>
      <c r="AF752">
        <v>98</v>
      </c>
      <c r="AG752">
        <v>98</v>
      </c>
      <c r="AH752">
        <v>100</v>
      </c>
      <c r="AI752" t="s">
        <v>2254</v>
      </c>
      <c r="AJ752" s="2" t="str">
        <f>HYPERLINK("http://exon.niaid.nih.gov/transcriptome/Anopheles_sialome/links/CULICOMORPHA/anocol_hyp10-CULICOMORPHA.txt","hypothetical protein 10")</f>
        <v>hypothetical protein 10</v>
      </c>
      <c r="AK752" t="str">
        <f>HYPERLINK("http://www.ncbi.nlm.nih.gov/sutils/blink.cgi?pid=18389901","3E-046")</f>
        <v>3E-046</v>
      </c>
      <c r="AL752" t="str">
        <f t="shared" ref="AL752:AL758" si="258">HYPERLINK("http://www.ncbi.nlm.nih.gov/protein/18389901","gi|18389901")</f>
        <v>gi|18389901</v>
      </c>
      <c r="AM752">
        <v>98</v>
      </c>
      <c r="AN752">
        <v>98</v>
      </c>
      <c r="AO752">
        <v>100</v>
      </c>
      <c r="AP752" t="s">
        <v>2254</v>
      </c>
      <c r="AQ752" s="2" t="str">
        <f>HYPERLINK("http://exon.niaid.nih.gov/transcriptome/Anopheles_sialome/links/NR-LIGHT/anocol_hyp10-NR-LIGHT.txt","hypothetical protein 10")</f>
        <v>hypothetical protein 10</v>
      </c>
      <c r="AR752" t="str">
        <f>HYPERLINK("http://www.ncbi.nlm.nih.gov/sutils/blink.cgi?pid=18389901","5E-045")</f>
        <v>5E-045</v>
      </c>
      <c r="AS752" t="str">
        <f>HYPERLINK("http://www.ncbi.nlm.nih.gov/protein/18389901","gi|18389901")</f>
        <v>gi|18389901</v>
      </c>
      <c r="AT752">
        <v>98</v>
      </c>
      <c r="AU752">
        <v>98</v>
      </c>
      <c r="AV752">
        <v>100</v>
      </c>
      <c r="AW752" t="s">
        <v>2254</v>
      </c>
      <c r="AX752" s="2" t="str">
        <f>HYPERLINK("http://exon.niaid.nih.gov/transcriptome/Anopheles_sialome/links/CDD/anocol_hyp10-CDD.txt","GTSE1_N")</f>
        <v>GTSE1_N</v>
      </c>
      <c r="AY752" t="str">
        <f>HYPERLINK("http://www.ncbi.nlm.nih.gov/Structure/cdd/cddsrv.cgi?uid=pfam15259&amp;version=v4.0","1.9")</f>
        <v>1.9</v>
      </c>
      <c r="AZ752" t="s">
        <v>2663</v>
      </c>
      <c r="BA752" s="2" t="str">
        <f>HYPERLINK("http://exon.niaid.nih.gov/transcriptome/Anopheles_sialome/links/KOG/anocol_hyp10-KOG.txt","ABC (ATP binding cassette) 1 protein")</f>
        <v>ABC (ATP binding cassette) 1 protein</v>
      </c>
      <c r="BB752" t="str">
        <f>HYPERLINK("http://www.ncbi.nlm.nih.gov/Structure/cdd/cddsrv.cgi?uid=KOG1234","3.1")</f>
        <v>3.1</v>
      </c>
      <c r="BC752" t="s">
        <v>2310</v>
      </c>
      <c r="BD752" t="str">
        <f>HYPERLINK("http://exon.niaid.nih.gov/transcriptome/Anopheles_sialome/links/KOG/anocol_hyp10-KOG.txt","KOG1234")</f>
        <v>KOG1234</v>
      </c>
      <c r="BE752" t="str">
        <f>HYPERLINK("http://exon.niaid.nih.gov/transcriptome/Anopheles_sialome/links/PFAM/anocol_hyp10-PFAM.txt","GTSE1_N")</f>
        <v>GTSE1_N</v>
      </c>
      <c r="BF752" t="str">
        <f>HYPERLINK("http://pfam.sanger.ac.uk/family?acc=PF15259","0.42")</f>
        <v>0.42</v>
      </c>
      <c r="BG752" s="2" t="str">
        <f>HYPERLINK("http://exon.niaid.nih.gov/transcriptome/Anopheles_sialome/links/SMART/anocol_hyp10-SMART.txt","Sema")</f>
        <v>Sema</v>
      </c>
      <c r="BH752" t="str">
        <f>HYPERLINK("http://smart.embl-heidelberg.de/smart/do_annotation.pl?DOMAIN=Sema&amp;BLAST=DUMMY","0.71")</f>
        <v>0.71</v>
      </c>
      <c r="BI752" t="str">
        <f>HYPERLINK("http://exon.niaid.nih.gov/transcriptome/Anopheles_sialome/links/TICK-BLOCKS/anocol_hyp10-TICK-BLOCKS.txt","hyp10_hyp12_anopheline_family |")</f>
        <v>hyp10_hyp12_anopheline_family |</v>
      </c>
      <c r="BJ752" s="2" t="s">
        <v>2662</v>
      </c>
      <c r="BK752" t="s">
        <v>1360</v>
      </c>
      <c r="BL752">
        <f>HYPERLINK("http://exon.niaid.nih.gov/transcriptome/Anopheles_sialome/links/cluster-b/anopheline-sialome-cds-pep-larger-orf25-50SimCLU1.txt", 1)</f>
        <v>1</v>
      </c>
      <c r="BM752">
        <f>HYPERLINK("http://exon.niaid.nih.gov/transcriptome/Anopheles_sialome/links/cluster-b/anopheline-sialome-cds-pep-larger-orf25-50SimCLTL1.txt", 165)</f>
        <v>165</v>
      </c>
      <c r="BN752">
        <f>HYPERLINK("http://exon.niaid.nih.gov/transcriptome/Anopheles_sialome/links/cluster-b/anopheline-sialome-cds-pep-larger-orf30-50SimCLU1.txt", 1)</f>
        <v>1</v>
      </c>
      <c r="BO752">
        <f>HYPERLINK("http://exon.niaid.nih.gov/transcriptome/Anopheles_sialome/links/cluster-b/anopheline-sialome-cds-pep-larger-orf30-50SimCLTL1.txt", 165)</f>
        <v>165</v>
      </c>
      <c r="BP752">
        <f>HYPERLINK("http://exon.niaid.nih.gov/transcriptome/Anopheles_sialome/links/cluster-b/anopheline-sialome-cds-pep-larger-orf35-50SimCLU5.txt", 5)</f>
        <v>5</v>
      </c>
      <c r="BQ752">
        <f>HYPERLINK("http://exon.niaid.nih.gov/transcriptome/Anopheles_sialome/links/cluster-b/anopheline-sialome-cds-pep-larger-orf35-50SimCLTL5.txt", 61)</f>
        <v>61</v>
      </c>
      <c r="BR752">
        <f>HYPERLINK("http://exon.niaid.nih.gov/transcriptome/Anopheles_sialome/links/cluster-b/anopheline-sialome-cds-pep-larger-orf40-50SimCLU9.txt", 9)</f>
        <v>9</v>
      </c>
      <c r="BS752">
        <f>HYPERLINK("http://exon.niaid.nih.gov/transcriptome/Anopheles_sialome/links/cluster-b/anopheline-sialome-cds-pep-larger-orf40-50SimCLTL9.txt", 28)</f>
        <v>28</v>
      </c>
      <c r="BT752">
        <f>HYPERLINK("http://exon.niaid.nih.gov/transcriptome/Anopheles_sialome/links/cluster-b/anopheline-sialome-cds-pep-larger-orf45-50SimCLU8.txt", 8)</f>
        <v>8</v>
      </c>
      <c r="BU752">
        <f>HYPERLINK("http://exon.niaid.nih.gov/transcriptome/Anopheles_sialome/links/cluster-b/anopheline-sialome-cds-pep-larger-orf45-50SimCLTL8.txt", 28)</f>
        <v>28</v>
      </c>
      <c r="BV752">
        <f>HYPERLINK("http://exon.niaid.nih.gov/transcriptome/Anopheles_sialome/links/cluster-b/anopheline-sialome-cds-pep-larger-orf50-50SimCLU8.txt", 8)</f>
        <v>8</v>
      </c>
      <c r="BW752">
        <f>HYPERLINK("http://exon.niaid.nih.gov/transcriptome/Anopheles_sialome/links/cluster-b/anopheline-sialome-cds-pep-larger-orf50-50SimCLTL8.txt", 28)</f>
        <v>28</v>
      </c>
      <c r="BX752">
        <f>HYPERLINK("http://exon.niaid.nih.gov/transcriptome/Anopheles_sialome/links/cluster-b/anopheline-sialome-cds-pep-larger-orf55-50SimCLU8.txt", 8)</f>
        <v>8</v>
      </c>
      <c r="BY752">
        <f>HYPERLINK("http://exon.niaid.nih.gov/transcriptome/Anopheles_sialome/links/cluster-b/anopheline-sialome-cds-pep-larger-orf55-50SimCLTL8.txt", 28)</f>
        <v>28</v>
      </c>
      <c r="BZ752">
        <f>HYPERLINK("http://exon.niaid.nih.gov/transcriptome/Anopheles_sialome/links/cluster-b/anopheline-sialome-cds-pep-larger-orf60-50SimCLU6.txt", 6)</f>
        <v>6</v>
      </c>
      <c r="CA752">
        <f>HYPERLINK("http://exon.niaid.nih.gov/transcriptome/Anopheles_sialome/links/cluster-b/anopheline-sialome-cds-pep-larger-orf60-50SimCLTL6.txt", 28)</f>
        <v>28</v>
      </c>
      <c r="CB752">
        <f>HYPERLINK("http://exon.niaid.nih.gov/transcriptome/Anopheles_sialome/links/cluster-b/anopheline-sialome-cds-pep-larger-orf65-50SimCLU31.txt", 31)</f>
        <v>31</v>
      </c>
      <c r="CC752">
        <f>HYPERLINK("http://exon.niaid.nih.gov/transcriptome/Anopheles_sialome/links/cluster-b/anopheline-sialome-cds-pep-larger-orf65-50SimCLTL31.txt", 14)</f>
        <v>14</v>
      </c>
      <c r="CD752">
        <f>HYPERLINK("http://exon.niaid.nih.gov/transcriptome/Anopheles_sialome/links/cluster-b/anopheline-sialome-cds-pep-larger-orf70-50SimCLU30.txt", 30)</f>
        <v>30</v>
      </c>
      <c r="CE752">
        <f>HYPERLINK("http://exon.niaid.nih.gov/transcriptome/Anopheles_sialome/links/cluster-b/anopheline-sialome-cds-pep-larger-orf70-50SimCLTL30.txt", 14)</f>
        <v>14</v>
      </c>
      <c r="CF752">
        <f>HYPERLINK("http://exon.niaid.nih.gov/transcriptome/Anopheles_sialome/links/cluster-b/anopheline-sialome-cds-pep-larger-orf75-50SimCLU33.txt", 33)</f>
        <v>33</v>
      </c>
      <c r="CG752">
        <f>HYPERLINK("http://exon.niaid.nih.gov/transcriptome/Anopheles_sialome/links/cluster-b/anopheline-sialome-cds-pep-larger-orf75-50SimCLTL33.txt", 11)</f>
        <v>11</v>
      </c>
      <c r="CH752">
        <f>HYPERLINK("http://exon.niaid.nih.gov/transcriptome/Anopheles_sialome/links/cluster-b/anopheline-sialome-cds-pep-larger-orf80-50SimCLU38.txt", 38)</f>
        <v>38</v>
      </c>
      <c r="CI752">
        <f>HYPERLINK("http://exon.niaid.nih.gov/transcriptome/Anopheles_sialome/links/cluster-b/anopheline-sialome-cds-pep-larger-orf80-50SimCLTL38.txt", 6)</f>
        <v>6</v>
      </c>
      <c r="CJ752">
        <f>HYPERLINK("http://exon.niaid.nih.gov/transcriptome/Anopheles_sialome/links/cluster-b/anopheline-sialome-cds-pep-larger-orf85-50SimCLU34.txt", 34)</f>
        <v>34</v>
      </c>
      <c r="CK752">
        <f>HYPERLINK("http://exon.niaid.nih.gov/transcriptome/Anopheles_sialome/links/cluster-b/anopheline-sialome-cds-pep-larger-orf85-50SimCLTL34.txt", 6)</f>
        <v>6</v>
      </c>
      <c r="CL752">
        <f>HYPERLINK("http://exon.niaid.nih.gov/transcriptome/Anopheles_sialome/links/cluster-b/anopheline-sialome-cds-pep-larger-orf90-50SimCLU26.txt", 26)</f>
        <v>26</v>
      </c>
      <c r="CM752">
        <f>HYPERLINK("http://exon.niaid.nih.gov/transcriptome/Anopheles_sialome/links/cluster-b/anopheline-sialome-cds-pep-larger-orf90-50SimCLTL26.txt", 6)</f>
        <v>6</v>
      </c>
      <c r="CN752">
        <f>HYPERLINK("http://exon.niaid.nih.gov/transcriptome/Anopheles_sialome/links/cluster-b/anopheline-sialome-cds-pep-larger-orf95-50SimCLU17.txt", 17)</f>
        <v>17</v>
      </c>
      <c r="CO752">
        <f>HYPERLINK("http://exon.niaid.nih.gov/transcriptome/Anopheles_sialome/links/cluster-b/anopheline-sialome-cds-pep-larger-orf95-50SimCLTL17.txt", 6)</f>
        <v>6</v>
      </c>
    </row>
    <row r="753" spans="1:93">
      <c r="A753" s="2" t="str">
        <f>HYPERLINK("http://exon.niaid.nih.gov/transcriptome/Anopheles_sialome/links/cds/anoara_hyp10-cds.txt","anoara_hyp10")</f>
        <v>anoara_hyp10</v>
      </c>
      <c r="B753">
        <v>273</v>
      </c>
      <c r="C753" t="s">
        <v>261</v>
      </c>
      <c r="D753" t="s">
        <v>4</v>
      </c>
      <c r="E753" t="s">
        <v>5</v>
      </c>
      <c r="F753" t="s">
        <v>1</v>
      </c>
      <c r="G753" t="str">
        <f>HYPERLINK("http://exon.niaid.nih.gov/transcriptome/Anopheles_sialome/links/pep/anoara_hyp10-pep.txt","anoara_hyp10")</f>
        <v>anoara_hyp10</v>
      </c>
      <c r="H753">
        <v>90</v>
      </c>
      <c r="I753">
        <v>1</v>
      </c>
      <c r="J753" s="3" t="str">
        <f>HYPERLINK("http://exon.niaid.nih.gov/transcriptome/Anopheles_sialome/links/Sigp/anoara_hyp10-SigP.txt","SIG")</f>
        <v>SIG</v>
      </c>
      <c r="K753" t="s">
        <v>708</v>
      </c>
      <c r="L753">
        <v>10.031000000000001</v>
      </c>
      <c r="M753">
        <v>5.81</v>
      </c>
      <c r="N753">
        <v>7.5579999999999998</v>
      </c>
      <c r="O753">
        <v>5.42</v>
      </c>
      <c r="P753" t="s">
        <v>1363</v>
      </c>
      <c r="Q753" s="3">
        <v>0</v>
      </c>
      <c r="R753" t="s">
        <v>128</v>
      </c>
      <c r="S753" t="s">
        <v>128</v>
      </c>
      <c r="T753" t="s">
        <v>128</v>
      </c>
      <c r="U753" t="s">
        <v>128</v>
      </c>
      <c r="V753" t="s">
        <v>128</v>
      </c>
      <c r="W753" s="3" t="str">
        <f>HYPERLINK("http://exon.niaid.nih.gov/transcriptome/Anopheles_sialome/links/netoglyc/anoara_hyp10-netoglyc.txt","0")</f>
        <v>0</v>
      </c>
      <c r="X753">
        <v>13.3</v>
      </c>
      <c r="Y753">
        <v>5.6</v>
      </c>
      <c r="Z753">
        <v>2.2000000000000002</v>
      </c>
      <c r="AA753" t="s">
        <v>654</v>
      </c>
      <c r="AB753" t="s">
        <v>128</v>
      </c>
      <c r="AC753" s="2" t="str">
        <f>HYPERLINK("http://exon.niaid.nih.gov/transcriptome/Anopheles_sialome/links/DIPTERA/anoara_hyp10-DIPTERA.txt","hypothetical protein 10")</f>
        <v>hypothetical protein 10</v>
      </c>
      <c r="AD753" t="str">
        <f>HYPERLINK("http://www.ncbi.nlm.nih.gov/sutils/blink.cgi?pid=18389901","1E-045")</f>
        <v>1E-045</v>
      </c>
      <c r="AE753" t="str">
        <f t="shared" si="257"/>
        <v>gi|18389901</v>
      </c>
      <c r="AF753">
        <v>98</v>
      </c>
      <c r="AG753">
        <v>98</v>
      </c>
      <c r="AH753">
        <v>100</v>
      </c>
      <c r="AI753" t="s">
        <v>2254</v>
      </c>
      <c r="AJ753" s="2" t="str">
        <f>HYPERLINK("http://exon.niaid.nih.gov/transcriptome/Anopheles_sialome/links/CULICOMORPHA/anoara_hyp10-CULICOMORPHA.txt","hypothetical protein 10")</f>
        <v>hypothetical protein 10</v>
      </c>
      <c r="AK753" t="str">
        <f>HYPERLINK("http://www.ncbi.nlm.nih.gov/sutils/blink.cgi?pid=18389901","2E-046")</f>
        <v>2E-046</v>
      </c>
      <c r="AL753" t="str">
        <f t="shared" si="258"/>
        <v>gi|18389901</v>
      </c>
      <c r="AM753">
        <v>98</v>
      </c>
      <c r="AN753">
        <v>98</v>
      </c>
      <c r="AO753">
        <v>100</v>
      </c>
      <c r="AP753" t="s">
        <v>2254</v>
      </c>
      <c r="AQ753" s="2" t="str">
        <f>HYPERLINK("http://exon.niaid.nih.gov/transcriptome/Anopheles_sialome/links/NR-LIGHT/anoara_hyp10-NR-LIGHT.txt","hypothetical protein 10")</f>
        <v>hypothetical protein 10</v>
      </c>
      <c r="AR753" t="str">
        <f>HYPERLINK("http://www.ncbi.nlm.nih.gov/sutils/blink.cgi?pid=18389901","3E-045")</f>
        <v>3E-045</v>
      </c>
      <c r="AS753" t="str">
        <f>HYPERLINK("http://www.ncbi.nlm.nih.gov/protein/18389901","gi|18389901")</f>
        <v>gi|18389901</v>
      </c>
      <c r="AT753">
        <v>98</v>
      </c>
      <c r="AU753">
        <v>98</v>
      </c>
      <c r="AV753">
        <v>100</v>
      </c>
      <c r="AW753" t="s">
        <v>2254</v>
      </c>
      <c r="AX753" s="2" t="str">
        <f>HYPERLINK("http://exon.niaid.nih.gov/transcriptome/Anopheles_sialome/links/CDD/anoara_hyp10-CDD.txt","GTSE1_N")</f>
        <v>GTSE1_N</v>
      </c>
      <c r="AY753" t="str">
        <f>HYPERLINK("http://www.ncbi.nlm.nih.gov/Structure/cdd/cddsrv.cgi?uid=pfam15259&amp;version=v4.0","1.4")</f>
        <v>1.4</v>
      </c>
      <c r="AZ753" t="s">
        <v>2664</v>
      </c>
      <c r="BA753" s="2" t="str">
        <f>HYPERLINK("http://exon.niaid.nih.gov/transcriptome/Anopheles_sialome/links/KOG/anoara_hyp10-KOG.txt","Cytochrome c oxidase, subunit IV/COX5b")</f>
        <v>Cytochrome c oxidase, subunit IV/COX5b</v>
      </c>
      <c r="BB753" t="str">
        <f>HYPERLINK("http://www.ncbi.nlm.nih.gov/Structure/cdd/cddsrv.cgi?uid=KOG4075","2.5")</f>
        <v>2.5</v>
      </c>
      <c r="BC753" t="s">
        <v>2516</v>
      </c>
      <c r="BD753" t="str">
        <f>HYPERLINK("http://exon.niaid.nih.gov/transcriptome/Anopheles_sialome/links/KOG/anoara_hyp10-KOG.txt","KOG4075")</f>
        <v>KOG4075</v>
      </c>
      <c r="BE753" t="str">
        <f>HYPERLINK("http://exon.niaid.nih.gov/transcriptome/Anopheles_sialome/links/PFAM/anoara_hyp10-PFAM.txt","GTSE1_N")</f>
        <v>GTSE1_N</v>
      </c>
      <c r="BF753" t="str">
        <f>HYPERLINK("http://pfam.sanger.ac.uk/family?acc=PF15259","0.31")</f>
        <v>0.31</v>
      </c>
      <c r="BG753" s="2" t="str">
        <f>HYPERLINK("http://exon.niaid.nih.gov/transcriptome/Anopheles_sialome/links/SMART/anoara_hyp10-SMART.txt","Sema")</f>
        <v>Sema</v>
      </c>
      <c r="BH753" t="str">
        <f>HYPERLINK("http://smart.embl-heidelberg.de/smart/do_annotation.pl?DOMAIN=Sema&amp;BLAST=DUMMY","0.76")</f>
        <v>0.76</v>
      </c>
      <c r="BI753" t="str">
        <f>HYPERLINK("http://exon.niaid.nih.gov/transcriptome/Anopheles_sialome/links/TICK-BLOCKS/anoara_hyp10-TICK-BLOCKS.txt","hyp10_hyp12_anopheline_family |")</f>
        <v>hyp10_hyp12_anopheline_family |</v>
      </c>
      <c r="BJ753" s="2" t="s">
        <v>2662</v>
      </c>
      <c r="BK753" t="s">
        <v>1362</v>
      </c>
      <c r="BL753">
        <f>HYPERLINK("http://exon.niaid.nih.gov/transcriptome/Anopheles_sialome/links/cluster-b/anopheline-sialome-cds-pep-larger-orf25-50SimCLU1.txt", 1)</f>
        <v>1</v>
      </c>
      <c r="BM753">
        <f>HYPERLINK("http://exon.niaid.nih.gov/transcriptome/Anopheles_sialome/links/cluster-b/anopheline-sialome-cds-pep-larger-orf25-50SimCLTL1.txt", 165)</f>
        <v>165</v>
      </c>
      <c r="BN753">
        <f>HYPERLINK("http://exon.niaid.nih.gov/transcriptome/Anopheles_sialome/links/cluster-b/anopheline-sialome-cds-pep-larger-orf30-50SimCLU1.txt", 1)</f>
        <v>1</v>
      </c>
      <c r="BO753">
        <f>HYPERLINK("http://exon.niaid.nih.gov/transcriptome/Anopheles_sialome/links/cluster-b/anopheline-sialome-cds-pep-larger-orf30-50SimCLTL1.txt", 165)</f>
        <v>165</v>
      </c>
      <c r="BP753">
        <f>HYPERLINK("http://exon.niaid.nih.gov/transcriptome/Anopheles_sialome/links/cluster-b/anopheline-sialome-cds-pep-larger-orf35-50SimCLU5.txt", 5)</f>
        <v>5</v>
      </c>
      <c r="BQ753">
        <f>HYPERLINK("http://exon.niaid.nih.gov/transcriptome/Anopheles_sialome/links/cluster-b/anopheline-sialome-cds-pep-larger-orf35-50SimCLTL5.txt", 61)</f>
        <v>61</v>
      </c>
      <c r="BR753">
        <f>HYPERLINK("http://exon.niaid.nih.gov/transcriptome/Anopheles_sialome/links/cluster-b/anopheline-sialome-cds-pep-larger-orf40-50SimCLU9.txt", 9)</f>
        <v>9</v>
      </c>
      <c r="BS753">
        <f>HYPERLINK("http://exon.niaid.nih.gov/transcriptome/Anopheles_sialome/links/cluster-b/anopheline-sialome-cds-pep-larger-orf40-50SimCLTL9.txt", 28)</f>
        <v>28</v>
      </c>
      <c r="BT753">
        <f>HYPERLINK("http://exon.niaid.nih.gov/transcriptome/Anopheles_sialome/links/cluster-b/anopheline-sialome-cds-pep-larger-orf45-50SimCLU8.txt", 8)</f>
        <v>8</v>
      </c>
      <c r="BU753">
        <f>HYPERLINK("http://exon.niaid.nih.gov/transcriptome/Anopheles_sialome/links/cluster-b/anopheline-sialome-cds-pep-larger-orf45-50SimCLTL8.txt", 28)</f>
        <v>28</v>
      </c>
      <c r="BV753">
        <f>HYPERLINK("http://exon.niaid.nih.gov/transcriptome/Anopheles_sialome/links/cluster-b/anopheline-sialome-cds-pep-larger-orf50-50SimCLU8.txt", 8)</f>
        <v>8</v>
      </c>
      <c r="BW753">
        <f>HYPERLINK("http://exon.niaid.nih.gov/transcriptome/Anopheles_sialome/links/cluster-b/anopheline-sialome-cds-pep-larger-orf50-50SimCLTL8.txt", 28)</f>
        <v>28</v>
      </c>
      <c r="BX753">
        <f>HYPERLINK("http://exon.niaid.nih.gov/transcriptome/Anopheles_sialome/links/cluster-b/anopheline-sialome-cds-pep-larger-orf55-50SimCLU8.txt", 8)</f>
        <v>8</v>
      </c>
      <c r="BY753">
        <f>HYPERLINK("http://exon.niaid.nih.gov/transcriptome/Anopheles_sialome/links/cluster-b/anopheline-sialome-cds-pep-larger-orf55-50SimCLTL8.txt", 28)</f>
        <v>28</v>
      </c>
      <c r="BZ753">
        <f>HYPERLINK("http://exon.niaid.nih.gov/transcriptome/Anopheles_sialome/links/cluster-b/anopheline-sialome-cds-pep-larger-orf60-50SimCLU6.txt", 6)</f>
        <v>6</v>
      </c>
      <c r="CA753">
        <f>HYPERLINK("http://exon.niaid.nih.gov/transcriptome/Anopheles_sialome/links/cluster-b/anopheline-sialome-cds-pep-larger-orf60-50SimCLTL6.txt", 28)</f>
        <v>28</v>
      </c>
      <c r="CB753">
        <f>HYPERLINK("http://exon.niaid.nih.gov/transcriptome/Anopheles_sialome/links/cluster-b/anopheline-sialome-cds-pep-larger-orf65-50SimCLU31.txt", 31)</f>
        <v>31</v>
      </c>
      <c r="CC753">
        <f>HYPERLINK("http://exon.niaid.nih.gov/transcriptome/Anopheles_sialome/links/cluster-b/anopheline-sialome-cds-pep-larger-orf65-50SimCLTL31.txt", 14)</f>
        <v>14</v>
      </c>
      <c r="CD753">
        <f>HYPERLINK("http://exon.niaid.nih.gov/transcriptome/Anopheles_sialome/links/cluster-b/anopheline-sialome-cds-pep-larger-orf70-50SimCLU30.txt", 30)</f>
        <v>30</v>
      </c>
      <c r="CE753">
        <f>HYPERLINK("http://exon.niaid.nih.gov/transcriptome/Anopheles_sialome/links/cluster-b/anopheline-sialome-cds-pep-larger-orf70-50SimCLTL30.txt", 14)</f>
        <v>14</v>
      </c>
      <c r="CF753">
        <f>HYPERLINK("http://exon.niaid.nih.gov/transcriptome/Anopheles_sialome/links/cluster-b/anopheline-sialome-cds-pep-larger-orf75-50SimCLU33.txt", 33)</f>
        <v>33</v>
      </c>
      <c r="CG753">
        <f>HYPERLINK("http://exon.niaid.nih.gov/transcriptome/Anopheles_sialome/links/cluster-b/anopheline-sialome-cds-pep-larger-orf75-50SimCLTL33.txt", 11)</f>
        <v>11</v>
      </c>
      <c r="CH753">
        <f>HYPERLINK("http://exon.niaid.nih.gov/transcriptome/Anopheles_sialome/links/cluster-b/anopheline-sialome-cds-pep-larger-orf80-50SimCLU38.txt", 38)</f>
        <v>38</v>
      </c>
      <c r="CI753">
        <f>HYPERLINK("http://exon.niaid.nih.gov/transcriptome/Anopheles_sialome/links/cluster-b/anopheline-sialome-cds-pep-larger-orf80-50SimCLTL38.txt", 6)</f>
        <v>6</v>
      </c>
      <c r="CJ753">
        <f>HYPERLINK("http://exon.niaid.nih.gov/transcriptome/Anopheles_sialome/links/cluster-b/anopheline-sialome-cds-pep-larger-orf85-50SimCLU34.txt", 34)</f>
        <v>34</v>
      </c>
      <c r="CK753">
        <f>HYPERLINK("http://exon.niaid.nih.gov/transcriptome/Anopheles_sialome/links/cluster-b/anopheline-sialome-cds-pep-larger-orf85-50SimCLTL34.txt", 6)</f>
        <v>6</v>
      </c>
      <c r="CL753">
        <f>HYPERLINK("http://exon.niaid.nih.gov/transcriptome/Anopheles_sialome/links/cluster-b/anopheline-sialome-cds-pep-larger-orf90-50SimCLU26.txt", 26)</f>
        <v>26</v>
      </c>
      <c r="CM753">
        <f>HYPERLINK("http://exon.niaid.nih.gov/transcriptome/Anopheles_sialome/links/cluster-b/anopheline-sialome-cds-pep-larger-orf90-50SimCLTL26.txt", 6)</f>
        <v>6</v>
      </c>
      <c r="CN753">
        <f>HYPERLINK("http://exon.niaid.nih.gov/transcriptome/Anopheles_sialome/links/cluster-b/anopheline-sialome-cds-pep-larger-orf95-50SimCLU17.txt", 17)</f>
        <v>17</v>
      </c>
      <c r="CO753">
        <f>HYPERLINK("http://exon.niaid.nih.gov/transcriptome/Anopheles_sialome/links/cluster-b/anopheline-sialome-cds-pep-larger-orf95-50SimCLTL17.txt", 6)</f>
        <v>6</v>
      </c>
    </row>
    <row r="754" spans="1:93">
      <c r="A754" s="2" t="str">
        <f>HYPERLINK("http://exon.niaid.nih.gov/transcriptome/Anopheles_sialome/links/cds/anoqua_hyp10-cds.txt","anoqua_hyp10")</f>
        <v>anoqua_hyp10</v>
      </c>
      <c r="B754">
        <v>273</v>
      </c>
      <c r="C754" t="s">
        <v>262</v>
      </c>
      <c r="D754" t="s">
        <v>4</v>
      </c>
      <c r="E754" t="s">
        <v>5</v>
      </c>
      <c r="F754" t="s">
        <v>1</v>
      </c>
      <c r="G754" t="str">
        <f>HYPERLINK("http://exon.niaid.nih.gov/transcriptome/Anopheles_sialome/links/pep/anoqua_hyp10-pep.txt","anoqua_hyp10")</f>
        <v>anoqua_hyp10</v>
      </c>
      <c r="H754">
        <v>90</v>
      </c>
      <c r="I754">
        <v>1</v>
      </c>
      <c r="J754" s="3" t="str">
        <f>HYPERLINK("http://exon.niaid.nih.gov/transcriptome/Anopheles_sialome/links/Sigp/anoqua_hyp10-SigP.txt","SIG")</f>
        <v>SIG</v>
      </c>
      <c r="K754" t="s">
        <v>708</v>
      </c>
      <c r="L754">
        <v>10.044</v>
      </c>
      <c r="M754">
        <v>6.04</v>
      </c>
      <c r="N754">
        <v>7.5620000000000003</v>
      </c>
      <c r="O754">
        <v>5.52</v>
      </c>
      <c r="P754" t="s">
        <v>1365</v>
      </c>
      <c r="Q754" s="3">
        <v>0</v>
      </c>
      <c r="R754" t="s">
        <v>128</v>
      </c>
      <c r="S754" t="s">
        <v>128</v>
      </c>
      <c r="T754" t="s">
        <v>128</v>
      </c>
      <c r="U754" t="s">
        <v>128</v>
      </c>
      <c r="V754" t="s">
        <v>128</v>
      </c>
      <c r="W754" s="3" t="str">
        <f>HYPERLINK("http://exon.niaid.nih.gov/transcriptome/Anopheles_sialome/links/netoglyc/anoqua_hyp10-netoglyc.txt","0")</f>
        <v>0</v>
      </c>
      <c r="X754">
        <v>11.1</v>
      </c>
      <c r="Y754">
        <v>6.7</v>
      </c>
      <c r="Z754">
        <v>3.3</v>
      </c>
      <c r="AA754" t="s">
        <v>654</v>
      </c>
      <c r="AB754" t="s">
        <v>128</v>
      </c>
      <c r="AC754" s="2" t="str">
        <f>HYPERLINK("http://exon.niaid.nih.gov/transcriptome/Anopheles_sialome/links/DIPTERA/anoqua_hyp10-DIPTERA.txt","hypothetical protein 10")</f>
        <v>hypothetical protein 10</v>
      </c>
      <c r="AD754" t="str">
        <f>HYPERLINK("http://www.ncbi.nlm.nih.gov/sutils/blink.cgi?pid=18389901","1E-044")</f>
        <v>1E-044</v>
      </c>
      <c r="AE754" t="str">
        <f t="shared" si="257"/>
        <v>gi|18389901</v>
      </c>
      <c r="AF754">
        <v>96</v>
      </c>
      <c r="AG754">
        <v>97</v>
      </c>
      <c r="AH754">
        <v>100</v>
      </c>
      <c r="AI754" t="s">
        <v>2254</v>
      </c>
      <c r="AJ754" s="2" t="str">
        <f>HYPERLINK("http://exon.niaid.nih.gov/transcriptome/Anopheles_sialome/links/CULICOMORPHA/anoqua_hyp10-CULICOMORPHA.txt","hypothetical protein 10")</f>
        <v>hypothetical protein 10</v>
      </c>
      <c r="AK754" t="str">
        <f>HYPERLINK("http://www.ncbi.nlm.nih.gov/sutils/blink.cgi?pid=18389901","2E-045")</f>
        <v>2E-045</v>
      </c>
      <c r="AL754" t="str">
        <f t="shared" si="258"/>
        <v>gi|18389901</v>
      </c>
      <c r="AM754">
        <v>96</v>
      </c>
      <c r="AN754">
        <v>97</v>
      </c>
      <c r="AO754">
        <v>100</v>
      </c>
      <c r="AP754" t="s">
        <v>2254</v>
      </c>
      <c r="AQ754" s="2" t="str">
        <f>HYPERLINK("http://exon.niaid.nih.gov/transcriptome/Anopheles_sialome/links/NR-LIGHT/anoqua_hyp10-NR-LIGHT.txt","AGAP008307-PA")</f>
        <v>AGAP008307-PA</v>
      </c>
      <c r="AR754" t="str">
        <f>HYPERLINK("http://www.ncbi.nlm.nih.gov/sutils/blink.cgi?pid=31222290","4E-044")</f>
        <v>4E-044</v>
      </c>
      <c r="AS754" t="str">
        <f>HYPERLINK("http://www.ncbi.nlm.nih.gov/protein/31222290","gi|31222290")</f>
        <v>gi|31222290</v>
      </c>
      <c r="AT754">
        <v>96</v>
      </c>
      <c r="AU754">
        <v>97</v>
      </c>
      <c r="AV754">
        <v>100</v>
      </c>
      <c r="AW754" t="s">
        <v>2285</v>
      </c>
      <c r="AX754" s="2" t="str">
        <f>HYPERLINK("http://exon.niaid.nih.gov/transcriptome/Anopheles_sialome/links/CDD/anoqua_hyp10-CDD.txt","PRK14844")</f>
        <v>PRK14844</v>
      </c>
      <c r="AY754" t="str">
        <f>HYPERLINK("http://www.ncbi.nlm.nih.gov/Structure/cdd/cddsrv.cgi?uid=PRK14844&amp;version=v4.0","2.5")</f>
        <v>2.5</v>
      </c>
      <c r="AZ754" t="s">
        <v>2665</v>
      </c>
      <c r="BA754" s="2" t="str">
        <f>HYPERLINK("http://exon.niaid.nih.gov/transcriptome/Anopheles_sialome/links/KOG/anoqua_hyp10-KOG.txt","Cytochrome c oxidase, subunit IV/COX5b")</f>
        <v>Cytochrome c oxidase, subunit IV/COX5b</v>
      </c>
      <c r="BB754" t="str">
        <f>HYPERLINK("http://www.ncbi.nlm.nih.gov/Structure/cdd/cddsrv.cgi?uid=KOG4075","2.8")</f>
        <v>2.8</v>
      </c>
      <c r="BC754" t="s">
        <v>2516</v>
      </c>
      <c r="BD754" t="str">
        <f>HYPERLINK("http://exon.niaid.nih.gov/transcriptome/Anopheles_sialome/links/KOG/anoqua_hyp10-KOG.txt","KOG4075")</f>
        <v>KOG4075</v>
      </c>
      <c r="BE754" t="str">
        <f>HYPERLINK("http://exon.niaid.nih.gov/transcriptome/Anopheles_sialome/links/PFAM/anoqua_hyp10-PFAM.txt","DUF4202")</f>
        <v>DUF4202</v>
      </c>
      <c r="BF754" t="str">
        <f>HYPERLINK("http://pfam.sanger.ac.uk/family?acc=PF13875","0.70")</f>
        <v>0.70</v>
      </c>
      <c r="BG754" s="2" t="str">
        <f>HYPERLINK("http://exon.niaid.nih.gov/transcriptome/Anopheles_sialome/links/SMART/anoqua_hyp10-SMART.txt","Sema")</f>
        <v>Sema</v>
      </c>
      <c r="BH754" t="str">
        <f>HYPERLINK("http://smart.embl-heidelberg.de/smart/do_annotation.pl?DOMAIN=Sema&amp;BLAST=DUMMY","0.69")</f>
        <v>0.69</v>
      </c>
      <c r="BI754" t="str">
        <f>HYPERLINK("http://exon.niaid.nih.gov/transcriptome/Anopheles_sialome/links/TICK-BLOCKS/anoqua_hyp10-TICK-BLOCKS.txt","hyp10_hyp12_anopheline_family |")</f>
        <v>hyp10_hyp12_anopheline_family |</v>
      </c>
      <c r="BJ754" s="2" t="s">
        <v>2662</v>
      </c>
      <c r="BK754" t="s">
        <v>1364</v>
      </c>
      <c r="BL754">
        <f>HYPERLINK("http://exon.niaid.nih.gov/transcriptome/Anopheles_sialome/links/cluster-b/anopheline-sialome-cds-pep-larger-orf25-50SimCLU1.txt", 1)</f>
        <v>1</v>
      </c>
      <c r="BM754">
        <f>HYPERLINK("http://exon.niaid.nih.gov/transcriptome/Anopheles_sialome/links/cluster-b/anopheline-sialome-cds-pep-larger-orf25-50SimCLTL1.txt", 165)</f>
        <v>165</v>
      </c>
      <c r="BN754">
        <f>HYPERLINK("http://exon.niaid.nih.gov/transcriptome/Anopheles_sialome/links/cluster-b/anopheline-sialome-cds-pep-larger-orf30-50SimCLU1.txt", 1)</f>
        <v>1</v>
      </c>
      <c r="BO754">
        <f>HYPERLINK("http://exon.niaid.nih.gov/transcriptome/Anopheles_sialome/links/cluster-b/anopheline-sialome-cds-pep-larger-orf30-50SimCLTL1.txt", 165)</f>
        <v>165</v>
      </c>
      <c r="BP754">
        <f>HYPERLINK("http://exon.niaid.nih.gov/transcriptome/Anopheles_sialome/links/cluster-b/anopheline-sialome-cds-pep-larger-orf35-50SimCLU5.txt", 5)</f>
        <v>5</v>
      </c>
      <c r="BQ754">
        <f>HYPERLINK("http://exon.niaid.nih.gov/transcriptome/Anopheles_sialome/links/cluster-b/anopheline-sialome-cds-pep-larger-orf35-50SimCLTL5.txt", 61)</f>
        <v>61</v>
      </c>
      <c r="BR754">
        <f>HYPERLINK("http://exon.niaid.nih.gov/transcriptome/Anopheles_sialome/links/cluster-b/anopheline-sialome-cds-pep-larger-orf40-50SimCLU9.txt", 9)</f>
        <v>9</v>
      </c>
      <c r="BS754">
        <f>HYPERLINK("http://exon.niaid.nih.gov/transcriptome/Anopheles_sialome/links/cluster-b/anopheline-sialome-cds-pep-larger-orf40-50SimCLTL9.txt", 28)</f>
        <v>28</v>
      </c>
      <c r="BT754">
        <f>HYPERLINK("http://exon.niaid.nih.gov/transcriptome/Anopheles_sialome/links/cluster-b/anopheline-sialome-cds-pep-larger-orf45-50SimCLU8.txt", 8)</f>
        <v>8</v>
      </c>
      <c r="BU754">
        <f>HYPERLINK("http://exon.niaid.nih.gov/transcriptome/Anopheles_sialome/links/cluster-b/anopheline-sialome-cds-pep-larger-orf45-50SimCLTL8.txt", 28)</f>
        <v>28</v>
      </c>
      <c r="BV754">
        <f>HYPERLINK("http://exon.niaid.nih.gov/transcriptome/Anopheles_sialome/links/cluster-b/anopheline-sialome-cds-pep-larger-orf50-50SimCLU8.txt", 8)</f>
        <v>8</v>
      </c>
      <c r="BW754">
        <f>HYPERLINK("http://exon.niaid.nih.gov/transcriptome/Anopheles_sialome/links/cluster-b/anopheline-sialome-cds-pep-larger-orf50-50SimCLTL8.txt", 28)</f>
        <v>28</v>
      </c>
      <c r="BX754">
        <f>HYPERLINK("http://exon.niaid.nih.gov/transcriptome/Anopheles_sialome/links/cluster-b/anopheline-sialome-cds-pep-larger-orf55-50SimCLU8.txt", 8)</f>
        <v>8</v>
      </c>
      <c r="BY754">
        <f>HYPERLINK("http://exon.niaid.nih.gov/transcriptome/Anopheles_sialome/links/cluster-b/anopheline-sialome-cds-pep-larger-orf55-50SimCLTL8.txt", 28)</f>
        <v>28</v>
      </c>
      <c r="BZ754">
        <f>HYPERLINK("http://exon.niaid.nih.gov/transcriptome/Anopheles_sialome/links/cluster-b/anopheline-sialome-cds-pep-larger-orf60-50SimCLU6.txt", 6)</f>
        <v>6</v>
      </c>
      <c r="CA754">
        <f>HYPERLINK("http://exon.niaid.nih.gov/transcriptome/Anopheles_sialome/links/cluster-b/anopheline-sialome-cds-pep-larger-orf60-50SimCLTL6.txt", 28)</f>
        <v>28</v>
      </c>
      <c r="CB754">
        <f>HYPERLINK("http://exon.niaid.nih.gov/transcriptome/Anopheles_sialome/links/cluster-b/anopheline-sialome-cds-pep-larger-orf65-50SimCLU31.txt", 31)</f>
        <v>31</v>
      </c>
      <c r="CC754">
        <f>HYPERLINK("http://exon.niaid.nih.gov/transcriptome/Anopheles_sialome/links/cluster-b/anopheline-sialome-cds-pep-larger-orf65-50SimCLTL31.txt", 14)</f>
        <v>14</v>
      </c>
      <c r="CD754">
        <f>HYPERLINK("http://exon.niaid.nih.gov/transcriptome/Anopheles_sialome/links/cluster-b/anopheline-sialome-cds-pep-larger-orf70-50SimCLU30.txt", 30)</f>
        <v>30</v>
      </c>
      <c r="CE754">
        <f>HYPERLINK("http://exon.niaid.nih.gov/transcriptome/Anopheles_sialome/links/cluster-b/anopheline-sialome-cds-pep-larger-orf70-50SimCLTL30.txt", 14)</f>
        <v>14</v>
      </c>
      <c r="CF754">
        <f>HYPERLINK("http://exon.niaid.nih.gov/transcriptome/Anopheles_sialome/links/cluster-b/anopheline-sialome-cds-pep-larger-orf75-50SimCLU33.txt", 33)</f>
        <v>33</v>
      </c>
      <c r="CG754">
        <f>HYPERLINK("http://exon.niaid.nih.gov/transcriptome/Anopheles_sialome/links/cluster-b/anopheline-sialome-cds-pep-larger-orf75-50SimCLTL33.txt", 11)</f>
        <v>11</v>
      </c>
      <c r="CH754">
        <f>HYPERLINK("http://exon.niaid.nih.gov/transcriptome/Anopheles_sialome/links/cluster-b/anopheline-sialome-cds-pep-larger-orf80-50SimCLU38.txt", 38)</f>
        <v>38</v>
      </c>
      <c r="CI754">
        <f>HYPERLINK("http://exon.niaid.nih.gov/transcriptome/Anopheles_sialome/links/cluster-b/anopheline-sialome-cds-pep-larger-orf80-50SimCLTL38.txt", 6)</f>
        <v>6</v>
      </c>
      <c r="CJ754">
        <f>HYPERLINK("http://exon.niaid.nih.gov/transcriptome/Anopheles_sialome/links/cluster-b/anopheline-sialome-cds-pep-larger-orf85-50SimCLU34.txt", 34)</f>
        <v>34</v>
      </c>
      <c r="CK754">
        <f>HYPERLINK("http://exon.niaid.nih.gov/transcriptome/Anopheles_sialome/links/cluster-b/anopheline-sialome-cds-pep-larger-orf85-50SimCLTL34.txt", 6)</f>
        <v>6</v>
      </c>
      <c r="CL754">
        <f>HYPERLINK("http://exon.niaid.nih.gov/transcriptome/Anopheles_sialome/links/cluster-b/anopheline-sialome-cds-pep-larger-orf90-50SimCLU26.txt", 26)</f>
        <v>26</v>
      </c>
      <c r="CM754">
        <f>HYPERLINK("http://exon.niaid.nih.gov/transcriptome/Anopheles_sialome/links/cluster-b/anopheline-sialome-cds-pep-larger-orf90-50SimCLTL26.txt", 6)</f>
        <v>6</v>
      </c>
      <c r="CN754">
        <f>HYPERLINK("http://exon.niaid.nih.gov/transcriptome/Anopheles_sialome/links/cluster-b/anopheline-sialome-cds-pep-larger-orf95-50SimCLU17.txt", 17)</f>
        <v>17</v>
      </c>
      <c r="CO754">
        <f>HYPERLINK("http://exon.niaid.nih.gov/transcriptome/Anopheles_sialome/links/cluster-b/anopheline-sialome-cds-pep-larger-orf95-50SimCLTL17.txt", 6)</f>
        <v>6</v>
      </c>
    </row>
    <row r="755" spans="1:93">
      <c r="A755" s="2" t="str">
        <f>HYPERLINK("http://exon.niaid.nih.gov/transcriptome/Anopheles_sialome/links/cds/anomer_hyp10-cds.txt","anomer_hyp10")</f>
        <v>anomer_hyp10</v>
      </c>
      <c r="B755">
        <v>273</v>
      </c>
      <c r="C755" t="s">
        <v>4</v>
      </c>
      <c r="D755" s="8" t="s">
        <v>3178</v>
      </c>
      <c r="E755" t="s">
        <v>5</v>
      </c>
      <c r="F755" t="s">
        <v>1</v>
      </c>
      <c r="G755" t="str">
        <f>HYPERLINK("http://exon.niaid.nih.gov/transcriptome/Anopheles_sialome/links/pep/anomer_hyp10-pep.txt","anomer_hyp10")</f>
        <v>anomer_hyp10</v>
      </c>
      <c r="H755">
        <v>90</v>
      </c>
      <c r="I755">
        <v>1</v>
      </c>
      <c r="J755" s="3" t="str">
        <f>HYPERLINK("http://exon.niaid.nih.gov/transcriptome/Anopheles_sialome/links/Sigp/anomer_hyp10-SigP.txt","SIG")</f>
        <v>SIG</v>
      </c>
      <c r="K755" t="s">
        <v>708</v>
      </c>
      <c r="L755">
        <v>10.035</v>
      </c>
      <c r="M755">
        <v>5.81</v>
      </c>
      <c r="N755">
        <v>7.5620000000000003</v>
      </c>
      <c r="O755">
        <v>5.42</v>
      </c>
      <c r="P755" t="s">
        <v>1367</v>
      </c>
      <c r="Q755" s="3">
        <v>0</v>
      </c>
      <c r="R755" t="s">
        <v>128</v>
      </c>
      <c r="S755" t="s">
        <v>128</v>
      </c>
      <c r="T755" t="s">
        <v>128</v>
      </c>
      <c r="U755" t="s">
        <v>128</v>
      </c>
      <c r="V755" t="s">
        <v>128</v>
      </c>
      <c r="W755" s="3" t="str">
        <f>HYPERLINK("http://exon.niaid.nih.gov/transcriptome/Anopheles_sialome/links/netoglyc/anomer_hyp10-netoglyc.txt","0")</f>
        <v>0</v>
      </c>
      <c r="X755">
        <v>12.2</v>
      </c>
      <c r="Y755">
        <v>6.7</v>
      </c>
      <c r="Z755">
        <v>2.2000000000000002</v>
      </c>
      <c r="AA755" t="s">
        <v>654</v>
      </c>
      <c r="AB755" t="s">
        <v>128</v>
      </c>
      <c r="AC755" s="2" t="str">
        <f>HYPERLINK("http://exon.niaid.nih.gov/transcriptome/Anopheles_sialome/links/DIPTERA/anomer_hyp10-DIPTERA.txt","hypothetical protein 10")</f>
        <v>hypothetical protein 10</v>
      </c>
      <c r="AD755" t="str">
        <f>HYPERLINK("http://www.ncbi.nlm.nih.gov/sutils/blink.cgi?pid=18389901","6E-046")</f>
        <v>6E-046</v>
      </c>
      <c r="AE755" t="str">
        <f t="shared" si="257"/>
        <v>gi|18389901</v>
      </c>
      <c r="AF755">
        <v>98</v>
      </c>
      <c r="AG755">
        <v>98</v>
      </c>
      <c r="AH755">
        <v>100</v>
      </c>
      <c r="AI755" t="s">
        <v>2254</v>
      </c>
      <c r="AJ755" s="2" t="str">
        <f>HYPERLINK("http://exon.niaid.nih.gov/transcriptome/Anopheles_sialome/links/CULICOMORPHA/anomer_hyp10-CULICOMORPHA.txt","hypothetical protein 10")</f>
        <v>hypothetical protein 10</v>
      </c>
      <c r="AK755" t="str">
        <f>HYPERLINK("http://www.ncbi.nlm.nih.gov/sutils/blink.cgi?pid=18389901","1E-046")</f>
        <v>1E-046</v>
      </c>
      <c r="AL755" t="str">
        <f t="shared" si="258"/>
        <v>gi|18389901</v>
      </c>
      <c r="AM755">
        <v>98</v>
      </c>
      <c r="AN755">
        <v>98</v>
      </c>
      <c r="AO755">
        <v>100</v>
      </c>
      <c r="AP755" t="s">
        <v>2254</v>
      </c>
      <c r="AQ755" s="2" t="str">
        <f>HYPERLINK("http://exon.niaid.nih.gov/transcriptome/Anopheles_sialome/links/NR-LIGHT/anomer_hyp10-NR-LIGHT.txt","hypothetical protein 10")</f>
        <v>hypothetical protein 10</v>
      </c>
      <c r="AR755" t="str">
        <f>HYPERLINK("http://www.ncbi.nlm.nih.gov/sutils/blink.cgi?pid=18389901","2E-045")</f>
        <v>2E-045</v>
      </c>
      <c r="AS755" t="str">
        <f>HYPERLINK("http://www.ncbi.nlm.nih.gov/protein/18389901","gi|18389901")</f>
        <v>gi|18389901</v>
      </c>
      <c r="AT755">
        <v>98</v>
      </c>
      <c r="AU755">
        <v>98</v>
      </c>
      <c r="AV755">
        <v>100</v>
      </c>
      <c r="AW755" t="s">
        <v>2254</v>
      </c>
      <c r="AX755" s="2" t="str">
        <f>HYPERLINK("http://exon.niaid.nih.gov/transcriptome/Anopheles_sialome/links/CDD/anomer_hyp10-CDD.txt","GTSE1_N")</f>
        <v>GTSE1_N</v>
      </c>
      <c r="AY755" t="str">
        <f>HYPERLINK("http://www.ncbi.nlm.nih.gov/Structure/cdd/cddsrv.cgi?uid=pfam15259&amp;version=v4.0","1.9")</f>
        <v>1.9</v>
      </c>
      <c r="AZ755" t="s">
        <v>2666</v>
      </c>
      <c r="BA755" s="2" t="str">
        <f>HYPERLINK("http://exon.niaid.nih.gov/transcriptome/Anopheles_sialome/links/KOG/anomer_hyp10-KOG.txt","Cytochrome c oxidase, subunit IV/COX5b")</f>
        <v>Cytochrome c oxidase, subunit IV/COX5b</v>
      </c>
      <c r="BB755" t="str">
        <f>HYPERLINK("http://www.ncbi.nlm.nih.gov/Structure/cdd/cddsrv.cgi?uid=KOG4075","2.5")</f>
        <v>2.5</v>
      </c>
      <c r="BC755" t="s">
        <v>2516</v>
      </c>
      <c r="BD755" t="str">
        <f>HYPERLINK("http://exon.niaid.nih.gov/transcriptome/Anopheles_sialome/links/KOG/anomer_hyp10-KOG.txt","KOG4075")</f>
        <v>KOG4075</v>
      </c>
      <c r="BE755" t="str">
        <f>HYPERLINK("http://exon.niaid.nih.gov/transcriptome/Anopheles_sialome/links/PFAM/anomer_hyp10-PFAM.txt","GTSE1_N")</f>
        <v>GTSE1_N</v>
      </c>
      <c r="BF755" t="str">
        <f>HYPERLINK("http://pfam.sanger.ac.uk/family?acc=PF15259","0.42")</f>
        <v>0.42</v>
      </c>
      <c r="BG755" s="2" t="str">
        <f>HYPERLINK("http://exon.niaid.nih.gov/transcriptome/Anopheles_sialome/links/SMART/anomer_hyp10-SMART.txt","Sema")</f>
        <v>Sema</v>
      </c>
      <c r="BH755" t="str">
        <f>HYPERLINK("http://smart.embl-heidelberg.de/smart/do_annotation.pl?DOMAIN=Sema&amp;BLAST=DUMMY","0.76")</f>
        <v>0.76</v>
      </c>
      <c r="BI755" t="str">
        <f>HYPERLINK("http://exon.niaid.nih.gov/transcriptome/Anopheles_sialome/links/TICK-BLOCKS/anomer_hyp10-TICK-BLOCKS.txt","hyp10_hyp12_anopheline_family |")</f>
        <v>hyp10_hyp12_anopheline_family |</v>
      </c>
      <c r="BJ755" s="2" t="s">
        <v>2662</v>
      </c>
      <c r="BK755" t="s">
        <v>1366</v>
      </c>
      <c r="BL755">
        <f>HYPERLINK("http://exon.niaid.nih.gov/transcriptome/Anopheles_sialome/links/cluster-b/anopheline-sialome-cds-pep-larger-orf25-50SimCLU1.txt", 1)</f>
        <v>1</v>
      </c>
      <c r="BM755">
        <f>HYPERLINK("http://exon.niaid.nih.gov/transcriptome/Anopheles_sialome/links/cluster-b/anopheline-sialome-cds-pep-larger-orf25-50SimCLTL1.txt", 165)</f>
        <v>165</v>
      </c>
      <c r="BN755">
        <f>HYPERLINK("http://exon.niaid.nih.gov/transcriptome/Anopheles_sialome/links/cluster-b/anopheline-sialome-cds-pep-larger-orf30-50SimCLU1.txt", 1)</f>
        <v>1</v>
      </c>
      <c r="BO755">
        <f>HYPERLINK("http://exon.niaid.nih.gov/transcriptome/Anopheles_sialome/links/cluster-b/anopheline-sialome-cds-pep-larger-orf30-50SimCLTL1.txt", 165)</f>
        <v>165</v>
      </c>
      <c r="BP755">
        <f>HYPERLINK("http://exon.niaid.nih.gov/transcriptome/Anopheles_sialome/links/cluster-b/anopheline-sialome-cds-pep-larger-orf35-50SimCLU5.txt", 5)</f>
        <v>5</v>
      </c>
      <c r="BQ755">
        <f>HYPERLINK("http://exon.niaid.nih.gov/transcriptome/Anopheles_sialome/links/cluster-b/anopheline-sialome-cds-pep-larger-orf35-50SimCLTL5.txt", 61)</f>
        <v>61</v>
      </c>
      <c r="BR755">
        <f>HYPERLINK("http://exon.niaid.nih.gov/transcriptome/Anopheles_sialome/links/cluster-b/anopheline-sialome-cds-pep-larger-orf40-50SimCLU9.txt", 9)</f>
        <v>9</v>
      </c>
      <c r="BS755">
        <f>HYPERLINK("http://exon.niaid.nih.gov/transcriptome/Anopheles_sialome/links/cluster-b/anopheline-sialome-cds-pep-larger-orf40-50SimCLTL9.txt", 28)</f>
        <v>28</v>
      </c>
      <c r="BT755">
        <f>HYPERLINK("http://exon.niaid.nih.gov/transcriptome/Anopheles_sialome/links/cluster-b/anopheline-sialome-cds-pep-larger-orf45-50SimCLU8.txt", 8)</f>
        <v>8</v>
      </c>
      <c r="BU755">
        <f>HYPERLINK("http://exon.niaid.nih.gov/transcriptome/Anopheles_sialome/links/cluster-b/anopheline-sialome-cds-pep-larger-orf45-50SimCLTL8.txt", 28)</f>
        <v>28</v>
      </c>
      <c r="BV755">
        <f>HYPERLINK("http://exon.niaid.nih.gov/transcriptome/Anopheles_sialome/links/cluster-b/anopheline-sialome-cds-pep-larger-orf50-50SimCLU8.txt", 8)</f>
        <v>8</v>
      </c>
      <c r="BW755">
        <f>HYPERLINK("http://exon.niaid.nih.gov/transcriptome/Anopheles_sialome/links/cluster-b/anopheline-sialome-cds-pep-larger-orf50-50SimCLTL8.txt", 28)</f>
        <v>28</v>
      </c>
      <c r="BX755">
        <f>HYPERLINK("http://exon.niaid.nih.gov/transcriptome/Anopheles_sialome/links/cluster-b/anopheline-sialome-cds-pep-larger-orf55-50SimCLU8.txt", 8)</f>
        <v>8</v>
      </c>
      <c r="BY755">
        <f>HYPERLINK("http://exon.niaid.nih.gov/transcriptome/Anopheles_sialome/links/cluster-b/anopheline-sialome-cds-pep-larger-orf55-50SimCLTL8.txt", 28)</f>
        <v>28</v>
      </c>
      <c r="BZ755">
        <f>HYPERLINK("http://exon.niaid.nih.gov/transcriptome/Anopheles_sialome/links/cluster-b/anopheline-sialome-cds-pep-larger-orf60-50SimCLU6.txt", 6)</f>
        <v>6</v>
      </c>
      <c r="CA755">
        <f>HYPERLINK("http://exon.niaid.nih.gov/transcriptome/Anopheles_sialome/links/cluster-b/anopheline-sialome-cds-pep-larger-orf60-50SimCLTL6.txt", 28)</f>
        <v>28</v>
      </c>
      <c r="CB755">
        <f>HYPERLINK("http://exon.niaid.nih.gov/transcriptome/Anopheles_sialome/links/cluster-b/anopheline-sialome-cds-pep-larger-orf65-50SimCLU31.txt", 31)</f>
        <v>31</v>
      </c>
      <c r="CC755">
        <f>HYPERLINK("http://exon.niaid.nih.gov/transcriptome/Anopheles_sialome/links/cluster-b/anopheline-sialome-cds-pep-larger-orf65-50SimCLTL31.txt", 14)</f>
        <v>14</v>
      </c>
      <c r="CD755">
        <f>HYPERLINK("http://exon.niaid.nih.gov/transcriptome/Anopheles_sialome/links/cluster-b/anopheline-sialome-cds-pep-larger-orf70-50SimCLU30.txt", 30)</f>
        <v>30</v>
      </c>
      <c r="CE755">
        <f>HYPERLINK("http://exon.niaid.nih.gov/transcriptome/Anopheles_sialome/links/cluster-b/anopheline-sialome-cds-pep-larger-orf70-50SimCLTL30.txt", 14)</f>
        <v>14</v>
      </c>
      <c r="CF755">
        <f>HYPERLINK("http://exon.niaid.nih.gov/transcriptome/Anopheles_sialome/links/cluster-b/anopheline-sialome-cds-pep-larger-orf75-50SimCLU33.txt", 33)</f>
        <v>33</v>
      </c>
      <c r="CG755">
        <f>HYPERLINK("http://exon.niaid.nih.gov/transcriptome/Anopheles_sialome/links/cluster-b/anopheline-sialome-cds-pep-larger-orf75-50SimCLTL33.txt", 11)</f>
        <v>11</v>
      </c>
      <c r="CH755">
        <f>HYPERLINK("http://exon.niaid.nih.gov/transcriptome/Anopheles_sialome/links/cluster-b/anopheline-sialome-cds-pep-larger-orf80-50SimCLU38.txt", 38)</f>
        <v>38</v>
      </c>
      <c r="CI755">
        <f>HYPERLINK("http://exon.niaid.nih.gov/transcriptome/Anopheles_sialome/links/cluster-b/anopheline-sialome-cds-pep-larger-orf80-50SimCLTL38.txt", 6)</f>
        <v>6</v>
      </c>
      <c r="CJ755">
        <f>HYPERLINK("http://exon.niaid.nih.gov/transcriptome/Anopheles_sialome/links/cluster-b/anopheline-sialome-cds-pep-larger-orf85-50SimCLU34.txt", 34)</f>
        <v>34</v>
      </c>
      <c r="CK755">
        <f>HYPERLINK("http://exon.niaid.nih.gov/transcriptome/Anopheles_sialome/links/cluster-b/anopheline-sialome-cds-pep-larger-orf85-50SimCLTL34.txt", 6)</f>
        <v>6</v>
      </c>
      <c r="CL755">
        <f>HYPERLINK("http://exon.niaid.nih.gov/transcriptome/Anopheles_sialome/links/cluster-b/anopheline-sialome-cds-pep-larger-orf90-50SimCLU26.txt", 26)</f>
        <v>26</v>
      </c>
      <c r="CM755">
        <f>HYPERLINK("http://exon.niaid.nih.gov/transcriptome/Anopheles_sialome/links/cluster-b/anopheline-sialome-cds-pep-larger-orf90-50SimCLTL26.txt", 6)</f>
        <v>6</v>
      </c>
      <c r="CN755">
        <f>HYPERLINK("http://exon.niaid.nih.gov/transcriptome/Anopheles_sialome/links/cluster-b/anopheline-sialome-cds-pep-larger-orf95-50SimCLU17.txt", 17)</f>
        <v>17</v>
      </c>
      <c r="CO755">
        <f>HYPERLINK("http://exon.niaid.nih.gov/transcriptome/Anopheles_sialome/links/cluster-b/anopheline-sialome-cds-pep-larger-orf95-50SimCLTL17.txt", 6)</f>
        <v>6</v>
      </c>
    </row>
    <row r="756" spans="1:93">
      <c r="A756" s="2" t="str">
        <f>HYPERLINK("http://exon.niaid.nih.gov/transcriptome/Anopheles_sialome/links/cds/anomel_hyp10-cds.txt","anomel_hyp10")</f>
        <v>anomel_hyp10</v>
      </c>
      <c r="B756">
        <v>270</v>
      </c>
      <c r="C756" t="s">
        <v>4</v>
      </c>
      <c r="D756" s="8" t="s">
        <v>3178</v>
      </c>
      <c r="E756" t="s">
        <v>5</v>
      </c>
      <c r="F756" t="s">
        <v>1</v>
      </c>
      <c r="G756" t="str">
        <f>HYPERLINK("http://exon.niaid.nih.gov/transcriptome/Anopheles_sialome/links/pep/anomel_hyp10-pep.txt","anomel_hyp10")</f>
        <v>anomel_hyp10</v>
      </c>
      <c r="H756">
        <v>89</v>
      </c>
      <c r="I756">
        <v>1</v>
      </c>
      <c r="J756" s="3" t="str">
        <f>HYPERLINK("http://exon.niaid.nih.gov/transcriptome/Anopheles_sialome/links/Sigp/anomel_hyp10-SigP.txt","SIG")</f>
        <v>SIG</v>
      </c>
      <c r="K756" t="s">
        <v>695</v>
      </c>
      <c r="L756">
        <v>9.9499999999999993</v>
      </c>
      <c r="M756">
        <v>5.51</v>
      </c>
      <c r="N756">
        <v>7.59</v>
      </c>
      <c r="O756">
        <v>5.0999999999999996</v>
      </c>
      <c r="P756" t="s">
        <v>1369</v>
      </c>
      <c r="Q756" s="3">
        <v>0</v>
      </c>
      <c r="R756" t="s">
        <v>128</v>
      </c>
      <c r="S756" t="s">
        <v>128</v>
      </c>
      <c r="T756" t="s">
        <v>128</v>
      </c>
      <c r="U756" t="s">
        <v>128</v>
      </c>
      <c r="V756" t="s">
        <v>128</v>
      </c>
      <c r="W756" s="3" t="str">
        <f>HYPERLINK("http://exon.niaid.nih.gov/transcriptome/Anopheles_sialome/links/netoglyc/anomel_hyp10-netoglyc.txt","0")</f>
        <v>0</v>
      </c>
      <c r="X756">
        <v>13.5</v>
      </c>
      <c r="Y756">
        <v>5.6</v>
      </c>
      <c r="Z756">
        <v>2.2000000000000002</v>
      </c>
      <c r="AA756" t="s">
        <v>654</v>
      </c>
      <c r="AB756" t="s">
        <v>128</v>
      </c>
      <c r="AC756" s="2" t="str">
        <f>HYPERLINK("http://exon.niaid.nih.gov/transcriptome/Anopheles_sialome/links/DIPTERA/anomel_hyp10-DIPTERA.txt","hypothetical protein 10")</f>
        <v>hypothetical protein 10</v>
      </c>
      <c r="AD756" t="str">
        <f>HYPERLINK("http://www.ncbi.nlm.nih.gov/sutils/blink.cgi?pid=18389901","4E-041")</f>
        <v>4E-041</v>
      </c>
      <c r="AE756" t="str">
        <f t="shared" si="257"/>
        <v>gi|18389901</v>
      </c>
      <c r="AF756">
        <v>92</v>
      </c>
      <c r="AG756">
        <v>95</v>
      </c>
      <c r="AH756">
        <v>100</v>
      </c>
      <c r="AI756" t="s">
        <v>2254</v>
      </c>
      <c r="AJ756" s="2" t="str">
        <f>HYPERLINK("http://exon.niaid.nih.gov/transcriptome/Anopheles_sialome/links/CULICOMORPHA/anomel_hyp10-CULICOMORPHA.txt","hypothetical protein 10")</f>
        <v>hypothetical protein 10</v>
      </c>
      <c r="AK756" t="str">
        <f>HYPERLINK("http://www.ncbi.nlm.nih.gov/sutils/blink.cgi?pid=18389901","7E-042")</f>
        <v>7E-042</v>
      </c>
      <c r="AL756" t="str">
        <f t="shared" si="258"/>
        <v>gi|18389901</v>
      </c>
      <c r="AM756">
        <v>92</v>
      </c>
      <c r="AN756">
        <v>95</v>
      </c>
      <c r="AO756">
        <v>100</v>
      </c>
      <c r="AP756" t="s">
        <v>2254</v>
      </c>
      <c r="AQ756" s="2" t="str">
        <f>HYPERLINK("http://exon.niaid.nih.gov/transcriptome/Anopheles_sialome/links/NR-LIGHT/anomel_hyp10-NR-LIGHT.txt","hypothetical protein 10")</f>
        <v>hypothetical protein 10</v>
      </c>
      <c r="AR756" t="str">
        <f>HYPERLINK("http://www.ncbi.nlm.nih.gov/sutils/blink.cgi?pid=18389901","1E-040")</f>
        <v>1E-040</v>
      </c>
      <c r="AS756" t="str">
        <f>HYPERLINK("http://www.ncbi.nlm.nih.gov/protein/18389901","gi|18389901")</f>
        <v>gi|18389901</v>
      </c>
      <c r="AT756">
        <v>92</v>
      </c>
      <c r="AU756">
        <v>95</v>
      </c>
      <c r="AV756">
        <v>100</v>
      </c>
      <c r="AW756" t="s">
        <v>2254</v>
      </c>
      <c r="AX756" s="2" t="str">
        <f>HYPERLINK("http://exon.niaid.nih.gov/transcriptome/Anopheles_sialome/links/CDD/anomel_hyp10-CDD.txt","Osmoregulated_p")</f>
        <v>Osmoregulated_p</v>
      </c>
      <c r="AY756" t="str">
        <f>HYPERLINK("http://www.ncbi.nlm.nih.gov/Structure/cdd/cddsrv.cgi?uid=TIGR02121&amp;version=v4.0","2.2")</f>
        <v>2.2</v>
      </c>
      <c r="AZ756" t="s">
        <v>2667</v>
      </c>
      <c r="BA756" s="2" t="str">
        <f>HYPERLINK("http://exon.niaid.nih.gov/transcriptome/Anopheles_sialome/links/KOG/anomel_hyp10-KOG.txt","Sister chromatid cohesion complex Cohesin, subunit PDS5")</f>
        <v>Sister chromatid cohesion complex Cohesin, subunit PDS5</v>
      </c>
      <c r="BB756" t="str">
        <f>HYPERLINK("http://www.ncbi.nlm.nih.gov/Structure/cdd/cddsrv.cgi?uid=KOG1525","0.88")</f>
        <v>0.88</v>
      </c>
      <c r="BC756" t="s">
        <v>2256</v>
      </c>
      <c r="BD756" t="str">
        <f>HYPERLINK("http://exon.niaid.nih.gov/transcriptome/Anopheles_sialome/links/KOG/anomel_hyp10-KOG.txt","KOG1525")</f>
        <v>KOG1525</v>
      </c>
      <c r="BE756" t="str">
        <f>HYPERLINK("http://exon.niaid.nih.gov/transcriptome/Anopheles_sialome/links/PFAM/anomel_hyp10-PFAM.txt","DUF2920")</f>
        <v>DUF2920</v>
      </c>
      <c r="BF756" t="str">
        <f>HYPERLINK("http://pfam.sanger.ac.uk/family?acc=PF11144","0.63")</f>
        <v>0.63</v>
      </c>
      <c r="BG756" s="2" t="str">
        <f>HYPERLINK("http://exon.niaid.nih.gov/transcriptome/Anopheles_sialome/links/SMART/anomel_hyp10-SMART.txt","Sema")</f>
        <v>Sema</v>
      </c>
      <c r="BH756" t="str">
        <f>HYPERLINK("http://smart.embl-heidelberg.de/smart/do_annotation.pl?DOMAIN=Sema&amp;BLAST=DUMMY","0.77")</f>
        <v>0.77</v>
      </c>
      <c r="BI756" t="str">
        <f>HYPERLINK("http://exon.niaid.nih.gov/transcriptome/Anopheles_sialome/links/TICK-BLOCKS/anomel_hyp10-TICK-BLOCKS.txt","hyp10_hyp12_anopheline_family |")</f>
        <v>hyp10_hyp12_anopheline_family |</v>
      </c>
      <c r="BJ756" s="2" t="s">
        <v>2662</v>
      </c>
      <c r="BK756" t="s">
        <v>1368</v>
      </c>
      <c r="BL756">
        <f>HYPERLINK("http://exon.niaid.nih.gov/transcriptome/Anopheles_sialome/links/cluster-b/anopheline-sialome-cds-pep-larger-orf25-50SimCLU1.txt", 1)</f>
        <v>1</v>
      </c>
      <c r="BM756">
        <f>HYPERLINK("http://exon.niaid.nih.gov/transcriptome/Anopheles_sialome/links/cluster-b/anopheline-sialome-cds-pep-larger-orf25-50SimCLTL1.txt", 165)</f>
        <v>165</v>
      </c>
      <c r="BN756">
        <f>HYPERLINK("http://exon.niaid.nih.gov/transcriptome/Anopheles_sialome/links/cluster-b/anopheline-sialome-cds-pep-larger-orf30-50SimCLU1.txt", 1)</f>
        <v>1</v>
      </c>
      <c r="BO756">
        <f>HYPERLINK("http://exon.niaid.nih.gov/transcriptome/Anopheles_sialome/links/cluster-b/anopheline-sialome-cds-pep-larger-orf30-50SimCLTL1.txt", 165)</f>
        <v>165</v>
      </c>
      <c r="BP756">
        <f>HYPERLINK("http://exon.niaid.nih.gov/transcriptome/Anopheles_sialome/links/cluster-b/anopheline-sialome-cds-pep-larger-orf35-50SimCLU5.txt", 5)</f>
        <v>5</v>
      </c>
      <c r="BQ756">
        <f>HYPERLINK("http://exon.niaid.nih.gov/transcriptome/Anopheles_sialome/links/cluster-b/anopheline-sialome-cds-pep-larger-orf35-50SimCLTL5.txt", 61)</f>
        <v>61</v>
      </c>
      <c r="BR756">
        <f>HYPERLINK("http://exon.niaid.nih.gov/transcriptome/Anopheles_sialome/links/cluster-b/anopheline-sialome-cds-pep-larger-orf40-50SimCLU9.txt", 9)</f>
        <v>9</v>
      </c>
      <c r="BS756">
        <f>HYPERLINK("http://exon.niaid.nih.gov/transcriptome/Anopheles_sialome/links/cluster-b/anopheline-sialome-cds-pep-larger-orf40-50SimCLTL9.txt", 28)</f>
        <v>28</v>
      </c>
      <c r="BT756">
        <f>HYPERLINK("http://exon.niaid.nih.gov/transcriptome/Anopheles_sialome/links/cluster-b/anopheline-sialome-cds-pep-larger-orf45-50SimCLU8.txt", 8)</f>
        <v>8</v>
      </c>
      <c r="BU756">
        <f>HYPERLINK("http://exon.niaid.nih.gov/transcriptome/Anopheles_sialome/links/cluster-b/anopheline-sialome-cds-pep-larger-orf45-50SimCLTL8.txt", 28)</f>
        <v>28</v>
      </c>
      <c r="BV756">
        <f>HYPERLINK("http://exon.niaid.nih.gov/transcriptome/Anopheles_sialome/links/cluster-b/anopheline-sialome-cds-pep-larger-orf50-50SimCLU8.txt", 8)</f>
        <v>8</v>
      </c>
      <c r="BW756">
        <f>HYPERLINK("http://exon.niaid.nih.gov/transcriptome/Anopheles_sialome/links/cluster-b/anopheline-sialome-cds-pep-larger-orf50-50SimCLTL8.txt", 28)</f>
        <v>28</v>
      </c>
      <c r="BX756">
        <f>HYPERLINK("http://exon.niaid.nih.gov/transcriptome/Anopheles_sialome/links/cluster-b/anopheline-sialome-cds-pep-larger-orf55-50SimCLU8.txt", 8)</f>
        <v>8</v>
      </c>
      <c r="BY756">
        <f>HYPERLINK("http://exon.niaid.nih.gov/transcriptome/Anopheles_sialome/links/cluster-b/anopheline-sialome-cds-pep-larger-orf55-50SimCLTL8.txt", 28)</f>
        <v>28</v>
      </c>
      <c r="BZ756">
        <f>HYPERLINK("http://exon.niaid.nih.gov/transcriptome/Anopheles_sialome/links/cluster-b/anopheline-sialome-cds-pep-larger-orf60-50SimCLU6.txt", 6)</f>
        <v>6</v>
      </c>
      <c r="CA756">
        <f>HYPERLINK("http://exon.niaid.nih.gov/transcriptome/Anopheles_sialome/links/cluster-b/anopheline-sialome-cds-pep-larger-orf60-50SimCLTL6.txt", 28)</f>
        <v>28</v>
      </c>
      <c r="CB756">
        <f>HYPERLINK("http://exon.niaid.nih.gov/transcriptome/Anopheles_sialome/links/cluster-b/anopheline-sialome-cds-pep-larger-orf65-50SimCLU31.txt", 31)</f>
        <v>31</v>
      </c>
      <c r="CC756">
        <f>HYPERLINK("http://exon.niaid.nih.gov/transcriptome/Anopheles_sialome/links/cluster-b/anopheline-sialome-cds-pep-larger-orf65-50SimCLTL31.txt", 14)</f>
        <v>14</v>
      </c>
      <c r="CD756">
        <f>HYPERLINK("http://exon.niaid.nih.gov/transcriptome/Anopheles_sialome/links/cluster-b/anopheline-sialome-cds-pep-larger-orf70-50SimCLU30.txt", 30)</f>
        <v>30</v>
      </c>
      <c r="CE756">
        <f>HYPERLINK("http://exon.niaid.nih.gov/transcriptome/Anopheles_sialome/links/cluster-b/anopheline-sialome-cds-pep-larger-orf70-50SimCLTL30.txt", 14)</f>
        <v>14</v>
      </c>
      <c r="CF756">
        <f>HYPERLINK("http://exon.niaid.nih.gov/transcriptome/Anopheles_sialome/links/cluster-b/anopheline-sialome-cds-pep-larger-orf75-50SimCLU33.txt", 33)</f>
        <v>33</v>
      </c>
      <c r="CG756">
        <f>HYPERLINK("http://exon.niaid.nih.gov/transcriptome/Anopheles_sialome/links/cluster-b/anopheline-sialome-cds-pep-larger-orf75-50SimCLTL33.txt", 11)</f>
        <v>11</v>
      </c>
      <c r="CH756">
        <f>HYPERLINK("http://exon.niaid.nih.gov/transcriptome/Anopheles_sialome/links/cluster-b/anopheline-sialome-cds-pep-larger-orf80-50SimCLU38.txt", 38)</f>
        <v>38</v>
      </c>
      <c r="CI756">
        <f>HYPERLINK("http://exon.niaid.nih.gov/transcriptome/Anopheles_sialome/links/cluster-b/anopheline-sialome-cds-pep-larger-orf80-50SimCLTL38.txt", 6)</f>
        <v>6</v>
      </c>
      <c r="CJ756">
        <f>HYPERLINK("http://exon.niaid.nih.gov/transcriptome/Anopheles_sialome/links/cluster-b/anopheline-sialome-cds-pep-larger-orf85-50SimCLU34.txt", 34)</f>
        <v>34</v>
      </c>
      <c r="CK756">
        <f>HYPERLINK("http://exon.niaid.nih.gov/transcriptome/Anopheles_sialome/links/cluster-b/anopheline-sialome-cds-pep-larger-orf85-50SimCLTL34.txt", 6)</f>
        <v>6</v>
      </c>
      <c r="CL756">
        <f>HYPERLINK("http://exon.niaid.nih.gov/transcriptome/Anopheles_sialome/links/cluster-b/anopheline-sialome-cds-pep-larger-orf90-50SimCLU26.txt", 26)</f>
        <v>26</v>
      </c>
      <c r="CM756">
        <f>HYPERLINK("http://exon.niaid.nih.gov/transcriptome/Anopheles_sialome/links/cluster-b/anopheline-sialome-cds-pep-larger-orf90-50SimCLTL26.txt", 6)</f>
        <v>6</v>
      </c>
      <c r="CN756">
        <f>HYPERLINK("http://exon.niaid.nih.gov/transcriptome/Anopheles_sialome/links/cluster-b/anopheline-sialome-cds-pep-larger-orf95-50SimCLU17.txt", 17)</f>
        <v>17</v>
      </c>
      <c r="CO756">
        <f>HYPERLINK("http://exon.niaid.nih.gov/transcriptome/Anopheles_sialome/links/cluster-b/anopheline-sialome-cds-pep-larger-orf95-50SimCLTL17.txt", 6)</f>
        <v>6</v>
      </c>
    </row>
    <row r="757" spans="1:93">
      <c r="A757" s="2" t="str">
        <f>HYPERLINK("http://exon.niaid.nih.gov/transcriptome/Anopheles_sialome/links/cds/anochris_hyp10-cds.txt","anochris_hyp10")</f>
        <v>anochris_hyp10</v>
      </c>
      <c r="B757">
        <v>276</v>
      </c>
      <c r="C757" t="s">
        <v>263</v>
      </c>
      <c r="D757" t="s">
        <v>7</v>
      </c>
      <c r="E757" t="s">
        <v>5</v>
      </c>
      <c r="F757" t="s">
        <v>1</v>
      </c>
      <c r="G757" t="str">
        <f>HYPERLINK("http://exon.niaid.nih.gov/transcriptome/Anopheles_sialome/links/pep/anochris_hyp10-pep.txt","anochris_hyp10")</f>
        <v>anochris_hyp10</v>
      </c>
      <c r="H757">
        <v>91</v>
      </c>
      <c r="I757">
        <v>0</v>
      </c>
      <c r="J757" s="3" t="str">
        <f>HYPERLINK("http://exon.niaid.nih.gov/transcriptome/Anopheles_sialome/links/Sigp/anochris_hyp10-SigP.txt","SIG")</f>
        <v>SIG</v>
      </c>
      <c r="K757" t="s">
        <v>689</v>
      </c>
      <c r="L757">
        <v>10.243</v>
      </c>
      <c r="M757">
        <v>6.39</v>
      </c>
      <c r="N757">
        <v>7.98</v>
      </c>
      <c r="O757">
        <v>5.71</v>
      </c>
      <c r="P757" t="s">
        <v>1371</v>
      </c>
      <c r="Q757" s="3">
        <v>0</v>
      </c>
      <c r="R757" t="s">
        <v>128</v>
      </c>
      <c r="S757" t="s">
        <v>128</v>
      </c>
      <c r="T757" t="s">
        <v>128</v>
      </c>
      <c r="U757" t="s">
        <v>128</v>
      </c>
      <c r="V757" t="s">
        <v>128</v>
      </c>
      <c r="W757" s="3" t="str">
        <f>HYPERLINK("http://exon.niaid.nih.gov/transcriptome/Anopheles_sialome/links/netoglyc/anochris_hyp10-netoglyc.txt","0")</f>
        <v>0</v>
      </c>
      <c r="X757">
        <v>17.600000000000001</v>
      </c>
      <c r="Y757">
        <v>4.4000000000000004</v>
      </c>
      <c r="Z757" t="s">
        <v>1372</v>
      </c>
      <c r="AA757" t="s">
        <v>654</v>
      </c>
      <c r="AB757" t="s">
        <v>128</v>
      </c>
      <c r="AC757" s="2" t="str">
        <f>HYPERLINK("http://exon.niaid.nih.gov/transcriptome/Anopheles_sialome/links/DIPTERA/anochris_hyp10-DIPTERA.txt","hypothetical protein 10")</f>
        <v>hypothetical protein 10</v>
      </c>
      <c r="AD757" t="str">
        <f>HYPERLINK("http://www.ncbi.nlm.nih.gov/sutils/blink.cgi?pid=18389901","1E-025")</f>
        <v>1E-025</v>
      </c>
      <c r="AE757" t="str">
        <f t="shared" si="257"/>
        <v>gi|18389901</v>
      </c>
      <c r="AF757">
        <v>70</v>
      </c>
      <c r="AG757">
        <v>76</v>
      </c>
      <c r="AH757">
        <v>102</v>
      </c>
      <c r="AI757" t="s">
        <v>2254</v>
      </c>
      <c r="AJ757" s="2" t="str">
        <f>HYPERLINK("http://exon.niaid.nih.gov/transcriptome/Anopheles_sialome/links/CULICOMORPHA/anochris_hyp10-CULICOMORPHA.txt","hypothetical protein 10")</f>
        <v>hypothetical protein 10</v>
      </c>
      <c r="AK757" t="str">
        <f>HYPERLINK("http://www.ncbi.nlm.nih.gov/sutils/blink.cgi?pid=18389901","2E-026")</f>
        <v>2E-026</v>
      </c>
      <c r="AL757" t="str">
        <f t="shared" si="258"/>
        <v>gi|18389901</v>
      </c>
      <c r="AM757">
        <v>70</v>
      </c>
      <c r="AN757">
        <v>76</v>
      </c>
      <c r="AO757">
        <v>102</v>
      </c>
      <c r="AP757" t="s">
        <v>2254</v>
      </c>
      <c r="AQ757" s="2" t="str">
        <f>HYPERLINK("http://exon.niaid.nih.gov/transcriptome/Anopheles_sialome/links/NR-LIGHT/anochris_hyp10-NR-LIGHT.txt","hypothetical protein 10")</f>
        <v>hypothetical protein 10</v>
      </c>
      <c r="AR757" t="str">
        <f>HYPERLINK("http://www.ncbi.nlm.nih.gov/sutils/blink.cgi?pid=18389901","4E-025")</f>
        <v>4E-025</v>
      </c>
      <c r="AS757" t="str">
        <f>HYPERLINK("http://www.ncbi.nlm.nih.gov/protein/18389901","gi|18389901")</f>
        <v>gi|18389901</v>
      </c>
      <c r="AT757">
        <v>70</v>
      </c>
      <c r="AU757">
        <v>76</v>
      </c>
      <c r="AV757">
        <v>102</v>
      </c>
      <c r="AW757" t="s">
        <v>2254</v>
      </c>
      <c r="AX757" s="2" t="str">
        <f>HYPERLINK("http://exon.niaid.nih.gov/transcriptome/Anopheles_sialome/links/CDD/anochris_hyp10-CDD.txt","hypothetical_pr")</f>
        <v>hypothetical_pr</v>
      </c>
      <c r="AY757" t="str">
        <f>HYPERLINK("http://www.ncbi.nlm.nih.gov/Structure/cdd/cddsrv.cgi?uid=TIGR03975&amp;version=v4.0","1.4")</f>
        <v>1.4</v>
      </c>
      <c r="AZ757" t="s">
        <v>2668</v>
      </c>
      <c r="BA757" s="2" t="str">
        <f>HYPERLINK("http://exon.niaid.nih.gov/transcriptome/Anopheles_sialome/links/KOG/anochris_hyp10-KOG.txt","Uncharacterized conserved protein")</f>
        <v>Uncharacterized conserved protein</v>
      </c>
      <c r="BB757" t="str">
        <f>HYPERLINK("http://www.ncbi.nlm.nih.gov/Structure/cdd/cddsrv.cgi?uid=KOG4765","2.1")</f>
        <v>2.1</v>
      </c>
      <c r="BC757" t="s">
        <v>2304</v>
      </c>
      <c r="BD757" t="str">
        <f>HYPERLINK("http://exon.niaid.nih.gov/transcriptome/Anopheles_sialome/links/KOG/anochris_hyp10-KOG.txt","KOG4765")</f>
        <v>KOG4765</v>
      </c>
      <c r="BE757" t="str">
        <f>HYPERLINK("http://exon.niaid.nih.gov/transcriptome/Anopheles_sialome/links/PFAM/anochris_hyp10-PFAM.txt","SURF2")</f>
        <v>SURF2</v>
      </c>
      <c r="BF757" t="str">
        <f>HYPERLINK("http://pfam.sanger.ac.uk/family?acc=PF05477","2.9")</f>
        <v>2.9</v>
      </c>
      <c r="BG757" s="2" t="str">
        <f>HYPERLINK("http://exon.niaid.nih.gov/transcriptome/Anopheles_sialome/links/SMART/anochris_hyp10-SMART.txt","CAP10")</f>
        <v>CAP10</v>
      </c>
      <c r="BH757" t="str">
        <f>HYPERLINK("http://smart.embl-heidelberg.de/smart/do_annotation.pl?DOMAIN=CAP10&amp;BLAST=DUMMY","0.30")</f>
        <v>0.30</v>
      </c>
      <c r="BI757" t="str">
        <f>HYPERLINK("http://exon.niaid.nih.gov/transcriptome/Anopheles_sialome/links/TICK-BLOCKS/anochris_hyp10-TICK-BLOCKS.txt","hyp10_hyp12_anopheline_family |")</f>
        <v>hyp10_hyp12_anopheline_family |</v>
      </c>
      <c r="BJ757" s="2" t="s">
        <v>2662</v>
      </c>
      <c r="BK757" t="s">
        <v>1370</v>
      </c>
      <c r="BL757">
        <f>HYPERLINK("http://exon.niaid.nih.gov/transcriptome/Anopheles_sialome/links/cluster-b/anopheline-sialome-cds-pep-larger-orf25-50SimCLU1.txt", 1)</f>
        <v>1</v>
      </c>
      <c r="BM757">
        <f>HYPERLINK("http://exon.niaid.nih.gov/transcriptome/Anopheles_sialome/links/cluster-b/anopheline-sialome-cds-pep-larger-orf25-50SimCLTL1.txt", 165)</f>
        <v>165</v>
      </c>
      <c r="BN757">
        <f>HYPERLINK("http://exon.niaid.nih.gov/transcriptome/Anopheles_sialome/links/cluster-b/anopheline-sialome-cds-pep-larger-orf30-50SimCLU1.txt", 1)</f>
        <v>1</v>
      </c>
      <c r="BO757">
        <f>HYPERLINK("http://exon.niaid.nih.gov/transcriptome/Anopheles_sialome/links/cluster-b/anopheline-sialome-cds-pep-larger-orf30-50SimCLTL1.txt", 165)</f>
        <v>165</v>
      </c>
      <c r="BP757">
        <f>HYPERLINK("http://exon.niaid.nih.gov/transcriptome/Anopheles_sialome/links/cluster-b/anopheline-sialome-cds-pep-larger-orf35-50SimCLU5.txt", 5)</f>
        <v>5</v>
      </c>
      <c r="BQ757">
        <f>HYPERLINK("http://exon.niaid.nih.gov/transcriptome/Anopheles_sialome/links/cluster-b/anopheline-sialome-cds-pep-larger-orf35-50SimCLTL5.txt", 61)</f>
        <v>61</v>
      </c>
      <c r="BR757">
        <f>HYPERLINK("http://exon.niaid.nih.gov/transcriptome/Anopheles_sialome/links/cluster-b/anopheline-sialome-cds-pep-larger-orf40-50SimCLU9.txt", 9)</f>
        <v>9</v>
      </c>
      <c r="BS757">
        <f>HYPERLINK("http://exon.niaid.nih.gov/transcriptome/Anopheles_sialome/links/cluster-b/anopheline-sialome-cds-pep-larger-orf40-50SimCLTL9.txt", 28)</f>
        <v>28</v>
      </c>
      <c r="BT757">
        <f>HYPERLINK("http://exon.niaid.nih.gov/transcriptome/Anopheles_sialome/links/cluster-b/anopheline-sialome-cds-pep-larger-orf45-50SimCLU8.txt", 8)</f>
        <v>8</v>
      </c>
      <c r="BU757">
        <f>HYPERLINK("http://exon.niaid.nih.gov/transcriptome/Anopheles_sialome/links/cluster-b/anopheline-sialome-cds-pep-larger-orf45-50SimCLTL8.txt", 28)</f>
        <v>28</v>
      </c>
      <c r="BV757">
        <f>HYPERLINK("http://exon.niaid.nih.gov/transcriptome/Anopheles_sialome/links/cluster-b/anopheline-sialome-cds-pep-larger-orf50-50SimCLU8.txt", 8)</f>
        <v>8</v>
      </c>
      <c r="BW757">
        <f>HYPERLINK("http://exon.niaid.nih.gov/transcriptome/Anopheles_sialome/links/cluster-b/anopheline-sialome-cds-pep-larger-orf50-50SimCLTL8.txt", 28)</f>
        <v>28</v>
      </c>
      <c r="BX757">
        <f>HYPERLINK("http://exon.niaid.nih.gov/transcriptome/Anopheles_sialome/links/cluster-b/anopheline-sialome-cds-pep-larger-orf55-50SimCLU8.txt", 8)</f>
        <v>8</v>
      </c>
      <c r="BY757">
        <f>HYPERLINK("http://exon.niaid.nih.gov/transcriptome/Anopheles_sialome/links/cluster-b/anopheline-sialome-cds-pep-larger-orf55-50SimCLTL8.txt", 28)</f>
        <v>28</v>
      </c>
      <c r="BZ757">
        <f>HYPERLINK("http://exon.niaid.nih.gov/transcriptome/Anopheles_sialome/links/cluster-b/anopheline-sialome-cds-pep-larger-orf60-50SimCLU6.txt", 6)</f>
        <v>6</v>
      </c>
      <c r="CA757">
        <f>HYPERLINK("http://exon.niaid.nih.gov/transcriptome/Anopheles_sialome/links/cluster-b/anopheline-sialome-cds-pep-larger-orf60-50SimCLTL6.txt", 28)</f>
        <v>28</v>
      </c>
      <c r="CB757">
        <f>HYPERLINK("http://exon.niaid.nih.gov/transcriptome/Anopheles_sialome/links/cluster-b/anopheline-sialome-cds-pep-larger-orf65-50SimCLU31.txt", 31)</f>
        <v>31</v>
      </c>
      <c r="CC757">
        <f>HYPERLINK("http://exon.niaid.nih.gov/transcriptome/Anopheles_sialome/links/cluster-b/anopheline-sialome-cds-pep-larger-orf65-50SimCLTL31.txt", 14)</f>
        <v>14</v>
      </c>
      <c r="CD757">
        <f>HYPERLINK("http://exon.niaid.nih.gov/transcriptome/Anopheles_sialome/links/cluster-b/anopheline-sialome-cds-pep-larger-orf70-50SimCLU30.txt", 30)</f>
        <v>30</v>
      </c>
      <c r="CE757">
        <f>HYPERLINK("http://exon.niaid.nih.gov/transcriptome/Anopheles_sialome/links/cluster-b/anopheline-sialome-cds-pep-larger-orf70-50SimCLTL30.txt", 14)</f>
        <v>14</v>
      </c>
      <c r="CF757">
        <f>HYPERLINK("http://exon.niaid.nih.gov/transcriptome/Anopheles_sialome/links/cluster-b/anopheline-sialome-cds-pep-larger-orf75-50SimCLU33.txt", 33)</f>
        <v>33</v>
      </c>
      <c r="CG757">
        <f>HYPERLINK("http://exon.niaid.nih.gov/transcriptome/Anopheles_sialome/links/cluster-b/anopheline-sialome-cds-pep-larger-orf75-50SimCLTL33.txt", 11)</f>
        <v>11</v>
      </c>
      <c r="CH757">
        <v>158</v>
      </c>
      <c r="CI757">
        <v>1</v>
      </c>
      <c r="CJ757">
        <v>201</v>
      </c>
      <c r="CK757">
        <v>1</v>
      </c>
      <c r="CL757">
        <v>247</v>
      </c>
      <c r="CM757">
        <v>1</v>
      </c>
      <c r="CN757">
        <v>273</v>
      </c>
      <c r="CO757">
        <v>1</v>
      </c>
    </row>
    <row r="758" spans="1:93">
      <c r="A758" s="2" t="str">
        <f>HYPERLINK("http://exon.niaid.nih.gov/transcriptome/Anopheles_sialome/links/cds/anoepi_hyp10-cds.txt","anoepi_hyp10")</f>
        <v>anoepi_hyp10</v>
      </c>
      <c r="B758">
        <v>258</v>
      </c>
      <c r="C758" t="s">
        <v>264</v>
      </c>
      <c r="D758" t="s">
        <v>265</v>
      </c>
      <c r="E758" t="s">
        <v>5</v>
      </c>
      <c r="F758" t="s">
        <v>1</v>
      </c>
      <c r="G758" t="str">
        <f>HYPERLINK("http://exon.niaid.nih.gov/transcriptome/Anopheles_sialome/links/pep/anoepi_hyp10-pep.txt","anoepi_hyp10")</f>
        <v>anoepi_hyp10</v>
      </c>
      <c r="H758">
        <v>85</v>
      </c>
      <c r="I758">
        <v>0</v>
      </c>
      <c r="J758" s="3" t="str">
        <f>HYPERLINK("http://exon.niaid.nih.gov/transcriptome/Anopheles_sialome/links/Sigp/anoepi_hyp10-SigP.txt","SIG")</f>
        <v>SIG</v>
      </c>
      <c r="K758" t="s">
        <v>652</v>
      </c>
      <c r="L758">
        <v>9.5730000000000004</v>
      </c>
      <c r="M758">
        <v>5.44</v>
      </c>
      <c r="N758">
        <v>7.5389999999999997</v>
      </c>
      <c r="O758">
        <v>4.87</v>
      </c>
      <c r="P758" t="s">
        <v>1047</v>
      </c>
      <c r="Q758" s="3">
        <v>0</v>
      </c>
      <c r="R758" t="s">
        <v>128</v>
      </c>
      <c r="S758" t="s">
        <v>128</v>
      </c>
      <c r="T758" t="s">
        <v>128</v>
      </c>
      <c r="U758" t="s">
        <v>128</v>
      </c>
      <c r="V758" t="s">
        <v>128</v>
      </c>
      <c r="W758" s="3" t="str">
        <f>HYPERLINK("http://exon.niaid.nih.gov/transcriptome/Anopheles_sialome/links/netoglyc/anoepi_hyp10-netoglyc.txt","0")</f>
        <v>0</v>
      </c>
      <c r="X758">
        <v>14.1</v>
      </c>
      <c r="Y758">
        <v>4.7</v>
      </c>
      <c r="Z758" t="s">
        <v>1372</v>
      </c>
      <c r="AA758" t="s">
        <v>654</v>
      </c>
      <c r="AB758" t="s">
        <v>128</v>
      </c>
      <c r="AC758" s="2" t="str">
        <f>HYPERLINK("http://exon.niaid.nih.gov/transcriptome/Anopheles_sialome/links/DIPTERA/anoepi_hyp10-DIPTERA.txt","hypothetical protein 10")</f>
        <v>hypothetical protein 10</v>
      </c>
      <c r="AD758" t="str">
        <f>HYPERLINK("http://www.ncbi.nlm.nih.gov/sutils/blink.cgi?pid=18389901","3E-019")</f>
        <v>3E-019</v>
      </c>
      <c r="AE758" t="str">
        <f t="shared" si="257"/>
        <v>gi|18389901</v>
      </c>
      <c r="AF758">
        <v>64</v>
      </c>
      <c r="AG758">
        <v>71</v>
      </c>
      <c r="AH758">
        <v>91</v>
      </c>
      <c r="AI758" t="s">
        <v>2254</v>
      </c>
      <c r="AJ758" s="2" t="str">
        <f>HYPERLINK("http://exon.niaid.nih.gov/transcriptome/Anopheles_sialome/links/CULICOMORPHA/anoepi_hyp10-CULICOMORPHA.txt","hypothetical protein 10")</f>
        <v>hypothetical protein 10</v>
      </c>
      <c r="AK758" t="str">
        <f>HYPERLINK("http://www.ncbi.nlm.nih.gov/sutils/blink.cgi?pid=18389901","5E-020")</f>
        <v>5E-020</v>
      </c>
      <c r="AL758" t="str">
        <f t="shared" si="258"/>
        <v>gi|18389901</v>
      </c>
      <c r="AM758">
        <v>64</v>
      </c>
      <c r="AN758">
        <v>71</v>
      </c>
      <c r="AO758">
        <v>91</v>
      </c>
      <c r="AP758" t="s">
        <v>2254</v>
      </c>
      <c r="AQ758" s="2" t="str">
        <f>HYPERLINK("http://exon.niaid.nih.gov/transcriptome/Anopheles_sialome/links/NR-LIGHT/anoepi_hyp10-NR-LIGHT.txt","AGAP008307-PA")</f>
        <v>AGAP008307-PA</v>
      </c>
      <c r="AR758" t="str">
        <f>HYPERLINK("http://www.ncbi.nlm.nih.gov/sutils/blink.cgi?pid=31222290","7E-019")</f>
        <v>7E-019</v>
      </c>
      <c r="AS758" t="str">
        <f>HYPERLINK("http://www.ncbi.nlm.nih.gov/protein/31222290","gi|31222290")</f>
        <v>gi|31222290</v>
      </c>
      <c r="AT758">
        <v>64</v>
      </c>
      <c r="AU758">
        <v>71</v>
      </c>
      <c r="AV758">
        <v>91</v>
      </c>
      <c r="AW758" t="s">
        <v>2285</v>
      </c>
      <c r="AX758" s="2" t="str">
        <f>HYPERLINK("http://exon.niaid.nih.gov/transcriptome/Anopheles_sialome/links/CDD/anoepi_hyp10-CDD.txt","cobU")</f>
        <v>cobU</v>
      </c>
      <c r="AY758" t="str">
        <f>HYPERLINK("http://www.ncbi.nlm.nih.gov/Structure/cdd/cddsrv.cgi?uid=PRK05800&amp;version=v4.0","0.29")</f>
        <v>0.29</v>
      </c>
      <c r="AZ758" t="s">
        <v>2669</v>
      </c>
      <c r="BA758" s="2" t="str">
        <f>HYPERLINK("http://exon.niaid.nih.gov/transcriptome/Anopheles_sialome/links/KOG/anoepi_hyp10-KOG.txt","TPR repeat-containing protein")</f>
        <v>TPR repeat-containing protein</v>
      </c>
      <c r="BB758" t="str">
        <f>HYPERLINK("http://www.ncbi.nlm.nih.gov/Structure/cdd/cddsrv.cgi?uid=KOG1127","0.65")</f>
        <v>0.65</v>
      </c>
      <c r="BC758" t="s">
        <v>2464</v>
      </c>
      <c r="BD758" t="str">
        <f>HYPERLINK("http://exon.niaid.nih.gov/transcriptome/Anopheles_sialome/links/KOG/anoepi_hyp10-KOG.txt","KOG1127")</f>
        <v>KOG1127</v>
      </c>
      <c r="BE758" t="str">
        <f>HYPERLINK("http://exon.niaid.nih.gov/transcriptome/Anopheles_sialome/links/PFAM/anoepi_hyp10-PFAM.txt","DUF2776")</f>
        <v>DUF2776</v>
      </c>
      <c r="BF758" t="str">
        <f>HYPERLINK("http://pfam.sanger.ac.uk/family?acc=PF10951","1.2")</f>
        <v>1.2</v>
      </c>
      <c r="BG758" s="2" t="str">
        <f>HYPERLINK("http://exon.niaid.nih.gov/transcriptome/Anopheles_sialome/links/SMART/anoepi_hyp10-SMART.txt","CAP10")</f>
        <v>CAP10</v>
      </c>
      <c r="BH758" t="str">
        <f>HYPERLINK("http://smart.embl-heidelberg.de/smart/do_annotation.pl?DOMAIN=CAP10&amp;BLAST=DUMMY","0.99")</f>
        <v>0.99</v>
      </c>
      <c r="BI758" t="str">
        <f>HYPERLINK("http://exon.niaid.nih.gov/transcriptome/Anopheles_sialome/links/TICK-BLOCKS/anoepi_hyp10-TICK-BLOCKS.txt","hyp10_hyp12_anopheline_family |")</f>
        <v>hyp10_hyp12_anopheline_family |</v>
      </c>
      <c r="BJ758" s="2" t="s">
        <v>2662</v>
      </c>
      <c r="BK758" t="s">
        <v>1373</v>
      </c>
      <c r="BL758">
        <f>HYPERLINK("http://exon.niaid.nih.gov/transcriptome/Anopheles_sialome/links/cluster-b/anopheline-sialome-cds-pep-larger-orf25-50SimCLU1.txt", 1)</f>
        <v>1</v>
      </c>
      <c r="BM758">
        <f>HYPERLINK("http://exon.niaid.nih.gov/transcriptome/Anopheles_sialome/links/cluster-b/anopheline-sialome-cds-pep-larger-orf25-50SimCLTL1.txt", 165)</f>
        <v>165</v>
      </c>
      <c r="BN758">
        <f>HYPERLINK("http://exon.niaid.nih.gov/transcriptome/Anopheles_sialome/links/cluster-b/anopheline-sialome-cds-pep-larger-orf30-50SimCLU1.txt", 1)</f>
        <v>1</v>
      </c>
      <c r="BO758">
        <f>HYPERLINK("http://exon.niaid.nih.gov/transcriptome/Anopheles_sialome/links/cluster-b/anopheline-sialome-cds-pep-larger-orf30-50SimCLTL1.txt", 165)</f>
        <v>165</v>
      </c>
      <c r="BP758">
        <f>HYPERLINK("http://exon.niaid.nih.gov/transcriptome/Anopheles_sialome/links/cluster-b/anopheline-sialome-cds-pep-larger-orf35-50SimCLU5.txt", 5)</f>
        <v>5</v>
      </c>
      <c r="BQ758">
        <f>HYPERLINK("http://exon.niaid.nih.gov/transcriptome/Anopheles_sialome/links/cluster-b/anopheline-sialome-cds-pep-larger-orf35-50SimCLTL5.txt", 61)</f>
        <v>61</v>
      </c>
      <c r="BR758">
        <f>HYPERLINK("http://exon.niaid.nih.gov/transcriptome/Anopheles_sialome/links/cluster-b/anopheline-sialome-cds-pep-larger-orf40-50SimCLU9.txt", 9)</f>
        <v>9</v>
      </c>
      <c r="BS758">
        <f>HYPERLINK("http://exon.niaid.nih.gov/transcriptome/Anopheles_sialome/links/cluster-b/anopheline-sialome-cds-pep-larger-orf40-50SimCLTL9.txt", 28)</f>
        <v>28</v>
      </c>
      <c r="BT758">
        <f>HYPERLINK("http://exon.niaid.nih.gov/transcriptome/Anopheles_sialome/links/cluster-b/anopheline-sialome-cds-pep-larger-orf45-50SimCLU8.txt", 8)</f>
        <v>8</v>
      </c>
      <c r="BU758">
        <f>HYPERLINK("http://exon.niaid.nih.gov/transcriptome/Anopheles_sialome/links/cluster-b/anopheline-sialome-cds-pep-larger-orf45-50SimCLTL8.txt", 28)</f>
        <v>28</v>
      </c>
      <c r="BV758">
        <f>HYPERLINK("http://exon.niaid.nih.gov/transcriptome/Anopheles_sialome/links/cluster-b/anopheline-sialome-cds-pep-larger-orf50-50SimCLU8.txt", 8)</f>
        <v>8</v>
      </c>
      <c r="BW758">
        <f>HYPERLINK("http://exon.niaid.nih.gov/transcriptome/Anopheles_sialome/links/cluster-b/anopheline-sialome-cds-pep-larger-orf50-50SimCLTL8.txt", 28)</f>
        <v>28</v>
      </c>
      <c r="BX758">
        <f>HYPERLINK("http://exon.niaid.nih.gov/transcriptome/Anopheles_sialome/links/cluster-b/anopheline-sialome-cds-pep-larger-orf55-50SimCLU8.txt", 8)</f>
        <v>8</v>
      </c>
      <c r="BY758">
        <f>HYPERLINK("http://exon.niaid.nih.gov/transcriptome/Anopheles_sialome/links/cluster-b/anopheline-sialome-cds-pep-larger-orf55-50SimCLTL8.txt", 28)</f>
        <v>28</v>
      </c>
      <c r="BZ758">
        <f>HYPERLINK("http://exon.niaid.nih.gov/transcriptome/Anopheles_sialome/links/cluster-b/anopheline-sialome-cds-pep-larger-orf60-50SimCLU6.txt", 6)</f>
        <v>6</v>
      </c>
      <c r="CA758">
        <f>HYPERLINK("http://exon.niaid.nih.gov/transcriptome/Anopheles_sialome/links/cluster-b/anopheline-sialome-cds-pep-larger-orf60-50SimCLTL6.txt", 28)</f>
        <v>28</v>
      </c>
      <c r="CB758">
        <f>HYPERLINK("http://exon.niaid.nih.gov/transcriptome/Anopheles_sialome/links/cluster-b/anopheline-sialome-cds-pep-larger-orf65-50SimCLU31.txt", 31)</f>
        <v>31</v>
      </c>
      <c r="CC758">
        <f>HYPERLINK("http://exon.niaid.nih.gov/transcriptome/Anopheles_sialome/links/cluster-b/anopheline-sialome-cds-pep-larger-orf65-50SimCLTL31.txt", 14)</f>
        <v>14</v>
      </c>
      <c r="CD758">
        <f>HYPERLINK("http://exon.niaid.nih.gov/transcriptome/Anopheles_sialome/links/cluster-b/anopheline-sialome-cds-pep-larger-orf70-50SimCLU30.txt", 30)</f>
        <v>30</v>
      </c>
      <c r="CE758">
        <f>HYPERLINK("http://exon.niaid.nih.gov/transcriptome/Anopheles_sialome/links/cluster-b/anopheline-sialome-cds-pep-larger-orf70-50SimCLTL30.txt", 14)</f>
        <v>14</v>
      </c>
      <c r="CF758">
        <f>HYPERLINK("http://exon.niaid.nih.gov/transcriptome/Anopheles_sialome/links/cluster-b/anopheline-sialome-cds-pep-larger-orf75-50SimCLU33.txt", 33)</f>
        <v>33</v>
      </c>
      <c r="CG758">
        <f>HYPERLINK("http://exon.niaid.nih.gov/transcriptome/Anopheles_sialome/links/cluster-b/anopheline-sialome-cds-pep-larger-orf75-50SimCLTL33.txt", 11)</f>
        <v>11</v>
      </c>
      <c r="CH758">
        <v>159</v>
      </c>
      <c r="CI758">
        <v>1</v>
      </c>
      <c r="CJ758">
        <v>202</v>
      </c>
      <c r="CK758">
        <v>1</v>
      </c>
      <c r="CL758">
        <v>248</v>
      </c>
      <c r="CM758">
        <v>1</v>
      </c>
      <c r="CN758">
        <v>274</v>
      </c>
      <c r="CO758">
        <v>1</v>
      </c>
    </row>
    <row r="759" spans="1:93">
      <c r="A759" s="2" t="str">
        <f>HYPERLINK("http://exon.niaid.nih.gov/transcriptome/Anopheles_sialome/links/cds/anofun_hyp10-cds.txt","anofun_hyp10")</f>
        <v>anofun_hyp10</v>
      </c>
      <c r="B759">
        <v>270</v>
      </c>
      <c r="C759" t="s">
        <v>266</v>
      </c>
      <c r="D759" t="s">
        <v>4</v>
      </c>
      <c r="E759" t="s">
        <v>5</v>
      </c>
      <c r="F759" t="s">
        <v>1</v>
      </c>
      <c r="G759" t="str">
        <f>HYPERLINK("http://exon.niaid.nih.gov/transcriptome/Anopheles_sialome/links/pep/anofun_hyp10-pep.txt","anofun_hyp10")</f>
        <v>anofun_hyp10</v>
      </c>
      <c r="H759">
        <v>89</v>
      </c>
      <c r="I759">
        <v>0</v>
      </c>
      <c r="J759" s="3" t="str">
        <f>HYPERLINK("http://exon.niaid.nih.gov/transcriptome/Anopheles_sialome/links/Sigp/anofun_hyp10-SigP.txt","SIG")</f>
        <v>SIG</v>
      </c>
      <c r="K759" t="s">
        <v>919</v>
      </c>
      <c r="L759">
        <v>10.23</v>
      </c>
      <c r="M759">
        <v>5.7</v>
      </c>
      <c r="N759">
        <v>8.2390000000000008</v>
      </c>
      <c r="O759">
        <v>5.2</v>
      </c>
      <c r="P759" t="s">
        <v>1375</v>
      </c>
      <c r="Q759" s="3">
        <v>0</v>
      </c>
      <c r="R759" t="s">
        <v>128</v>
      </c>
      <c r="S759" t="s">
        <v>128</v>
      </c>
      <c r="T759" t="s">
        <v>128</v>
      </c>
      <c r="U759" t="s">
        <v>128</v>
      </c>
      <c r="V759" t="s">
        <v>128</v>
      </c>
      <c r="W759" s="3" t="str">
        <f>HYPERLINK("http://exon.niaid.nih.gov/transcriptome/Anopheles_sialome/links/netoglyc/anofun_hyp10-netoglyc.txt","0")</f>
        <v>0</v>
      </c>
      <c r="X759">
        <v>13.5</v>
      </c>
      <c r="Y759">
        <v>3.4</v>
      </c>
      <c r="Z759" t="s">
        <v>1372</v>
      </c>
      <c r="AA759" t="s">
        <v>654</v>
      </c>
      <c r="AB759" t="s">
        <v>128</v>
      </c>
      <c r="AC759" s="2" t="str">
        <f>HYPERLINK("http://exon.niaid.nih.gov/transcriptome/Anopheles_sialome/links/DIPTERA/anofun_hyp10-DIPTERA.txt","putative salivary protein hyp10")</f>
        <v>putative salivary protein hyp10</v>
      </c>
      <c r="AD759" t="str">
        <f>HYPERLINK("http://www.ncbi.nlm.nih.gov/sutils/blink.cgi?pid=27372931","5E-020")</f>
        <v>5E-020</v>
      </c>
      <c r="AE759" t="str">
        <f>HYPERLINK("http://www.ncbi.nlm.nih.gov/protein/27372931","gi|27372931")</f>
        <v>gi|27372931</v>
      </c>
      <c r="AF759">
        <v>55</v>
      </c>
      <c r="AG759">
        <v>69</v>
      </c>
      <c r="AH759">
        <v>90</v>
      </c>
      <c r="AI759" t="s">
        <v>2271</v>
      </c>
      <c r="AJ759" s="2" t="str">
        <f>HYPERLINK("http://exon.niaid.nih.gov/transcriptome/Anopheles_sialome/links/CULICOMORPHA/anofun_hyp10-CULICOMORPHA.txt","putative salivary protein hyp10")</f>
        <v>putative salivary protein hyp10</v>
      </c>
      <c r="AK759" t="str">
        <f>HYPERLINK("http://www.ncbi.nlm.nih.gov/sutils/blink.cgi?pid=27372931","9E-021")</f>
        <v>9E-021</v>
      </c>
      <c r="AL759" t="str">
        <f>HYPERLINK("http://www.ncbi.nlm.nih.gov/protein/27372931","gi|27372931")</f>
        <v>gi|27372931</v>
      </c>
      <c r="AM759">
        <v>55</v>
      </c>
      <c r="AN759">
        <v>69</v>
      </c>
      <c r="AO759">
        <v>90</v>
      </c>
      <c r="AP759" t="s">
        <v>2271</v>
      </c>
      <c r="AQ759" s="2" t="str">
        <f>HYPERLINK("http://exon.niaid.nih.gov/transcriptome/Anopheles_sialome/links/NR-LIGHT/anofun_hyp10-NR-LIGHT.txt","putative salivary protein hyp10")</f>
        <v>putative salivary protein hyp10</v>
      </c>
      <c r="AR759" t="str">
        <f>HYPERLINK("http://www.ncbi.nlm.nih.gov/sutils/blink.cgi?pid=27372931","1E-019")</f>
        <v>1E-019</v>
      </c>
      <c r="AS759" t="str">
        <f>HYPERLINK("http://www.ncbi.nlm.nih.gov/protein/27372931","gi|27372931")</f>
        <v>gi|27372931</v>
      </c>
      <c r="AT759">
        <v>55</v>
      </c>
      <c r="AU759">
        <v>69</v>
      </c>
      <c r="AV759">
        <v>90</v>
      </c>
      <c r="AW759" t="s">
        <v>2271</v>
      </c>
      <c r="AX759" s="2" t="str">
        <f>HYPERLINK("http://exon.niaid.nih.gov/transcriptome/Anopheles_sialome/links/CDD/anofun_hyp10-CDD.txt","PRK15361")</f>
        <v>PRK15361</v>
      </c>
      <c r="AY759" t="str">
        <f>HYPERLINK("http://www.ncbi.nlm.nih.gov/Structure/cdd/cddsrv.cgi?uid=PRK15361&amp;version=v4.0","0.74")</f>
        <v>0.74</v>
      </c>
      <c r="AZ759" t="s">
        <v>2670</v>
      </c>
      <c r="BA759" s="2" t="str">
        <f>HYPERLINK("http://exon.niaid.nih.gov/transcriptome/Anopheles_sialome/links/KOG/anofun_hyp10-KOG.txt","Serine/threonine protein kinase")</f>
        <v>Serine/threonine protein kinase</v>
      </c>
      <c r="BB759" t="str">
        <f>HYPERLINK("http://www.ncbi.nlm.nih.gov/Structure/cdd/cddsrv.cgi?uid=KOG4717","0.80")</f>
        <v>0.80</v>
      </c>
      <c r="BC759" t="s">
        <v>2292</v>
      </c>
      <c r="BD759" t="str">
        <f>HYPERLINK("http://exon.niaid.nih.gov/transcriptome/Anopheles_sialome/links/KOG/anofun_hyp10-KOG.txt","KOG4717")</f>
        <v>KOG4717</v>
      </c>
      <c r="BE759" t="str">
        <f>HYPERLINK("http://exon.niaid.nih.gov/transcriptome/Anopheles_sialome/links/PFAM/anofun_hyp10-PFAM.txt","Transposase_24")</f>
        <v>Transposase_24</v>
      </c>
      <c r="BF759" t="str">
        <f>HYPERLINK("http://pfam.sanger.ac.uk/family?acc=PF03004","0.59")</f>
        <v>0.59</v>
      </c>
      <c r="BG759" s="2" t="str">
        <f>HYPERLINK("http://exon.niaid.nih.gov/transcriptome/Anopheles_sialome/links/SMART/anofun_hyp10-SMART.txt","Sema")</f>
        <v>Sema</v>
      </c>
      <c r="BH759" t="str">
        <f>HYPERLINK("http://smart.embl-heidelberg.de/smart/do_annotation.pl?DOMAIN=Sema&amp;BLAST=DUMMY","0.46")</f>
        <v>0.46</v>
      </c>
      <c r="BI759" t="str">
        <f>HYPERLINK("http://exon.niaid.nih.gov/transcriptome/Anopheles_sialome/links/TICK-BLOCKS/anofun_hyp10-TICK-BLOCKS.txt","hyp10_hyp12_anopheline_family |")</f>
        <v>hyp10_hyp12_anopheline_family |</v>
      </c>
      <c r="BJ759" s="2" t="s">
        <v>2662</v>
      </c>
      <c r="BK759" t="s">
        <v>1374</v>
      </c>
      <c r="BL759">
        <f>HYPERLINK("http://exon.niaid.nih.gov/transcriptome/Anopheles_sialome/links/cluster-b/anopheline-sialome-cds-pep-larger-orf25-50SimCLU1.txt", 1)</f>
        <v>1</v>
      </c>
      <c r="BM759">
        <f>HYPERLINK("http://exon.niaid.nih.gov/transcriptome/Anopheles_sialome/links/cluster-b/anopheline-sialome-cds-pep-larger-orf25-50SimCLTL1.txt", 165)</f>
        <v>165</v>
      </c>
      <c r="BN759">
        <f>HYPERLINK("http://exon.niaid.nih.gov/transcriptome/Anopheles_sialome/links/cluster-b/anopheline-sialome-cds-pep-larger-orf30-50SimCLU1.txt", 1)</f>
        <v>1</v>
      </c>
      <c r="BO759">
        <f>HYPERLINK("http://exon.niaid.nih.gov/transcriptome/Anopheles_sialome/links/cluster-b/anopheline-sialome-cds-pep-larger-orf30-50SimCLTL1.txt", 165)</f>
        <v>165</v>
      </c>
      <c r="BP759">
        <f>HYPERLINK("http://exon.niaid.nih.gov/transcriptome/Anopheles_sialome/links/cluster-b/anopheline-sialome-cds-pep-larger-orf35-50SimCLU5.txt", 5)</f>
        <v>5</v>
      </c>
      <c r="BQ759">
        <f>HYPERLINK("http://exon.niaid.nih.gov/transcriptome/Anopheles_sialome/links/cluster-b/anopheline-sialome-cds-pep-larger-orf35-50SimCLTL5.txt", 61)</f>
        <v>61</v>
      </c>
      <c r="BR759">
        <f>HYPERLINK("http://exon.niaid.nih.gov/transcriptome/Anopheles_sialome/links/cluster-b/anopheline-sialome-cds-pep-larger-orf40-50SimCLU9.txt", 9)</f>
        <v>9</v>
      </c>
      <c r="BS759">
        <f>HYPERLINK("http://exon.niaid.nih.gov/transcriptome/Anopheles_sialome/links/cluster-b/anopheline-sialome-cds-pep-larger-orf40-50SimCLTL9.txt", 28)</f>
        <v>28</v>
      </c>
      <c r="BT759">
        <f>HYPERLINK("http://exon.niaid.nih.gov/transcriptome/Anopheles_sialome/links/cluster-b/anopheline-sialome-cds-pep-larger-orf45-50SimCLU8.txt", 8)</f>
        <v>8</v>
      </c>
      <c r="BU759">
        <f>HYPERLINK("http://exon.niaid.nih.gov/transcriptome/Anopheles_sialome/links/cluster-b/anopheline-sialome-cds-pep-larger-orf45-50SimCLTL8.txt", 28)</f>
        <v>28</v>
      </c>
      <c r="BV759">
        <f>HYPERLINK("http://exon.niaid.nih.gov/transcriptome/Anopheles_sialome/links/cluster-b/anopheline-sialome-cds-pep-larger-orf50-50SimCLU8.txt", 8)</f>
        <v>8</v>
      </c>
      <c r="BW759">
        <f>HYPERLINK("http://exon.niaid.nih.gov/transcriptome/Anopheles_sialome/links/cluster-b/anopheline-sialome-cds-pep-larger-orf50-50SimCLTL8.txt", 28)</f>
        <v>28</v>
      </c>
      <c r="BX759">
        <f>HYPERLINK("http://exon.niaid.nih.gov/transcriptome/Anopheles_sialome/links/cluster-b/anopheline-sialome-cds-pep-larger-orf55-50SimCLU8.txt", 8)</f>
        <v>8</v>
      </c>
      <c r="BY759">
        <f>HYPERLINK("http://exon.niaid.nih.gov/transcriptome/Anopheles_sialome/links/cluster-b/anopheline-sialome-cds-pep-larger-orf55-50SimCLTL8.txt", 28)</f>
        <v>28</v>
      </c>
      <c r="BZ759">
        <f>HYPERLINK("http://exon.niaid.nih.gov/transcriptome/Anopheles_sialome/links/cluster-b/anopheline-sialome-cds-pep-larger-orf60-50SimCLU6.txt", 6)</f>
        <v>6</v>
      </c>
      <c r="CA759">
        <f>HYPERLINK("http://exon.niaid.nih.gov/transcriptome/Anopheles_sialome/links/cluster-b/anopheline-sialome-cds-pep-larger-orf60-50SimCLTL6.txt", 28)</f>
        <v>28</v>
      </c>
      <c r="CB759">
        <f>HYPERLINK("http://exon.niaid.nih.gov/transcriptome/Anopheles_sialome/links/cluster-b/anopheline-sialome-cds-pep-larger-orf65-50SimCLU31.txt", 31)</f>
        <v>31</v>
      </c>
      <c r="CC759">
        <f>HYPERLINK("http://exon.niaid.nih.gov/transcriptome/Anopheles_sialome/links/cluster-b/anopheline-sialome-cds-pep-larger-orf65-50SimCLTL31.txt", 14)</f>
        <v>14</v>
      </c>
      <c r="CD759">
        <f>HYPERLINK("http://exon.niaid.nih.gov/transcriptome/Anopheles_sialome/links/cluster-b/anopheline-sialome-cds-pep-larger-orf70-50SimCLU30.txt", 30)</f>
        <v>30</v>
      </c>
      <c r="CE759">
        <f>HYPERLINK("http://exon.niaid.nih.gov/transcriptome/Anopheles_sialome/links/cluster-b/anopheline-sialome-cds-pep-larger-orf70-50SimCLTL30.txt", 14)</f>
        <v>14</v>
      </c>
      <c r="CF759">
        <f>HYPERLINK("http://exon.niaid.nih.gov/transcriptome/Anopheles_sialome/links/cluster-b/anopheline-sialome-cds-pep-larger-orf75-50SimCLU33.txt", 33)</f>
        <v>33</v>
      </c>
      <c r="CG759">
        <f>HYPERLINK("http://exon.niaid.nih.gov/transcriptome/Anopheles_sialome/links/cluster-b/anopheline-sialome-cds-pep-larger-orf75-50SimCLTL33.txt", 11)</f>
        <v>11</v>
      </c>
      <c r="CH759">
        <v>160</v>
      </c>
      <c r="CI759">
        <v>1</v>
      </c>
      <c r="CJ759">
        <v>203</v>
      </c>
      <c r="CK759">
        <v>1</v>
      </c>
      <c r="CL759">
        <v>249</v>
      </c>
      <c r="CM759">
        <v>1</v>
      </c>
      <c r="CN759">
        <v>275</v>
      </c>
      <c r="CO759">
        <v>1</v>
      </c>
    </row>
    <row r="760" spans="1:93">
      <c r="A760" s="2" t="str">
        <f>HYPERLINK("http://exon.niaid.nih.gov/transcriptome/Anopheles_sialome/links/cds/anomin_hyp10-cds.txt","anomin_hyp10")</f>
        <v>anomin_hyp10</v>
      </c>
      <c r="B760">
        <v>276</v>
      </c>
      <c r="C760" t="s">
        <v>267</v>
      </c>
      <c r="D760" t="s">
        <v>7</v>
      </c>
      <c r="E760" t="s">
        <v>5</v>
      </c>
      <c r="F760" t="s">
        <v>1</v>
      </c>
      <c r="G760" t="str">
        <f>HYPERLINK("http://exon.niaid.nih.gov/transcriptome/Anopheles_sialome/links/pep/anomin_hyp10-pep.txt","anomin_hyp10")</f>
        <v>anomin_hyp10</v>
      </c>
      <c r="H760">
        <v>91</v>
      </c>
      <c r="I760">
        <v>0</v>
      </c>
      <c r="J760" s="3" t="str">
        <f>HYPERLINK("http://exon.niaid.nih.gov/transcriptome/Anopheles_sialome/links/Sigp/anomin_hyp10-SigP.txt","SIG")</f>
        <v>SIG</v>
      </c>
      <c r="K760" t="s">
        <v>692</v>
      </c>
      <c r="L760">
        <v>10.462999999999999</v>
      </c>
      <c r="M760">
        <v>6.06</v>
      </c>
      <c r="N760">
        <v>8.2219999999999995</v>
      </c>
      <c r="O760">
        <v>5.2</v>
      </c>
      <c r="P760" t="s">
        <v>1377</v>
      </c>
      <c r="Q760" s="3">
        <v>0</v>
      </c>
      <c r="R760" t="s">
        <v>128</v>
      </c>
      <c r="S760" t="s">
        <v>128</v>
      </c>
      <c r="T760" t="s">
        <v>128</v>
      </c>
      <c r="U760" t="s">
        <v>128</v>
      </c>
      <c r="V760" t="s">
        <v>128</v>
      </c>
      <c r="W760" s="3" t="str">
        <f>HYPERLINK("http://exon.niaid.nih.gov/transcriptome/Anopheles_sialome/links/netoglyc/anomin_hyp10-netoglyc.txt","0")</f>
        <v>0</v>
      </c>
      <c r="X760">
        <v>14.3</v>
      </c>
      <c r="Y760">
        <v>2.2000000000000002</v>
      </c>
      <c r="Z760">
        <v>1.1000000000000001</v>
      </c>
      <c r="AA760" t="s">
        <v>654</v>
      </c>
      <c r="AB760" t="s">
        <v>128</v>
      </c>
      <c r="AC760" s="2" t="str">
        <f>HYPERLINK("http://exon.niaid.nih.gov/transcriptome/Anopheles_sialome/links/DIPTERA/anomin_hyp10-DIPTERA.txt","putative salivary protein hyp10")</f>
        <v>putative salivary protein hyp10</v>
      </c>
      <c r="AD760" t="str">
        <f>HYPERLINK("http://www.ncbi.nlm.nih.gov/sutils/blink.cgi?pid=27372931","6E-021")</f>
        <v>6E-021</v>
      </c>
      <c r="AE760" t="str">
        <f>HYPERLINK("http://www.ncbi.nlm.nih.gov/protein/27372931","gi|27372931")</f>
        <v>gi|27372931</v>
      </c>
      <c r="AF760">
        <v>57</v>
      </c>
      <c r="AG760">
        <v>68</v>
      </c>
      <c r="AH760">
        <v>91</v>
      </c>
      <c r="AI760" t="s">
        <v>2271</v>
      </c>
      <c r="AJ760" s="2" t="str">
        <f>HYPERLINK("http://exon.niaid.nih.gov/transcriptome/Anopheles_sialome/links/CULICOMORPHA/anomin_hyp10-CULICOMORPHA.txt","putative salivary protein hyp10")</f>
        <v>putative salivary protein hyp10</v>
      </c>
      <c r="AK760" t="str">
        <f>HYPERLINK("http://www.ncbi.nlm.nih.gov/sutils/blink.cgi?pid=27372931","1E-021")</f>
        <v>1E-021</v>
      </c>
      <c r="AL760" t="str">
        <f>HYPERLINK("http://www.ncbi.nlm.nih.gov/protein/27372931","gi|27372931")</f>
        <v>gi|27372931</v>
      </c>
      <c r="AM760">
        <v>57</v>
      </c>
      <c r="AN760">
        <v>68</v>
      </c>
      <c r="AO760">
        <v>91</v>
      </c>
      <c r="AP760" t="s">
        <v>2271</v>
      </c>
      <c r="AQ760" s="2" t="str">
        <f>HYPERLINK("http://exon.niaid.nih.gov/transcriptome/Anopheles_sialome/links/NR-LIGHT/anomin_hyp10-NR-LIGHT.txt","putative salivary protein hyp10")</f>
        <v>putative salivary protein hyp10</v>
      </c>
      <c r="AR760" t="str">
        <f>HYPERLINK("http://www.ncbi.nlm.nih.gov/sutils/blink.cgi?pid=27372931","2E-020")</f>
        <v>2E-020</v>
      </c>
      <c r="AS760" t="str">
        <f>HYPERLINK("http://www.ncbi.nlm.nih.gov/protein/27372931","gi|27372931")</f>
        <v>gi|27372931</v>
      </c>
      <c r="AT760">
        <v>57</v>
      </c>
      <c r="AU760">
        <v>68</v>
      </c>
      <c r="AV760">
        <v>91</v>
      </c>
      <c r="AW760" t="s">
        <v>2271</v>
      </c>
      <c r="AX760" s="2" t="str">
        <f>HYPERLINK("http://exon.niaid.nih.gov/transcriptome/Anopheles_sialome/links/CDD/anomin_hyp10-CDD.txt","PRK15361")</f>
        <v>PRK15361</v>
      </c>
      <c r="AY760" t="str">
        <f>HYPERLINK("http://www.ncbi.nlm.nih.gov/Structure/cdd/cddsrv.cgi?uid=PRK15361&amp;version=v4.0","1.9")</f>
        <v>1.9</v>
      </c>
      <c r="AZ760" t="s">
        <v>2671</v>
      </c>
      <c r="BA760" s="2" t="str">
        <f>HYPERLINK("http://exon.niaid.nih.gov/transcriptome/Anopheles_sialome/links/KOG/anomin_hyp10-KOG.txt","Golgi apparatus protein (cysteine-rich fibroblast growth factor receptor)")</f>
        <v>Golgi apparatus protein (cysteine-rich fibroblast growth factor receptor)</v>
      </c>
      <c r="BB760" t="str">
        <f>HYPERLINK("http://www.ncbi.nlm.nih.gov/Structure/cdd/cddsrv.cgi?uid=KOG3648","0.31")</f>
        <v>0.31</v>
      </c>
      <c r="BC760" t="s">
        <v>2487</v>
      </c>
      <c r="BD760" t="str">
        <f>HYPERLINK("http://exon.niaid.nih.gov/transcriptome/Anopheles_sialome/links/KOG/anomin_hyp10-KOG.txt","KOG3648")</f>
        <v>KOG3648</v>
      </c>
      <c r="BE760" t="str">
        <f>HYPERLINK("http://exon.niaid.nih.gov/transcriptome/Anopheles_sialome/links/PFAM/anomin_hyp10-PFAM.txt","DUF4175")</f>
        <v>DUF4175</v>
      </c>
      <c r="BF760" t="str">
        <f>HYPERLINK("http://pfam.sanger.ac.uk/family?acc=PF13779","2.2")</f>
        <v>2.2</v>
      </c>
      <c r="BG760" s="2" t="str">
        <f>HYPERLINK("http://exon.niaid.nih.gov/transcriptome/Anopheles_sialome/links/SMART/anomin_hyp10-SMART.txt","Sema")</f>
        <v>Sema</v>
      </c>
      <c r="BH760" t="str">
        <f>HYPERLINK("http://smart.embl-heidelberg.de/smart/do_annotation.pl?DOMAIN=Sema&amp;BLAST=DUMMY","0.28")</f>
        <v>0.28</v>
      </c>
      <c r="BI760" t="str">
        <f>HYPERLINK("http://exon.niaid.nih.gov/transcriptome/Anopheles_sialome/links/TICK-BLOCKS/anomin_hyp10-TICK-BLOCKS.txt","hyp10_hyp12_anopheline_family |")</f>
        <v>hyp10_hyp12_anopheline_family |</v>
      </c>
      <c r="BJ760" s="2" t="s">
        <v>2662</v>
      </c>
      <c r="BK760" t="s">
        <v>1376</v>
      </c>
      <c r="BL760">
        <f>HYPERLINK("http://exon.niaid.nih.gov/transcriptome/Anopheles_sialome/links/cluster-b/anopheline-sialome-cds-pep-larger-orf25-50SimCLU1.txt", 1)</f>
        <v>1</v>
      </c>
      <c r="BM760">
        <f>HYPERLINK("http://exon.niaid.nih.gov/transcriptome/Anopheles_sialome/links/cluster-b/anopheline-sialome-cds-pep-larger-orf25-50SimCLTL1.txt", 165)</f>
        <v>165</v>
      </c>
      <c r="BN760">
        <f>HYPERLINK("http://exon.niaid.nih.gov/transcriptome/Anopheles_sialome/links/cluster-b/anopheline-sialome-cds-pep-larger-orf30-50SimCLU1.txt", 1)</f>
        <v>1</v>
      </c>
      <c r="BO760">
        <f>HYPERLINK("http://exon.niaid.nih.gov/transcriptome/Anopheles_sialome/links/cluster-b/anopheline-sialome-cds-pep-larger-orf30-50SimCLTL1.txt", 165)</f>
        <v>165</v>
      </c>
      <c r="BP760">
        <f>HYPERLINK("http://exon.niaid.nih.gov/transcriptome/Anopheles_sialome/links/cluster-b/anopheline-sialome-cds-pep-larger-orf35-50SimCLU5.txt", 5)</f>
        <v>5</v>
      </c>
      <c r="BQ760">
        <f>HYPERLINK("http://exon.niaid.nih.gov/transcriptome/Anopheles_sialome/links/cluster-b/anopheline-sialome-cds-pep-larger-orf35-50SimCLTL5.txt", 61)</f>
        <v>61</v>
      </c>
      <c r="BR760">
        <f>HYPERLINK("http://exon.niaid.nih.gov/transcriptome/Anopheles_sialome/links/cluster-b/anopheline-sialome-cds-pep-larger-orf40-50SimCLU9.txt", 9)</f>
        <v>9</v>
      </c>
      <c r="BS760">
        <f>HYPERLINK("http://exon.niaid.nih.gov/transcriptome/Anopheles_sialome/links/cluster-b/anopheline-sialome-cds-pep-larger-orf40-50SimCLTL9.txt", 28)</f>
        <v>28</v>
      </c>
      <c r="BT760">
        <f>HYPERLINK("http://exon.niaid.nih.gov/transcriptome/Anopheles_sialome/links/cluster-b/anopheline-sialome-cds-pep-larger-orf45-50SimCLU8.txt", 8)</f>
        <v>8</v>
      </c>
      <c r="BU760">
        <f>HYPERLINK("http://exon.niaid.nih.gov/transcriptome/Anopheles_sialome/links/cluster-b/anopheline-sialome-cds-pep-larger-orf45-50SimCLTL8.txt", 28)</f>
        <v>28</v>
      </c>
      <c r="BV760">
        <f>HYPERLINK("http://exon.niaid.nih.gov/transcriptome/Anopheles_sialome/links/cluster-b/anopheline-sialome-cds-pep-larger-orf50-50SimCLU8.txt", 8)</f>
        <v>8</v>
      </c>
      <c r="BW760">
        <f>HYPERLINK("http://exon.niaid.nih.gov/transcriptome/Anopheles_sialome/links/cluster-b/anopheline-sialome-cds-pep-larger-orf50-50SimCLTL8.txt", 28)</f>
        <v>28</v>
      </c>
      <c r="BX760">
        <f>HYPERLINK("http://exon.niaid.nih.gov/transcriptome/Anopheles_sialome/links/cluster-b/anopheline-sialome-cds-pep-larger-orf55-50SimCLU8.txt", 8)</f>
        <v>8</v>
      </c>
      <c r="BY760">
        <f>HYPERLINK("http://exon.niaid.nih.gov/transcriptome/Anopheles_sialome/links/cluster-b/anopheline-sialome-cds-pep-larger-orf55-50SimCLTL8.txt", 28)</f>
        <v>28</v>
      </c>
      <c r="BZ760">
        <f>HYPERLINK("http://exon.niaid.nih.gov/transcriptome/Anopheles_sialome/links/cluster-b/anopheline-sialome-cds-pep-larger-orf60-50SimCLU6.txt", 6)</f>
        <v>6</v>
      </c>
      <c r="CA760">
        <f>HYPERLINK("http://exon.niaid.nih.gov/transcriptome/Anopheles_sialome/links/cluster-b/anopheline-sialome-cds-pep-larger-orf60-50SimCLTL6.txt", 28)</f>
        <v>28</v>
      </c>
      <c r="CB760">
        <f>HYPERLINK("http://exon.niaid.nih.gov/transcriptome/Anopheles_sialome/links/cluster-b/anopheline-sialome-cds-pep-larger-orf65-50SimCLU31.txt", 31)</f>
        <v>31</v>
      </c>
      <c r="CC760">
        <f>HYPERLINK("http://exon.niaid.nih.gov/transcriptome/Anopheles_sialome/links/cluster-b/anopheline-sialome-cds-pep-larger-orf65-50SimCLTL31.txt", 14)</f>
        <v>14</v>
      </c>
      <c r="CD760">
        <f>HYPERLINK("http://exon.niaid.nih.gov/transcriptome/Anopheles_sialome/links/cluster-b/anopheline-sialome-cds-pep-larger-orf70-50SimCLU30.txt", 30)</f>
        <v>30</v>
      </c>
      <c r="CE760">
        <f>HYPERLINK("http://exon.niaid.nih.gov/transcriptome/Anopheles_sialome/links/cluster-b/anopheline-sialome-cds-pep-larger-orf70-50SimCLTL30.txt", 14)</f>
        <v>14</v>
      </c>
      <c r="CF760">
        <f>HYPERLINK("http://exon.niaid.nih.gov/transcriptome/Anopheles_sialome/links/cluster-b/anopheline-sialome-cds-pep-larger-orf75-50SimCLU33.txt", 33)</f>
        <v>33</v>
      </c>
      <c r="CG760">
        <f>HYPERLINK("http://exon.niaid.nih.gov/transcriptome/Anopheles_sialome/links/cluster-b/anopheline-sialome-cds-pep-larger-orf75-50SimCLTL33.txt", 11)</f>
        <v>11</v>
      </c>
      <c r="CH760">
        <f>HYPERLINK("http://exon.niaid.nih.gov/transcriptome/Anopheles_sialome/links/cluster-b/anopheline-sialome-cds-pep-larger-orf80-50SimCLU81.txt", 81)</f>
        <v>81</v>
      </c>
      <c r="CI760">
        <f>HYPERLINK("http://exon.niaid.nih.gov/transcriptome/Anopheles_sialome/links/cluster-b/anopheline-sialome-cds-pep-larger-orf80-50SimCLTL81.txt", 2)</f>
        <v>2</v>
      </c>
      <c r="CJ760">
        <v>204</v>
      </c>
      <c r="CK760">
        <v>1</v>
      </c>
      <c r="CL760">
        <v>250</v>
      </c>
      <c r="CM760">
        <v>1</v>
      </c>
      <c r="CN760">
        <v>276</v>
      </c>
      <c r="CO760">
        <v>1</v>
      </c>
    </row>
    <row r="761" spans="1:93">
      <c r="A761" s="2" t="str">
        <f>HYPERLINK("http://exon.niaid.nih.gov/transcriptome/Anopheles_sialome/links/cds/anocul-hyp10-cds.txt","anocul-hyp10")</f>
        <v>anocul-hyp10</v>
      </c>
      <c r="B761">
        <v>276</v>
      </c>
      <c r="C761" t="s">
        <v>268</v>
      </c>
      <c r="D761" t="s">
        <v>7</v>
      </c>
      <c r="E761" t="s">
        <v>5</v>
      </c>
      <c r="F761" t="s">
        <v>1</v>
      </c>
      <c r="G761" t="str">
        <f>HYPERLINK("http://exon.niaid.nih.gov/transcriptome/Anopheles_sialome/links/pep/anocul-hyp10-pep.txt","anocul-hyp10")</f>
        <v>anocul-hyp10</v>
      </c>
      <c r="H761">
        <v>91</v>
      </c>
      <c r="I761">
        <v>0</v>
      </c>
      <c r="J761" s="3" t="str">
        <f>HYPERLINK("http://exon.niaid.nih.gov/transcriptome/Anopheles_sialome/links/Sigp/anocul-hyp10-SigP.txt","SIG")</f>
        <v>SIG</v>
      </c>
      <c r="K761" t="s">
        <v>692</v>
      </c>
      <c r="L761">
        <v>10.194000000000001</v>
      </c>
      <c r="M761">
        <v>6.26</v>
      </c>
      <c r="N761">
        <v>7.9560000000000004</v>
      </c>
      <c r="O761">
        <v>5.46</v>
      </c>
      <c r="P761" t="s">
        <v>1379</v>
      </c>
      <c r="Q761" s="3">
        <v>0</v>
      </c>
      <c r="R761" t="s">
        <v>128</v>
      </c>
      <c r="S761" t="s">
        <v>128</v>
      </c>
      <c r="T761" t="s">
        <v>128</v>
      </c>
      <c r="U761" t="s">
        <v>128</v>
      </c>
      <c r="V761" t="s">
        <v>128</v>
      </c>
      <c r="W761" s="3" t="str">
        <f>HYPERLINK("http://exon.niaid.nih.gov/transcriptome/Anopheles_sialome/links/netoglyc/anocul-hyp10-netoglyc.txt","0")</f>
        <v>0</v>
      </c>
      <c r="X761">
        <v>15.4</v>
      </c>
      <c r="Y761">
        <v>3.3</v>
      </c>
      <c r="Z761" t="s">
        <v>1372</v>
      </c>
      <c r="AA761" t="s">
        <v>654</v>
      </c>
      <c r="AB761" t="s">
        <v>128</v>
      </c>
      <c r="AC761" s="2" t="str">
        <f>HYPERLINK("http://exon.niaid.nih.gov/transcriptome/Anopheles_sialome/links/DIPTERA/anocul-hyp10-DIPTERA.txt","putative salivary protein hyp10")</f>
        <v>putative salivary protein hyp10</v>
      </c>
      <c r="AD761" t="str">
        <f>HYPERLINK("http://www.ncbi.nlm.nih.gov/sutils/blink.cgi?pid=27372931","3E-019")</f>
        <v>3E-019</v>
      </c>
      <c r="AE761" t="str">
        <f>HYPERLINK("http://www.ncbi.nlm.nih.gov/protein/27372931","gi|27372931")</f>
        <v>gi|27372931</v>
      </c>
      <c r="AF761">
        <v>55</v>
      </c>
      <c r="AG761">
        <v>64</v>
      </c>
      <c r="AH761">
        <v>91</v>
      </c>
      <c r="AI761" t="s">
        <v>2271</v>
      </c>
      <c r="AJ761" s="2" t="str">
        <f>HYPERLINK("http://exon.niaid.nih.gov/transcriptome/Anopheles_sialome/links/CULICOMORPHA/anocul-hyp10-CULICOMORPHA.txt","putative salivary protein hyp10")</f>
        <v>putative salivary protein hyp10</v>
      </c>
      <c r="AK761" t="str">
        <f>HYPERLINK("http://www.ncbi.nlm.nih.gov/sutils/blink.cgi?pid=27372931","4E-020")</f>
        <v>4E-020</v>
      </c>
      <c r="AL761" t="str">
        <f>HYPERLINK("http://www.ncbi.nlm.nih.gov/protein/27372931","gi|27372931")</f>
        <v>gi|27372931</v>
      </c>
      <c r="AM761">
        <v>55</v>
      </c>
      <c r="AN761">
        <v>64</v>
      </c>
      <c r="AO761">
        <v>91</v>
      </c>
      <c r="AP761" t="s">
        <v>2271</v>
      </c>
      <c r="AQ761" s="2" t="str">
        <f>HYPERLINK("http://exon.niaid.nih.gov/transcriptome/Anopheles_sialome/links/NR-LIGHT/anocul-hyp10-NR-LIGHT.txt","putative salivary protein hyp10")</f>
        <v>putative salivary protein hyp10</v>
      </c>
      <c r="AR761" t="str">
        <f>HYPERLINK("http://www.ncbi.nlm.nih.gov/sutils/blink.cgi?pid=27372931","7E-019")</f>
        <v>7E-019</v>
      </c>
      <c r="AS761" t="str">
        <f>HYPERLINK("http://www.ncbi.nlm.nih.gov/protein/27372931","gi|27372931")</f>
        <v>gi|27372931</v>
      </c>
      <c r="AT761">
        <v>55</v>
      </c>
      <c r="AU761">
        <v>64</v>
      </c>
      <c r="AV761">
        <v>91</v>
      </c>
      <c r="AW761" t="s">
        <v>2271</v>
      </c>
      <c r="AX761" s="2" t="str">
        <f>HYPERLINK("http://exon.niaid.nih.gov/transcriptome/Anopheles_sialome/links/CDD/anocul-hyp10-CDD.txt","FUI1")</f>
        <v>FUI1</v>
      </c>
      <c r="AY761" t="str">
        <f>HYPERLINK("http://www.ncbi.nlm.nih.gov/Structure/cdd/cddsrv.cgi?uid=COG1953&amp;version=v4.0","4.1")</f>
        <v>4.1</v>
      </c>
      <c r="AZ761" t="s">
        <v>2672</v>
      </c>
      <c r="BA761" s="2" t="str">
        <f>HYPERLINK("http://exon.niaid.nih.gov/transcriptome/Anopheles_sialome/links/KOG/anocul-hyp10-KOG.txt","Endocytosis protein RME-8, contains DnaJ domain")</f>
        <v>Endocytosis protein RME-8, contains DnaJ domain</v>
      </c>
      <c r="BB761" t="str">
        <f>HYPERLINK("http://www.ncbi.nlm.nih.gov/Structure/cdd/cddsrv.cgi?uid=KOG1789","3.6")</f>
        <v>3.6</v>
      </c>
      <c r="BC761" t="s">
        <v>2673</v>
      </c>
      <c r="BD761" t="str">
        <f>HYPERLINK("http://exon.niaid.nih.gov/transcriptome/Anopheles_sialome/links/KOG/anocul-hyp10-KOG.txt","KOG1789")</f>
        <v>KOG1789</v>
      </c>
      <c r="BE761" t="str">
        <f>HYPERLINK("http://exon.niaid.nih.gov/transcriptome/Anopheles_sialome/links/PFAM/anocul-hyp10-PFAM.txt","DUF4175")</f>
        <v>DUF4175</v>
      </c>
      <c r="BF761" t="str">
        <f>HYPERLINK("http://pfam.sanger.ac.uk/family?acc=PF13779","1.7")</f>
        <v>1.7</v>
      </c>
      <c r="BG761" s="2" t="str">
        <f>HYPERLINK("http://exon.niaid.nih.gov/transcriptome/Anopheles_sialome/links/SMART/anocul-hyp10-SMART.txt","Sema")</f>
        <v>Sema</v>
      </c>
      <c r="BH761" t="str">
        <f>HYPERLINK("http://smart.embl-heidelberg.de/smart/do_annotation.pl?DOMAIN=Sema&amp;BLAST=DUMMY","0.058")</f>
        <v>0.058</v>
      </c>
      <c r="BI761" t="str">
        <f>HYPERLINK("http://exon.niaid.nih.gov/transcriptome/Anopheles_sialome/links/TICK-BLOCKS/anocul-hyp10-TICK-BLOCKS.txt","hyp10_hyp12_anopheline_family |")</f>
        <v>hyp10_hyp12_anopheline_family |</v>
      </c>
      <c r="BJ761" s="2" t="s">
        <v>2662</v>
      </c>
      <c r="BK761" t="s">
        <v>1378</v>
      </c>
      <c r="BL761">
        <f>HYPERLINK("http://exon.niaid.nih.gov/transcriptome/Anopheles_sialome/links/cluster-b/anopheline-sialome-cds-pep-larger-orf25-50SimCLU1.txt", 1)</f>
        <v>1</v>
      </c>
      <c r="BM761">
        <f>HYPERLINK("http://exon.niaid.nih.gov/transcriptome/Anopheles_sialome/links/cluster-b/anopheline-sialome-cds-pep-larger-orf25-50SimCLTL1.txt", 165)</f>
        <v>165</v>
      </c>
      <c r="BN761">
        <f>HYPERLINK("http://exon.niaid.nih.gov/transcriptome/Anopheles_sialome/links/cluster-b/anopheline-sialome-cds-pep-larger-orf30-50SimCLU1.txt", 1)</f>
        <v>1</v>
      </c>
      <c r="BO761">
        <f>HYPERLINK("http://exon.niaid.nih.gov/transcriptome/Anopheles_sialome/links/cluster-b/anopheline-sialome-cds-pep-larger-orf30-50SimCLTL1.txt", 165)</f>
        <v>165</v>
      </c>
      <c r="BP761">
        <f>HYPERLINK("http://exon.niaid.nih.gov/transcriptome/Anopheles_sialome/links/cluster-b/anopheline-sialome-cds-pep-larger-orf35-50SimCLU5.txt", 5)</f>
        <v>5</v>
      </c>
      <c r="BQ761">
        <f>HYPERLINK("http://exon.niaid.nih.gov/transcriptome/Anopheles_sialome/links/cluster-b/anopheline-sialome-cds-pep-larger-orf35-50SimCLTL5.txt", 61)</f>
        <v>61</v>
      </c>
      <c r="BR761">
        <f>HYPERLINK("http://exon.niaid.nih.gov/transcriptome/Anopheles_sialome/links/cluster-b/anopheline-sialome-cds-pep-larger-orf40-50SimCLU9.txt", 9)</f>
        <v>9</v>
      </c>
      <c r="BS761">
        <f>HYPERLINK("http://exon.niaid.nih.gov/transcriptome/Anopheles_sialome/links/cluster-b/anopheline-sialome-cds-pep-larger-orf40-50SimCLTL9.txt", 28)</f>
        <v>28</v>
      </c>
      <c r="BT761">
        <f>HYPERLINK("http://exon.niaid.nih.gov/transcriptome/Anopheles_sialome/links/cluster-b/anopheline-sialome-cds-pep-larger-orf45-50SimCLU8.txt", 8)</f>
        <v>8</v>
      </c>
      <c r="BU761">
        <f>HYPERLINK("http://exon.niaid.nih.gov/transcriptome/Anopheles_sialome/links/cluster-b/anopheline-sialome-cds-pep-larger-orf45-50SimCLTL8.txt", 28)</f>
        <v>28</v>
      </c>
      <c r="BV761">
        <f>HYPERLINK("http://exon.niaid.nih.gov/transcriptome/Anopheles_sialome/links/cluster-b/anopheline-sialome-cds-pep-larger-orf50-50SimCLU8.txt", 8)</f>
        <v>8</v>
      </c>
      <c r="BW761">
        <f>HYPERLINK("http://exon.niaid.nih.gov/transcriptome/Anopheles_sialome/links/cluster-b/anopheline-sialome-cds-pep-larger-orf50-50SimCLTL8.txt", 28)</f>
        <v>28</v>
      </c>
      <c r="BX761">
        <f>HYPERLINK("http://exon.niaid.nih.gov/transcriptome/Anopheles_sialome/links/cluster-b/anopheline-sialome-cds-pep-larger-orf55-50SimCLU8.txt", 8)</f>
        <v>8</v>
      </c>
      <c r="BY761">
        <f>HYPERLINK("http://exon.niaid.nih.gov/transcriptome/Anopheles_sialome/links/cluster-b/anopheline-sialome-cds-pep-larger-orf55-50SimCLTL8.txt", 28)</f>
        <v>28</v>
      </c>
      <c r="BZ761">
        <f>HYPERLINK("http://exon.niaid.nih.gov/transcriptome/Anopheles_sialome/links/cluster-b/anopheline-sialome-cds-pep-larger-orf60-50SimCLU6.txt", 6)</f>
        <v>6</v>
      </c>
      <c r="CA761">
        <f>HYPERLINK("http://exon.niaid.nih.gov/transcriptome/Anopheles_sialome/links/cluster-b/anopheline-sialome-cds-pep-larger-orf60-50SimCLTL6.txt", 28)</f>
        <v>28</v>
      </c>
      <c r="CB761">
        <f>HYPERLINK("http://exon.niaid.nih.gov/transcriptome/Anopheles_sialome/links/cluster-b/anopheline-sialome-cds-pep-larger-orf65-50SimCLU31.txt", 31)</f>
        <v>31</v>
      </c>
      <c r="CC761">
        <f>HYPERLINK("http://exon.niaid.nih.gov/transcriptome/Anopheles_sialome/links/cluster-b/anopheline-sialome-cds-pep-larger-orf65-50SimCLTL31.txt", 14)</f>
        <v>14</v>
      </c>
      <c r="CD761">
        <f>HYPERLINK("http://exon.niaid.nih.gov/transcriptome/Anopheles_sialome/links/cluster-b/anopheline-sialome-cds-pep-larger-orf70-50SimCLU30.txt", 30)</f>
        <v>30</v>
      </c>
      <c r="CE761">
        <f>HYPERLINK("http://exon.niaid.nih.gov/transcriptome/Anopheles_sialome/links/cluster-b/anopheline-sialome-cds-pep-larger-orf70-50SimCLTL30.txt", 14)</f>
        <v>14</v>
      </c>
      <c r="CF761">
        <f>HYPERLINK("http://exon.niaid.nih.gov/transcriptome/Anopheles_sialome/links/cluster-b/anopheline-sialome-cds-pep-larger-orf75-50SimCLU33.txt", 33)</f>
        <v>33</v>
      </c>
      <c r="CG761">
        <f>HYPERLINK("http://exon.niaid.nih.gov/transcriptome/Anopheles_sialome/links/cluster-b/anopheline-sialome-cds-pep-larger-orf75-50SimCLTL33.txt", 11)</f>
        <v>11</v>
      </c>
      <c r="CH761">
        <f>HYPERLINK("http://exon.niaid.nih.gov/transcriptome/Anopheles_sialome/links/cluster-b/anopheline-sialome-cds-pep-larger-orf80-50SimCLU81.txt", 81)</f>
        <v>81</v>
      </c>
      <c r="CI761">
        <f>HYPERLINK("http://exon.niaid.nih.gov/transcriptome/Anopheles_sialome/links/cluster-b/anopheline-sialome-cds-pep-larger-orf80-50SimCLTL81.txt", 2)</f>
        <v>2</v>
      </c>
      <c r="CJ761">
        <v>205</v>
      </c>
      <c r="CK761">
        <v>1</v>
      </c>
      <c r="CL761">
        <v>251</v>
      </c>
      <c r="CM761">
        <v>1</v>
      </c>
      <c r="CN761">
        <v>277</v>
      </c>
      <c r="CO761">
        <v>1</v>
      </c>
    </row>
    <row r="762" spans="1:93">
      <c r="A762" s="2" t="str">
        <f>HYPERLINK("http://exon.niaid.nih.gov/transcriptome/Anopheles_sialome/links/cds/anoste_hyp10-cds.txt","anoste_hyp10")</f>
        <v>anoste_hyp10</v>
      </c>
      <c r="B762">
        <v>258</v>
      </c>
      <c r="C762" t="s">
        <v>269</v>
      </c>
      <c r="D762" t="s">
        <v>7</v>
      </c>
      <c r="E762" t="s">
        <v>5</v>
      </c>
      <c r="F762" t="s">
        <v>1</v>
      </c>
      <c r="G762" t="str">
        <f>HYPERLINK("http://exon.niaid.nih.gov/transcriptome/Anopheles_sialome/links/pep/anoste_hyp10-pep.txt","anoste_hyp10")</f>
        <v>anoste_hyp10</v>
      </c>
      <c r="H762">
        <v>85</v>
      </c>
      <c r="I762">
        <v>0</v>
      </c>
      <c r="J762" s="3" t="str">
        <f>HYPERLINK("http://exon.niaid.nih.gov/transcriptome/Anopheles_sialome/links/Sigp/anoste_hyp10-SigP.txt","SIG")</f>
        <v>SIG</v>
      </c>
      <c r="K762" t="s">
        <v>692</v>
      </c>
      <c r="L762">
        <v>9.6389999999999993</v>
      </c>
      <c r="M762">
        <v>5.19</v>
      </c>
      <c r="N762">
        <v>7.5060000000000002</v>
      </c>
      <c r="O762">
        <v>4.92</v>
      </c>
      <c r="P762" t="s">
        <v>1381</v>
      </c>
      <c r="Q762" s="3">
        <v>0</v>
      </c>
      <c r="R762" t="s">
        <v>128</v>
      </c>
      <c r="S762" t="s">
        <v>128</v>
      </c>
      <c r="T762" t="s">
        <v>128</v>
      </c>
      <c r="U762" t="s">
        <v>128</v>
      </c>
      <c r="V762" t="s">
        <v>128</v>
      </c>
      <c r="W762" s="3" t="str">
        <f>HYPERLINK("http://exon.niaid.nih.gov/transcriptome/Anopheles_sialome/links/netoglyc/anoste_hyp10-netoglyc.txt","0")</f>
        <v>0</v>
      </c>
      <c r="X762">
        <v>14.1</v>
      </c>
      <c r="Y762">
        <v>4.7</v>
      </c>
      <c r="Z762">
        <v>1.2</v>
      </c>
      <c r="AA762" t="s">
        <v>654</v>
      </c>
      <c r="AB762" t="s">
        <v>128</v>
      </c>
      <c r="AC762" s="2" t="str">
        <f>HYPERLINK("http://exon.niaid.nih.gov/transcriptome/Anopheles_sialome/links/DIPTERA/anoste_hyp10-DIPTERA.txt","putative salivary protein hyp10")</f>
        <v>putative salivary protein hyp10</v>
      </c>
      <c r="AD762" t="str">
        <f>HYPERLINK("http://www.ncbi.nlm.nih.gov/sutils/blink.cgi?pid=27372931","7E-043")</f>
        <v>7E-043</v>
      </c>
      <c r="AE762" t="str">
        <f>HYPERLINK("http://www.ncbi.nlm.nih.gov/protein/27372931","gi|27372931")</f>
        <v>gi|27372931</v>
      </c>
      <c r="AF762">
        <v>98</v>
      </c>
      <c r="AG762">
        <v>98</v>
      </c>
      <c r="AH762">
        <v>86</v>
      </c>
      <c r="AI762" t="s">
        <v>2271</v>
      </c>
      <c r="AJ762" s="2" t="str">
        <f>HYPERLINK("http://exon.niaid.nih.gov/transcriptome/Anopheles_sialome/links/CULICOMORPHA/anoste_hyp10-CULICOMORPHA.txt","putative salivary protein hyp10")</f>
        <v>putative salivary protein hyp10</v>
      </c>
      <c r="AK762" t="str">
        <f>HYPERLINK("http://www.ncbi.nlm.nih.gov/sutils/blink.cgi?pid=27372931","1E-043")</f>
        <v>1E-043</v>
      </c>
      <c r="AL762" t="str">
        <f>HYPERLINK("http://www.ncbi.nlm.nih.gov/protein/27372931","gi|27372931")</f>
        <v>gi|27372931</v>
      </c>
      <c r="AM762">
        <v>98</v>
      </c>
      <c r="AN762">
        <v>98</v>
      </c>
      <c r="AO762">
        <v>86</v>
      </c>
      <c r="AP762" t="s">
        <v>2271</v>
      </c>
      <c r="AQ762" s="2" t="str">
        <f>HYPERLINK("http://exon.niaid.nih.gov/transcriptome/Anopheles_sialome/links/NR-LIGHT/anoste_hyp10-NR-LIGHT.txt","putative salivary protein hyp10")</f>
        <v>putative salivary protein hyp10</v>
      </c>
      <c r="AR762" t="str">
        <f>HYPERLINK("http://www.ncbi.nlm.nih.gov/sutils/blink.cgi?pid=27372931","2E-042")</f>
        <v>2E-042</v>
      </c>
      <c r="AS762" t="str">
        <f>HYPERLINK("http://www.ncbi.nlm.nih.gov/protein/27372931","gi|27372931")</f>
        <v>gi|27372931</v>
      </c>
      <c r="AT762">
        <v>98</v>
      </c>
      <c r="AU762">
        <v>98</v>
      </c>
      <c r="AV762">
        <v>86</v>
      </c>
      <c r="AW762" t="s">
        <v>2271</v>
      </c>
      <c r="AX762" s="2" t="str">
        <f>HYPERLINK("http://exon.niaid.nih.gov/transcriptome/Anopheles_sialome/links/CDD/anoste_hyp10-CDD.txt","JHBP")</f>
        <v>JHBP</v>
      </c>
      <c r="AY762" t="str">
        <f>HYPERLINK("http://www.ncbi.nlm.nih.gov/Structure/cdd/cddsrv.cgi?uid=pfam06585&amp;version=v4.0","1.2")</f>
        <v>1.2</v>
      </c>
      <c r="AZ762" t="s">
        <v>2674</v>
      </c>
      <c r="BA762" s="2" t="str">
        <f>HYPERLINK("http://exon.niaid.nih.gov/transcriptome/Anopheles_sialome/links/KOG/anoste_hyp10-KOG.txt","Sec5 subunit of exocyst complex")</f>
        <v>Sec5 subunit of exocyst complex</v>
      </c>
      <c r="BB762" t="str">
        <f>HYPERLINK("http://www.ncbi.nlm.nih.gov/Structure/cdd/cddsrv.cgi?uid=KOG2347","1.8")</f>
        <v>1.8</v>
      </c>
      <c r="BC762" t="s">
        <v>2487</v>
      </c>
      <c r="BD762" t="str">
        <f>HYPERLINK("http://exon.niaid.nih.gov/transcriptome/Anopheles_sialome/links/KOG/anoste_hyp10-KOG.txt","KOG2347")</f>
        <v>KOG2347</v>
      </c>
      <c r="BE762" t="str">
        <f>HYPERLINK("http://exon.niaid.nih.gov/transcriptome/Anopheles_sialome/links/PFAM/anoste_hyp10-PFAM.txt","JHBP")</f>
        <v>JHBP</v>
      </c>
      <c r="BF762" t="str">
        <f>HYPERLINK("http://pfam.sanger.ac.uk/family?acc=PF06585","0.27")</f>
        <v>0.27</v>
      </c>
      <c r="BG762" s="2" t="str">
        <f>HYPERLINK("http://exon.niaid.nih.gov/transcriptome/Anopheles_sialome/links/SMART/anoste_hyp10-SMART.txt","CAP10")</f>
        <v>CAP10</v>
      </c>
      <c r="BH762" t="str">
        <f>HYPERLINK("http://smart.embl-heidelberg.de/smart/do_annotation.pl?DOMAIN=CAP10&amp;BLAST=DUMMY","0.38")</f>
        <v>0.38</v>
      </c>
      <c r="BI762" t="str">
        <f>HYPERLINK("http://exon.niaid.nih.gov/transcriptome/Anopheles_sialome/links/TICK-BLOCKS/anoste_hyp10-TICK-BLOCKS.txt","hyp10_hyp12_anopheline_family |")</f>
        <v>hyp10_hyp12_anopheline_family |</v>
      </c>
      <c r="BJ762" s="2" t="s">
        <v>2662</v>
      </c>
      <c r="BK762" t="s">
        <v>1380</v>
      </c>
      <c r="BL762">
        <f>HYPERLINK("http://exon.niaid.nih.gov/transcriptome/Anopheles_sialome/links/cluster-b/anopheline-sialome-cds-pep-larger-orf25-50SimCLU1.txt", 1)</f>
        <v>1</v>
      </c>
      <c r="BM762">
        <f>HYPERLINK("http://exon.niaid.nih.gov/transcriptome/Anopheles_sialome/links/cluster-b/anopheline-sialome-cds-pep-larger-orf25-50SimCLTL1.txt", 165)</f>
        <v>165</v>
      </c>
      <c r="BN762">
        <f>HYPERLINK("http://exon.niaid.nih.gov/transcriptome/Anopheles_sialome/links/cluster-b/anopheline-sialome-cds-pep-larger-orf30-50SimCLU1.txt", 1)</f>
        <v>1</v>
      </c>
      <c r="BO762">
        <f>HYPERLINK("http://exon.niaid.nih.gov/transcriptome/Anopheles_sialome/links/cluster-b/anopheline-sialome-cds-pep-larger-orf30-50SimCLTL1.txt", 165)</f>
        <v>165</v>
      </c>
      <c r="BP762">
        <f>HYPERLINK("http://exon.niaid.nih.gov/transcriptome/Anopheles_sialome/links/cluster-b/anopheline-sialome-cds-pep-larger-orf35-50SimCLU5.txt", 5)</f>
        <v>5</v>
      </c>
      <c r="BQ762">
        <f>HYPERLINK("http://exon.niaid.nih.gov/transcriptome/Anopheles_sialome/links/cluster-b/anopheline-sialome-cds-pep-larger-orf35-50SimCLTL5.txt", 61)</f>
        <v>61</v>
      </c>
      <c r="BR762">
        <f>HYPERLINK("http://exon.niaid.nih.gov/transcriptome/Anopheles_sialome/links/cluster-b/anopheline-sialome-cds-pep-larger-orf40-50SimCLU9.txt", 9)</f>
        <v>9</v>
      </c>
      <c r="BS762">
        <f>HYPERLINK("http://exon.niaid.nih.gov/transcriptome/Anopheles_sialome/links/cluster-b/anopheline-sialome-cds-pep-larger-orf40-50SimCLTL9.txt", 28)</f>
        <v>28</v>
      </c>
      <c r="BT762">
        <f>HYPERLINK("http://exon.niaid.nih.gov/transcriptome/Anopheles_sialome/links/cluster-b/anopheline-sialome-cds-pep-larger-orf45-50SimCLU8.txt", 8)</f>
        <v>8</v>
      </c>
      <c r="BU762">
        <f>HYPERLINK("http://exon.niaid.nih.gov/transcriptome/Anopheles_sialome/links/cluster-b/anopheline-sialome-cds-pep-larger-orf45-50SimCLTL8.txt", 28)</f>
        <v>28</v>
      </c>
      <c r="BV762">
        <f>HYPERLINK("http://exon.niaid.nih.gov/transcriptome/Anopheles_sialome/links/cluster-b/anopheline-sialome-cds-pep-larger-orf50-50SimCLU8.txt", 8)</f>
        <v>8</v>
      </c>
      <c r="BW762">
        <f>HYPERLINK("http://exon.niaid.nih.gov/transcriptome/Anopheles_sialome/links/cluster-b/anopheline-sialome-cds-pep-larger-orf50-50SimCLTL8.txt", 28)</f>
        <v>28</v>
      </c>
      <c r="BX762">
        <f>HYPERLINK("http://exon.niaid.nih.gov/transcriptome/Anopheles_sialome/links/cluster-b/anopheline-sialome-cds-pep-larger-orf55-50SimCLU8.txt", 8)</f>
        <v>8</v>
      </c>
      <c r="BY762">
        <f>HYPERLINK("http://exon.niaid.nih.gov/transcriptome/Anopheles_sialome/links/cluster-b/anopheline-sialome-cds-pep-larger-orf55-50SimCLTL8.txt", 28)</f>
        <v>28</v>
      </c>
      <c r="BZ762">
        <f>HYPERLINK("http://exon.niaid.nih.gov/transcriptome/Anopheles_sialome/links/cluster-b/anopheline-sialome-cds-pep-larger-orf60-50SimCLU6.txt", 6)</f>
        <v>6</v>
      </c>
      <c r="CA762">
        <f>HYPERLINK("http://exon.niaid.nih.gov/transcriptome/Anopheles_sialome/links/cluster-b/anopheline-sialome-cds-pep-larger-orf60-50SimCLTL6.txt", 28)</f>
        <v>28</v>
      </c>
      <c r="CB762">
        <f>HYPERLINK("http://exon.niaid.nih.gov/transcriptome/Anopheles_sialome/links/cluster-b/anopheline-sialome-cds-pep-larger-orf65-50SimCLU31.txt", 31)</f>
        <v>31</v>
      </c>
      <c r="CC762">
        <f>HYPERLINK("http://exon.niaid.nih.gov/transcriptome/Anopheles_sialome/links/cluster-b/anopheline-sialome-cds-pep-larger-orf65-50SimCLTL31.txt", 14)</f>
        <v>14</v>
      </c>
      <c r="CD762">
        <f>HYPERLINK("http://exon.niaid.nih.gov/transcriptome/Anopheles_sialome/links/cluster-b/anopheline-sialome-cds-pep-larger-orf70-50SimCLU30.txt", 30)</f>
        <v>30</v>
      </c>
      <c r="CE762">
        <f>HYPERLINK("http://exon.niaid.nih.gov/transcriptome/Anopheles_sialome/links/cluster-b/anopheline-sialome-cds-pep-larger-orf70-50SimCLTL30.txt", 14)</f>
        <v>14</v>
      </c>
      <c r="CF762">
        <v>123</v>
      </c>
      <c r="CG762">
        <v>1</v>
      </c>
      <c r="CH762">
        <v>161</v>
      </c>
      <c r="CI762">
        <v>1</v>
      </c>
      <c r="CJ762">
        <v>206</v>
      </c>
      <c r="CK762">
        <v>1</v>
      </c>
      <c r="CL762">
        <v>252</v>
      </c>
      <c r="CM762">
        <v>1</v>
      </c>
      <c r="CN762">
        <v>278</v>
      </c>
      <c r="CO762">
        <v>1</v>
      </c>
    </row>
    <row r="763" spans="1:93">
      <c r="A763" s="2" t="str">
        <f>HYPERLINK("http://exon.niaid.nih.gov/transcriptome/Anopheles_sialome/links/cds/anofar_hyp10-cds.txt","anofar_hyp10")</f>
        <v>anofar_hyp10</v>
      </c>
      <c r="B763">
        <v>276</v>
      </c>
      <c r="C763" t="s">
        <v>270</v>
      </c>
      <c r="D763" t="s">
        <v>7</v>
      </c>
      <c r="E763" t="s">
        <v>5</v>
      </c>
      <c r="F763" t="s">
        <v>1</v>
      </c>
      <c r="G763" t="str">
        <f>HYPERLINK("http://exon.niaid.nih.gov/transcriptome/Anopheles_sialome/links/pep/anofar_hyp10-pep.txt","anofar_hyp10")</f>
        <v>anofar_hyp10</v>
      </c>
      <c r="H763">
        <v>91</v>
      </c>
      <c r="I763">
        <v>0</v>
      </c>
      <c r="J763" s="3" t="str">
        <f>HYPERLINK("http://exon.niaid.nih.gov/transcriptome/Anopheles_sialome/links/Sigp/anofar_hyp10-SigP.txt","SIG")</f>
        <v>SIG</v>
      </c>
      <c r="K763" t="s">
        <v>692</v>
      </c>
      <c r="L763">
        <v>10.335000000000001</v>
      </c>
      <c r="M763">
        <v>4.6100000000000003</v>
      </c>
      <c r="N763">
        <v>8.0869999999999997</v>
      </c>
      <c r="O763">
        <v>4.2699999999999996</v>
      </c>
      <c r="P763" t="s">
        <v>1213</v>
      </c>
      <c r="Q763" s="3">
        <v>0</v>
      </c>
      <c r="R763" t="s">
        <v>128</v>
      </c>
      <c r="S763" t="s">
        <v>128</v>
      </c>
      <c r="T763" t="s">
        <v>128</v>
      </c>
      <c r="U763" t="s">
        <v>128</v>
      </c>
      <c r="V763" t="s">
        <v>128</v>
      </c>
      <c r="W763" s="3" t="str">
        <f>HYPERLINK("http://exon.niaid.nih.gov/transcriptome/Anopheles_sialome/links/netoglyc/anofar_hyp10-netoglyc.txt","0")</f>
        <v>0</v>
      </c>
      <c r="X763">
        <v>15.4</v>
      </c>
      <c r="Y763">
        <v>4.4000000000000004</v>
      </c>
      <c r="Z763">
        <v>2.2000000000000002</v>
      </c>
      <c r="AA763" t="s">
        <v>654</v>
      </c>
      <c r="AB763" t="s">
        <v>128</v>
      </c>
      <c r="AC763" s="2" t="str">
        <f>HYPERLINK("http://exon.niaid.nih.gov/transcriptome/Anopheles_sialome/links/DIPTERA/anofar_hyp10-DIPTERA.txt","putative salivary protein hyp12")</f>
        <v>putative salivary protein hyp12</v>
      </c>
      <c r="AD763" t="str">
        <f>HYPERLINK("http://www.ncbi.nlm.nih.gov/sutils/blink.cgi?pid=27372893","2E-012")</f>
        <v>2E-012</v>
      </c>
      <c r="AE763" t="str">
        <f>HYPERLINK("http://www.ncbi.nlm.nih.gov/protein/27372893","gi|27372893")</f>
        <v>gi|27372893</v>
      </c>
      <c r="AF763">
        <v>43</v>
      </c>
      <c r="AG763">
        <v>55</v>
      </c>
      <c r="AH763">
        <v>96</v>
      </c>
      <c r="AI763" t="s">
        <v>2271</v>
      </c>
      <c r="AJ763" s="2" t="str">
        <f>HYPERLINK("http://exon.niaid.nih.gov/transcriptome/Anopheles_sialome/links/CULICOMORPHA/anofar_hyp10-CULICOMORPHA.txt","putative salivary protein hyp12")</f>
        <v>putative salivary protein hyp12</v>
      </c>
      <c r="AK763" t="str">
        <f>HYPERLINK("http://www.ncbi.nlm.nih.gov/sutils/blink.cgi?pid=27372893","4E-013")</f>
        <v>4E-013</v>
      </c>
      <c r="AL763" t="str">
        <f>HYPERLINK("http://www.ncbi.nlm.nih.gov/protein/27372893","gi|27372893")</f>
        <v>gi|27372893</v>
      </c>
      <c r="AM763">
        <v>43</v>
      </c>
      <c r="AN763">
        <v>55</v>
      </c>
      <c r="AO763">
        <v>96</v>
      </c>
      <c r="AP763" t="s">
        <v>2271</v>
      </c>
      <c r="AQ763" s="2" t="str">
        <f>HYPERLINK("http://exon.niaid.nih.gov/transcriptome/Anopheles_sialome/links/NR-LIGHT/anofar_hyp10-NR-LIGHT.txt","putative salivary protein hyp12")</f>
        <v>putative salivary protein hyp12</v>
      </c>
      <c r="AR763" t="str">
        <f>HYPERLINK("http://www.ncbi.nlm.nih.gov/sutils/blink.cgi?pid=27372893","7E-012")</f>
        <v>7E-012</v>
      </c>
      <c r="AS763" t="str">
        <f>HYPERLINK("http://www.ncbi.nlm.nih.gov/protein/27372893","gi|27372893")</f>
        <v>gi|27372893</v>
      </c>
      <c r="AT763">
        <v>43</v>
      </c>
      <c r="AU763">
        <v>55</v>
      </c>
      <c r="AV763">
        <v>96</v>
      </c>
      <c r="AW763" t="s">
        <v>2271</v>
      </c>
      <c r="AX763" s="2" t="str">
        <f>HYPERLINK("http://exon.niaid.nih.gov/transcriptome/Anopheles_sialome/links/CDD/anofar_hyp10-CDD.txt","NnrU")</f>
        <v>NnrU</v>
      </c>
      <c r="AY763" t="str">
        <f>HYPERLINK("http://www.ncbi.nlm.nih.gov/Structure/cdd/cddsrv.cgi?uid=pfam07298&amp;version=v4.0","0.85")</f>
        <v>0.85</v>
      </c>
      <c r="AZ763" t="s">
        <v>2675</v>
      </c>
      <c r="BA763" s="2" t="str">
        <f>HYPERLINK("http://exon.niaid.nih.gov/transcriptome/Anopheles_sialome/links/KOG/anofar_hyp10-KOG.txt","Predicted mitochondrial DNA helicase twinkle")</f>
        <v>Predicted mitochondrial DNA helicase twinkle</v>
      </c>
      <c r="BB763" t="str">
        <f>HYPERLINK("http://www.ncbi.nlm.nih.gov/Structure/cdd/cddsrv.cgi?uid=KOG2373","0.84")</f>
        <v>0.84</v>
      </c>
      <c r="BC763" t="s">
        <v>2290</v>
      </c>
      <c r="BD763" t="str">
        <f>HYPERLINK("http://exon.niaid.nih.gov/transcriptome/Anopheles_sialome/links/KOG/anofar_hyp10-KOG.txt","KOG2373")</f>
        <v>KOG2373</v>
      </c>
      <c r="BE763" t="str">
        <f>HYPERLINK("http://exon.niaid.nih.gov/transcriptome/Anopheles_sialome/links/PFAM/anofar_hyp10-PFAM.txt","NnrU")</f>
        <v>NnrU</v>
      </c>
      <c r="BF763" t="str">
        <f>HYPERLINK("http://pfam.sanger.ac.uk/family?acc=PF07298","0.19")</f>
        <v>0.19</v>
      </c>
      <c r="BG763" s="2" t="str">
        <f>HYPERLINK("http://exon.niaid.nih.gov/transcriptome/Anopheles_sialome/links/SMART/anofar_hyp10-SMART.txt","Sema")</f>
        <v>Sema</v>
      </c>
      <c r="BH763" t="str">
        <f>HYPERLINK("http://smart.embl-heidelberg.de/smart/do_annotation.pl?DOMAIN=Sema&amp;BLAST=DUMMY","0.18")</f>
        <v>0.18</v>
      </c>
      <c r="BI763" t="str">
        <f>HYPERLINK("http://exon.niaid.nih.gov/transcriptome/Anopheles_sialome/links/TICK-BLOCKS/anofar_hyp10-TICK-BLOCKS.txt","hyp10_hyp12_anopheline_family |")</f>
        <v>hyp10_hyp12_anopheline_family |</v>
      </c>
      <c r="BJ763" s="2" t="s">
        <v>2662</v>
      </c>
      <c r="BK763" t="s">
        <v>1382</v>
      </c>
      <c r="BL763">
        <f>HYPERLINK("http://exon.niaid.nih.gov/transcriptome/Anopheles_sialome/links/cluster-b/anopheline-sialome-cds-pep-larger-orf25-50SimCLU1.txt", 1)</f>
        <v>1</v>
      </c>
      <c r="BM763">
        <f>HYPERLINK("http://exon.niaid.nih.gov/transcriptome/Anopheles_sialome/links/cluster-b/anopheline-sialome-cds-pep-larger-orf25-50SimCLTL1.txt", 165)</f>
        <v>165</v>
      </c>
      <c r="BN763">
        <f>HYPERLINK("http://exon.niaid.nih.gov/transcriptome/Anopheles_sialome/links/cluster-b/anopheline-sialome-cds-pep-larger-orf30-50SimCLU1.txt", 1)</f>
        <v>1</v>
      </c>
      <c r="BO763">
        <f>HYPERLINK("http://exon.niaid.nih.gov/transcriptome/Anopheles_sialome/links/cluster-b/anopheline-sialome-cds-pep-larger-orf30-50SimCLTL1.txt", 165)</f>
        <v>165</v>
      </c>
      <c r="BP763">
        <f>HYPERLINK("http://exon.niaid.nih.gov/transcriptome/Anopheles_sialome/links/cluster-b/anopheline-sialome-cds-pep-larger-orf35-50SimCLU5.txt", 5)</f>
        <v>5</v>
      </c>
      <c r="BQ763">
        <f>HYPERLINK("http://exon.niaid.nih.gov/transcriptome/Anopheles_sialome/links/cluster-b/anopheline-sialome-cds-pep-larger-orf35-50SimCLTL5.txt", 61)</f>
        <v>61</v>
      </c>
      <c r="BR763">
        <f>HYPERLINK("http://exon.niaid.nih.gov/transcriptome/Anopheles_sialome/links/cluster-b/anopheline-sialome-cds-pep-larger-orf40-50SimCLU9.txt", 9)</f>
        <v>9</v>
      </c>
      <c r="BS763">
        <f>HYPERLINK("http://exon.niaid.nih.gov/transcriptome/Anopheles_sialome/links/cluster-b/anopheline-sialome-cds-pep-larger-orf40-50SimCLTL9.txt", 28)</f>
        <v>28</v>
      </c>
      <c r="BT763">
        <f>HYPERLINK("http://exon.niaid.nih.gov/transcriptome/Anopheles_sialome/links/cluster-b/anopheline-sialome-cds-pep-larger-orf45-50SimCLU8.txt", 8)</f>
        <v>8</v>
      </c>
      <c r="BU763">
        <f>HYPERLINK("http://exon.niaid.nih.gov/transcriptome/Anopheles_sialome/links/cluster-b/anopheline-sialome-cds-pep-larger-orf45-50SimCLTL8.txt", 28)</f>
        <v>28</v>
      </c>
      <c r="BV763">
        <f>HYPERLINK("http://exon.niaid.nih.gov/transcriptome/Anopheles_sialome/links/cluster-b/anopheline-sialome-cds-pep-larger-orf50-50SimCLU8.txt", 8)</f>
        <v>8</v>
      </c>
      <c r="BW763">
        <f>HYPERLINK("http://exon.niaid.nih.gov/transcriptome/Anopheles_sialome/links/cluster-b/anopheline-sialome-cds-pep-larger-orf50-50SimCLTL8.txt", 28)</f>
        <v>28</v>
      </c>
      <c r="BX763">
        <f>HYPERLINK("http://exon.niaid.nih.gov/transcriptome/Anopheles_sialome/links/cluster-b/anopheline-sialome-cds-pep-larger-orf55-50SimCLU8.txt", 8)</f>
        <v>8</v>
      </c>
      <c r="BY763">
        <f>HYPERLINK("http://exon.niaid.nih.gov/transcriptome/Anopheles_sialome/links/cluster-b/anopheline-sialome-cds-pep-larger-orf55-50SimCLTL8.txt", 28)</f>
        <v>28</v>
      </c>
      <c r="BZ763">
        <f>HYPERLINK("http://exon.niaid.nih.gov/transcriptome/Anopheles_sialome/links/cluster-b/anopheline-sialome-cds-pep-larger-orf60-50SimCLU6.txt", 6)</f>
        <v>6</v>
      </c>
      <c r="CA763">
        <f>HYPERLINK("http://exon.niaid.nih.gov/transcriptome/Anopheles_sialome/links/cluster-b/anopheline-sialome-cds-pep-larger-orf60-50SimCLTL6.txt", 28)</f>
        <v>28</v>
      </c>
      <c r="CB763">
        <f>HYPERLINK("http://exon.niaid.nih.gov/transcriptome/Anopheles_sialome/links/cluster-b/anopheline-sialome-cds-pep-larger-orf65-50SimCLU31.txt", 31)</f>
        <v>31</v>
      </c>
      <c r="CC763">
        <f>HYPERLINK("http://exon.niaid.nih.gov/transcriptome/Anopheles_sialome/links/cluster-b/anopheline-sialome-cds-pep-larger-orf65-50SimCLTL31.txt", 14)</f>
        <v>14</v>
      </c>
      <c r="CD763">
        <f>HYPERLINK("http://exon.niaid.nih.gov/transcriptome/Anopheles_sialome/links/cluster-b/anopheline-sialome-cds-pep-larger-orf70-50SimCLU30.txt", 30)</f>
        <v>30</v>
      </c>
      <c r="CE763">
        <f>HYPERLINK("http://exon.niaid.nih.gov/transcriptome/Anopheles_sialome/links/cluster-b/anopheline-sialome-cds-pep-larger-orf70-50SimCLTL30.txt", 14)</f>
        <v>14</v>
      </c>
      <c r="CF763">
        <v>124</v>
      </c>
      <c r="CG763">
        <v>1</v>
      </c>
      <c r="CH763">
        <v>162</v>
      </c>
      <c r="CI763">
        <v>1</v>
      </c>
      <c r="CJ763">
        <v>207</v>
      </c>
      <c r="CK763">
        <v>1</v>
      </c>
      <c r="CL763">
        <v>253</v>
      </c>
      <c r="CM763">
        <v>1</v>
      </c>
      <c r="CN763">
        <v>279</v>
      </c>
      <c r="CO763">
        <v>1</v>
      </c>
    </row>
    <row r="764" spans="1:93">
      <c r="A764" s="2" t="str">
        <f>HYPERLINK("http://exon.niaid.nih.gov/transcriptome/Anopheles_sialome/links/cds/anodir-hyp10-cds.txt","anodir-hyp10")</f>
        <v>anodir-hyp10</v>
      </c>
      <c r="B764">
        <v>276</v>
      </c>
      <c r="C764" t="s">
        <v>271</v>
      </c>
      <c r="D764" t="s">
        <v>7</v>
      </c>
      <c r="E764" t="s">
        <v>5</v>
      </c>
      <c r="F764" t="s">
        <v>1</v>
      </c>
      <c r="G764" t="str">
        <f>HYPERLINK("http://exon.niaid.nih.gov/transcriptome/Anopheles_sialome/links/pep/anodir-hyp10-pep.txt","anodir-hyp10")</f>
        <v>anodir-hyp10</v>
      </c>
      <c r="H764">
        <v>91</v>
      </c>
      <c r="I764">
        <v>0</v>
      </c>
      <c r="J764" s="3" t="str">
        <f>HYPERLINK("http://exon.niaid.nih.gov/transcriptome/Anopheles_sialome/links/Sigp/anodir-hyp10-SigP.txt","SIG")</f>
        <v>SIG</v>
      </c>
      <c r="K764" t="s">
        <v>1182</v>
      </c>
      <c r="L764">
        <v>10.198</v>
      </c>
      <c r="M764">
        <v>5.15</v>
      </c>
      <c r="N764">
        <v>7.423</v>
      </c>
      <c r="O764">
        <v>4.42</v>
      </c>
      <c r="P764" t="s">
        <v>1384</v>
      </c>
      <c r="Q764" s="3" t="str">
        <f>HYPERLINK("http://exon.niaid.nih.gov/transcriptome/Anopheles_sialome/links/tmhmm/anodir-hyp10-tmhmm.txt","1")</f>
        <v>1</v>
      </c>
      <c r="R764">
        <v>24.2</v>
      </c>
      <c r="S764">
        <v>68.099999999999994</v>
      </c>
      <c r="T764">
        <v>7.7</v>
      </c>
      <c r="U764" t="s">
        <v>128</v>
      </c>
      <c r="V764">
        <v>62</v>
      </c>
      <c r="W764" s="3" t="str">
        <f>HYPERLINK("http://exon.niaid.nih.gov/transcriptome/Anopheles_sialome/links/netoglyc/anodir-hyp10-netoglyc.txt","0")</f>
        <v>0</v>
      </c>
      <c r="X764">
        <v>9.9</v>
      </c>
      <c r="Y764">
        <v>4.4000000000000004</v>
      </c>
      <c r="Z764">
        <v>1.1000000000000001</v>
      </c>
      <c r="AA764" t="s">
        <v>654</v>
      </c>
      <c r="AB764" t="s">
        <v>128</v>
      </c>
      <c r="AC764" s="2" t="str">
        <f>HYPERLINK("http://exon.niaid.nih.gov/transcriptome/Anopheles_sialome/links/DIPTERA/anodir-hyp10-DIPTERA.txt","hypothetical protein 10")</f>
        <v>hypothetical protein 10</v>
      </c>
      <c r="AD764" t="str">
        <f>HYPERLINK("http://www.ncbi.nlm.nih.gov/sutils/blink.cgi?pid=18389901","4E-013")</f>
        <v>4E-013</v>
      </c>
      <c r="AE764" t="str">
        <f>HYPERLINK("http://www.ncbi.nlm.nih.gov/protein/18389901","gi|18389901")</f>
        <v>gi|18389901</v>
      </c>
      <c r="AF764">
        <v>51</v>
      </c>
      <c r="AG764">
        <v>61</v>
      </c>
      <c r="AH764">
        <v>99</v>
      </c>
      <c r="AI764" t="s">
        <v>2254</v>
      </c>
      <c r="AJ764" s="2" t="str">
        <f>HYPERLINK("http://exon.niaid.nih.gov/transcriptome/Anopheles_sialome/links/CULICOMORPHA/anodir-hyp10-CULICOMORPHA.txt","hypothetical protein 10")</f>
        <v>hypothetical protein 10</v>
      </c>
      <c r="AK764" t="str">
        <f>HYPERLINK("http://www.ncbi.nlm.nih.gov/sutils/blink.cgi?pid=18389901","6E-014")</f>
        <v>6E-014</v>
      </c>
      <c r="AL764" t="str">
        <f>HYPERLINK("http://www.ncbi.nlm.nih.gov/protein/18389901","gi|18389901")</f>
        <v>gi|18389901</v>
      </c>
      <c r="AM764">
        <v>51</v>
      </c>
      <c r="AN764">
        <v>61</v>
      </c>
      <c r="AO764">
        <v>99</v>
      </c>
      <c r="AP764" t="s">
        <v>2254</v>
      </c>
      <c r="AQ764" s="2" t="str">
        <f>HYPERLINK("http://exon.niaid.nih.gov/transcriptome/Anopheles_sialome/links/NR-LIGHT/anodir-hyp10-NR-LIGHT.txt","hypothetical protein 10")</f>
        <v>hypothetical protein 10</v>
      </c>
      <c r="AR764" t="str">
        <f>HYPERLINK("http://www.ncbi.nlm.nih.gov/sutils/blink.cgi?pid=18389901","1E-012")</f>
        <v>1E-012</v>
      </c>
      <c r="AS764" t="str">
        <f>HYPERLINK("http://www.ncbi.nlm.nih.gov/protein/18389901","gi|18389901")</f>
        <v>gi|18389901</v>
      </c>
      <c r="AT764">
        <v>51</v>
      </c>
      <c r="AU764">
        <v>61</v>
      </c>
      <c r="AV764">
        <v>99</v>
      </c>
      <c r="AW764" t="s">
        <v>2254</v>
      </c>
      <c r="AX764" s="2" t="str">
        <f>HYPERLINK("http://exon.niaid.nih.gov/transcriptome/Anopheles_sialome/links/CDD/anodir-hyp10-CDD.txt","PRK09082")</f>
        <v>PRK09082</v>
      </c>
      <c r="AY764" t="str">
        <f>HYPERLINK("http://www.ncbi.nlm.nih.gov/Structure/cdd/cddsrv.cgi?uid=PRK09082&amp;version=v4.0","1.7")</f>
        <v>1.7</v>
      </c>
      <c r="AZ764" t="s">
        <v>2676</v>
      </c>
      <c r="BA764" s="2" t="str">
        <f>HYPERLINK("http://exon.niaid.nih.gov/transcriptome/Anopheles_sialome/links/KOG/anodir-hyp10-KOG.txt","RNA polymerase II C-terminal domain-binding protein RA4, contains RPR and RRM domains")</f>
        <v>RNA polymerase II C-terminal domain-binding protein RA4, contains RPR and RRM domains</v>
      </c>
      <c r="BB764" t="str">
        <f>HYPERLINK("http://www.ncbi.nlm.nih.gov/Structure/cdd/cddsrv.cgi?uid=KOG0132","0.016")</f>
        <v>0.016</v>
      </c>
      <c r="BC764" t="s">
        <v>2677</v>
      </c>
      <c r="BD764" t="str">
        <f>HYPERLINK("http://exon.niaid.nih.gov/transcriptome/Anopheles_sialome/links/KOG/anodir-hyp10-KOG.txt","KOG0132")</f>
        <v>KOG0132</v>
      </c>
      <c r="BE764" t="str">
        <f>HYPERLINK("http://exon.niaid.nih.gov/transcriptome/Anopheles_sialome/links/PFAM/anodir-hyp10-PFAM.txt","Aldedh")</f>
        <v>Aldedh</v>
      </c>
      <c r="BF764" t="str">
        <f>HYPERLINK("http://pfam.sanger.ac.uk/family?acc=PF00171","3.4")</f>
        <v>3.4</v>
      </c>
      <c r="BG764" s="2" t="str">
        <f>HYPERLINK("http://exon.niaid.nih.gov/transcriptome/Anopheles_sialome/links/SMART/anodir-hyp10-SMART.txt","Aldolase_II")</f>
        <v>Aldolase_II</v>
      </c>
      <c r="BH764" t="str">
        <f>HYPERLINK("http://smart.embl-heidelberg.de/smart/do_annotation.pl?DOMAIN=Aldolase_II&amp;BLAST=DUMMY","0.65")</f>
        <v>0.65</v>
      </c>
      <c r="BI764" t="str">
        <f>HYPERLINK("http://exon.niaid.nih.gov/transcriptome/Anopheles_sialome/links/TICK-BLOCKS/anodir-hyp10-TICK-BLOCKS.txt","hyp10_hyp12_anopheline_family |")</f>
        <v>hyp10_hyp12_anopheline_family |</v>
      </c>
      <c r="BJ764" s="2" t="s">
        <v>2662</v>
      </c>
      <c r="BK764" t="s">
        <v>1383</v>
      </c>
      <c r="BL764">
        <f>HYPERLINK("http://exon.niaid.nih.gov/transcriptome/Anopheles_sialome/links/cluster-b/anopheline-sialome-cds-pep-larger-orf25-50SimCLU1.txt", 1)</f>
        <v>1</v>
      </c>
      <c r="BM764">
        <f>HYPERLINK("http://exon.niaid.nih.gov/transcriptome/Anopheles_sialome/links/cluster-b/anopheline-sialome-cds-pep-larger-orf25-50SimCLTL1.txt", 165)</f>
        <v>165</v>
      </c>
      <c r="BN764">
        <f>HYPERLINK("http://exon.niaid.nih.gov/transcriptome/Anopheles_sialome/links/cluster-b/anopheline-sialome-cds-pep-larger-orf30-50SimCLU1.txt", 1)</f>
        <v>1</v>
      </c>
      <c r="BO764">
        <f>HYPERLINK("http://exon.niaid.nih.gov/transcriptome/Anopheles_sialome/links/cluster-b/anopheline-sialome-cds-pep-larger-orf30-50SimCLTL1.txt", 165)</f>
        <v>165</v>
      </c>
      <c r="BP764">
        <f>HYPERLINK("http://exon.niaid.nih.gov/transcriptome/Anopheles_sialome/links/cluster-b/anopheline-sialome-cds-pep-larger-orf35-50SimCLU5.txt", 5)</f>
        <v>5</v>
      </c>
      <c r="BQ764">
        <f>HYPERLINK("http://exon.niaid.nih.gov/transcriptome/Anopheles_sialome/links/cluster-b/anopheline-sialome-cds-pep-larger-orf35-50SimCLTL5.txt", 61)</f>
        <v>61</v>
      </c>
      <c r="BR764">
        <f>HYPERLINK("http://exon.niaid.nih.gov/transcriptome/Anopheles_sialome/links/cluster-b/anopheline-sialome-cds-pep-larger-orf40-50SimCLU9.txt", 9)</f>
        <v>9</v>
      </c>
      <c r="BS764">
        <f>HYPERLINK("http://exon.niaid.nih.gov/transcriptome/Anopheles_sialome/links/cluster-b/anopheline-sialome-cds-pep-larger-orf40-50SimCLTL9.txt", 28)</f>
        <v>28</v>
      </c>
      <c r="BT764">
        <f>HYPERLINK("http://exon.niaid.nih.gov/transcriptome/Anopheles_sialome/links/cluster-b/anopheline-sialome-cds-pep-larger-orf45-50SimCLU8.txt", 8)</f>
        <v>8</v>
      </c>
      <c r="BU764">
        <f>HYPERLINK("http://exon.niaid.nih.gov/transcriptome/Anopheles_sialome/links/cluster-b/anopheline-sialome-cds-pep-larger-orf45-50SimCLTL8.txt", 28)</f>
        <v>28</v>
      </c>
      <c r="BV764">
        <f>HYPERLINK("http://exon.niaid.nih.gov/transcriptome/Anopheles_sialome/links/cluster-b/anopheline-sialome-cds-pep-larger-orf50-50SimCLU8.txt", 8)</f>
        <v>8</v>
      </c>
      <c r="BW764">
        <f>HYPERLINK("http://exon.niaid.nih.gov/transcriptome/Anopheles_sialome/links/cluster-b/anopheline-sialome-cds-pep-larger-orf50-50SimCLTL8.txt", 28)</f>
        <v>28</v>
      </c>
      <c r="BX764">
        <f>HYPERLINK("http://exon.niaid.nih.gov/transcriptome/Anopheles_sialome/links/cluster-b/anopheline-sialome-cds-pep-larger-orf55-50SimCLU8.txt", 8)</f>
        <v>8</v>
      </c>
      <c r="BY764">
        <f>HYPERLINK("http://exon.niaid.nih.gov/transcriptome/Anopheles_sialome/links/cluster-b/anopheline-sialome-cds-pep-larger-orf55-50SimCLTL8.txt", 28)</f>
        <v>28</v>
      </c>
      <c r="BZ764">
        <f>HYPERLINK("http://exon.niaid.nih.gov/transcriptome/Anopheles_sialome/links/cluster-b/anopheline-sialome-cds-pep-larger-orf60-50SimCLU6.txt", 6)</f>
        <v>6</v>
      </c>
      <c r="CA764">
        <f>HYPERLINK("http://exon.niaid.nih.gov/transcriptome/Anopheles_sialome/links/cluster-b/anopheline-sialome-cds-pep-larger-orf60-50SimCLTL6.txt", 28)</f>
        <v>28</v>
      </c>
      <c r="CB764">
        <f>HYPERLINK("http://exon.niaid.nih.gov/transcriptome/Anopheles_sialome/links/cluster-b/anopheline-sialome-cds-pep-larger-orf65-50SimCLU31.txt", 31)</f>
        <v>31</v>
      </c>
      <c r="CC764">
        <f>HYPERLINK("http://exon.niaid.nih.gov/transcriptome/Anopheles_sialome/links/cluster-b/anopheline-sialome-cds-pep-larger-orf65-50SimCLTL31.txt", 14)</f>
        <v>14</v>
      </c>
      <c r="CD764">
        <f>HYPERLINK("http://exon.niaid.nih.gov/transcriptome/Anopheles_sialome/links/cluster-b/anopheline-sialome-cds-pep-larger-orf70-50SimCLU30.txt", 30)</f>
        <v>30</v>
      </c>
      <c r="CE764">
        <f>HYPERLINK("http://exon.niaid.nih.gov/transcriptome/Anopheles_sialome/links/cluster-b/anopheline-sialome-cds-pep-larger-orf70-50SimCLTL30.txt", 14)</f>
        <v>14</v>
      </c>
      <c r="CF764">
        <v>125</v>
      </c>
      <c r="CG764">
        <v>1</v>
      </c>
      <c r="CH764">
        <v>163</v>
      </c>
      <c r="CI764">
        <v>1</v>
      </c>
      <c r="CJ764">
        <v>208</v>
      </c>
      <c r="CK764">
        <v>1</v>
      </c>
      <c r="CL764">
        <v>254</v>
      </c>
      <c r="CM764">
        <v>1</v>
      </c>
      <c r="CN764">
        <v>280</v>
      </c>
      <c r="CO764">
        <v>1</v>
      </c>
    </row>
    <row r="765" spans="1:93">
      <c r="A765" s="5" t="s">
        <v>3217</v>
      </c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</row>
    <row r="766" spans="1:93">
      <c r="A766" s="2" t="str">
        <f>HYPERLINK("http://exon.niaid.nih.gov/transcriptome/Anopheles_sialome/links/cds/anoga_hyp12-cds.txt","anoga_hyp12")</f>
        <v>anoga_hyp12</v>
      </c>
      <c r="B766">
        <v>279</v>
      </c>
      <c r="C766" t="s">
        <v>272</v>
      </c>
      <c r="D766" t="s">
        <v>4</v>
      </c>
      <c r="E766" t="s">
        <v>5</v>
      </c>
      <c r="F766" t="s">
        <v>1</v>
      </c>
      <c r="G766" t="str">
        <f>HYPERLINK("http://exon.niaid.nih.gov/transcriptome/Anopheles_sialome/links/pep/anoga_hyp12-pep.txt","anoga_hyp12")</f>
        <v>anoga_hyp12</v>
      </c>
      <c r="H766">
        <v>92</v>
      </c>
      <c r="I766">
        <v>2</v>
      </c>
      <c r="J766" s="3" t="str">
        <f>HYPERLINK("http://exon.niaid.nih.gov/transcriptome/Anopheles_sialome/links/Sigp/anoga_hyp12-SigP.txt","SIG")</f>
        <v>SIG</v>
      </c>
      <c r="K766" t="s">
        <v>689</v>
      </c>
      <c r="L766">
        <v>10.14</v>
      </c>
      <c r="M766">
        <v>4.7</v>
      </c>
      <c r="N766">
        <v>7.9329999999999998</v>
      </c>
      <c r="O766">
        <v>4.47</v>
      </c>
      <c r="P766" t="s">
        <v>1386</v>
      </c>
      <c r="Q766" s="3">
        <v>0</v>
      </c>
      <c r="R766" t="s">
        <v>128</v>
      </c>
      <c r="S766" t="s">
        <v>128</v>
      </c>
      <c r="T766" t="s">
        <v>128</v>
      </c>
      <c r="U766" t="s">
        <v>128</v>
      </c>
      <c r="V766" t="s">
        <v>128</v>
      </c>
      <c r="W766" s="3" t="str">
        <f>HYPERLINK("http://exon.niaid.nih.gov/transcriptome/Anopheles_sialome/links/netoglyc/anoga_hyp12-netoglyc.txt","0")</f>
        <v>0</v>
      </c>
      <c r="X766">
        <v>12</v>
      </c>
      <c r="Y766">
        <v>4.3</v>
      </c>
      <c r="Z766">
        <v>2.2000000000000002</v>
      </c>
      <c r="AA766" t="s">
        <v>654</v>
      </c>
      <c r="AB766" t="s">
        <v>128</v>
      </c>
      <c r="AC766" s="2" t="str">
        <f>HYPERLINK("http://exon.niaid.nih.gov/transcriptome/Anopheles_sialome/links/DIPTERA/anoga_hyp12-DIPTERA.txt","AGAP008306-PA")</f>
        <v>AGAP008306-PA</v>
      </c>
      <c r="AD766" t="str">
        <f>HYPERLINK("http://www.ncbi.nlm.nih.gov/sutils/blink.cgi?pid=21300459","6E-048")</f>
        <v>6E-048</v>
      </c>
      <c r="AE766" t="str">
        <f t="shared" ref="AE766:AE773" si="259">HYPERLINK("http://www.ncbi.nlm.nih.gov/protein/21300459","gi|21300459")</f>
        <v>gi|21300459</v>
      </c>
      <c r="AF766">
        <v>100</v>
      </c>
      <c r="AG766">
        <v>100</v>
      </c>
      <c r="AH766">
        <v>100</v>
      </c>
      <c r="AI766" t="s">
        <v>2285</v>
      </c>
      <c r="AJ766" s="2" t="str">
        <f>HYPERLINK("http://exon.niaid.nih.gov/transcriptome/Anopheles_sialome/links/CULICOMORPHA/anoga_hyp12-CULICOMORPHA.txt","AGAP008306-PA")</f>
        <v>AGAP008306-PA</v>
      </c>
      <c r="AK766" t="str">
        <f>HYPERLINK("http://www.ncbi.nlm.nih.gov/sutils/blink.cgi?pid=21300459","1E-048")</f>
        <v>1E-048</v>
      </c>
      <c r="AL766" t="str">
        <f>HYPERLINK("http://www.ncbi.nlm.nih.gov/protein/21300459","gi|21300459")</f>
        <v>gi|21300459</v>
      </c>
      <c r="AM766">
        <v>100</v>
      </c>
      <c r="AN766">
        <v>100</v>
      </c>
      <c r="AO766">
        <v>100</v>
      </c>
      <c r="AP766" t="s">
        <v>2285</v>
      </c>
      <c r="AQ766" s="2" t="str">
        <f>HYPERLINK("http://exon.niaid.nih.gov/transcriptome/Anopheles_sialome/links/NR-LIGHT/anoga_hyp12-NR-LIGHT.txt","AGAP008306-PA")</f>
        <v>AGAP008306-PA</v>
      </c>
      <c r="AR766" t="str">
        <f>HYPERLINK("http://www.ncbi.nlm.nih.gov/sutils/blink.cgi?pid=31222305","2E-047")</f>
        <v>2E-047</v>
      </c>
      <c r="AS766" t="str">
        <f t="shared" ref="AS766:AS773" si="260">HYPERLINK("http://www.ncbi.nlm.nih.gov/protein/31222305","gi|31222305")</f>
        <v>gi|31222305</v>
      </c>
      <c r="AT766">
        <v>100</v>
      </c>
      <c r="AU766">
        <v>100</v>
      </c>
      <c r="AV766">
        <v>100</v>
      </c>
      <c r="AW766" t="s">
        <v>2285</v>
      </c>
      <c r="AX766" s="2" t="str">
        <f>HYPERLINK("http://exon.niaid.nih.gov/transcriptome/Anopheles_sialome/links/CDD/anoga_hyp12-CDD.txt","PLN02990")</f>
        <v>PLN02990</v>
      </c>
      <c r="AY766" t="str">
        <f>HYPERLINK("http://www.ncbi.nlm.nih.gov/Structure/cdd/cddsrv.cgi?uid=PLN02990&amp;version=v4.0","0.13")</f>
        <v>0.13</v>
      </c>
      <c r="AZ766" t="s">
        <v>2678</v>
      </c>
      <c r="BA766" s="2" t="str">
        <f>HYPERLINK("http://exon.niaid.nih.gov/transcriptome/Anopheles_sialome/links/KOG/anoga_hyp12-KOG.txt","Beta-tubulin folding cofactor A")</f>
        <v>Beta-tubulin folding cofactor A</v>
      </c>
      <c r="BB766" t="str">
        <f>HYPERLINK("http://www.ncbi.nlm.nih.gov/Structure/cdd/cddsrv.cgi?uid=KOG3470","0.93")</f>
        <v>0.93</v>
      </c>
      <c r="BC766" t="s">
        <v>2296</v>
      </c>
      <c r="BD766" t="str">
        <f>HYPERLINK("http://exon.niaid.nih.gov/transcriptome/Anopheles_sialome/links/KOG/anoga_hyp12-KOG.txt","KOG3470")</f>
        <v>KOG3470</v>
      </c>
      <c r="BE766" t="str">
        <f>HYPERLINK("http://exon.niaid.nih.gov/transcriptome/Anopheles_sialome/links/PFAM/anoga_hyp12-PFAM.txt","JHBP")</f>
        <v>JHBP</v>
      </c>
      <c r="BF766" t="str">
        <f>HYPERLINK("http://pfam.sanger.ac.uk/family?acc=PF06585","1.6")</f>
        <v>1.6</v>
      </c>
      <c r="BG766" s="2" t="str">
        <f>HYPERLINK("http://exon.niaid.nih.gov/transcriptome/Anopheles_sialome/links/SMART/anoga_hyp12-SMART.txt","PKS_KS")</f>
        <v>PKS_KS</v>
      </c>
      <c r="BH766" t="str">
        <f>HYPERLINK("http://smart.embl-heidelberg.de/smart/do_annotation.pl?DOMAIN=PKS_KS&amp;BLAST=DUMMY","3.5")</f>
        <v>3.5</v>
      </c>
      <c r="BI766" t="str">
        <f>HYPERLINK("http://exon.niaid.nih.gov/transcriptome/Anopheles_sialome/links/TICK-BLOCKS/anoga_hyp12-TICK-BLOCKS.txt","hyp10_hyp12_anopheline_family |")</f>
        <v>hyp10_hyp12_anopheline_family |</v>
      </c>
      <c r="BJ766" s="2" t="s">
        <v>2662</v>
      </c>
      <c r="BK766" t="s">
        <v>1385</v>
      </c>
      <c r="BL766">
        <f>HYPERLINK("http://exon.niaid.nih.gov/transcriptome/Anopheles_sialome/links/cluster-b/anopheline-sialome-cds-pep-larger-orf25-50SimCLU1.txt", 1)</f>
        <v>1</v>
      </c>
      <c r="BM766">
        <f>HYPERLINK("http://exon.niaid.nih.gov/transcriptome/Anopheles_sialome/links/cluster-b/anopheline-sialome-cds-pep-larger-orf25-50SimCLTL1.txt", 165)</f>
        <v>165</v>
      </c>
      <c r="BN766">
        <f>HYPERLINK("http://exon.niaid.nih.gov/transcriptome/Anopheles_sialome/links/cluster-b/anopheline-sialome-cds-pep-larger-orf30-50SimCLU1.txt", 1)</f>
        <v>1</v>
      </c>
      <c r="BO766">
        <f>HYPERLINK("http://exon.niaid.nih.gov/transcriptome/Anopheles_sialome/links/cluster-b/anopheline-sialome-cds-pep-larger-orf30-50SimCLTL1.txt", 165)</f>
        <v>165</v>
      </c>
      <c r="BP766">
        <f>HYPERLINK("http://exon.niaid.nih.gov/transcriptome/Anopheles_sialome/links/cluster-b/anopheline-sialome-cds-pep-larger-orf35-50SimCLU5.txt", 5)</f>
        <v>5</v>
      </c>
      <c r="BQ766">
        <f>HYPERLINK("http://exon.niaid.nih.gov/transcriptome/Anopheles_sialome/links/cluster-b/anopheline-sialome-cds-pep-larger-orf35-50SimCLTL5.txt", 61)</f>
        <v>61</v>
      </c>
      <c r="BR766">
        <f>HYPERLINK("http://exon.niaid.nih.gov/transcriptome/Anopheles_sialome/links/cluster-b/anopheline-sialome-cds-pep-larger-orf40-50SimCLU9.txt", 9)</f>
        <v>9</v>
      </c>
      <c r="BS766">
        <f>HYPERLINK("http://exon.niaid.nih.gov/transcriptome/Anopheles_sialome/links/cluster-b/anopheline-sialome-cds-pep-larger-orf40-50SimCLTL9.txt", 28)</f>
        <v>28</v>
      </c>
      <c r="BT766">
        <f>HYPERLINK("http://exon.niaid.nih.gov/transcriptome/Anopheles_sialome/links/cluster-b/anopheline-sialome-cds-pep-larger-orf45-50SimCLU8.txt", 8)</f>
        <v>8</v>
      </c>
      <c r="BU766">
        <f>HYPERLINK("http://exon.niaid.nih.gov/transcriptome/Anopheles_sialome/links/cluster-b/anopheline-sialome-cds-pep-larger-orf45-50SimCLTL8.txt", 28)</f>
        <v>28</v>
      </c>
      <c r="BV766">
        <f>HYPERLINK("http://exon.niaid.nih.gov/transcriptome/Anopheles_sialome/links/cluster-b/anopheline-sialome-cds-pep-larger-orf50-50SimCLU8.txt", 8)</f>
        <v>8</v>
      </c>
      <c r="BW766">
        <f>HYPERLINK("http://exon.niaid.nih.gov/transcriptome/Anopheles_sialome/links/cluster-b/anopheline-sialome-cds-pep-larger-orf50-50SimCLTL8.txt", 28)</f>
        <v>28</v>
      </c>
      <c r="BX766">
        <f>HYPERLINK("http://exon.niaid.nih.gov/transcriptome/Anopheles_sialome/links/cluster-b/anopheline-sialome-cds-pep-larger-orf55-50SimCLU8.txt", 8)</f>
        <v>8</v>
      </c>
      <c r="BY766">
        <f>HYPERLINK("http://exon.niaid.nih.gov/transcriptome/Anopheles_sialome/links/cluster-b/anopheline-sialome-cds-pep-larger-orf55-50SimCLTL8.txt", 28)</f>
        <v>28</v>
      </c>
      <c r="BZ766">
        <f>HYPERLINK("http://exon.niaid.nih.gov/transcriptome/Anopheles_sialome/links/cluster-b/anopheline-sialome-cds-pep-larger-orf60-50SimCLU6.txt", 6)</f>
        <v>6</v>
      </c>
      <c r="CA766">
        <f>HYPERLINK("http://exon.niaid.nih.gov/transcriptome/Anopheles_sialome/links/cluster-b/anopheline-sialome-cds-pep-larger-orf60-50SimCLTL6.txt", 28)</f>
        <v>28</v>
      </c>
      <c r="CB766">
        <f>HYPERLINK("http://exon.niaid.nih.gov/transcriptome/Anopheles_sialome/links/cluster-b/anopheline-sialome-cds-pep-larger-orf65-50SimCLU32.txt", 32)</f>
        <v>32</v>
      </c>
      <c r="CC766">
        <f>HYPERLINK("http://exon.niaid.nih.gov/transcriptome/Anopheles_sialome/links/cluster-b/anopheline-sialome-cds-pep-larger-orf65-50SimCLTL32.txt", 14)</f>
        <v>14</v>
      </c>
      <c r="CD766">
        <f>HYPERLINK("http://exon.niaid.nih.gov/transcriptome/Anopheles_sialome/links/cluster-b/anopheline-sialome-cds-pep-larger-orf70-50SimCLU31.txt", 31)</f>
        <v>31</v>
      </c>
      <c r="CE766">
        <f>HYPERLINK("http://exon.niaid.nih.gov/transcriptome/Anopheles_sialome/links/cluster-b/anopheline-sialome-cds-pep-larger-orf70-50SimCLTL31.txt", 14)</f>
        <v>14</v>
      </c>
      <c r="CF766">
        <f>HYPERLINK("http://exon.niaid.nih.gov/transcriptome/Anopheles_sialome/links/cluster-b/anopheline-sialome-cds-pep-larger-orf75-50SimCLU29.txt", 29)</f>
        <v>29</v>
      </c>
      <c r="CG766">
        <f>HYPERLINK("http://exon.niaid.nih.gov/transcriptome/Anopheles_sialome/links/cluster-b/anopheline-sialome-cds-pep-larger-orf75-50SimCLTL29.txt", 12)</f>
        <v>12</v>
      </c>
      <c r="CH766">
        <f>HYPERLINK("http://exon.niaid.nih.gov/transcriptome/Anopheles_sialome/links/cluster-b/anopheline-sialome-cds-pep-larger-orf80-50SimCLU31.txt", 31)</f>
        <v>31</v>
      </c>
      <c r="CI766">
        <f>HYPERLINK("http://exon.niaid.nih.gov/transcriptome/Anopheles_sialome/links/cluster-b/anopheline-sialome-cds-pep-larger-orf80-50SimCLTL31.txt", 7)</f>
        <v>7</v>
      </c>
      <c r="CJ766">
        <f>HYPERLINK("http://exon.niaid.nih.gov/transcriptome/Anopheles_sialome/links/cluster-b/anopheline-sialome-cds-pep-larger-orf85-50SimCLU35.txt", 35)</f>
        <v>35</v>
      </c>
      <c r="CK766">
        <f>HYPERLINK("http://exon.niaid.nih.gov/transcriptome/Anopheles_sialome/links/cluster-b/anopheline-sialome-cds-pep-larger-orf85-50SimCLTL35.txt", 6)</f>
        <v>6</v>
      </c>
      <c r="CL766">
        <f>HYPERLINK("http://exon.niaid.nih.gov/transcriptome/Anopheles_sialome/links/cluster-b/anopheline-sialome-cds-pep-larger-orf90-50SimCLU27.txt", 27)</f>
        <v>27</v>
      </c>
      <c r="CM766">
        <f>HYPERLINK("http://exon.niaid.nih.gov/transcriptome/Anopheles_sialome/links/cluster-b/anopheline-sialome-cds-pep-larger-orf90-50SimCLTL27.txt", 6)</f>
        <v>6</v>
      </c>
      <c r="CN766">
        <f>HYPERLINK("http://exon.niaid.nih.gov/transcriptome/Anopheles_sialome/links/cluster-b/anopheline-sialome-cds-pep-larger-orf95-50SimCLU47.txt", 47)</f>
        <v>47</v>
      </c>
      <c r="CO766">
        <f>HYPERLINK("http://exon.niaid.nih.gov/transcriptome/Anopheles_sialome/links/cluster-b/anopheline-sialome-cds-pep-larger-orf95-50SimCLTL47.txt", 4)</f>
        <v>4</v>
      </c>
    </row>
    <row r="767" spans="1:93">
      <c r="A767" s="2" t="str">
        <f>HYPERLINK("http://exon.niaid.nih.gov/transcriptome/Anopheles_sialome/links/cds/anocol_hyp12-cds.txt","anocol_hyp12")</f>
        <v>anocol_hyp12</v>
      </c>
      <c r="B767">
        <v>279</v>
      </c>
      <c r="C767" t="s">
        <v>273</v>
      </c>
      <c r="D767" t="s">
        <v>7</v>
      </c>
      <c r="E767" t="s">
        <v>5</v>
      </c>
      <c r="F767" t="s">
        <v>1</v>
      </c>
      <c r="G767" t="str">
        <f>HYPERLINK("http://exon.niaid.nih.gov/transcriptome/Anopheles_sialome/links/pep/anocol_hyp12-pep.txt","anocol_hyp12")</f>
        <v>anocol_hyp12</v>
      </c>
      <c r="H767">
        <v>92</v>
      </c>
      <c r="I767">
        <v>2</v>
      </c>
      <c r="J767" s="3" t="str">
        <f>HYPERLINK("http://exon.niaid.nih.gov/transcriptome/Anopheles_sialome/links/Sigp/anocol_hyp12-SigP.txt","SIG")</f>
        <v>SIG</v>
      </c>
      <c r="K767" t="s">
        <v>689</v>
      </c>
      <c r="L767">
        <v>10.169</v>
      </c>
      <c r="M767">
        <v>4.7</v>
      </c>
      <c r="N767">
        <v>7.9329999999999998</v>
      </c>
      <c r="O767">
        <v>4.47</v>
      </c>
      <c r="P767" t="s">
        <v>1388</v>
      </c>
      <c r="Q767" s="3">
        <v>0</v>
      </c>
      <c r="R767" t="s">
        <v>128</v>
      </c>
      <c r="S767" t="s">
        <v>128</v>
      </c>
      <c r="T767" t="s">
        <v>128</v>
      </c>
      <c r="U767" t="s">
        <v>128</v>
      </c>
      <c r="V767" t="s">
        <v>128</v>
      </c>
      <c r="W767" s="3" t="str">
        <f>HYPERLINK("http://exon.niaid.nih.gov/transcriptome/Anopheles_sialome/links/netoglyc/anocol_hyp12-netoglyc.txt","0")</f>
        <v>0</v>
      </c>
      <c r="X767">
        <v>12</v>
      </c>
      <c r="Y767">
        <v>4.3</v>
      </c>
      <c r="Z767">
        <v>2.2000000000000002</v>
      </c>
      <c r="AA767" t="s">
        <v>654</v>
      </c>
      <c r="AB767" t="s">
        <v>128</v>
      </c>
      <c r="AC767" s="2" t="str">
        <f>HYPERLINK("http://exon.niaid.nih.gov/transcriptome/Anopheles_sialome/links/DIPTERA/anocol_hyp12-DIPTERA.txt","AGAP008306-PA")</f>
        <v>AGAP008306-PA</v>
      </c>
      <c r="AD767" t="str">
        <f>HYPERLINK("http://www.ncbi.nlm.nih.gov/sutils/blink.cgi?pid=21300459","2E-047")</f>
        <v>2E-047</v>
      </c>
      <c r="AE767" t="str">
        <f t="shared" si="259"/>
        <v>gi|21300459</v>
      </c>
      <c r="AF767">
        <v>98</v>
      </c>
      <c r="AG767">
        <v>98</v>
      </c>
      <c r="AH767">
        <v>100</v>
      </c>
      <c r="AI767" t="s">
        <v>2285</v>
      </c>
      <c r="AJ767" s="2" t="str">
        <f>HYPERLINK("http://exon.niaid.nih.gov/transcriptome/Anopheles_sialome/links/CULICOMORPHA/anocol_hyp12-CULICOMORPHA.txt","AGAP008306-PA")</f>
        <v>AGAP008306-PA</v>
      </c>
      <c r="AK767" t="str">
        <f>HYPERLINK("http://www.ncbi.nlm.nih.gov/sutils/blink.cgi?pid=21300459","3E-048")</f>
        <v>3E-048</v>
      </c>
      <c r="AL767" t="str">
        <f>HYPERLINK("http://www.ncbi.nlm.nih.gov/protein/21300459","gi|21300459")</f>
        <v>gi|21300459</v>
      </c>
      <c r="AM767">
        <v>98</v>
      </c>
      <c r="AN767">
        <v>98</v>
      </c>
      <c r="AO767">
        <v>100</v>
      </c>
      <c r="AP767" t="s">
        <v>2285</v>
      </c>
      <c r="AQ767" s="2" t="str">
        <f>HYPERLINK("http://exon.niaid.nih.gov/transcriptome/Anopheles_sialome/links/NR-LIGHT/anocol_hyp12-NR-LIGHT.txt","AGAP008306-PA")</f>
        <v>AGAP008306-PA</v>
      </c>
      <c r="AR767" t="str">
        <f>HYPERLINK("http://www.ncbi.nlm.nih.gov/sutils/blink.cgi?pid=31222305","5E-047")</f>
        <v>5E-047</v>
      </c>
      <c r="AS767" t="str">
        <f t="shared" si="260"/>
        <v>gi|31222305</v>
      </c>
      <c r="AT767">
        <v>98</v>
      </c>
      <c r="AU767">
        <v>98</v>
      </c>
      <c r="AV767">
        <v>100</v>
      </c>
      <c r="AW767" t="s">
        <v>2285</v>
      </c>
      <c r="AX767" s="2" t="str">
        <f>HYPERLINK("http://exon.niaid.nih.gov/transcriptome/Anopheles_sialome/links/CDD/anocol_hyp12-CDD.txt","PLN02990")</f>
        <v>PLN02990</v>
      </c>
      <c r="AY767" t="str">
        <f>HYPERLINK("http://www.ncbi.nlm.nih.gov/Structure/cdd/cddsrv.cgi?uid=PLN02990&amp;version=v4.0","0.13")</f>
        <v>0.13</v>
      </c>
      <c r="AZ767" t="s">
        <v>2679</v>
      </c>
      <c r="BA767" s="2" t="str">
        <f>HYPERLINK("http://exon.niaid.nih.gov/transcriptome/Anopheles_sialome/links/KOG/anocol_hyp12-KOG.txt","Beta-tubulin folding cofactor A")</f>
        <v>Beta-tubulin folding cofactor A</v>
      </c>
      <c r="BB767" t="str">
        <f>HYPERLINK("http://www.ncbi.nlm.nih.gov/Structure/cdd/cddsrv.cgi?uid=KOG3470","0.90")</f>
        <v>0.90</v>
      </c>
      <c r="BC767" t="s">
        <v>2296</v>
      </c>
      <c r="BD767" t="str">
        <f>HYPERLINK("http://exon.niaid.nih.gov/transcriptome/Anopheles_sialome/links/KOG/anocol_hyp12-KOG.txt","KOG3470")</f>
        <v>KOG3470</v>
      </c>
      <c r="BE767" t="str">
        <f>HYPERLINK("http://exon.niaid.nih.gov/transcriptome/Anopheles_sialome/links/PFAM/anocol_hyp12-PFAM.txt","JHBP")</f>
        <v>JHBP</v>
      </c>
      <c r="BF767" t="str">
        <f>HYPERLINK("http://pfam.sanger.ac.uk/family?acc=PF06585","1.1")</f>
        <v>1.1</v>
      </c>
      <c r="BG767" s="2" t="str">
        <f>HYPERLINK("http://exon.niaid.nih.gov/transcriptome/Anopheles_sialome/links/SMART/anocol_hyp12-SMART.txt","PKS_KS")</f>
        <v>PKS_KS</v>
      </c>
      <c r="BH767" t="str">
        <f>HYPERLINK("http://smart.embl-heidelberg.de/smart/do_annotation.pl?DOMAIN=PKS_KS&amp;BLAST=DUMMY","3.4")</f>
        <v>3.4</v>
      </c>
      <c r="BI767" t="str">
        <f>HYPERLINK("http://exon.niaid.nih.gov/transcriptome/Anopheles_sialome/links/TICK-BLOCKS/anocol_hyp12-TICK-BLOCKS.txt","hyp10_hyp12_anopheline_family |")</f>
        <v>hyp10_hyp12_anopheline_family |</v>
      </c>
      <c r="BJ767" s="2" t="s">
        <v>2662</v>
      </c>
      <c r="BK767" t="s">
        <v>1387</v>
      </c>
      <c r="BL767">
        <f>HYPERLINK("http://exon.niaid.nih.gov/transcriptome/Anopheles_sialome/links/cluster-b/anopheline-sialome-cds-pep-larger-orf25-50SimCLU1.txt", 1)</f>
        <v>1</v>
      </c>
      <c r="BM767">
        <f>HYPERLINK("http://exon.niaid.nih.gov/transcriptome/Anopheles_sialome/links/cluster-b/anopheline-sialome-cds-pep-larger-orf25-50SimCLTL1.txt", 165)</f>
        <v>165</v>
      </c>
      <c r="BN767">
        <f>HYPERLINK("http://exon.niaid.nih.gov/transcriptome/Anopheles_sialome/links/cluster-b/anopheline-sialome-cds-pep-larger-orf30-50SimCLU1.txt", 1)</f>
        <v>1</v>
      </c>
      <c r="BO767">
        <f>HYPERLINK("http://exon.niaid.nih.gov/transcriptome/Anopheles_sialome/links/cluster-b/anopheline-sialome-cds-pep-larger-orf30-50SimCLTL1.txt", 165)</f>
        <v>165</v>
      </c>
      <c r="BP767">
        <f>HYPERLINK("http://exon.niaid.nih.gov/transcriptome/Anopheles_sialome/links/cluster-b/anopheline-sialome-cds-pep-larger-orf35-50SimCLU5.txt", 5)</f>
        <v>5</v>
      </c>
      <c r="BQ767">
        <f>HYPERLINK("http://exon.niaid.nih.gov/transcriptome/Anopheles_sialome/links/cluster-b/anopheline-sialome-cds-pep-larger-orf35-50SimCLTL5.txt", 61)</f>
        <v>61</v>
      </c>
      <c r="BR767">
        <f>HYPERLINK("http://exon.niaid.nih.gov/transcriptome/Anopheles_sialome/links/cluster-b/anopheline-sialome-cds-pep-larger-orf40-50SimCLU9.txt", 9)</f>
        <v>9</v>
      </c>
      <c r="BS767">
        <f>HYPERLINK("http://exon.niaid.nih.gov/transcriptome/Anopheles_sialome/links/cluster-b/anopheline-sialome-cds-pep-larger-orf40-50SimCLTL9.txt", 28)</f>
        <v>28</v>
      </c>
      <c r="BT767">
        <f>HYPERLINK("http://exon.niaid.nih.gov/transcriptome/Anopheles_sialome/links/cluster-b/anopheline-sialome-cds-pep-larger-orf45-50SimCLU8.txt", 8)</f>
        <v>8</v>
      </c>
      <c r="BU767">
        <f>HYPERLINK("http://exon.niaid.nih.gov/transcriptome/Anopheles_sialome/links/cluster-b/anopheline-sialome-cds-pep-larger-orf45-50SimCLTL8.txt", 28)</f>
        <v>28</v>
      </c>
      <c r="BV767">
        <f>HYPERLINK("http://exon.niaid.nih.gov/transcriptome/Anopheles_sialome/links/cluster-b/anopheline-sialome-cds-pep-larger-orf50-50SimCLU8.txt", 8)</f>
        <v>8</v>
      </c>
      <c r="BW767">
        <f>HYPERLINK("http://exon.niaid.nih.gov/transcriptome/Anopheles_sialome/links/cluster-b/anopheline-sialome-cds-pep-larger-orf50-50SimCLTL8.txt", 28)</f>
        <v>28</v>
      </c>
      <c r="BX767">
        <f>HYPERLINK("http://exon.niaid.nih.gov/transcriptome/Anopheles_sialome/links/cluster-b/anopheline-sialome-cds-pep-larger-orf55-50SimCLU8.txt", 8)</f>
        <v>8</v>
      </c>
      <c r="BY767">
        <f>HYPERLINK("http://exon.niaid.nih.gov/transcriptome/Anopheles_sialome/links/cluster-b/anopheline-sialome-cds-pep-larger-orf55-50SimCLTL8.txt", 28)</f>
        <v>28</v>
      </c>
      <c r="BZ767">
        <f>HYPERLINK("http://exon.niaid.nih.gov/transcriptome/Anopheles_sialome/links/cluster-b/anopheline-sialome-cds-pep-larger-orf60-50SimCLU6.txt", 6)</f>
        <v>6</v>
      </c>
      <c r="CA767">
        <f>HYPERLINK("http://exon.niaid.nih.gov/transcriptome/Anopheles_sialome/links/cluster-b/anopheline-sialome-cds-pep-larger-orf60-50SimCLTL6.txt", 28)</f>
        <v>28</v>
      </c>
      <c r="CB767">
        <f>HYPERLINK("http://exon.niaid.nih.gov/transcriptome/Anopheles_sialome/links/cluster-b/anopheline-sialome-cds-pep-larger-orf65-50SimCLU32.txt", 32)</f>
        <v>32</v>
      </c>
      <c r="CC767">
        <f>HYPERLINK("http://exon.niaid.nih.gov/transcriptome/Anopheles_sialome/links/cluster-b/anopheline-sialome-cds-pep-larger-orf65-50SimCLTL32.txt", 14)</f>
        <v>14</v>
      </c>
      <c r="CD767">
        <f>HYPERLINK("http://exon.niaid.nih.gov/transcriptome/Anopheles_sialome/links/cluster-b/anopheline-sialome-cds-pep-larger-orf70-50SimCLU31.txt", 31)</f>
        <v>31</v>
      </c>
      <c r="CE767">
        <f>HYPERLINK("http://exon.niaid.nih.gov/transcriptome/Anopheles_sialome/links/cluster-b/anopheline-sialome-cds-pep-larger-orf70-50SimCLTL31.txt", 14)</f>
        <v>14</v>
      </c>
      <c r="CF767">
        <f>HYPERLINK("http://exon.niaid.nih.gov/transcriptome/Anopheles_sialome/links/cluster-b/anopheline-sialome-cds-pep-larger-orf75-50SimCLU29.txt", 29)</f>
        <v>29</v>
      </c>
      <c r="CG767">
        <f>HYPERLINK("http://exon.niaid.nih.gov/transcriptome/Anopheles_sialome/links/cluster-b/anopheline-sialome-cds-pep-larger-orf75-50SimCLTL29.txt", 12)</f>
        <v>12</v>
      </c>
      <c r="CH767">
        <f>HYPERLINK("http://exon.niaid.nih.gov/transcriptome/Anopheles_sialome/links/cluster-b/anopheline-sialome-cds-pep-larger-orf80-50SimCLU31.txt", 31)</f>
        <v>31</v>
      </c>
      <c r="CI767">
        <f>HYPERLINK("http://exon.niaid.nih.gov/transcriptome/Anopheles_sialome/links/cluster-b/anopheline-sialome-cds-pep-larger-orf80-50SimCLTL31.txt", 7)</f>
        <v>7</v>
      </c>
      <c r="CJ767">
        <f>HYPERLINK("http://exon.niaid.nih.gov/transcriptome/Anopheles_sialome/links/cluster-b/anopheline-sialome-cds-pep-larger-orf85-50SimCLU35.txt", 35)</f>
        <v>35</v>
      </c>
      <c r="CK767">
        <f>HYPERLINK("http://exon.niaid.nih.gov/transcriptome/Anopheles_sialome/links/cluster-b/anopheline-sialome-cds-pep-larger-orf85-50SimCLTL35.txt", 6)</f>
        <v>6</v>
      </c>
      <c r="CL767">
        <f>HYPERLINK("http://exon.niaid.nih.gov/transcriptome/Anopheles_sialome/links/cluster-b/anopheline-sialome-cds-pep-larger-orf90-50SimCLU27.txt", 27)</f>
        <v>27</v>
      </c>
      <c r="CM767">
        <f>HYPERLINK("http://exon.niaid.nih.gov/transcriptome/Anopheles_sialome/links/cluster-b/anopheline-sialome-cds-pep-larger-orf90-50SimCLTL27.txt", 6)</f>
        <v>6</v>
      </c>
      <c r="CN767">
        <f>HYPERLINK("http://exon.niaid.nih.gov/transcriptome/Anopheles_sialome/links/cluster-b/anopheline-sialome-cds-pep-larger-orf95-50SimCLU47.txt", 47)</f>
        <v>47</v>
      </c>
      <c r="CO767">
        <f>HYPERLINK("http://exon.niaid.nih.gov/transcriptome/Anopheles_sialome/links/cluster-b/anopheline-sialome-cds-pep-larger-orf95-50SimCLTL47.txt", 4)</f>
        <v>4</v>
      </c>
    </row>
    <row r="768" spans="1:93">
      <c r="A768" s="2" t="str">
        <f>HYPERLINK("http://exon.niaid.nih.gov/transcriptome/Anopheles_sialome/links/cds/anoara_hyp12-cds.txt","anoara_hyp12")</f>
        <v>anoara_hyp12</v>
      </c>
      <c r="B768">
        <v>279</v>
      </c>
      <c r="C768" t="s">
        <v>274</v>
      </c>
      <c r="D768" t="s">
        <v>4</v>
      </c>
      <c r="E768" t="s">
        <v>5</v>
      </c>
      <c r="F768" t="s">
        <v>1</v>
      </c>
      <c r="G768" t="str">
        <f>HYPERLINK("http://exon.niaid.nih.gov/transcriptome/Anopheles_sialome/links/pep/anoara_hyp12-pep.txt","anoara_hyp12")</f>
        <v>anoara_hyp12</v>
      </c>
      <c r="H768">
        <v>92</v>
      </c>
      <c r="I768">
        <v>2</v>
      </c>
      <c r="J768" s="3" t="str">
        <f>HYPERLINK("http://exon.niaid.nih.gov/transcriptome/Anopheles_sialome/links/Sigp/anoara_hyp12-SigP.txt","SIG")</f>
        <v>SIG</v>
      </c>
      <c r="K768" t="s">
        <v>689</v>
      </c>
      <c r="L768">
        <v>10.14</v>
      </c>
      <c r="M768">
        <v>4.7</v>
      </c>
      <c r="N768">
        <v>7.9329999999999998</v>
      </c>
      <c r="O768">
        <v>4.47</v>
      </c>
      <c r="P768" t="s">
        <v>1386</v>
      </c>
      <c r="Q768" s="3">
        <v>0</v>
      </c>
      <c r="R768" t="s">
        <v>128</v>
      </c>
      <c r="S768" t="s">
        <v>128</v>
      </c>
      <c r="T768" t="s">
        <v>128</v>
      </c>
      <c r="U768" t="s">
        <v>128</v>
      </c>
      <c r="V768" t="s">
        <v>128</v>
      </c>
      <c r="W768" s="3" t="str">
        <f>HYPERLINK("http://exon.niaid.nih.gov/transcriptome/Anopheles_sialome/links/netoglyc/anoara_hyp12-netoglyc.txt","0")</f>
        <v>0</v>
      </c>
      <c r="X768">
        <v>12</v>
      </c>
      <c r="Y768">
        <v>4.3</v>
      </c>
      <c r="Z768">
        <v>2.2000000000000002</v>
      </c>
      <c r="AA768" t="s">
        <v>654</v>
      </c>
      <c r="AB768" t="s">
        <v>128</v>
      </c>
      <c r="AC768" s="2" t="str">
        <f>HYPERLINK("http://exon.niaid.nih.gov/transcriptome/Anopheles_sialome/links/DIPTERA/anoara_hyp12-DIPTERA.txt","AGAP008306-PA")</f>
        <v>AGAP008306-PA</v>
      </c>
      <c r="AD768" t="str">
        <f>HYPERLINK("http://www.ncbi.nlm.nih.gov/sutils/blink.cgi?pid=21300459","6E-048")</f>
        <v>6E-048</v>
      </c>
      <c r="AE768" t="str">
        <f t="shared" si="259"/>
        <v>gi|21300459</v>
      </c>
      <c r="AF768">
        <v>100</v>
      </c>
      <c r="AG768">
        <v>100</v>
      </c>
      <c r="AH768">
        <v>100</v>
      </c>
      <c r="AI768" t="s">
        <v>2285</v>
      </c>
      <c r="AJ768" s="2" t="s">
        <v>128</v>
      </c>
      <c r="AK768" t="s">
        <v>128</v>
      </c>
      <c r="AL768" t="s">
        <v>128</v>
      </c>
      <c r="AM768" t="s">
        <v>128</v>
      </c>
      <c r="AN768" t="s">
        <v>128</v>
      </c>
      <c r="AO768" t="s">
        <v>128</v>
      </c>
      <c r="AP768" t="s">
        <v>128</v>
      </c>
      <c r="AQ768" s="2" t="str">
        <f>HYPERLINK("http://exon.niaid.nih.gov/transcriptome/Anopheles_sialome/links/NR-LIGHT/anoara_hyp12-NR-LIGHT.txt","AGAP008306-PA")</f>
        <v>AGAP008306-PA</v>
      </c>
      <c r="AR768" t="str">
        <f>HYPERLINK("http://www.ncbi.nlm.nih.gov/sutils/blink.cgi?pid=31222305","2E-047")</f>
        <v>2E-047</v>
      </c>
      <c r="AS768" t="str">
        <f t="shared" si="260"/>
        <v>gi|31222305</v>
      </c>
      <c r="AT768">
        <v>100</v>
      </c>
      <c r="AU768">
        <v>100</v>
      </c>
      <c r="AV768">
        <v>100</v>
      </c>
      <c r="AW768" t="s">
        <v>2285</v>
      </c>
      <c r="AX768" s="2" t="str">
        <f>HYPERLINK("http://exon.niaid.nih.gov/transcriptome/Anopheles_sialome/links/CDD/anoara_hyp12-CDD.txt","PLN02990")</f>
        <v>PLN02990</v>
      </c>
      <c r="AY768" t="str">
        <f>HYPERLINK("http://www.ncbi.nlm.nih.gov/Structure/cdd/cddsrv.cgi?uid=PLN02990&amp;version=v4.0","0.13")</f>
        <v>0.13</v>
      </c>
      <c r="AZ768" t="s">
        <v>2678</v>
      </c>
      <c r="BA768" s="2" t="str">
        <f>HYPERLINK("http://exon.niaid.nih.gov/transcriptome/Anopheles_sialome/links/KOG/anoara_hyp12-KOG.txt","Beta-tubulin folding cofactor A")</f>
        <v>Beta-tubulin folding cofactor A</v>
      </c>
      <c r="BB768" t="str">
        <f>HYPERLINK("http://www.ncbi.nlm.nih.gov/Structure/cdd/cddsrv.cgi?uid=KOG3470","0.93")</f>
        <v>0.93</v>
      </c>
      <c r="BC768" t="s">
        <v>2296</v>
      </c>
      <c r="BD768" t="str">
        <f>HYPERLINK("http://exon.niaid.nih.gov/transcriptome/Anopheles_sialome/links/KOG/anoara_hyp12-KOG.txt","KOG3470")</f>
        <v>KOG3470</v>
      </c>
      <c r="BE768" t="str">
        <f>HYPERLINK("http://exon.niaid.nih.gov/transcriptome/Anopheles_sialome/links/PFAM/anoara_hyp12-PFAM.txt","JHBP")</f>
        <v>JHBP</v>
      </c>
      <c r="BF768" t="str">
        <f>HYPERLINK("http://pfam.sanger.ac.uk/family?acc=PF06585","1.6")</f>
        <v>1.6</v>
      </c>
      <c r="BG768" s="2" t="str">
        <f>HYPERLINK("http://exon.niaid.nih.gov/transcriptome/Anopheles_sialome/links/SMART/anoara_hyp12-SMART.txt","PKS_KS")</f>
        <v>PKS_KS</v>
      </c>
      <c r="BH768" t="str">
        <f>HYPERLINK("http://smart.embl-heidelberg.de/smart/do_annotation.pl?DOMAIN=PKS_KS&amp;BLAST=DUMMY","3.5")</f>
        <v>3.5</v>
      </c>
      <c r="BI768" t="str">
        <f>HYPERLINK("http://exon.niaid.nih.gov/transcriptome/Anopheles_sialome/links/TICK-BLOCKS/anoara_hyp12-TICK-BLOCKS.txt","hyp10_hyp12_anopheline_family |")</f>
        <v>hyp10_hyp12_anopheline_family |</v>
      </c>
      <c r="BJ768" s="2" t="s">
        <v>2662</v>
      </c>
      <c r="BK768" t="s">
        <v>1389</v>
      </c>
      <c r="BL768">
        <f>HYPERLINK("http://exon.niaid.nih.gov/transcriptome/Anopheles_sialome/links/cluster-b/anopheline-sialome-cds-pep-larger-orf25-50SimCLU1.txt", 1)</f>
        <v>1</v>
      </c>
      <c r="BM768">
        <f>HYPERLINK("http://exon.niaid.nih.gov/transcriptome/Anopheles_sialome/links/cluster-b/anopheline-sialome-cds-pep-larger-orf25-50SimCLTL1.txt", 165)</f>
        <v>165</v>
      </c>
      <c r="BN768">
        <f>HYPERLINK("http://exon.niaid.nih.gov/transcriptome/Anopheles_sialome/links/cluster-b/anopheline-sialome-cds-pep-larger-orf30-50SimCLU1.txt", 1)</f>
        <v>1</v>
      </c>
      <c r="BO768">
        <f>HYPERLINK("http://exon.niaid.nih.gov/transcriptome/Anopheles_sialome/links/cluster-b/anopheline-sialome-cds-pep-larger-orf30-50SimCLTL1.txt", 165)</f>
        <v>165</v>
      </c>
      <c r="BP768">
        <f>HYPERLINK("http://exon.niaid.nih.gov/transcriptome/Anopheles_sialome/links/cluster-b/anopheline-sialome-cds-pep-larger-orf35-50SimCLU5.txt", 5)</f>
        <v>5</v>
      </c>
      <c r="BQ768">
        <f>HYPERLINK("http://exon.niaid.nih.gov/transcriptome/Anopheles_sialome/links/cluster-b/anopheline-sialome-cds-pep-larger-orf35-50SimCLTL5.txt", 61)</f>
        <v>61</v>
      </c>
      <c r="BR768">
        <f>HYPERLINK("http://exon.niaid.nih.gov/transcriptome/Anopheles_sialome/links/cluster-b/anopheline-sialome-cds-pep-larger-orf40-50SimCLU9.txt", 9)</f>
        <v>9</v>
      </c>
      <c r="BS768">
        <f>HYPERLINK("http://exon.niaid.nih.gov/transcriptome/Anopheles_sialome/links/cluster-b/anopheline-sialome-cds-pep-larger-orf40-50SimCLTL9.txt", 28)</f>
        <v>28</v>
      </c>
      <c r="BT768">
        <f>HYPERLINK("http://exon.niaid.nih.gov/transcriptome/Anopheles_sialome/links/cluster-b/anopheline-sialome-cds-pep-larger-orf45-50SimCLU8.txt", 8)</f>
        <v>8</v>
      </c>
      <c r="BU768">
        <f>HYPERLINK("http://exon.niaid.nih.gov/transcriptome/Anopheles_sialome/links/cluster-b/anopheline-sialome-cds-pep-larger-orf45-50SimCLTL8.txt", 28)</f>
        <v>28</v>
      </c>
      <c r="BV768">
        <f>HYPERLINK("http://exon.niaid.nih.gov/transcriptome/Anopheles_sialome/links/cluster-b/anopheline-sialome-cds-pep-larger-orf50-50SimCLU8.txt", 8)</f>
        <v>8</v>
      </c>
      <c r="BW768">
        <f>HYPERLINK("http://exon.niaid.nih.gov/transcriptome/Anopheles_sialome/links/cluster-b/anopheline-sialome-cds-pep-larger-orf50-50SimCLTL8.txt", 28)</f>
        <v>28</v>
      </c>
      <c r="BX768">
        <f>HYPERLINK("http://exon.niaid.nih.gov/transcriptome/Anopheles_sialome/links/cluster-b/anopheline-sialome-cds-pep-larger-orf55-50SimCLU8.txt", 8)</f>
        <v>8</v>
      </c>
      <c r="BY768">
        <f>HYPERLINK("http://exon.niaid.nih.gov/transcriptome/Anopheles_sialome/links/cluster-b/anopheline-sialome-cds-pep-larger-orf55-50SimCLTL8.txt", 28)</f>
        <v>28</v>
      </c>
      <c r="BZ768">
        <f>HYPERLINK("http://exon.niaid.nih.gov/transcriptome/Anopheles_sialome/links/cluster-b/anopheline-sialome-cds-pep-larger-orf60-50SimCLU6.txt", 6)</f>
        <v>6</v>
      </c>
      <c r="CA768">
        <f>HYPERLINK("http://exon.niaid.nih.gov/transcriptome/Anopheles_sialome/links/cluster-b/anopheline-sialome-cds-pep-larger-orf60-50SimCLTL6.txt", 28)</f>
        <v>28</v>
      </c>
      <c r="CB768">
        <f>HYPERLINK("http://exon.niaid.nih.gov/transcriptome/Anopheles_sialome/links/cluster-b/anopheline-sialome-cds-pep-larger-orf65-50SimCLU32.txt", 32)</f>
        <v>32</v>
      </c>
      <c r="CC768">
        <f>HYPERLINK("http://exon.niaid.nih.gov/transcriptome/Anopheles_sialome/links/cluster-b/anopheline-sialome-cds-pep-larger-orf65-50SimCLTL32.txt", 14)</f>
        <v>14</v>
      </c>
      <c r="CD768">
        <f>HYPERLINK("http://exon.niaid.nih.gov/transcriptome/Anopheles_sialome/links/cluster-b/anopheline-sialome-cds-pep-larger-orf70-50SimCLU31.txt", 31)</f>
        <v>31</v>
      </c>
      <c r="CE768">
        <f>HYPERLINK("http://exon.niaid.nih.gov/transcriptome/Anopheles_sialome/links/cluster-b/anopheline-sialome-cds-pep-larger-orf70-50SimCLTL31.txt", 14)</f>
        <v>14</v>
      </c>
      <c r="CF768">
        <f>HYPERLINK("http://exon.niaid.nih.gov/transcriptome/Anopheles_sialome/links/cluster-b/anopheline-sialome-cds-pep-larger-orf75-50SimCLU29.txt", 29)</f>
        <v>29</v>
      </c>
      <c r="CG768">
        <f>HYPERLINK("http://exon.niaid.nih.gov/transcriptome/Anopheles_sialome/links/cluster-b/anopheline-sialome-cds-pep-larger-orf75-50SimCLTL29.txt", 12)</f>
        <v>12</v>
      </c>
      <c r="CH768">
        <f>HYPERLINK("http://exon.niaid.nih.gov/transcriptome/Anopheles_sialome/links/cluster-b/anopheline-sialome-cds-pep-larger-orf80-50SimCLU31.txt", 31)</f>
        <v>31</v>
      </c>
      <c r="CI768">
        <f>HYPERLINK("http://exon.niaid.nih.gov/transcriptome/Anopheles_sialome/links/cluster-b/anopheline-sialome-cds-pep-larger-orf80-50SimCLTL31.txt", 7)</f>
        <v>7</v>
      </c>
      <c r="CJ768">
        <f>HYPERLINK("http://exon.niaid.nih.gov/transcriptome/Anopheles_sialome/links/cluster-b/anopheline-sialome-cds-pep-larger-orf85-50SimCLU35.txt", 35)</f>
        <v>35</v>
      </c>
      <c r="CK768">
        <f>HYPERLINK("http://exon.niaid.nih.gov/transcriptome/Anopheles_sialome/links/cluster-b/anopheline-sialome-cds-pep-larger-orf85-50SimCLTL35.txt", 6)</f>
        <v>6</v>
      </c>
      <c r="CL768">
        <f>HYPERLINK("http://exon.niaid.nih.gov/transcriptome/Anopheles_sialome/links/cluster-b/anopheline-sialome-cds-pep-larger-orf90-50SimCLU27.txt", 27)</f>
        <v>27</v>
      </c>
      <c r="CM768">
        <f>HYPERLINK("http://exon.niaid.nih.gov/transcriptome/Anopheles_sialome/links/cluster-b/anopheline-sialome-cds-pep-larger-orf90-50SimCLTL27.txt", 6)</f>
        <v>6</v>
      </c>
      <c r="CN768">
        <f>HYPERLINK("http://exon.niaid.nih.gov/transcriptome/Anopheles_sialome/links/cluster-b/anopheline-sialome-cds-pep-larger-orf95-50SimCLU47.txt", 47)</f>
        <v>47</v>
      </c>
      <c r="CO768">
        <f>HYPERLINK("http://exon.niaid.nih.gov/transcriptome/Anopheles_sialome/links/cluster-b/anopheline-sialome-cds-pep-larger-orf95-50SimCLTL47.txt", 4)</f>
        <v>4</v>
      </c>
    </row>
    <row r="769" spans="1:93">
      <c r="A769" s="2" t="str">
        <f>HYPERLINK("http://exon.niaid.nih.gov/transcriptome/Anopheles_sialome/links/cds/anoqua_hyp12-cds.txt","anoqua_hyp12")</f>
        <v>anoqua_hyp12</v>
      </c>
      <c r="B769">
        <v>279</v>
      </c>
      <c r="C769" t="s">
        <v>275</v>
      </c>
      <c r="D769" t="s">
        <v>4</v>
      </c>
      <c r="E769" t="s">
        <v>5</v>
      </c>
      <c r="F769" t="s">
        <v>1</v>
      </c>
      <c r="G769" t="str">
        <f>HYPERLINK("http://exon.niaid.nih.gov/transcriptome/Anopheles_sialome/links/pep/anoqua_hyp12-pep.txt","anoqua_hyp12")</f>
        <v>anoqua_hyp12</v>
      </c>
      <c r="H769">
        <v>92</v>
      </c>
      <c r="I769">
        <v>2</v>
      </c>
      <c r="J769" s="3" t="str">
        <f>HYPERLINK("http://exon.niaid.nih.gov/transcriptome/Anopheles_sialome/links/Sigp/anoqua_hyp12-SigP.txt","SIG")</f>
        <v>SIG</v>
      </c>
      <c r="K769" t="s">
        <v>689</v>
      </c>
      <c r="L769">
        <v>10.183</v>
      </c>
      <c r="M769">
        <v>4.7</v>
      </c>
      <c r="N769">
        <v>7.9470000000000001</v>
      </c>
      <c r="O769">
        <v>4.47</v>
      </c>
      <c r="P769" t="s">
        <v>678</v>
      </c>
      <c r="Q769" s="3">
        <v>0</v>
      </c>
      <c r="R769" t="s">
        <v>128</v>
      </c>
      <c r="S769" t="s">
        <v>128</v>
      </c>
      <c r="T769" t="s">
        <v>128</v>
      </c>
      <c r="U769" t="s">
        <v>128</v>
      </c>
      <c r="V769" t="s">
        <v>128</v>
      </c>
      <c r="W769" s="3" t="str">
        <f>HYPERLINK("http://exon.niaid.nih.gov/transcriptome/Anopheles_sialome/links/netoglyc/anoqua_hyp12-netoglyc.txt","0")</f>
        <v>0</v>
      </c>
      <c r="X769">
        <v>12</v>
      </c>
      <c r="Y769">
        <v>4.3</v>
      </c>
      <c r="Z769">
        <v>2.2000000000000002</v>
      </c>
      <c r="AA769" t="s">
        <v>654</v>
      </c>
      <c r="AB769" t="s">
        <v>128</v>
      </c>
      <c r="AC769" s="2" t="str">
        <f>HYPERLINK("http://exon.niaid.nih.gov/transcriptome/Anopheles_sialome/links/DIPTERA/anoqua_hyp12-DIPTERA.txt","AGAP008306-PA")</f>
        <v>AGAP008306-PA</v>
      </c>
      <c r="AD769" t="str">
        <f>HYPERLINK("http://www.ncbi.nlm.nih.gov/sutils/blink.cgi?pid=21300459","4E-047")</f>
        <v>4E-047</v>
      </c>
      <c r="AE769" t="str">
        <f t="shared" si="259"/>
        <v>gi|21300459</v>
      </c>
      <c r="AF769">
        <v>97</v>
      </c>
      <c r="AG769">
        <v>98</v>
      </c>
      <c r="AH769">
        <v>100</v>
      </c>
      <c r="AI769" t="s">
        <v>2285</v>
      </c>
      <c r="AJ769" s="2" t="s">
        <v>128</v>
      </c>
      <c r="AK769" t="s">
        <v>128</v>
      </c>
      <c r="AL769" t="s">
        <v>128</v>
      </c>
      <c r="AM769" t="s">
        <v>128</v>
      </c>
      <c r="AN769" t="s">
        <v>128</v>
      </c>
      <c r="AO769" t="s">
        <v>128</v>
      </c>
      <c r="AP769" t="s">
        <v>128</v>
      </c>
      <c r="AQ769" s="2" t="str">
        <f>HYPERLINK("http://exon.niaid.nih.gov/transcriptome/Anopheles_sialome/links/NR-LIGHT/anoqua_hyp12-NR-LIGHT.txt","AGAP008306-PA")</f>
        <v>AGAP008306-PA</v>
      </c>
      <c r="AR769" t="str">
        <f>HYPERLINK("http://www.ncbi.nlm.nih.gov/sutils/blink.cgi?pid=31222305","1E-046")</f>
        <v>1E-046</v>
      </c>
      <c r="AS769" t="str">
        <f t="shared" si="260"/>
        <v>gi|31222305</v>
      </c>
      <c r="AT769">
        <v>97</v>
      </c>
      <c r="AU769">
        <v>98</v>
      </c>
      <c r="AV769">
        <v>100</v>
      </c>
      <c r="AW769" t="s">
        <v>2285</v>
      </c>
      <c r="AX769" s="2" t="str">
        <f>HYPERLINK("http://exon.niaid.nih.gov/transcriptome/Anopheles_sialome/links/CDD/anoqua_hyp12-CDD.txt","PLN02990")</f>
        <v>PLN02990</v>
      </c>
      <c r="AY769" t="str">
        <f>HYPERLINK("http://www.ncbi.nlm.nih.gov/Structure/cdd/cddsrv.cgi?uid=PLN02990&amp;version=v4.0","0.18")</f>
        <v>0.18</v>
      </c>
      <c r="AZ769" t="s">
        <v>2680</v>
      </c>
      <c r="BA769" s="2" t="str">
        <f>HYPERLINK("http://exon.niaid.nih.gov/transcriptome/Anopheles_sialome/links/KOG/anoqua_hyp12-KOG.txt","Beta-tubulin folding cofactor A")</f>
        <v>Beta-tubulin folding cofactor A</v>
      </c>
      <c r="BB769" t="str">
        <f>HYPERLINK("http://www.ncbi.nlm.nih.gov/Structure/cdd/cddsrv.cgi?uid=KOG3470","0.91")</f>
        <v>0.91</v>
      </c>
      <c r="BC769" t="s">
        <v>2296</v>
      </c>
      <c r="BD769" t="str">
        <f>HYPERLINK("http://exon.niaid.nih.gov/transcriptome/Anopheles_sialome/links/KOG/anoqua_hyp12-KOG.txt","KOG3470")</f>
        <v>KOG3470</v>
      </c>
      <c r="BE769" t="str">
        <f>HYPERLINK("http://exon.niaid.nih.gov/transcriptome/Anopheles_sialome/links/PFAM/anoqua_hyp12-PFAM.txt","JHBP")</f>
        <v>JHBP</v>
      </c>
      <c r="BF769" t="str">
        <f>HYPERLINK("http://pfam.sanger.ac.uk/family?acc=PF06585","1.1")</f>
        <v>1.1</v>
      </c>
      <c r="BG769" s="2" t="str">
        <f>HYPERLINK("http://exon.niaid.nih.gov/transcriptome/Anopheles_sialome/links/SMART/anoqua_hyp12-SMART.txt","PKS_KS")</f>
        <v>PKS_KS</v>
      </c>
      <c r="BH769" t="str">
        <f>HYPERLINK("http://smart.embl-heidelberg.de/smart/do_annotation.pl?DOMAIN=PKS_KS&amp;BLAST=DUMMY","3.3")</f>
        <v>3.3</v>
      </c>
      <c r="BI769" t="str">
        <f>HYPERLINK("http://exon.niaid.nih.gov/transcriptome/Anopheles_sialome/links/TICK-BLOCKS/anoqua_hyp12-TICK-BLOCKS.txt","hyp10_hyp12_anopheline_family |")</f>
        <v>hyp10_hyp12_anopheline_family |</v>
      </c>
      <c r="BJ769" s="2" t="s">
        <v>2662</v>
      </c>
      <c r="BK769" t="s">
        <v>1390</v>
      </c>
      <c r="BL769">
        <f>HYPERLINK("http://exon.niaid.nih.gov/transcriptome/Anopheles_sialome/links/cluster-b/anopheline-sialome-cds-pep-larger-orf25-50SimCLU1.txt", 1)</f>
        <v>1</v>
      </c>
      <c r="BM769">
        <f>HYPERLINK("http://exon.niaid.nih.gov/transcriptome/Anopheles_sialome/links/cluster-b/anopheline-sialome-cds-pep-larger-orf25-50SimCLTL1.txt", 165)</f>
        <v>165</v>
      </c>
      <c r="BN769">
        <f>HYPERLINK("http://exon.niaid.nih.gov/transcriptome/Anopheles_sialome/links/cluster-b/anopheline-sialome-cds-pep-larger-orf30-50SimCLU1.txt", 1)</f>
        <v>1</v>
      </c>
      <c r="BO769">
        <f>HYPERLINK("http://exon.niaid.nih.gov/transcriptome/Anopheles_sialome/links/cluster-b/anopheline-sialome-cds-pep-larger-orf30-50SimCLTL1.txt", 165)</f>
        <v>165</v>
      </c>
      <c r="BP769">
        <f>HYPERLINK("http://exon.niaid.nih.gov/transcriptome/Anopheles_sialome/links/cluster-b/anopheline-sialome-cds-pep-larger-orf35-50SimCLU5.txt", 5)</f>
        <v>5</v>
      </c>
      <c r="BQ769">
        <f>HYPERLINK("http://exon.niaid.nih.gov/transcriptome/Anopheles_sialome/links/cluster-b/anopheline-sialome-cds-pep-larger-orf35-50SimCLTL5.txt", 61)</f>
        <v>61</v>
      </c>
      <c r="BR769">
        <f>HYPERLINK("http://exon.niaid.nih.gov/transcriptome/Anopheles_sialome/links/cluster-b/anopheline-sialome-cds-pep-larger-orf40-50SimCLU9.txt", 9)</f>
        <v>9</v>
      </c>
      <c r="BS769">
        <f>HYPERLINK("http://exon.niaid.nih.gov/transcriptome/Anopheles_sialome/links/cluster-b/anopheline-sialome-cds-pep-larger-orf40-50SimCLTL9.txt", 28)</f>
        <v>28</v>
      </c>
      <c r="BT769">
        <f>HYPERLINK("http://exon.niaid.nih.gov/transcriptome/Anopheles_sialome/links/cluster-b/anopheline-sialome-cds-pep-larger-orf45-50SimCLU8.txt", 8)</f>
        <v>8</v>
      </c>
      <c r="BU769">
        <f>HYPERLINK("http://exon.niaid.nih.gov/transcriptome/Anopheles_sialome/links/cluster-b/anopheline-sialome-cds-pep-larger-orf45-50SimCLTL8.txt", 28)</f>
        <v>28</v>
      </c>
      <c r="BV769">
        <f>HYPERLINK("http://exon.niaid.nih.gov/transcriptome/Anopheles_sialome/links/cluster-b/anopheline-sialome-cds-pep-larger-orf50-50SimCLU8.txt", 8)</f>
        <v>8</v>
      </c>
      <c r="BW769">
        <f>HYPERLINK("http://exon.niaid.nih.gov/transcriptome/Anopheles_sialome/links/cluster-b/anopheline-sialome-cds-pep-larger-orf50-50SimCLTL8.txt", 28)</f>
        <v>28</v>
      </c>
      <c r="BX769">
        <f>HYPERLINK("http://exon.niaid.nih.gov/transcriptome/Anopheles_sialome/links/cluster-b/anopheline-sialome-cds-pep-larger-orf55-50SimCLU8.txt", 8)</f>
        <v>8</v>
      </c>
      <c r="BY769">
        <f>HYPERLINK("http://exon.niaid.nih.gov/transcriptome/Anopheles_sialome/links/cluster-b/anopheline-sialome-cds-pep-larger-orf55-50SimCLTL8.txt", 28)</f>
        <v>28</v>
      </c>
      <c r="BZ769">
        <f>HYPERLINK("http://exon.niaid.nih.gov/transcriptome/Anopheles_sialome/links/cluster-b/anopheline-sialome-cds-pep-larger-orf60-50SimCLU6.txt", 6)</f>
        <v>6</v>
      </c>
      <c r="CA769">
        <f>HYPERLINK("http://exon.niaid.nih.gov/transcriptome/Anopheles_sialome/links/cluster-b/anopheline-sialome-cds-pep-larger-orf60-50SimCLTL6.txt", 28)</f>
        <v>28</v>
      </c>
      <c r="CB769">
        <f>HYPERLINK("http://exon.niaid.nih.gov/transcriptome/Anopheles_sialome/links/cluster-b/anopheline-sialome-cds-pep-larger-orf65-50SimCLU32.txt", 32)</f>
        <v>32</v>
      </c>
      <c r="CC769">
        <f>HYPERLINK("http://exon.niaid.nih.gov/transcriptome/Anopheles_sialome/links/cluster-b/anopheline-sialome-cds-pep-larger-orf65-50SimCLTL32.txt", 14)</f>
        <v>14</v>
      </c>
      <c r="CD769">
        <f>HYPERLINK("http://exon.niaid.nih.gov/transcriptome/Anopheles_sialome/links/cluster-b/anopheline-sialome-cds-pep-larger-orf70-50SimCLU31.txt", 31)</f>
        <v>31</v>
      </c>
      <c r="CE769">
        <f>HYPERLINK("http://exon.niaid.nih.gov/transcriptome/Anopheles_sialome/links/cluster-b/anopheline-sialome-cds-pep-larger-orf70-50SimCLTL31.txt", 14)</f>
        <v>14</v>
      </c>
      <c r="CF769">
        <f>HYPERLINK("http://exon.niaid.nih.gov/transcriptome/Anopheles_sialome/links/cluster-b/anopheline-sialome-cds-pep-larger-orf75-50SimCLU29.txt", 29)</f>
        <v>29</v>
      </c>
      <c r="CG769">
        <f>HYPERLINK("http://exon.niaid.nih.gov/transcriptome/Anopheles_sialome/links/cluster-b/anopheline-sialome-cds-pep-larger-orf75-50SimCLTL29.txt", 12)</f>
        <v>12</v>
      </c>
      <c r="CH769">
        <f>HYPERLINK("http://exon.niaid.nih.gov/transcriptome/Anopheles_sialome/links/cluster-b/anopheline-sialome-cds-pep-larger-orf80-50SimCLU31.txt", 31)</f>
        <v>31</v>
      </c>
      <c r="CI769">
        <f>HYPERLINK("http://exon.niaid.nih.gov/transcriptome/Anopheles_sialome/links/cluster-b/anopheline-sialome-cds-pep-larger-orf80-50SimCLTL31.txt", 7)</f>
        <v>7</v>
      </c>
      <c r="CJ769">
        <f>HYPERLINK("http://exon.niaid.nih.gov/transcriptome/Anopheles_sialome/links/cluster-b/anopheline-sialome-cds-pep-larger-orf85-50SimCLU35.txt", 35)</f>
        <v>35</v>
      </c>
      <c r="CK769">
        <f>HYPERLINK("http://exon.niaid.nih.gov/transcriptome/Anopheles_sialome/links/cluster-b/anopheline-sialome-cds-pep-larger-orf85-50SimCLTL35.txt", 6)</f>
        <v>6</v>
      </c>
      <c r="CL769">
        <f>HYPERLINK("http://exon.niaid.nih.gov/transcriptome/Anopheles_sialome/links/cluster-b/anopheline-sialome-cds-pep-larger-orf90-50SimCLU27.txt", 27)</f>
        <v>27</v>
      </c>
      <c r="CM769">
        <f>HYPERLINK("http://exon.niaid.nih.gov/transcriptome/Anopheles_sialome/links/cluster-b/anopheline-sialome-cds-pep-larger-orf90-50SimCLTL27.txt", 6)</f>
        <v>6</v>
      </c>
      <c r="CN769">
        <f>HYPERLINK("http://exon.niaid.nih.gov/transcriptome/Anopheles_sialome/links/cluster-b/anopheline-sialome-cds-pep-larger-orf95-50SimCLU47.txt", 47)</f>
        <v>47</v>
      </c>
      <c r="CO769">
        <f>HYPERLINK("http://exon.niaid.nih.gov/transcriptome/Anopheles_sialome/links/cluster-b/anopheline-sialome-cds-pep-larger-orf95-50SimCLTL47.txt", 4)</f>
        <v>4</v>
      </c>
    </row>
    <row r="770" spans="1:93">
      <c r="A770" s="2" t="str">
        <f>HYPERLINK("http://exon.niaid.nih.gov/transcriptome/Anopheles_sialome/links/cds/anomer_hyp12-cds.txt","anomer_hyp12")</f>
        <v>anomer_hyp12</v>
      </c>
      <c r="B770">
        <v>276</v>
      </c>
      <c r="C770" t="s">
        <v>276</v>
      </c>
      <c r="D770" t="s">
        <v>4</v>
      </c>
      <c r="E770" t="s">
        <v>5</v>
      </c>
      <c r="F770" t="s">
        <v>1</v>
      </c>
      <c r="G770" t="str">
        <f>HYPERLINK("http://exon.niaid.nih.gov/transcriptome/Anopheles_sialome/links/pep/anomer_hyp12-pep.txt","anomer_hyp12")</f>
        <v>anomer_hyp12</v>
      </c>
      <c r="H770">
        <v>91</v>
      </c>
      <c r="I770">
        <v>2</v>
      </c>
      <c r="J770" s="3" t="str">
        <f>HYPERLINK("http://exon.niaid.nih.gov/transcriptome/Anopheles_sialome/links/Sigp/anomer_hyp12-SigP.txt","SIG")</f>
        <v>SIG</v>
      </c>
      <c r="K770" t="s">
        <v>689</v>
      </c>
      <c r="L770">
        <v>9.9930000000000003</v>
      </c>
      <c r="M770">
        <v>4.47</v>
      </c>
      <c r="N770">
        <v>7.806</v>
      </c>
      <c r="O770">
        <v>4.2699999999999996</v>
      </c>
      <c r="P770" t="s">
        <v>1392</v>
      </c>
      <c r="Q770" s="3">
        <v>0</v>
      </c>
      <c r="R770" t="s">
        <v>128</v>
      </c>
      <c r="S770" t="s">
        <v>128</v>
      </c>
      <c r="T770" t="s">
        <v>128</v>
      </c>
      <c r="U770" t="s">
        <v>128</v>
      </c>
      <c r="V770" t="s">
        <v>128</v>
      </c>
      <c r="W770" s="3" t="str">
        <f>HYPERLINK("http://exon.niaid.nih.gov/transcriptome/Anopheles_sialome/links/netoglyc/anomer_hyp12-netoglyc.txt","0")</f>
        <v>0</v>
      </c>
      <c r="X770">
        <v>9.9</v>
      </c>
      <c r="Y770">
        <v>5.5</v>
      </c>
      <c r="Z770">
        <v>2.2000000000000002</v>
      </c>
      <c r="AA770" t="s">
        <v>654</v>
      </c>
      <c r="AB770" t="s">
        <v>128</v>
      </c>
      <c r="AC770" s="2" t="str">
        <f>HYPERLINK("http://exon.niaid.nih.gov/transcriptome/Anopheles_sialome/links/DIPTERA/anomer_hyp12-DIPTERA.txt","AGAP008306-PA")</f>
        <v>AGAP008306-PA</v>
      </c>
      <c r="AD770" t="str">
        <f>HYPERLINK("http://www.ncbi.nlm.nih.gov/sutils/blink.cgi?pid=21300459","4E-043")</f>
        <v>4E-043</v>
      </c>
      <c r="AE770" t="str">
        <f t="shared" si="259"/>
        <v>gi|21300459</v>
      </c>
      <c r="AF770">
        <v>93</v>
      </c>
      <c r="AG770">
        <v>94</v>
      </c>
      <c r="AH770">
        <v>100</v>
      </c>
      <c r="AI770" t="s">
        <v>2285</v>
      </c>
      <c r="AJ770" s="2" t="s">
        <v>128</v>
      </c>
      <c r="AK770" t="s">
        <v>128</v>
      </c>
      <c r="AL770" t="s">
        <v>128</v>
      </c>
      <c r="AM770" t="s">
        <v>128</v>
      </c>
      <c r="AN770" t="s">
        <v>128</v>
      </c>
      <c r="AO770" t="s">
        <v>128</v>
      </c>
      <c r="AP770" t="s">
        <v>128</v>
      </c>
      <c r="AQ770" s="2" t="str">
        <f>HYPERLINK("http://exon.niaid.nih.gov/transcriptome/Anopheles_sialome/links/NR-LIGHT/anomer_hyp12-NR-LIGHT.txt","AGAP008306-PA")</f>
        <v>AGAP008306-PA</v>
      </c>
      <c r="AR770" t="str">
        <f>HYPERLINK("http://www.ncbi.nlm.nih.gov/sutils/blink.cgi?pid=31222305","1E-042")</f>
        <v>1E-042</v>
      </c>
      <c r="AS770" t="str">
        <f t="shared" si="260"/>
        <v>gi|31222305</v>
      </c>
      <c r="AT770">
        <v>93</v>
      </c>
      <c r="AU770">
        <v>94</v>
      </c>
      <c r="AV770">
        <v>100</v>
      </c>
      <c r="AW770" t="s">
        <v>2285</v>
      </c>
      <c r="AX770" s="2" t="str">
        <f>HYPERLINK("http://exon.niaid.nih.gov/transcriptome/Anopheles_sialome/links/CDD/anomer_hyp12-CDD.txt","PLN02990")</f>
        <v>PLN02990</v>
      </c>
      <c r="AY770" t="str">
        <f>HYPERLINK("http://www.ncbi.nlm.nih.gov/Structure/cdd/cddsrv.cgi?uid=PLN02990&amp;version=v4.0","0.85")</f>
        <v>0.85</v>
      </c>
      <c r="AZ770" t="s">
        <v>2681</v>
      </c>
      <c r="BA770" s="2" t="str">
        <f>HYPERLINK("http://exon.niaid.nih.gov/transcriptome/Anopheles_sialome/links/KOG/anomer_hyp12-KOG.txt","Beta-tubulin folding cofactor A")</f>
        <v>Beta-tubulin folding cofactor A</v>
      </c>
      <c r="BB770" t="str">
        <f>HYPERLINK("http://www.ncbi.nlm.nih.gov/Structure/cdd/cddsrv.cgi?uid=KOG3470","1.00")</f>
        <v>1.00</v>
      </c>
      <c r="BC770" t="s">
        <v>2296</v>
      </c>
      <c r="BD770" t="str">
        <f>HYPERLINK("http://exon.niaid.nih.gov/transcriptome/Anopheles_sialome/links/KOG/anomer_hyp12-KOG.txt","KOG3470")</f>
        <v>KOG3470</v>
      </c>
      <c r="BE770" t="str">
        <f>HYPERLINK("http://exon.niaid.nih.gov/transcriptome/Anopheles_sialome/links/PFAM/anomer_hyp12-PFAM.txt","Flagellar_rod")</f>
        <v>Flagellar_rod</v>
      </c>
      <c r="BF770" t="str">
        <f>HYPERLINK("http://pfam.sanger.ac.uk/family?acc=PF05149","0.94")</f>
        <v>0.94</v>
      </c>
      <c r="BG770" s="2" t="str">
        <f>HYPERLINK("http://exon.niaid.nih.gov/transcriptome/Anopheles_sialome/links/SMART/anomer_hyp12-SMART.txt","PTX")</f>
        <v>PTX</v>
      </c>
      <c r="BH770" t="str">
        <f>HYPERLINK("http://smart.embl-heidelberg.de/smart/do_annotation.pl?DOMAIN=PTX&amp;BLAST=DUMMY","0.44")</f>
        <v>0.44</v>
      </c>
      <c r="BI770" t="str">
        <f>HYPERLINK("http://exon.niaid.nih.gov/transcriptome/Anopheles_sialome/links/TICK-BLOCKS/anomer_hyp12-TICK-BLOCKS.txt","hyp10_hyp12_anopheline_family |")</f>
        <v>hyp10_hyp12_anopheline_family |</v>
      </c>
      <c r="BJ770" s="2" t="s">
        <v>2662</v>
      </c>
      <c r="BK770" t="s">
        <v>1391</v>
      </c>
      <c r="BL770">
        <f>HYPERLINK("http://exon.niaid.nih.gov/transcriptome/Anopheles_sialome/links/cluster-b/anopheline-sialome-cds-pep-larger-orf25-50SimCLU1.txt", 1)</f>
        <v>1</v>
      </c>
      <c r="BM770">
        <f>HYPERLINK("http://exon.niaid.nih.gov/transcriptome/Anopheles_sialome/links/cluster-b/anopheline-sialome-cds-pep-larger-orf25-50SimCLTL1.txt", 165)</f>
        <v>165</v>
      </c>
      <c r="BN770">
        <f>HYPERLINK("http://exon.niaid.nih.gov/transcriptome/Anopheles_sialome/links/cluster-b/anopheline-sialome-cds-pep-larger-orf30-50SimCLU1.txt", 1)</f>
        <v>1</v>
      </c>
      <c r="BO770">
        <f>HYPERLINK("http://exon.niaid.nih.gov/transcriptome/Anopheles_sialome/links/cluster-b/anopheline-sialome-cds-pep-larger-orf30-50SimCLTL1.txt", 165)</f>
        <v>165</v>
      </c>
      <c r="BP770">
        <f>HYPERLINK("http://exon.niaid.nih.gov/transcriptome/Anopheles_sialome/links/cluster-b/anopheline-sialome-cds-pep-larger-orf35-50SimCLU5.txt", 5)</f>
        <v>5</v>
      </c>
      <c r="BQ770">
        <f>HYPERLINK("http://exon.niaid.nih.gov/transcriptome/Anopheles_sialome/links/cluster-b/anopheline-sialome-cds-pep-larger-orf35-50SimCLTL5.txt", 61)</f>
        <v>61</v>
      </c>
      <c r="BR770">
        <f>HYPERLINK("http://exon.niaid.nih.gov/transcriptome/Anopheles_sialome/links/cluster-b/anopheline-sialome-cds-pep-larger-orf40-50SimCLU9.txt", 9)</f>
        <v>9</v>
      </c>
      <c r="BS770">
        <f>HYPERLINK("http://exon.niaid.nih.gov/transcriptome/Anopheles_sialome/links/cluster-b/anopheline-sialome-cds-pep-larger-orf40-50SimCLTL9.txt", 28)</f>
        <v>28</v>
      </c>
      <c r="BT770">
        <f>HYPERLINK("http://exon.niaid.nih.gov/transcriptome/Anopheles_sialome/links/cluster-b/anopheline-sialome-cds-pep-larger-orf45-50SimCLU8.txt", 8)</f>
        <v>8</v>
      </c>
      <c r="BU770">
        <f>HYPERLINK("http://exon.niaid.nih.gov/transcriptome/Anopheles_sialome/links/cluster-b/anopheline-sialome-cds-pep-larger-orf45-50SimCLTL8.txt", 28)</f>
        <v>28</v>
      </c>
      <c r="BV770">
        <f>HYPERLINK("http://exon.niaid.nih.gov/transcriptome/Anopheles_sialome/links/cluster-b/anopheline-sialome-cds-pep-larger-orf50-50SimCLU8.txt", 8)</f>
        <v>8</v>
      </c>
      <c r="BW770">
        <f>HYPERLINK("http://exon.niaid.nih.gov/transcriptome/Anopheles_sialome/links/cluster-b/anopheline-sialome-cds-pep-larger-orf50-50SimCLTL8.txt", 28)</f>
        <v>28</v>
      </c>
      <c r="BX770">
        <f>HYPERLINK("http://exon.niaid.nih.gov/transcriptome/Anopheles_sialome/links/cluster-b/anopheline-sialome-cds-pep-larger-orf55-50SimCLU8.txt", 8)</f>
        <v>8</v>
      </c>
      <c r="BY770">
        <f>HYPERLINK("http://exon.niaid.nih.gov/transcriptome/Anopheles_sialome/links/cluster-b/anopheline-sialome-cds-pep-larger-orf55-50SimCLTL8.txt", 28)</f>
        <v>28</v>
      </c>
      <c r="BZ770">
        <f>HYPERLINK("http://exon.niaid.nih.gov/transcriptome/Anopheles_sialome/links/cluster-b/anopheline-sialome-cds-pep-larger-orf60-50SimCLU6.txt", 6)</f>
        <v>6</v>
      </c>
      <c r="CA770">
        <f>HYPERLINK("http://exon.niaid.nih.gov/transcriptome/Anopheles_sialome/links/cluster-b/anopheline-sialome-cds-pep-larger-orf60-50SimCLTL6.txt", 28)</f>
        <v>28</v>
      </c>
      <c r="CB770">
        <f>HYPERLINK("http://exon.niaid.nih.gov/transcriptome/Anopheles_sialome/links/cluster-b/anopheline-sialome-cds-pep-larger-orf65-50SimCLU32.txt", 32)</f>
        <v>32</v>
      </c>
      <c r="CC770">
        <f>HYPERLINK("http://exon.niaid.nih.gov/transcriptome/Anopheles_sialome/links/cluster-b/anopheline-sialome-cds-pep-larger-orf65-50SimCLTL32.txt", 14)</f>
        <v>14</v>
      </c>
      <c r="CD770">
        <f>HYPERLINK("http://exon.niaid.nih.gov/transcriptome/Anopheles_sialome/links/cluster-b/anopheline-sialome-cds-pep-larger-orf70-50SimCLU31.txt", 31)</f>
        <v>31</v>
      </c>
      <c r="CE770">
        <f>HYPERLINK("http://exon.niaid.nih.gov/transcriptome/Anopheles_sialome/links/cluster-b/anopheline-sialome-cds-pep-larger-orf70-50SimCLTL31.txt", 14)</f>
        <v>14</v>
      </c>
      <c r="CF770">
        <f>HYPERLINK("http://exon.niaid.nih.gov/transcriptome/Anopheles_sialome/links/cluster-b/anopheline-sialome-cds-pep-larger-orf75-50SimCLU29.txt", 29)</f>
        <v>29</v>
      </c>
      <c r="CG770">
        <f>HYPERLINK("http://exon.niaid.nih.gov/transcriptome/Anopheles_sialome/links/cluster-b/anopheline-sialome-cds-pep-larger-orf75-50SimCLTL29.txt", 12)</f>
        <v>12</v>
      </c>
      <c r="CH770">
        <f>HYPERLINK("http://exon.niaid.nih.gov/transcriptome/Anopheles_sialome/links/cluster-b/anopheline-sialome-cds-pep-larger-orf80-50SimCLU31.txt", 31)</f>
        <v>31</v>
      </c>
      <c r="CI770">
        <f>HYPERLINK("http://exon.niaid.nih.gov/transcriptome/Anopheles_sialome/links/cluster-b/anopheline-sialome-cds-pep-larger-orf80-50SimCLTL31.txt", 7)</f>
        <v>7</v>
      </c>
      <c r="CJ770">
        <f>HYPERLINK("http://exon.niaid.nih.gov/transcriptome/Anopheles_sialome/links/cluster-b/anopheline-sialome-cds-pep-larger-orf85-50SimCLU35.txt", 35)</f>
        <v>35</v>
      </c>
      <c r="CK770">
        <f>HYPERLINK("http://exon.niaid.nih.gov/transcriptome/Anopheles_sialome/links/cluster-b/anopheline-sialome-cds-pep-larger-orf85-50SimCLTL35.txt", 6)</f>
        <v>6</v>
      </c>
      <c r="CL770">
        <f>HYPERLINK("http://exon.niaid.nih.gov/transcriptome/Anopheles_sialome/links/cluster-b/anopheline-sialome-cds-pep-larger-orf90-50SimCLU27.txt", 27)</f>
        <v>27</v>
      </c>
      <c r="CM770">
        <f>HYPERLINK("http://exon.niaid.nih.gov/transcriptome/Anopheles_sialome/links/cluster-b/anopheline-sialome-cds-pep-larger-orf90-50SimCLTL27.txt", 6)</f>
        <v>6</v>
      </c>
      <c r="CN770">
        <v>281</v>
      </c>
      <c r="CO770">
        <v>1</v>
      </c>
    </row>
    <row r="771" spans="1:93">
      <c r="A771" s="2" t="str">
        <f>HYPERLINK("http://exon.niaid.nih.gov/transcriptome/Anopheles_sialome/links/cds/anomel_hyp12-cds.txt","anomel_hyp12")</f>
        <v>anomel_hyp12</v>
      </c>
      <c r="B771">
        <v>276</v>
      </c>
      <c r="C771" t="s">
        <v>4</v>
      </c>
      <c r="D771" s="8" t="s">
        <v>3178</v>
      </c>
      <c r="E771" t="s">
        <v>5</v>
      </c>
      <c r="F771" t="s">
        <v>1</v>
      </c>
      <c r="G771" t="str">
        <f>HYPERLINK("http://exon.niaid.nih.gov/transcriptome/Anopheles_sialome/links/pep/anomel_hyp12-pep.txt","anomel_hyp12")</f>
        <v>anomel_hyp12</v>
      </c>
      <c r="H771">
        <v>91</v>
      </c>
      <c r="I771">
        <v>2</v>
      </c>
      <c r="J771" s="3" t="str">
        <f>HYPERLINK("http://exon.niaid.nih.gov/transcriptome/Anopheles_sialome/links/Sigp/anomel_hyp12-SigP.txt","SIG")</f>
        <v>SIG</v>
      </c>
      <c r="K771" t="s">
        <v>689</v>
      </c>
      <c r="L771">
        <v>10.071</v>
      </c>
      <c r="M771">
        <v>4.5999999999999996</v>
      </c>
      <c r="N771">
        <v>7.8360000000000003</v>
      </c>
      <c r="O771">
        <v>4.53</v>
      </c>
      <c r="P771" t="s">
        <v>1394</v>
      </c>
      <c r="Q771" s="3">
        <v>0</v>
      </c>
      <c r="R771" t="s">
        <v>128</v>
      </c>
      <c r="S771" t="s">
        <v>128</v>
      </c>
      <c r="T771" t="s">
        <v>128</v>
      </c>
      <c r="U771" t="s">
        <v>128</v>
      </c>
      <c r="V771" t="s">
        <v>128</v>
      </c>
      <c r="W771" s="3" t="str">
        <f>HYPERLINK("http://exon.niaid.nih.gov/transcriptome/Anopheles_sialome/links/netoglyc/anomel_hyp12-netoglyc.txt","0")</f>
        <v>0</v>
      </c>
      <c r="X771">
        <v>14.3</v>
      </c>
      <c r="Y771">
        <v>3.3</v>
      </c>
      <c r="Z771">
        <v>2.2000000000000002</v>
      </c>
      <c r="AA771" t="s">
        <v>654</v>
      </c>
      <c r="AB771" t="s">
        <v>128</v>
      </c>
      <c r="AC771" s="2" t="str">
        <f>HYPERLINK("http://exon.niaid.nih.gov/transcriptome/Anopheles_sialome/links/DIPTERA/anomel_hyp12-DIPTERA.txt","AGAP008306-PA")</f>
        <v>AGAP008306-PA</v>
      </c>
      <c r="AD771" t="str">
        <f>HYPERLINK("http://www.ncbi.nlm.nih.gov/sutils/blink.cgi?pid=21300459","5E-041")</f>
        <v>5E-041</v>
      </c>
      <c r="AE771" t="str">
        <f t="shared" si="259"/>
        <v>gi|21300459</v>
      </c>
      <c r="AF771">
        <v>86</v>
      </c>
      <c r="AG771">
        <v>92</v>
      </c>
      <c r="AH771">
        <v>100</v>
      </c>
      <c r="AI771" t="s">
        <v>2285</v>
      </c>
      <c r="AJ771" s="2" t="s">
        <v>128</v>
      </c>
      <c r="AK771" t="s">
        <v>128</v>
      </c>
      <c r="AL771" t="s">
        <v>128</v>
      </c>
      <c r="AM771" t="s">
        <v>128</v>
      </c>
      <c r="AN771" t="s">
        <v>128</v>
      </c>
      <c r="AO771" t="s">
        <v>128</v>
      </c>
      <c r="AP771" t="s">
        <v>128</v>
      </c>
      <c r="AQ771" s="2" t="str">
        <f>HYPERLINK("http://exon.niaid.nih.gov/transcriptome/Anopheles_sialome/links/NR-LIGHT/anomel_hyp12-NR-LIGHT.txt","AGAP008306-PA")</f>
        <v>AGAP008306-PA</v>
      </c>
      <c r="AR771" t="str">
        <f>HYPERLINK("http://www.ncbi.nlm.nih.gov/sutils/blink.cgi?pid=31222305","2E-040")</f>
        <v>2E-040</v>
      </c>
      <c r="AS771" t="str">
        <f t="shared" si="260"/>
        <v>gi|31222305</v>
      </c>
      <c r="AT771">
        <v>86</v>
      </c>
      <c r="AU771">
        <v>92</v>
      </c>
      <c r="AV771">
        <v>100</v>
      </c>
      <c r="AW771" t="s">
        <v>2285</v>
      </c>
      <c r="AX771" s="2" t="str">
        <f>HYPERLINK("http://exon.niaid.nih.gov/transcriptome/Anopheles_sialome/links/CDD/anomel_hyp12-CDD.txt","PLN02990")</f>
        <v>PLN02990</v>
      </c>
      <c r="AY771" t="str">
        <f>HYPERLINK("http://www.ncbi.nlm.nih.gov/Structure/cdd/cddsrv.cgi?uid=PLN02990&amp;version=v4.0","0.88")</f>
        <v>0.88</v>
      </c>
      <c r="AZ771" t="s">
        <v>2682</v>
      </c>
      <c r="BA771" s="2" t="str">
        <f>HYPERLINK("http://exon.niaid.nih.gov/transcriptome/Anopheles_sialome/links/KOG/anomel_hyp12-KOG.txt","MORC family ATPases")</f>
        <v>MORC family ATPases</v>
      </c>
      <c r="BB771" t="str">
        <f>HYPERLINK("http://www.ncbi.nlm.nih.gov/Structure/cdd/cddsrv.cgi?uid=KOG1845","0.78")</f>
        <v>0.78</v>
      </c>
      <c r="BC771" t="s">
        <v>2256</v>
      </c>
      <c r="BD771" t="str">
        <f>HYPERLINK("http://exon.niaid.nih.gov/transcriptome/Anopheles_sialome/links/KOG/anomel_hyp12-KOG.txt","KOG1845")</f>
        <v>KOG1845</v>
      </c>
      <c r="BE771" t="str">
        <f>HYPERLINK("http://exon.niaid.nih.gov/transcriptome/Anopheles_sialome/links/PFAM/anomel_hyp12-PFAM.txt","Flagellar_rod")</f>
        <v>Flagellar_rod</v>
      </c>
      <c r="BF771" t="str">
        <f>HYPERLINK("http://pfam.sanger.ac.uk/family?acc=PF05149","0.84")</f>
        <v>0.84</v>
      </c>
      <c r="BG771" s="2" t="str">
        <f>HYPERLINK("http://exon.niaid.nih.gov/transcriptome/Anopheles_sialome/links/SMART/anomel_hyp12-SMART.txt","PTX")</f>
        <v>PTX</v>
      </c>
      <c r="BH771" t="str">
        <f>HYPERLINK("http://smart.embl-heidelberg.de/smart/do_annotation.pl?DOMAIN=PTX&amp;BLAST=DUMMY","0.073")</f>
        <v>0.073</v>
      </c>
      <c r="BI771" t="str">
        <f>HYPERLINK("http://exon.niaid.nih.gov/transcriptome/Anopheles_sialome/links/TICK-BLOCKS/anomel_hyp12-TICK-BLOCKS.txt","hyp10_hyp12_anopheline_family |")</f>
        <v>hyp10_hyp12_anopheline_family |</v>
      </c>
      <c r="BJ771" s="2" t="s">
        <v>2662</v>
      </c>
      <c r="BK771" t="s">
        <v>1393</v>
      </c>
      <c r="BL771">
        <f>HYPERLINK("http://exon.niaid.nih.gov/transcriptome/Anopheles_sialome/links/cluster-b/anopheline-sialome-cds-pep-larger-orf25-50SimCLU1.txt", 1)</f>
        <v>1</v>
      </c>
      <c r="BM771">
        <f>HYPERLINK("http://exon.niaid.nih.gov/transcriptome/Anopheles_sialome/links/cluster-b/anopheline-sialome-cds-pep-larger-orf25-50SimCLTL1.txt", 165)</f>
        <v>165</v>
      </c>
      <c r="BN771">
        <f>HYPERLINK("http://exon.niaid.nih.gov/transcriptome/Anopheles_sialome/links/cluster-b/anopheline-sialome-cds-pep-larger-orf30-50SimCLU1.txt", 1)</f>
        <v>1</v>
      </c>
      <c r="BO771">
        <f>HYPERLINK("http://exon.niaid.nih.gov/transcriptome/Anopheles_sialome/links/cluster-b/anopheline-sialome-cds-pep-larger-orf30-50SimCLTL1.txt", 165)</f>
        <v>165</v>
      </c>
      <c r="BP771">
        <f>HYPERLINK("http://exon.niaid.nih.gov/transcriptome/Anopheles_sialome/links/cluster-b/anopheline-sialome-cds-pep-larger-orf35-50SimCLU5.txt", 5)</f>
        <v>5</v>
      </c>
      <c r="BQ771">
        <f>HYPERLINK("http://exon.niaid.nih.gov/transcriptome/Anopheles_sialome/links/cluster-b/anopheline-sialome-cds-pep-larger-orf35-50SimCLTL5.txt", 61)</f>
        <v>61</v>
      </c>
      <c r="BR771">
        <f>HYPERLINK("http://exon.niaid.nih.gov/transcriptome/Anopheles_sialome/links/cluster-b/anopheline-sialome-cds-pep-larger-orf40-50SimCLU9.txt", 9)</f>
        <v>9</v>
      </c>
      <c r="BS771">
        <f>HYPERLINK("http://exon.niaid.nih.gov/transcriptome/Anopheles_sialome/links/cluster-b/anopheline-sialome-cds-pep-larger-orf40-50SimCLTL9.txt", 28)</f>
        <v>28</v>
      </c>
      <c r="BT771">
        <f>HYPERLINK("http://exon.niaid.nih.gov/transcriptome/Anopheles_sialome/links/cluster-b/anopheline-sialome-cds-pep-larger-orf45-50SimCLU8.txt", 8)</f>
        <v>8</v>
      </c>
      <c r="BU771">
        <f>HYPERLINK("http://exon.niaid.nih.gov/transcriptome/Anopheles_sialome/links/cluster-b/anopheline-sialome-cds-pep-larger-orf45-50SimCLTL8.txt", 28)</f>
        <v>28</v>
      </c>
      <c r="BV771">
        <f>HYPERLINK("http://exon.niaid.nih.gov/transcriptome/Anopheles_sialome/links/cluster-b/anopheline-sialome-cds-pep-larger-orf50-50SimCLU8.txt", 8)</f>
        <v>8</v>
      </c>
      <c r="BW771">
        <f>HYPERLINK("http://exon.niaid.nih.gov/transcriptome/Anopheles_sialome/links/cluster-b/anopheline-sialome-cds-pep-larger-orf50-50SimCLTL8.txt", 28)</f>
        <v>28</v>
      </c>
      <c r="BX771">
        <f>HYPERLINK("http://exon.niaid.nih.gov/transcriptome/Anopheles_sialome/links/cluster-b/anopheline-sialome-cds-pep-larger-orf55-50SimCLU8.txt", 8)</f>
        <v>8</v>
      </c>
      <c r="BY771">
        <f>HYPERLINK("http://exon.niaid.nih.gov/transcriptome/Anopheles_sialome/links/cluster-b/anopheline-sialome-cds-pep-larger-orf55-50SimCLTL8.txt", 28)</f>
        <v>28</v>
      </c>
      <c r="BZ771">
        <f>HYPERLINK("http://exon.niaid.nih.gov/transcriptome/Anopheles_sialome/links/cluster-b/anopheline-sialome-cds-pep-larger-orf60-50SimCLU6.txt", 6)</f>
        <v>6</v>
      </c>
      <c r="CA771">
        <f>HYPERLINK("http://exon.niaid.nih.gov/transcriptome/Anopheles_sialome/links/cluster-b/anopheline-sialome-cds-pep-larger-orf60-50SimCLTL6.txt", 28)</f>
        <v>28</v>
      </c>
      <c r="CB771">
        <f>HYPERLINK("http://exon.niaid.nih.gov/transcriptome/Anopheles_sialome/links/cluster-b/anopheline-sialome-cds-pep-larger-orf65-50SimCLU32.txt", 32)</f>
        <v>32</v>
      </c>
      <c r="CC771">
        <f>HYPERLINK("http://exon.niaid.nih.gov/transcriptome/Anopheles_sialome/links/cluster-b/anopheline-sialome-cds-pep-larger-orf65-50SimCLTL32.txt", 14)</f>
        <v>14</v>
      </c>
      <c r="CD771">
        <f>HYPERLINK("http://exon.niaid.nih.gov/transcriptome/Anopheles_sialome/links/cluster-b/anopheline-sialome-cds-pep-larger-orf70-50SimCLU31.txt", 31)</f>
        <v>31</v>
      </c>
      <c r="CE771">
        <f>HYPERLINK("http://exon.niaid.nih.gov/transcriptome/Anopheles_sialome/links/cluster-b/anopheline-sialome-cds-pep-larger-orf70-50SimCLTL31.txt", 14)</f>
        <v>14</v>
      </c>
      <c r="CF771">
        <f>HYPERLINK("http://exon.niaid.nih.gov/transcriptome/Anopheles_sialome/links/cluster-b/anopheline-sialome-cds-pep-larger-orf75-50SimCLU29.txt", 29)</f>
        <v>29</v>
      </c>
      <c r="CG771">
        <f>HYPERLINK("http://exon.niaid.nih.gov/transcriptome/Anopheles_sialome/links/cluster-b/anopheline-sialome-cds-pep-larger-orf75-50SimCLTL29.txt", 12)</f>
        <v>12</v>
      </c>
      <c r="CH771">
        <f>HYPERLINK("http://exon.niaid.nih.gov/transcriptome/Anopheles_sialome/links/cluster-b/anopheline-sialome-cds-pep-larger-orf80-50SimCLU31.txt", 31)</f>
        <v>31</v>
      </c>
      <c r="CI771">
        <f>HYPERLINK("http://exon.niaid.nih.gov/transcriptome/Anopheles_sialome/links/cluster-b/anopheline-sialome-cds-pep-larger-orf80-50SimCLTL31.txt", 7)</f>
        <v>7</v>
      </c>
      <c r="CJ771">
        <f>HYPERLINK("http://exon.niaid.nih.gov/transcriptome/Anopheles_sialome/links/cluster-b/anopheline-sialome-cds-pep-larger-orf85-50SimCLU35.txt", 35)</f>
        <v>35</v>
      </c>
      <c r="CK771">
        <f>HYPERLINK("http://exon.niaid.nih.gov/transcriptome/Anopheles_sialome/links/cluster-b/anopheline-sialome-cds-pep-larger-orf85-50SimCLTL35.txt", 6)</f>
        <v>6</v>
      </c>
      <c r="CL771">
        <f>HYPERLINK("http://exon.niaid.nih.gov/transcriptome/Anopheles_sialome/links/cluster-b/anopheline-sialome-cds-pep-larger-orf90-50SimCLU27.txt", 27)</f>
        <v>27</v>
      </c>
      <c r="CM771">
        <f>HYPERLINK("http://exon.niaid.nih.gov/transcriptome/Anopheles_sialome/links/cluster-b/anopheline-sialome-cds-pep-larger-orf90-50SimCLTL27.txt", 6)</f>
        <v>6</v>
      </c>
      <c r="CN771">
        <v>282</v>
      </c>
      <c r="CO771">
        <v>1</v>
      </c>
    </row>
    <row r="772" spans="1:93">
      <c r="A772" s="2" t="str">
        <f>HYPERLINK("http://exon.niaid.nih.gov/transcriptome/Anopheles_sialome/links/cds/anochris_hyp12-cds.txt","anochris_hyp12")</f>
        <v>anochris_hyp12</v>
      </c>
      <c r="B772">
        <v>276</v>
      </c>
      <c r="C772" t="s">
        <v>277</v>
      </c>
      <c r="D772" t="s">
        <v>4</v>
      </c>
      <c r="E772" t="s">
        <v>5</v>
      </c>
      <c r="F772" t="s">
        <v>1</v>
      </c>
      <c r="G772" t="str">
        <f>HYPERLINK("http://exon.niaid.nih.gov/transcriptome/Anopheles_sialome/links/pep/anochris_hyp12-pep.txt","anochris_hyp12")</f>
        <v>anochris_hyp12</v>
      </c>
      <c r="H772">
        <v>91</v>
      </c>
      <c r="I772">
        <v>2</v>
      </c>
      <c r="J772" s="3" t="str">
        <f>HYPERLINK("http://exon.niaid.nih.gov/transcriptome/Anopheles_sialome/links/Sigp/anochris_hyp12-SigP.txt","SIG")</f>
        <v>SIG</v>
      </c>
      <c r="K772" t="s">
        <v>689</v>
      </c>
      <c r="L772">
        <v>9.9740000000000002</v>
      </c>
      <c r="M772">
        <v>4.2</v>
      </c>
      <c r="N772">
        <v>7.7229999999999999</v>
      </c>
      <c r="O772">
        <v>4.12</v>
      </c>
      <c r="P772" t="s">
        <v>1396</v>
      </c>
      <c r="Q772" s="3">
        <v>0</v>
      </c>
      <c r="R772" t="s">
        <v>128</v>
      </c>
      <c r="S772" t="s">
        <v>128</v>
      </c>
      <c r="T772" t="s">
        <v>128</v>
      </c>
      <c r="U772" t="s">
        <v>128</v>
      </c>
      <c r="V772" t="s">
        <v>128</v>
      </c>
      <c r="W772" s="3" t="str">
        <f>HYPERLINK("http://exon.niaid.nih.gov/transcriptome/Anopheles_sialome/links/netoglyc/anochris_hyp12-netoglyc.txt","0")</f>
        <v>0</v>
      </c>
      <c r="X772">
        <v>12.1</v>
      </c>
      <c r="Y772">
        <v>5.5</v>
      </c>
      <c r="Z772">
        <v>2.2000000000000002</v>
      </c>
      <c r="AA772" t="s">
        <v>654</v>
      </c>
      <c r="AB772" t="s">
        <v>128</v>
      </c>
      <c r="AC772" s="2" t="str">
        <f>HYPERLINK("http://exon.niaid.nih.gov/transcriptome/Anopheles_sialome/links/DIPTERA/anochris_hyp12-DIPTERA.txt","AGAP008306-PA")</f>
        <v>AGAP008306-PA</v>
      </c>
      <c r="AD772" t="str">
        <f>HYPERLINK("http://www.ncbi.nlm.nih.gov/sutils/blink.cgi?pid=21300459","2E-028")</f>
        <v>2E-028</v>
      </c>
      <c r="AE772" t="str">
        <f t="shared" si="259"/>
        <v>gi|21300459</v>
      </c>
      <c r="AF772">
        <v>69</v>
      </c>
      <c r="AG772">
        <v>79</v>
      </c>
      <c r="AH772">
        <v>100</v>
      </c>
      <c r="AI772" t="s">
        <v>2285</v>
      </c>
      <c r="AJ772" s="2" t="s">
        <v>128</v>
      </c>
      <c r="AK772" t="s">
        <v>128</v>
      </c>
      <c r="AL772" t="s">
        <v>128</v>
      </c>
      <c r="AM772" t="s">
        <v>128</v>
      </c>
      <c r="AN772" t="s">
        <v>128</v>
      </c>
      <c r="AO772" t="s">
        <v>128</v>
      </c>
      <c r="AP772" t="s">
        <v>128</v>
      </c>
      <c r="AQ772" s="2" t="str">
        <f>HYPERLINK("http://exon.niaid.nih.gov/transcriptome/Anopheles_sialome/links/NR-LIGHT/anochris_hyp12-NR-LIGHT.txt","AGAP008306-PA")</f>
        <v>AGAP008306-PA</v>
      </c>
      <c r="AR772" t="str">
        <f>HYPERLINK("http://www.ncbi.nlm.nih.gov/sutils/blink.cgi?pid=31222305","5E-028")</f>
        <v>5E-028</v>
      </c>
      <c r="AS772" t="str">
        <f t="shared" si="260"/>
        <v>gi|31222305</v>
      </c>
      <c r="AT772">
        <v>69</v>
      </c>
      <c r="AU772">
        <v>79</v>
      </c>
      <c r="AV772">
        <v>100</v>
      </c>
      <c r="AW772" t="s">
        <v>2285</v>
      </c>
      <c r="AX772" s="2" t="str">
        <f>HYPERLINK("http://exon.niaid.nih.gov/transcriptome/Anopheles_sialome/links/CDD/anochris_hyp12-CDD.txt","HDAC_classII_1")</f>
        <v>HDAC_classII_1</v>
      </c>
      <c r="AY772" t="str">
        <f>HYPERLINK("http://www.ncbi.nlm.nih.gov/Structure/cdd/cddsrv.cgi?uid=cd09996&amp;version=v4.0","0.28")</f>
        <v>0.28</v>
      </c>
      <c r="AZ772" t="s">
        <v>2683</v>
      </c>
      <c r="BA772" s="2" t="str">
        <f>HYPERLINK("http://exon.niaid.nih.gov/transcriptome/Anopheles_sialome/links/KOG/anochris_hyp12-KOG.txt","Histone deacetylase complex, catalytic component HDA1")</f>
        <v>Histone deacetylase complex, catalytic component HDA1</v>
      </c>
      <c r="BB772" t="str">
        <f>HYPERLINK("http://www.ncbi.nlm.nih.gov/Structure/cdd/cddsrv.cgi?uid=KOG1343","0.57")</f>
        <v>0.57</v>
      </c>
      <c r="BC772" t="s">
        <v>2444</v>
      </c>
      <c r="BD772" t="str">
        <f>HYPERLINK("http://exon.niaid.nih.gov/transcriptome/Anopheles_sialome/links/KOG/anochris_hyp12-KOG.txt","KOG1343")</f>
        <v>KOG1343</v>
      </c>
      <c r="BE772" t="str">
        <f>HYPERLINK("http://exon.niaid.nih.gov/transcriptome/Anopheles_sialome/links/PFAM/anochris_hyp12-PFAM.txt","Voltage_CLC")</f>
        <v>Voltage_CLC</v>
      </c>
      <c r="BF772" t="str">
        <f>HYPERLINK("http://pfam.sanger.ac.uk/family?acc=PF00654","0.86")</f>
        <v>0.86</v>
      </c>
      <c r="BG772" s="2" t="str">
        <f>HYPERLINK("http://exon.niaid.nih.gov/transcriptome/Anopheles_sialome/links/SMART/anochris_hyp12-SMART.txt","Biotin_carb_C")</f>
        <v>Biotin_carb_C</v>
      </c>
      <c r="BH772" t="str">
        <f>HYPERLINK("http://smart.embl-heidelberg.de/smart/do_annotation.pl?DOMAIN=Biotin_carb_C&amp;BLAST=DUMMY","1.6")</f>
        <v>1.6</v>
      </c>
      <c r="BI772" t="str">
        <f>HYPERLINK("http://exon.niaid.nih.gov/transcriptome/Anopheles_sialome/links/TICK-BLOCKS/anochris_hyp12-TICK-BLOCKS.txt","hyp10_hyp12_anopheline_family |")</f>
        <v>hyp10_hyp12_anopheline_family |</v>
      </c>
      <c r="BJ772" s="2" t="s">
        <v>2662</v>
      </c>
      <c r="BK772" t="s">
        <v>1395</v>
      </c>
      <c r="BL772">
        <f>HYPERLINK("http://exon.niaid.nih.gov/transcriptome/Anopheles_sialome/links/cluster-b/anopheline-sialome-cds-pep-larger-orf25-50SimCLU1.txt", 1)</f>
        <v>1</v>
      </c>
      <c r="BM772">
        <f>HYPERLINK("http://exon.niaid.nih.gov/transcriptome/Anopheles_sialome/links/cluster-b/anopheline-sialome-cds-pep-larger-orf25-50SimCLTL1.txt", 165)</f>
        <v>165</v>
      </c>
      <c r="BN772">
        <f>HYPERLINK("http://exon.niaid.nih.gov/transcriptome/Anopheles_sialome/links/cluster-b/anopheline-sialome-cds-pep-larger-orf30-50SimCLU1.txt", 1)</f>
        <v>1</v>
      </c>
      <c r="BO772">
        <f>HYPERLINK("http://exon.niaid.nih.gov/transcriptome/Anopheles_sialome/links/cluster-b/anopheline-sialome-cds-pep-larger-orf30-50SimCLTL1.txt", 165)</f>
        <v>165</v>
      </c>
      <c r="BP772">
        <f>HYPERLINK("http://exon.niaid.nih.gov/transcriptome/Anopheles_sialome/links/cluster-b/anopheline-sialome-cds-pep-larger-orf35-50SimCLU5.txt", 5)</f>
        <v>5</v>
      </c>
      <c r="BQ772">
        <f>HYPERLINK("http://exon.niaid.nih.gov/transcriptome/Anopheles_sialome/links/cluster-b/anopheline-sialome-cds-pep-larger-orf35-50SimCLTL5.txt", 61)</f>
        <v>61</v>
      </c>
      <c r="BR772">
        <f>HYPERLINK("http://exon.niaid.nih.gov/transcriptome/Anopheles_sialome/links/cluster-b/anopheline-sialome-cds-pep-larger-orf40-50SimCLU9.txt", 9)</f>
        <v>9</v>
      </c>
      <c r="BS772">
        <f>HYPERLINK("http://exon.niaid.nih.gov/transcriptome/Anopheles_sialome/links/cluster-b/anopheline-sialome-cds-pep-larger-orf40-50SimCLTL9.txt", 28)</f>
        <v>28</v>
      </c>
      <c r="BT772">
        <f>HYPERLINK("http://exon.niaid.nih.gov/transcriptome/Anopheles_sialome/links/cluster-b/anopheline-sialome-cds-pep-larger-orf45-50SimCLU8.txt", 8)</f>
        <v>8</v>
      </c>
      <c r="BU772">
        <f>HYPERLINK("http://exon.niaid.nih.gov/transcriptome/Anopheles_sialome/links/cluster-b/anopheline-sialome-cds-pep-larger-orf45-50SimCLTL8.txt", 28)</f>
        <v>28</v>
      </c>
      <c r="BV772">
        <f>HYPERLINK("http://exon.niaid.nih.gov/transcriptome/Anopheles_sialome/links/cluster-b/anopheline-sialome-cds-pep-larger-orf50-50SimCLU8.txt", 8)</f>
        <v>8</v>
      </c>
      <c r="BW772">
        <f>HYPERLINK("http://exon.niaid.nih.gov/transcriptome/Anopheles_sialome/links/cluster-b/anopheline-sialome-cds-pep-larger-orf50-50SimCLTL8.txt", 28)</f>
        <v>28</v>
      </c>
      <c r="BX772">
        <f>HYPERLINK("http://exon.niaid.nih.gov/transcriptome/Anopheles_sialome/links/cluster-b/anopheline-sialome-cds-pep-larger-orf55-50SimCLU8.txt", 8)</f>
        <v>8</v>
      </c>
      <c r="BY772">
        <f>HYPERLINK("http://exon.niaid.nih.gov/transcriptome/Anopheles_sialome/links/cluster-b/anopheline-sialome-cds-pep-larger-orf55-50SimCLTL8.txt", 28)</f>
        <v>28</v>
      </c>
      <c r="BZ772">
        <f>HYPERLINK("http://exon.niaid.nih.gov/transcriptome/Anopheles_sialome/links/cluster-b/anopheline-sialome-cds-pep-larger-orf60-50SimCLU6.txt", 6)</f>
        <v>6</v>
      </c>
      <c r="CA772">
        <f>HYPERLINK("http://exon.niaid.nih.gov/transcriptome/Anopheles_sialome/links/cluster-b/anopheline-sialome-cds-pep-larger-orf60-50SimCLTL6.txt", 28)</f>
        <v>28</v>
      </c>
      <c r="CB772">
        <f>HYPERLINK("http://exon.niaid.nih.gov/transcriptome/Anopheles_sialome/links/cluster-b/anopheline-sialome-cds-pep-larger-orf65-50SimCLU32.txt", 32)</f>
        <v>32</v>
      </c>
      <c r="CC772">
        <f>HYPERLINK("http://exon.niaid.nih.gov/transcriptome/Anopheles_sialome/links/cluster-b/anopheline-sialome-cds-pep-larger-orf65-50SimCLTL32.txt", 14)</f>
        <v>14</v>
      </c>
      <c r="CD772">
        <f>HYPERLINK("http://exon.niaid.nih.gov/transcriptome/Anopheles_sialome/links/cluster-b/anopheline-sialome-cds-pep-larger-orf70-50SimCLU31.txt", 31)</f>
        <v>31</v>
      </c>
      <c r="CE772">
        <f>HYPERLINK("http://exon.niaid.nih.gov/transcriptome/Anopheles_sialome/links/cluster-b/anopheline-sialome-cds-pep-larger-orf70-50SimCLTL31.txt", 14)</f>
        <v>14</v>
      </c>
      <c r="CF772">
        <f>HYPERLINK("http://exon.niaid.nih.gov/transcriptome/Anopheles_sialome/links/cluster-b/anopheline-sialome-cds-pep-larger-orf75-50SimCLU29.txt", 29)</f>
        <v>29</v>
      </c>
      <c r="CG772">
        <f>HYPERLINK("http://exon.niaid.nih.gov/transcriptome/Anopheles_sialome/links/cluster-b/anopheline-sialome-cds-pep-larger-orf75-50SimCLTL29.txt", 12)</f>
        <v>12</v>
      </c>
      <c r="CH772">
        <f>HYPERLINK("http://exon.niaid.nih.gov/transcriptome/Anopheles_sialome/links/cluster-b/anopheline-sialome-cds-pep-larger-orf80-50SimCLU31.txt", 31)</f>
        <v>31</v>
      </c>
      <c r="CI772">
        <f>HYPERLINK("http://exon.niaid.nih.gov/transcriptome/Anopheles_sialome/links/cluster-b/anopheline-sialome-cds-pep-larger-orf80-50SimCLTL31.txt", 7)</f>
        <v>7</v>
      </c>
      <c r="CJ772">
        <v>209</v>
      </c>
      <c r="CK772">
        <v>1</v>
      </c>
      <c r="CL772">
        <v>255</v>
      </c>
      <c r="CM772">
        <v>1</v>
      </c>
      <c r="CN772">
        <v>283</v>
      </c>
      <c r="CO772">
        <v>1</v>
      </c>
    </row>
    <row r="773" spans="1:93">
      <c r="A773" s="2" t="str">
        <f>HYPERLINK("http://exon.niaid.nih.gov/transcriptome/Anopheles_sialome/links/cds/anoepi_hyp12-cds.txt","anoepi_hyp12")</f>
        <v>anoepi_hyp12</v>
      </c>
      <c r="B773">
        <v>282</v>
      </c>
      <c r="C773" t="s">
        <v>264</v>
      </c>
      <c r="D773" t="s">
        <v>7</v>
      </c>
      <c r="E773" t="s">
        <v>5</v>
      </c>
      <c r="F773" t="s">
        <v>1</v>
      </c>
      <c r="G773" t="str">
        <f>HYPERLINK("http://exon.niaid.nih.gov/transcriptome/Anopheles_sialome/links/pep/anoepi_hyp12-pep.txt","anoepi_hyp12")</f>
        <v>anoepi_hyp12</v>
      </c>
      <c r="H773">
        <v>93</v>
      </c>
      <c r="I773">
        <v>1</v>
      </c>
      <c r="J773" s="3" t="str">
        <f>HYPERLINK("http://exon.niaid.nih.gov/transcriptome/Anopheles_sialome/links/Sigp/anoepi_hyp12-SigP.txt","SIG")</f>
        <v>SIG</v>
      </c>
      <c r="K773" t="s">
        <v>689</v>
      </c>
      <c r="L773">
        <v>10.595000000000001</v>
      </c>
      <c r="M773">
        <v>5.21</v>
      </c>
      <c r="N773">
        <v>8.1989999999999998</v>
      </c>
      <c r="O773">
        <v>4.6900000000000004</v>
      </c>
      <c r="P773" t="s">
        <v>1398</v>
      </c>
      <c r="Q773" s="3">
        <v>0</v>
      </c>
      <c r="R773" t="s">
        <v>128</v>
      </c>
      <c r="S773" t="s">
        <v>128</v>
      </c>
      <c r="T773" t="s">
        <v>128</v>
      </c>
      <c r="U773" t="s">
        <v>128</v>
      </c>
      <c r="V773" t="s">
        <v>128</v>
      </c>
      <c r="W773" s="3" t="str">
        <f>HYPERLINK("http://exon.niaid.nih.gov/transcriptome/Anopheles_sialome/links/netoglyc/anoepi_hyp12-netoglyc.txt","0")</f>
        <v>0</v>
      </c>
      <c r="X773">
        <v>12.9</v>
      </c>
      <c r="Y773">
        <v>3.2</v>
      </c>
      <c r="Z773">
        <v>1.1000000000000001</v>
      </c>
      <c r="AA773" t="s">
        <v>654</v>
      </c>
      <c r="AB773" t="s">
        <v>128</v>
      </c>
      <c r="AC773" s="2" t="str">
        <f>HYPERLINK("http://exon.niaid.nih.gov/transcriptome/Anopheles_sialome/links/DIPTERA/anoepi_hyp12-DIPTERA.txt","AGAP008306-PA")</f>
        <v>AGAP008306-PA</v>
      </c>
      <c r="AD773" t="str">
        <f>HYPERLINK("http://www.ncbi.nlm.nih.gov/sutils/blink.cgi?pid=21300459","1E-020")</f>
        <v>1E-020</v>
      </c>
      <c r="AE773" t="str">
        <f t="shared" si="259"/>
        <v>gi|21300459</v>
      </c>
      <c r="AF773">
        <v>56</v>
      </c>
      <c r="AG773">
        <v>68</v>
      </c>
      <c r="AH773">
        <v>101</v>
      </c>
      <c r="AI773" t="s">
        <v>2285</v>
      </c>
      <c r="AJ773" s="2" t="s">
        <v>128</v>
      </c>
      <c r="AK773" t="s">
        <v>128</v>
      </c>
      <c r="AL773" t="s">
        <v>128</v>
      </c>
      <c r="AM773" t="s">
        <v>128</v>
      </c>
      <c r="AN773" t="s">
        <v>128</v>
      </c>
      <c r="AO773" t="s">
        <v>128</v>
      </c>
      <c r="AP773" t="s">
        <v>128</v>
      </c>
      <c r="AQ773" s="2" t="str">
        <f>HYPERLINK("http://exon.niaid.nih.gov/transcriptome/Anopheles_sialome/links/NR-LIGHT/anoepi_hyp12-NR-LIGHT.txt","AGAP008306-PA")</f>
        <v>AGAP008306-PA</v>
      </c>
      <c r="AR773" t="str">
        <f>HYPERLINK("http://www.ncbi.nlm.nih.gov/sutils/blink.cgi?pid=31222305","3E-020")</f>
        <v>3E-020</v>
      </c>
      <c r="AS773" t="str">
        <f t="shared" si="260"/>
        <v>gi|31222305</v>
      </c>
      <c r="AT773">
        <v>56</v>
      </c>
      <c r="AU773">
        <v>68</v>
      </c>
      <c r="AV773">
        <v>101</v>
      </c>
      <c r="AW773" t="s">
        <v>2285</v>
      </c>
      <c r="AX773" s="2" t="str">
        <f>HYPERLINK("http://exon.niaid.nih.gov/transcriptome/Anopheles_sialome/links/CDD/anoepi_hyp12-CDD.txt","JHBP")</f>
        <v>JHBP</v>
      </c>
      <c r="AY773" t="str">
        <f>HYPERLINK("http://www.ncbi.nlm.nih.gov/Structure/cdd/cddsrv.cgi?uid=pfam06585&amp;version=v4.0","0.25")</f>
        <v>0.25</v>
      </c>
      <c r="AZ773" t="s">
        <v>2684</v>
      </c>
      <c r="BA773" s="2" t="str">
        <f>HYPERLINK("http://exon.niaid.nih.gov/transcriptome/Anopheles_sialome/links/KOG/anoepi_hyp12-KOG.txt","26S proteasome regulatory complex, ATPase RPT6")</f>
        <v>26S proteasome regulatory complex, ATPase RPT6</v>
      </c>
      <c r="BB773" t="str">
        <f>HYPERLINK("http://www.ncbi.nlm.nih.gov/Structure/cdd/cddsrv.cgi?uid=KOG0728","0.24")</f>
        <v>0.24</v>
      </c>
      <c r="BC773" t="s">
        <v>2296</v>
      </c>
      <c r="BD773" t="str">
        <f>HYPERLINK("http://exon.niaid.nih.gov/transcriptome/Anopheles_sialome/links/KOG/anoepi_hyp12-KOG.txt","KOG0728")</f>
        <v>KOG0728</v>
      </c>
      <c r="BE773" t="str">
        <f>HYPERLINK("http://exon.niaid.nih.gov/transcriptome/Anopheles_sialome/links/PFAM/anoepi_hyp12-PFAM.txt","JHBP")</f>
        <v>JHBP</v>
      </c>
      <c r="BF773" t="str">
        <f>HYPERLINK("http://pfam.sanger.ac.uk/family?acc=PF06585","0.055")</f>
        <v>0.055</v>
      </c>
      <c r="BG773" s="2" t="str">
        <f>HYPERLINK("http://exon.niaid.nih.gov/transcriptome/Anopheles_sialome/links/SMART/anoepi_hyp12-SMART.txt","RES")</f>
        <v>RES</v>
      </c>
      <c r="BH773" t="str">
        <f>HYPERLINK("http://smart.embl-heidelberg.de/smart/do_annotation.pl?DOMAIN=RES&amp;BLAST=DUMMY","0.88")</f>
        <v>0.88</v>
      </c>
      <c r="BI773" t="str">
        <f>HYPERLINK("http://exon.niaid.nih.gov/transcriptome/Anopheles_sialome/links/TICK-BLOCKS/anoepi_hyp12-TICK-BLOCKS.txt","hyp10_hyp12_anopheline_family |")</f>
        <v>hyp10_hyp12_anopheline_family |</v>
      </c>
      <c r="BJ773" s="2" t="s">
        <v>2662</v>
      </c>
      <c r="BK773" t="s">
        <v>1397</v>
      </c>
      <c r="BL773">
        <f>HYPERLINK("http://exon.niaid.nih.gov/transcriptome/Anopheles_sialome/links/cluster-b/anopheline-sialome-cds-pep-larger-orf25-50SimCLU1.txt", 1)</f>
        <v>1</v>
      </c>
      <c r="BM773">
        <f>HYPERLINK("http://exon.niaid.nih.gov/transcriptome/Anopheles_sialome/links/cluster-b/anopheline-sialome-cds-pep-larger-orf25-50SimCLTL1.txt", 165)</f>
        <v>165</v>
      </c>
      <c r="BN773">
        <f>HYPERLINK("http://exon.niaid.nih.gov/transcriptome/Anopheles_sialome/links/cluster-b/anopheline-sialome-cds-pep-larger-orf30-50SimCLU1.txt", 1)</f>
        <v>1</v>
      </c>
      <c r="BO773">
        <f>HYPERLINK("http://exon.niaid.nih.gov/transcriptome/Anopheles_sialome/links/cluster-b/anopheline-sialome-cds-pep-larger-orf30-50SimCLTL1.txt", 165)</f>
        <v>165</v>
      </c>
      <c r="BP773">
        <f>HYPERLINK("http://exon.niaid.nih.gov/transcriptome/Anopheles_sialome/links/cluster-b/anopheline-sialome-cds-pep-larger-orf35-50SimCLU5.txt", 5)</f>
        <v>5</v>
      </c>
      <c r="BQ773">
        <f>HYPERLINK("http://exon.niaid.nih.gov/transcriptome/Anopheles_sialome/links/cluster-b/anopheline-sialome-cds-pep-larger-orf35-50SimCLTL5.txt", 61)</f>
        <v>61</v>
      </c>
      <c r="BR773">
        <f>HYPERLINK("http://exon.niaid.nih.gov/transcriptome/Anopheles_sialome/links/cluster-b/anopheline-sialome-cds-pep-larger-orf40-50SimCLU9.txt", 9)</f>
        <v>9</v>
      </c>
      <c r="BS773">
        <f>HYPERLINK("http://exon.niaid.nih.gov/transcriptome/Anopheles_sialome/links/cluster-b/anopheline-sialome-cds-pep-larger-orf40-50SimCLTL9.txt", 28)</f>
        <v>28</v>
      </c>
      <c r="BT773">
        <f>HYPERLINK("http://exon.niaid.nih.gov/transcriptome/Anopheles_sialome/links/cluster-b/anopheline-sialome-cds-pep-larger-orf45-50SimCLU8.txt", 8)</f>
        <v>8</v>
      </c>
      <c r="BU773">
        <f>HYPERLINK("http://exon.niaid.nih.gov/transcriptome/Anopheles_sialome/links/cluster-b/anopheline-sialome-cds-pep-larger-orf45-50SimCLTL8.txt", 28)</f>
        <v>28</v>
      </c>
      <c r="BV773">
        <f>HYPERLINK("http://exon.niaid.nih.gov/transcriptome/Anopheles_sialome/links/cluster-b/anopheline-sialome-cds-pep-larger-orf50-50SimCLU8.txt", 8)</f>
        <v>8</v>
      </c>
      <c r="BW773">
        <f>HYPERLINK("http://exon.niaid.nih.gov/transcriptome/Anopheles_sialome/links/cluster-b/anopheline-sialome-cds-pep-larger-orf50-50SimCLTL8.txt", 28)</f>
        <v>28</v>
      </c>
      <c r="BX773">
        <f>HYPERLINK("http://exon.niaid.nih.gov/transcriptome/Anopheles_sialome/links/cluster-b/anopheline-sialome-cds-pep-larger-orf55-50SimCLU8.txt", 8)</f>
        <v>8</v>
      </c>
      <c r="BY773">
        <f>HYPERLINK("http://exon.niaid.nih.gov/transcriptome/Anopheles_sialome/links/cluster-b/anopheline-sialome-cds-pep-larger-orf55-50SimCLTL8.txt", 28)</f>
        <v>28</v>
      </c>
      <c r="BZ773">
        <f>HYPERLINK("http://exon.niaid.nih.gov/transcriptome/Anopheles_sialome/links/cluster-b/anopheline-sialome-cds-pep-larger-orf60-50SimCLU6.txt", 6)</f>
        <v>6</v>
      </c>
      <c r="CA773">
        <f>HYPERLINK("http://exon.niaid.nih.gov/transcriptome/Anopheles_sialome/links/cluster-b/anopheline-sialome-cds-pep-larger-orf60-50SimCLTL6.txt", 28)</f>
        <v>28</v>
      </c>
      <c r="CB773">
        <f>HYPERLINK("http://exon.niaid.nih.gov/transcriptome/Anopheles_sialome/links/cluster-b/anopheline-sialome-cds-pep-larger-orf65-50SimCLU32.txt", 32)</f>
        <v>32</v>
      </c>
      <c r="CC773">
        <f>HYPERLINK("http://exon.niaid.nih.gov/transcriptome/Anopheles_sialome/links/cluster-b/anopheline-sialome-cds-pep-larger-orf65-50SimCLTL32.txt", 14)</f>
        <v>14</v>
      </c>
      <c r="CD773">
        <f>HYPERLINK("http://exon.niaid.nih.gov/transcriptome/Anopheles_sialome/links/cluster-b/anopheline-sialome-cds-pep-larger-orf70-50SimCLU31.txt", 31)</f>
        <v>31</v>
      </c>
      <c r="CE773">
        <f>HYPERLINK("http://exon.niaid.nih.gov/transcriptome/Anopheles_sialome/links/cluster-b/anopheline-sialome-cds-pep-larger-orf70-50SimCLTL31.txt", 14)</f>
        <v>14</v>
      </c>
      <c r="CF773">
        <f>HYPERLINK("http://exon.niaid.nih.gov/transcriptome/Anopheles_sialome/links/cluster-b/anopheline-sialome-cds-pep-larger-orf75-50SimCLU29.txt", 29)</f>
        <v>29</v>
      </c>
      <c r="CG773">
        <f>HYPERLINK("http://exon.niaid.nih.gov/transcriptome/Anopheles_sialome/links/cluster-b/anopheline-sialome-cds-pep-larger-orf75-50SimCLTL29.txt", 12)</f>
        <v>12</v>
      </c>
      <c r="CH773">
        <v>164</v>
      </c>
      <c r="CI773">
        <v>1</v>
      </c>
      <c r="CJ773">
        <v>210</v>
      </c>
      <c r="CK773">
        <v>1</v>
      </c>
      <c r="CL773">
        <v>256</v>
      </c>
      <c r="CM773">
        <v>1</v>
      </c>
      <c r="CN773">
        <v>284</v>
      </c>
      <c r="CO773">
        <v>1</v>
      </c>
    </row>
    <row r="774" spans="1:93">
      <c r="A774" s="2" t="str">
        <f>HYPERLINK("http://exon.niaid.nih.gov/transcriptome/Anopheles_sialome/links/cds/anofun_hyp12-cds.txt","anofun_hyp12")</f>
        <v>anofun_hyp12</v>
      </c>
      <c r="B774">
        <v>273</v>
      </c>
      <c r="C774" t="s">
        <v>278</v>
      </c>
      <c r="D774" t="s">
        <v>4</v>
      </c>
      <c r="E774" t="s">
        <v>5</v>
      </c>
      <c r="F774" t="s">
        <v>1</v>
      </c>
      <c r="G774" t="str">
        <f>HYPERLINK("http://exon.niaid.nih.gov/transcriptome/Anopheles_sialome/links/pep/anofun_hyp12-pep.txt","anofun_hyp12")</f>
        <v>anofun_hyp12</v>
      </c>
      <c r="H774">
        <v>90</v>
      </c>
      <c r="I774">
        <v>1</v>
      </c>
      <c r="J774" s="3" t="str">
        <f>HYPERLINK("http://exon.niaid.nih.gov/transcriptome/Anopheles_sialome/links/Sigp/anofun_hyp12-SigP.txt","SIG")</f>
        <v>SIG</v>
      </c>
      <c r="K774" t="s">
        <v>919</v>
      </c>
      <c r="L774">
        <v>10.196999999999999</v>
      </c>
      <c r="M774">
        <v>4.51</v>
      </c>
      <c r="N774">
        <v>8.2479999999999993</v>
      </c>
      <c r="O774">
        <v>4.29</v>
      </c>
      <c r="P774" t="s">
        <v>928</v>
      </c>
      <c r="Q774" s="3">
        <v>0</v>
      </c>
      <c r="R774" t="s">
        <v>128</v>
      </c>
      <c r="S774" t="s">
        <v>128</v>
      </c>
      <c r="T774" t="s">
        <v>128</v>
      </c>
      <c r="U774" t="s">
        <v>128</v>
      </c>
      <c r="V774" t="s">
        <v>128</v>
      </c>
      <c r="W774" s="3" t="str">
        <f>HYPERLINK("http://exon.niaid.nih.gov/transcriptome/Anopheles_sialome/links/netoglyc/anofun_hyp12-netoglyc.txt","0")</f>
        <v>0</v>
      </c>
      <c r="X774">
        <v>20</v>
      </c>
      <c r="Y774">
        <v>5.6</v>
      </c>
      <c r="Z774">
        <v>2.2000000000000002</v>
      </c>
      <c r="AA774" t="s">
        <v>654</v>
      </c>
      <c r="AB774" t="s">
        <v>128</v>
      </c>
      <c r="AC774" s="2" t="str">
        <f>HYPERLINK("http://exon.niaid.nih.gov/transcriptome/Anopheles_sialome/links/DIPTERA/anofun_hyp12-DIPTERA.txt","hypothetical salivary protein 12")</f>
        <v>hypothetical salivary protein 12</v>
      </c>
      <c r="AD774" t="str">
        <f>HYPERLINK("http://www.ncbi.nlm.nih.gov/sutils/blink.cgi?pid=114864727","2E-045")</f>
        <v>2E-045</v>
      </c>
      <c r="AE774" t="str">
        <f>HYPERLINK("http://www.ncbi.nlm.nih.gov/protein/114864727","gi|114864727")</f>
        <v>gi|114864727</v>
      </c>
      <c r="AF774">
        <v>98</v>
      </c>
      <c r="AG774">
        <v>98</v>
      </c>
      <c r="AH774">
        <v>101</v>
      </c>
      <c r="AI774" t="s">
        <v>2266</v>
      </c>
      <c r="AJ774" s="2" t="s">
        <v>128</v>
      </c>
      <c r="AK774" t="s">
        <v>128</v>
      </c>
      <c r="AL774" t="s">
        <v>128</v>
      </c>
      <c r="AM774" t="s">
        <v>128</v>
      </c>
      <c r="AN774" t="s">
        <v>128</v>
      </c>
      <c r="AO774" t="s">
        <v>128</v>
      </c>
      <c r="AP774" t="s">
        <v>128</v>
      </c>
      <c r="AQ774" s="2" t="str">
        <f>HYPERLINK("http://exon.niaid.nih.gov/transcriptome/Anopheles_sialome/links/NR-LIGHT/anofun_hyp12-NR-LIGHT.txt","hypothetical salivary protein 12")</f>
        <v>hypothetical salivary protein 12</v>
      </c>
      <c r="AR774" t="str">
        <f>HYPERLINK("http://www.ncbi.nlm.nih.gov/sutils/blink.cgi?pid=114864727","6E-045")</f>
        <v>6E-045</v>
      </c>
      <c r="AS774" t="str">
        <f>HYPERLINK("http://www.ncbi.nlm.nih.gov/protein/114864727","gi|114864727")</f>
        <v>gi|114864727</v>
      </c>
      <c r="AT774">
        <v>98</v>
      </c>
      <c r="AU774">
        <v>98</v>
      </c>
      <c r="AV774">
        <v>101</v>
      </c>
      <c r="AW774" t="s">
        <v>2266</v>
      </c>
      <c r="AX774" s="2" t="str">
        <f>HYPERLINK("http://exon.niaid.nih.gov/transcriptome/Anopheles_sialome/links/CDD/anofun_hyp12-CDD.txt","HemH")</f>
        <v>HemH</v>
      </c>
      <c r="AY774" t="str">
        <f>HYPERLINK("http://www.ncbi.nlm.nih.gov/Structure/cdd/cddsrv.cgi?uid=COG0276&amp;version=v4.0","0.24")</f>
        <v>0.24</v>
      </c>
      <c r="AZ774" t="s">
        <v>2685</v>
      </c>
      <c r="BA774" s="2" t="str">
        <f>HYPERLINK("http://exon.niaid.nih.gov/transcriptome/Anopheles_sialome/links/KOG/anofun_hyp12-KOG.txt","Phosphoglucomutase")</f>
        <v>Phosphoglucomutase</v>
      </c>
      <c r="BB774" t="str">
        <f>HYPERLINK("http://www.ncbi.nlm.nih.gov/Structure/cdd/cddsrv.cgi?uid=KOG0625","1.7")</f>
        <v>1.7</v>
      </c>
      <c r="BC774" t="s">
        <v>2308</v>
      </c>
      <c r="BD774" t="str">
        <f>HYPERLINK("http://exon.niaid.nih.gov/transcriptome/Anopheles_sialome/links/KOG/anofun_hyp12-KOG.txt","KOG0625")</f>
        <v>KOG0625</v>
      </c>
      <c r="BE774" t="str">
        <f>HYPERLINK("http://exon.niaid.nih.gov/transcriptome/Anopheles_sialome/links/PFAM/anofun_hyp12-PFAM.txt","CAS_CSE1")</f>
        <v>CAS_CSE1</v>
      </c>
      <c r="BF774" t="str">
        <f>HYPERLINK("http://pfam.sanger.ac.uk/family?acc=PF03378","2.5")</f>
        <v>2.5</v>
      </c>
      <c r="BG774" s="2" t="str">
        <f>HYPERLINK("http://exon.niaid.nih.gov/transcriptome/Anopheles_sialome/links/SMART/anofun_hyp12-SMART.txt","AKAP_110")</f>
        <v>AKAP_110</v>
      </c>
      <c r="BH774" t="str">
        <f>HYPERLINK("http://smart.embl-heidelberg.de/smart/do_annotation.pl?DOMAIN=AKAP_110&amp;BLAST=DUMMY","0.46")</f>
        <v>0.46</v>
      </c>
      <c r="BI774" t="str">
        <f>HYPERLINK("http://exon.niaid.nih.gov/transcriptome/Anopheles_sialome/links/TICK-BLOCKS/anofun_hyp12-TICK-BLOCKS.txt","hyp10_hyp12_anopheline_family |")</f>
        <v>hyp10_hyp12_anopheline_family |</v>
      </c>
      <c r="BJ774" s="2" t="s">
        <v>2662</v>
      </c>
      <c r="BK774" t="s">
        <v>1399</v>
      </c>
      <c r="BL774">
        <f>HYPERLINK("http://exon.niaid.nih.gov/transcriptome/Anopheles_sialome/links/cluster-b/anopheline-sialome-cds-pep-larger-orf25-50SimCLU1.txt", 1)</f>
        <v>1</v>
      </c>
      <c r="BM774">
        <f>HYPERLINK("http://exon.niaid.nih.gov/transcriptome/Anopheles_sialome/links/cluster-b/anopheline-sialome-cds-pep-larger-orf25-50SimCLTL1.txt", 165)</f>
        <v>165</v>
      </c>
      <c r="BN774">
        <f>HYPERLINK("http://exon.niaid.nih.gov/transcriptome/Anopheles_sialome/links/cluster-b/anopheline-sialome-cds-pep-larger-orf30-50SimCLU1.txt", 1)</f>
        <v>1</v>
      </c>
      <c r="BO774">
        <f>HYPERLINK("http://exon.niaid.nih.gov/transcriptome/Anopheles_sialome/links/cluster-b/anopheline-sialome-cds-pep-larger-orf30-50SimCLTL1.txt", 165)</f>
        <v>165</v>
      </c>
      <c r="BP774">
        <f>HYPERLINK("http://exon.niaid.nih.gov/transcriptome/Anopheles_sialome/links/cluster-b/anopheline-sialome-cds-pep-larger-orf35-50SimCLU5.txt", 5)</f>
        <v>5</v>
      </c>
      <c r="BQ774">
        <f>HYPERLINK("http://exon.niaid.nih.gov/transcriptome/Anopheles_sialome/links/cluster-b/anopheline-sialome-cds-pep-larger-orf35-50SimCLTL5.txt", 61)</f>
        <v>61</v>
      </c>
      <c r="BR774">
        <f>HYPERLINK("http://exon.niaid.nih.gov/transcriptome/Anopheles_sialome/links/cluster-b/anopheline-sialome-cds-pep-larger-orf40-50SimCLU9.txt", 9)</f>
        <v>9</v>
      </c>
      <c r="BS774">
        <f>HYPERLINK("http://exon.niaid.nih.gov/transcriptome/Anopheles_sialome/links/cluster-b/anopheline-sialome-cds-pep-larger-orf40-50SimCLTL9.txt", 28)</f>
        <v>28</v>
      </c>
      <c r="BT774">
        <f>HYPERLINK("http://exon.niaid.nih.gov/transcriptome/Anopheles_sialome/links/cluster-b/anopheline-sialome-cds-pep-larger-orf45-50SimCLU8.txt", 8)</f>
        <v>8</v>
      </c>
      <c r="BU774">
        <f>HYPERLINK("http://exon.niaid.nih.gov/transcriptome/Anopheles_sialome/links/cluster-b/anopheline-sialome-cds-pep-larger-orf45-50SimCLTL8.txt", 28)</f>
        <v>28</v>
      </c>
      <c r="BV774">
        <f>HYPERLINK("http://exon.niaid.nih.gov/transcriptome/Anopheles_sialome/links/cluster-b/anopheline-sialome-cds-pep-larger-orf50-50SimCLU8.txt", 8)</f>
        <v>8</v>
      </c>
      <c r="BW774">
        <f>HYPERLINK("http://exon.niaid.nih.gov/transcriptome/Anopheles_sialome/links/cluster-b/anopheline-sialome-cds-pep-larger-orf50-50SimCLTL8.txt", 28)</f>
        <v>28</v>
      </c>
      <c r="BX774">
        <f>HYPERLINK("http://exon.niaid.nih.gov/transcriptome/Anopheles_sialome/links/cluster-b/anopheline-sialome-cds-pep-larger-orf55-50SimCLU8.txt", 8)</f>
        <v>8</v>
      </c>
      <c r="BY774">
        <f>HYPERLINK("http://exon.niaid.nih.gov/transcriptome/Anopheles_sialome/links/cluster-b/anopheline-sialome-cds-pep-larger-orf55-50SimCLTL8.txt", 28)</f>
        <v>28</v>
      </c>
      <c r="BZ774">
        <f>HYPERLINK("http://exon.niaid.nih.gov/transcriptome/Anopheles_sialome/links/cluster-b/anopheline-sialome-cds-pep-larger-orf60-50SimCLU6.txt", 6)</f>
        <v>6</v>
      </c>
      <c r="CA774">
        <f>HYPERLINK("http://exon.niaid.nih.gov/transcriptome/Anopheles_sialome/links/cluster-b/anopheline-sialome-cds-pep-larger-orf60-50SimCLTL6.txt", 28)</f>
        <v>28</v>
      </c>
      <c r="CB774">
        <f>HYPERLINK("http://exon.niaid.nih.gov/transcriptome/Anopheles_sialome/links/cluster-b/anopheline-sialome-cds-pep-larger-orf65-50SimCLU32.txt", 32)</f>
        <v>32</v>
      </c>
      <c r="CC774">
        <f>HYPERLINK("http://exon.niaid.nih.gov/transcriptome/Anopheles_sialome/links/cluster-b/anopheline-sialome-cds-pep-larger-orf65-50SimCLTL32.txt", 14)</f>
        <v>14</v>
      </c>
      <c r="CD774">
        <f>HYPERLINK("http://exon.niaid.nih.gov/transcriptome/Anopheles_sialome/links/cluster-b/anopheline-sialome-cds-pep-larger-orf70-50SimCLU31.txt", 31)</f>
        <v>31</v>
      </c>
      <c r="CE774">
        <f>HYPERLINK("http://exon.niaid.nih.gov/transcriptome/Anopheles_sialome/links/cluster-b/anopheline-sialome-cds-pep-larger-orf70-50SimCLTL31.txt", 14)</f>
        <v>14</v>
      </c>
      <c r="CF774">
        <f>HYPERLINK("http://exon.niaid.nih.gov/transcriptome/Anopheles_sialome/links/cluster-b/anopheline-sialome-cds-pep-larger-orf75-50SimCLU29.txt", 29)</f>
        <v>29</v>
      </c>
      <c r="CG774">
        <f>HYPERLINK("http://exon.niaid.nih.gov/transcriptome/Anopheles_sialome/links/cluster-b/anopheline-sialome-cds-pep-larger-orf75-50SimCLTL29.txt", 12)</f>
        <v>12</v>
      </c>
      <c r="CH774">
        <v>165</v>
      </c>
      <c r="CI774">
        <v>1</v>
      </c>
      <c r="CJ774">
        <v>211</v>
      </c>
      <c r="CK774">
        <v>1</v>
      </c>
      <c r="CL774">
        <v>257</v>
      </c>
      <c r="CM774">
        <v>1</v>
      </c>
      <c r="CN774">
        <v>285</v>
      </c>
      <c r="CO774">
        <v>1</v>
      </c>
    </row>
    <row r="775" spans="1:93">
      <c r="A775" s="2" t="str">
        <f>HYPERLINK("http://exon.niaid.nih.gov/transcriptome/Anopheles_sialome/links/cds/anomin_hyp12-cds.txt","anomin_hyp12")</f>
        <v>anomin_hyp12</v>
      </c>
      <c r="B775">
        <v>273</v>
      </c>
      <c r="C775" t="s">
        <v>267</v>
      </c>
      <c r="D775" t="s">
        <v>7</v>
      </c>
      <c r="E775" t="s">
        <v>5</v>
      </c>
      <c r="F775" t="s">
        <v>1</v>
      </c>
      <c r="G775" t="str">
        <f>HYPERLINK("http://exon.niaid.nih.gov/transcriptome/Anopheles_sialome/links/pep/anomin_hyp12-pep.txt","anomin_hyp12")</f>
        <v>anomin_hyp12</v>
      </c>
      <c r="H775">
        <v>90</v>
      </c>
      <c r="I775">
        <v>1</v>
      </c>
      <c r="J775" s="3" t="str">
        <f>HYPERLINK("http://exon.niaid.nih.gov/transcriptome/Anopheles_sialome/links/Sigp/anomin_hyp12-SigP.txt","SIG")</f>
        <v>SIG</v>
      </c>
      <c r="K775" t="s">
        <v>652</v>
      </c>
      <c r="L775">
        <v>10.263</v>
      </c>
      <c r="M775">
        <v>4.49</v>
      </c>
      <c r="N775">
        <v>8.1</v>
      </c>
      <c r="O775">
        <v>4.1900000000000004</v>
      </c>
      <c r="P775" t="s">
        <v>1021</v>
      </c>
      <c r="Q775" s="3">
        <v>0</v>
      </c>
      <c r="R775" t="s">
        <v>128</v>
      </c>
      <c r="S775" t="s">
        <v>128</v>
      </c>
      <c r="T775" t="s">
        <v>128</v>
      </c>
      <c r="U775" t="s">
        <v>128</v>
      </c>
      <c r="V775" t="s">
        <v>128</v>
      </c>
      <c r="W775" s="3" t="str">
        <f>HYPERLINK("http://exon.niaid.nih.gov/transcriptome/Anopheles_sialome/links/netoglyc/anomin_hyp12-netoglyc.txt","0")</f>
        <v>0</v>
      </c>
      <c r="X775">
        <v>14.4</v>
      </c>
      <c r="Y775">
        <v>6.7</v>
      </c>
      <c r="Z775">
        <v>1.1000000000000001</v>
      </c>
      <c r="AA775" t="s">
        <v>654</v>
      </c>
      <c r="AB775" t="s">
        <v>128</v>
      </c>
      <c r="AC775" s="2" t="str">
        <f>HYPERLINK("http://exon.niaid.nih.gov/transcriptome/Anopheles_sialome/links/DIPTERA/anomin_hyp12-DIPTERA.txt","putative salivary protein hyp12")</f>
        <v>putative salivary protein hyp12</v>
      </c>
      <c r="AD775" t="str">
        <f>HYPERLINK("http://www.ncbi.nlm.nih.gov/sutils/blink.cgi?pid=27372893","2E-027")</f>
        <v>2E-027</v>
      </c>
      <c r="AE775" t="str">
        <f>HYPERLINK("http://www.ncbi.nlm.nih.gov/protein/27372893","gi|27372893")</f>
        <v>gi|27372893</v>
      </c>
      <c r="AF775">
        <v>63</v>
      </c>
      <c r="AG775">
        <v>80</v>
      </c>
      <c r="AH775">
        <v>100</v>
      </c>
      <c r="AI775" t="s">
        <v>2271</v>
      </c>
      <c r="AJ775" s="2" t="s">
        <v>128</v>
      </c>
      <c r="AK775" t="s">
        <v>128</v>
      </c>
      <c r="AL775" t="s">
        <v>128</v>
      </c>
      <c r="AM775" t="s">
        <v>128</v>
      </c>
      <c r="AN775" t="s">
        <v>128</v>
      </c>
      <c r="AO775" t="s">
        <v>128</v>
      </c>
      <c r="AP775" t="s">
        <v>128</v>
      </c>
      <c r="AQ775" s="2" t="str">
        <f>HYPERLINK("http://exon.niaid.nih.gov/transcriptome/Anopheles_sialome/links/NR-LIGHT/anomin_hyp12-NR-LIGHT.txt","putative salivary protein hyp12")</f>
        <v>putative salivary protein hyp12</v>
      </c>
      <c r="AR775" t="str">
        <f>HYPERLINK("http://www.ncbi.nlm.nih.gov/sutils/blink.cgi?pid=27372893","4E-027")</f>
        <v>4E-027</v>
      </c>
      <c r="AS775" t="str">
        <f>HYPERLINK("http://www.ncbi.nlm.nih.gov/protein/27372893","gi|27372893")</f>
        <v>gi|27372893</v>
      </c>
      <c r="AT775">
        <v>63</v>
      </c>
      <c r="AU775">
        <v>80</v>
      </c>
      <c r="AV775">
        <v>100</v>
      </c>
      <c r="AW775" t="s">
        <v>2271</v>
      </c>
      <c r="AX775" s="2" t="str">
        <f>HYPERLINK("http://exon.niaid.nih.gov/transcriptome/Anopheles_sialome/links/CDD/anomin_hyp12-CDD.txt","ModA")</f>
        <v>ModA</v>
      </c>
      <c r="AY775" t="str">
        <f>HYPERLINK("http://www.ncbi.nlm.nih.gov/Structure/cdd/cddsrv.cgi?uid=COG0725&amp;version=v4.0","0.46")</f>
        <v>0.46</v>
      </c>
      <c r="AZ775" t="s">
        <v>2686</v>
      </c>
      <c r="BA775" s="2" t="str">
        <f>HYPERLINK("http://exon.niaid.nih.gov/transcriptome/Anopheles_sialome/links/KOG/anomin_hyp12-KOG.txt","Inositol-1,4,5-triphosphate 5-phosphatase (synaptojanin), INP51/INP52/INP53 family")</f>
        <v>Inositol-1,4,5-triphosphate 5-phosphatase (synaptojanin), INP51/INP52/INP53 family</v>
      </c>
      <c r="BB775" t="str">
        <f>HYPERLINK("http://www.ncbi.nlm.nih.gov/Structure/cdd/cddsrv.cgi?uid=KOG0566","3.1")</f>
        <v>3.1</v>
      </c>
      <c r="BC775" t="s">
        <v>2487</v>
      </c>
      <c r="BD775" t="str">
        <f>HYPERLINK("http://exon.niaid.nih.gov/transcriptome/Anopheles_sialome/links/KOG/anomin_hyp12-KOG.txt","KOG0566")</f>
        <v>KOG0566</v>
      </c>
      <c r="BE775" t="str">
        <f>HYPERLINK("http://exon.niaid.nih.gov/transcriptome/Anopheles_sialome/links/PFAM/anomin_hyp12-PFAM.txt","DUF2834")</f>
        <v>DUF2834</v>
      </c>
      <c r="BF775" t="str">
        <f>HYPERLINK("http://pfam.sanger.ac.uk/family?acc=PF11196","4.6")</f>
        <v>4.6</v>
      </c>
      <c r="BG775" s="2" t="str">
        <f>HYPERLINK("http://exon.niaid.nih.gov/transcriptome/Anopheles_sialome/links/SMART/anomin_hyp12-SMART.txt","RPOLA_N")</f>
        <v>RPOLA_N</v>
      </c>
      <c r="BH775" t="str">
        <f>HYPERLINK("http://smart.embl-heidelberg.de/smart/do_annotation.pl?DOMAIN=RPOLA_N&amp;BLAST=DUMMY","0.30")</f>
        <v>0.30</v>
      </c>
      <c r="BI775" t="str">
        <f>HYPERLINK("http://exon.niaid.nih.gov/transcriptome/Anopheles_sialome/links/TICK-BLOCKS/anomin_hyp12-TICK-BLOCKS.txt","hyp10_hyp12_anopheline_family |")</f>
        <v>hyp10_hyp12_anopheline_family |</v>
      </c>
      <c r="BJ775" s="2" t="s">
        <v>2662</v>
      </c>
      <c r="BK775" t="s">
        <v>1400</v>
      </c>
      <c r="BL775">
        <f>HYPERLINK("http://exon.niaid.nih.gov/transcriptome/Anopheles_sialome/links/cluster-b/anopheline-sialome-cds-pep-larger-orf25-50SimCLU1.txt", 1)</f>
        <v>1</v>
      </c>
      <c r="BM775">
        <f>HYPERLINK("http://exon.niaid.nih.gov/transcriptome/Anopheles_sialome/links/cluster-b/anopheline-sialome-cds-pep-larger-orf25-50SimCLTL1.txt", 165)</f>
        <v>165</v>
      </c>
      <c r="BN775">
        <f>HYPERLINK("http://exon.niaid.nih.gov/transcriptome/Anopheles_sialome/links/cluster-b/anopheline-sialome-cds-pep-larger-orf30-50SimCLU1.txt", 1)</f>
        <v>1</v>
      </c>
      <c r="BO775">
        <f>HYPERLINK("http://exon.niaid.nih.gov/transcriptome/Anopheles_sialome/links/cluster-b/anopheline-sialome-cds-pep-larger-orf30-50SimCLTL1.txt", 165)</f>
        <v>165</v>
      </c>
      <c r="BP775">
        <f>HYPERLINK("http://exon.niaid.nih.gov/transcriptome/Anopheles_sialome/links/cluster-b/anopheline-sialome-cds-pep-larger-orf35-50SimCLU5.txt", 5)</f>
        <v>5</v>
      </c>
      <c r="BQ775">
        <f>HYPERLINK("http://exon.niaid.nih.gov/transcriptome/Anopheles_sialome/links/cluster-b/anopheline-sialome-cds-pep-larger-orf35-50SimCLTL5.txt", 61)</f>
        <v>61</v>
      </c>
      <c r="BR775">
        <f>HYPERLINK("http://exon.niaid.nih.gov/transcriptome/Anopheles_sialome/links/cluster-b/anopheline-sialome-cds-pep-larger-orf40-50SimCLU9.txt", 9)</f>
        <v>9</v>
      </c>
      <c r="BS775">
        <f>HYPERLINK("http://exon.niaid.nih.gov/transcriptome/Anopheles_sialome/links/cluster-b/anopheline-sialome-cds-pep-larger-orf40-50SimCLTL9.txt", 28)</f>
        <v>28</v>
      </c>
      <c r="BT775">
        <f>HYPERLINK("http://exon.niaid.nih.gov/transcriptome/Anopheles_sialome/links/cluster-b/anopheline-sialome-cds-pep-larger-orf45-50SimCLU8.txt", 8)</f>
        <v>8</v>
      </c>
      <c r="BU775">
        <f>HYPERLINK("http://exon.niaid.nih.gov/transcriptome/Anopheles_sialome/links/cluster-b/anopheline-sialome-cds-pep-larger-orf45-50SimCLTL8.txt", 28)</f>
        <v>28</v>
      </c>
      <c r="BV775">
        <f>HYPERLINK("http://exon.niaid.nih.gov/transcriptome/Anopheles_sialome/links/cluster-b/anopheline-sialome-cds-pep-larger-orf50-50SimCLU8.txt", 8)</f>
        <v>8</v>
      </c>
      <c r="BW775">
        <f>HYPERLINK("http://exon.niaid.nih.gov/transcriptome/Anopheles_sialome/links/cluster-b/anopheline-sialome-cds-pep-larger-orf50-50SimCLTL8.txt", 28)</f>
        <v>28</v>
      </c>
      <c r="BX775">
        <f>HYPERLINK("http://exon.niaid.nih.gov/transcriptome/Anopheles_sialome/links/cluster-b/anopheline-sialome-cds-pep-larger-orf55-50SimCLU8.txt", 8)</f>
        <v>8</v>
      </c>
      <c r="BY775">
        <f>HYPERLINK("http://exon.niaid.nih.gov/transcriptome/Anopheles_sialome/links/cluster-b/anopheline-sialome-cds-pep-larger-orf55-50SimCLTL8.txt", 28)</f>
        <v>28</v>
      </c>
      <c r="BZ775">
        <f>HYPERLINK("http://exon.niaid.nih.gov/transcriptome/Anopheles_sialome/links/cluster-b/anopheline-sialome-cds-pep-larger-orf60-50SimCLU6.txt", 6)</f>
        <v>6</v>
      </c>
      <c r="CA775">
        <f>HYPERLINK("http://exon.niaid.nih.gov/transcriptome/Anopheles_sialome/links/cluster-b/anopheline-sialome-cds-pep-larger-orf60-50SimCLTL6.txt", 28)</f>
        <v>28</v>
      </c>
      <c r="CB775">
        <f>HYPERLINK("http://exon.niaid.nih.gov/transcriptome/Anopheles_sialome/links/cluster-b/anopheline-sialome-cds-pep-larger-orf65-50SimCLU32.txt", 32)</f>
        <v>32</v>
      </c>
      <c r="CC775">
        <f>HYPERLINK("http://exon.niaid.nih.gov/transcriptome/Anopheles_sialome/links/cluster-b/anopheline-sialome-cds-pep-larger-orf65-50SimCLTL32.txt", 14)</f>
        <v>14</v>
      </c>
      <c r="CD775">
        <f>HYPERLINK("http://exon.niaid.nih.gov/transcriptome/Anopheles_sialome/links/cluster-b/anopheline-sialome-cds-pep-larger-orf70-50SimCLU31.txt", 31)</f>
        <v>31</v>
      </c>
      <c r="CE775">
        <f>HYPERLINK("http://exon.niaid.nih.gov/transcriptome/Anopheles_sialome/links/cluster-b/anopheline-sialome-cds-pep-larger-orf70-50SimCLTL31.txt", 14)</f>
        <v>14</v>
      </c>
      <c r="CF775">
        <f>HYPERLINK("http://exon.niaid.nih.gov/transcriptome/Anopheles_sialome/links/cluster-b/anopheline-sialome-cds-pep-larger-orf75-50SimCLU29.txt", 29)</f>
        <v>29</v>
      </c>
      <c r="CG775">
        <f>HYPERLINK("http://exon.niaid.nih.gov/transcriptome/Anopheles_sialome/links/cluster-b/anopheline-sialome-cds-pep-larger-orf75-50SimCLTL29.txt", 12)</f>
        <v>12</v>
      </c>
      <c r="CH775">
        <f>HYPERLINK("http://exon.niaid.nih.gov/transcriptome/Anopheles_sialome/links/cluster-b/anopheline-sialome-cds-pep-larger-orf80-50SimCLU55.txt", 55)</f>
        <v>55</v>
      </c>
      <c r="CI775">
        <f>HYPERLINK("http://exon.niaid.nih.gov/transcriptome/Anopheles_sialome/links/cluster-b/anopheline-sialome-cds-pep-larger-orf80-50SimCLTL55.txt", 3)</f>
        <v>3</v>
      </c>
      <c r="CJ775">
        <f>HYPERLINK("http://exon.niaid.nih.gov/transcriptome/Anopheles_sialome/links/cluster-b/anopheline-sialome-cds-pep-larger-orf85-50SimCLU83.txt", 83)</f>
        <v>83</v>
      </c>
      <c r="CK775">
        <f>HYPERLINK("http://exon.niaid.nih.gov/transcriptome/Anopheles_sialome/links/cluster-b/anopheline-sialome-cds-pep-larger-orf85-50SimCLTL83.txt", 2)</f>
        <v>2</v>
      </c>
      <c r="CL775">
        <f>HYPERLINK("http://exon.niaid.nih.gov/transcriptome/Anopheles_sialome/links/cluster-b/anopheline-sialome-cds-pep-larger-orf90-50SimCLU73.txt", 73)</f>
        <v>73</v>
      </c>
      <c r="CM775">
        <f>HYPERLINK("http://exon.niaid.nih.gov/transcriptome/Anopheles_sialome/links/cluster-b/anopheline-sialome-cds-pep-larger-orf90-50SimCLTL73.txt", 2)</f>
        <v>2</v>
      </c>
      <c r="CN775">
        <v>286</v>
      </c>
      <c r="CO775">
        <v>1</v>
      </c>
    </row>
    <row r="776" spans="1:93">
      <c r="A776" s="2" t="str">
        <f>HYPERLINK("http://exon.niaid.nih.gov/transcriptome/Anopheles_sialome/links/cds/anocul_hyp12-cds.txt","anocul_hyp12")</f>
        <v>anocul_hyp12</v>
      </c>
      <c r="B776">
        <v>273</v>
      </c>
      <c r="C776" t="s">
        <v>268</v>
      </c>
      <c r="D776" t="s">
        <v>7</v>
      </c>
      <c r="E776" t="s">
        <v>5</v>
      </c>
      <c r="F776" t="s">
        <v>1</v>
      </c>
      <c r="G776" t="str">
        <f>HYPERLINK("http://exon.niaid.nih.gov/transcriptome/Anopheles_sialome/links/pep/anocul_hyp12-pep.txt","anocul_hyp12")</f>
        <v>anocul_hyp12</v>
      </c>
      <c r="H776">
        <v>90</v>
      </c>
      <c r="I776">
        <v>1</v>
      </c>
      <c r="J776" s="3" t="str">
        <f>HYPERLINK("http://exon.niaid.nih.gov/transcriptome/Anopheles_sialome/links/Sigp/anocul_hyp12-SigP.txt","SIG")</f>
        <v>SIG</v>
      </c>
      <c r="K776" t="s">
        <v>652</v>
      </c>
      <c r="L776">
        <v>10.356999999999999</v>
      </c>
      <c r="M776">
        <v>5.27</v>
      </c>
      <c r="N776">
        <v>8.1940000000000008</v>
      </c>
      <c r="O776">
        <v>4.6900000000000004</v>
      </c>
      <c r="P776" t="s">
        <v>1215</v>
      </c>
      <c r="Q776" s="3">
        <v>0</v>
      </c>
      <c r="R776" t="s">
        <v>128</v>
      </c>
      <c r="S776" t="s">
        <v>128</v>
      </c>
      <c r="T776" t="s">
        <v>128</v>
      </c>
      <c r="U776" t="s">
        <v>128</v>
      </c>
      <c r="V776" t="s">
        <v>128</v>
      </c>
      <c r="W776" s="3" t="str">
        <f>HYPERLINK("http://exon.niaid.nih.gov/transcriptome/Anopheles_sialome/links/netoglyc/anocul_hyp12-netoglyc.txt","0")</f>
        <v>0</v>
      </c>
      <c r="X776">
        <v>14.4</v>
      </c>
      <c r="Y776">
        <v>5.6</v>
      </c>
      <c r="Z776">
        <v>1.1000000000000001</v>
      </c>
      <c r="AA776" t="s">
        <v>654</v>
      </c>
      <c r="AB776" t="s">
        <v>128</v>
      </c>
      <c r="AC776" s="2" t="str">
        <f>HYPERLINK("http://exon.niaid.nih.gov/transcriptome/Anopheles_sialome/links/DIPTERA/anocul_hyp12-DIPTERA.txt","hypothetical salivary protein 12")</f>
        <v>hypothetical salivary protein 12</v>
      </c>
      <c r="AD776" t="str">
        <f>HYPERLINK("http://www.ncbi.nlm.nih.gov/sutils/blink.cgi?pid=114864727","1E-027")</f>
        <v>1E-027</v>
      </c>
      <c r="AE776" t="str">
        <f>HYPERLINK("http://www.ncbi.nlm.nih.gov/protein/114864727","gi|114864727")</f>
        <v>gi|114864727</v>
      </c>
      <c r="AF776">
        <v>67</v>
      </c>
      <c r="AG776">
        <v>78</v>
      </c>
      <c r="AH776">
        <v>101</v>
      </c>
      <c r="AI776" t="s">
        <v>2266</v>
      </c>
      <c r="AJ776" s="2" t="s">
        <v>128</v>
      </c>
      <c r="AK776" t="s">
        <v>128</v>
      </c>
      <c r="AL776" t="s">
        <v>128</v>
      </c>
      <c r="AM776" t="s">
        <v>128</v>
      </c>
      <c r="AN776" t="s">
        <v>128</v>
      </c>
      <c r="AO776" t="s">
        <v>128</v>
      </c>
      <c r="AP776" t="s">
        <v>128</v>
      </c>
      <c r="AQ776" s="2" t="str">
        <f>HYPERLINK("http://exon.niaid.nih.gov/transcriptome/Anopheles_sialome/links/NR-LIGHT/anocul_hyp12-NR-LIGHT.txt","hypothetical salivary protein 12")</f>
        <v>hypothetical salivary protein 12</v>
      </c>
      <c r="AR776" t="str">
        <f>HYPERLINK("http://www.ncbi.nlm.nih.gov/sutils/blink.cgi?pid=114864727","3E-027")</f>
        <v>3E-027</v>
      </c>
      <c r="AS776" t="str">
        <f>HYPERLINK("http://www.ncbi.nlm.nih.gov/protein/114864727","gi|114864727")</f>
        <v>gi|114864727</v>
      </c>
      <c r="AT776">
        <v>67</v>
      </c>
      <c r="AU776">
        <v>78</v>
      </c>
      <c r="AV776">
        <v>101</v>
      </c>
      <c r="AW776" t="s">
        <v>2266</v>
      </c>
      <c r="AX776" s="2" t="str">
        <f>HYPERLINK("http://exon.niaid.nih.gov/transcriptome/Anopheles_sialome/links/CDD/anocul_hyp12-CDD.txt","Tenui_PVC2")</f>
        <v>Tenui_PVC2</v>
      </c>
      <c r="AY776" t="str">
        <f>HYPERLINK("http://www.ncbi.nlm.nih.gov/Structure/cdd/cddsrv.cgi?uid=pfam06656&amp;version=v4.0","1.3")</f>
        <v>1.3</v>
      </c>
      <c r="AZ776" t="s">
        <v>2687</v>
      </c>
      <c r="BA776" s="2" t="str">
        <f>HYPERLINK("http://exon.niaid.nih.gov/transcriptome/Anopheles_sialome/links/KOG/anocul_hyp12-KOG.txt","Predicted membrane protein")</f>
        <v>Predicted membrane protein</v>
      </c>
      <c r="BB776" t="str">
        <f>HYPERLINK("http://www.ncbi.nlm.nih.gov/Structure/cdd/cddsrv.cgi?uid=KOG2766","1.5")</f>
        <v>1.5</v>
      </c>
      <c r="BC776" t="s">
        <v>2304</v>
      </c>
      <c r="BD776" t="str">
        <f>HYPERLINK("http://exon.niaid.nih.gov/transcriptome/Anopheles_sialome/links/KOG/anocul_hyp12-KOG.txt","KOG2766")</f>
        <v>KOG2766</v>
      </c>
      <c r="BE776" t="str">
        <f>HYPERLINK("http://exon.niaid.nih.gov/transcriptome/Anopheles_sialome/links/PFAM/anocul_hyp12-PFAM.txt","Tenui_PVC2")</f>
        <v>Tenui_PVC2</v>
      </c>
      <c r="BF776" t="str">
        <f>HYPERLINK("http://pfam.sanger.ac.uk/family?acc=PF06656","0.28")</f>
        <v>0.28</v>
      </c>
      <c r="BG776" s="2" t="str">
        <f>HYPERLINK("http://exon.niaid.nih.gov/transcriptome/Anopheles_sialome/links/SMART/anocul_hyp12-SMART.txt","RPOLA_N")</f>
        <v>RPOLA_N</v>
      </c>
      <c r="BH776" t="str">
        <f>HYPERLINK("http://smart.embl-heidelberg.de/smart/do_annotation.pl?DOMAIN=RPOLA_N&amp;BLAST=DUMMY","0.81")</f>
        <v>0.81</v>
      </c>
      <c r="BI776" t="str">
        <f>HYPERLINK("http://exon.niaid.nih.gov/transcriptome/Anopheles_sialome/links/TICK-BLOCKS/anocul_hyp12-TICK-BLOCKS.txt","hyp10_hyp12_anopheline_family |")</f>
        <v>hyp10_hyp12_anopheline_family |</v>
      </c>
      <c r="BJ776" s="2" t="s">
        <v>2662</v>
      </c>
      <c r="BK776" t="s">
        <v>1401</v>
      </c>
      <c r="BL776">
        <f>HYPERLINK("http://exon.niaid.nih.gov/transcriptome/Anopheles_sialome/links/cluster-b/anopheline-sialome-cds-pep-larger-orf25-50SimCLU1.txt", 1)</f>
        <v>1</v>
      </c>
      <c r="BM776">
        <f>HYPERLINK("http://exon.niaid.nih.gov/transcriptome/Anopheles_sialome/links/cluster-b/anopheline-sialome-cds-pep-larger-orf25-50SimCLTL1.txt", 165)</f>
        <v>165</v>
      </c>
      <c r="BN776">
        <f>HYPERLINK("http://exon.niaid.nih.gov/transcriptome/Anopheles_sialome/links/cluster-b/anopheline-sialome-cds-pep-larger-orf30-50SimCLU1.txt", 1)</f>
        <v>1</v>
      </c>
      <c r="BO776">
        <f>HYPERLINK("http://exon.niaid.nih.gov/transcriptome/Anopheles_sialome/links/cluster-b/anopheline-sialome-cds-pep-larger-orf30-50SimCLTL1.txt", 165)</f>
        <v>165</v>
      </c>
      <c r="BP776">
        <f>HYPERLINK("http://exon.niaid.nih.gov/transcriptome/Anopheles_sialome/links/cluster-b/anopheline-sialome-cds-pep-larger-orf35-50SimCLU5.txt", 5)</f>
        <v>5</v>
      </c>
      <c r="BQ776">
        <f>HYPERLINK("http://exon.niaid.nih.gov/transcriptome/Anopheles_sialome/links/cluster-b/anopheline-sialome-cds-pep-larger-orf35-50SimCLTL5.txt", 61)</f>
        <v>61</v>
      </c>
      <c r="BR776">
        <f>HYPERLINK("http://exon.niaid.nih.gov/transcriptome/Anopheles_sialome/links/cluster-b/anopheline-sialome-cds-pep-larger-orf40-50SimCLU9.txt", 9)</f>
        <v>9</v>
      </c>
      <c r="BS776">
        <f>HYPERLINK("http://exon.niaid.nih.gov/transcriptome/Anopheles_sialome/links/cluster-b/anopheline-sialome-cds-pep-larger-orf40-50SimCLTL9.txt", 28)</f>
        <v>28</v>
      </c>
      <c r="BT776">
        <f>HYPERLINK("http://exon.niaid.nih.gov/transcriptome/Anopheles_sialome/links/cluster-b/anopheline-sialome-cds-pep-larger-orf45-50SimCLU8.txt", 8)</f>
        <v>8</v>
      </c>
      <c r="BU776">
        <f>HYPERLINK("http://exon.niaid.nih.gov/transcriptome/Anopheles_sialome/links/cluster-b/anopheline-sialome-cds-pep-larger-orf45-50SimCLTL8.txt", 28)</f>
        <v>28</v>
      </c>
      <c r="BV776">
        <f>HYPERLINK("http://exon.niaid.nih.gov/transcriptome/Anopheles_sialome/links/cluster-b/anopheline-sialome-cds-pep-larger-orf50-50SimCLU8.txt", 8)</f>
        <v>8</v>
      </c>
      <c r="BW776">
        <f>HYPERLINK("http://exon.niaid.nih.gov/transcriptome/Anopheles_sialome/links/cluster-b/anopheline-sialome-cds-pep-larger-orf50-50SimCLTL8.txt", 28)</f>
        <v>28</v>
      </c>
      <c r="BX776">
        <f>HYPERLINK("http://exon.niaid.nih.gov/transcriptome/Anopheles_sialome/links/cluster-b/anopheline-sialome-cds-pep-larger-orf55-50SimCLU8.txt", 8)</f>
        <v>8</v>
      </c>
      <c r="BY776">
        <f>HYPERLINK("http://exon.niaid.nih.gov/transcriptome/Anopheles_sialome/links/cluster-b/anopheline-sialome-cds-pep-larger-orf55-50SimCLTL8.txt", 28)</f>
        <v>28</v>
      </c>
      <c r="BZ776">
        <f>HYPERLINK("http://exon.niaid.nih.gov/transcriptome/Anopheles_sialome/links/cluster-b/anopheline-sialome-cds-pep-larger-orf60-50SimCLU6.txt", 6)</f>
        <v>6</v>
      </c>
      <c r="CA776">
        <f>HYPERLINK("http://exon.niaid.nih.gov/transcriptome/Anopheles_sialome/links/cluster-b/anopheline-sialome-cds-pep-larger-orf60-50SimCLTL6.txt", 28)</f>
        <v>28</v>
      </c>
      <c r="CB776">
        <f>HYPERLINK("http://exon.niaid.nih.gov/transcriptome/Anopheles_sialome/links/cluster-b/anopheline-sialome-cds-pep-larger-orf65-50SimCLU32.txt", 32)</f>
        <v>32</v>
      </c>
      <c r="CC776">
        <f>HYPERLINK("http://exon.niaid.nih.gov/transcriptome/Anopheles_sialome/links/cluster-b/anopheline-sialome-cds-pep-larger-orf65-50SimCLTL32.txt", 14)</f>
        <v>14</v>
      </c>
      <c r="CD776">
        <f>HYPERLINK("http://exon.niaid.nih.gov/transcriptome/Anopheles_sialome/links/cluster-b/anopheline-sialome-cds-pep-larger-orf70-50SimCLU31.txt", 31)</f>
        <v>31</v>
      </c>
      <c r="CE776">
        <f>HYPERLINK("http://exon.niaid.nih.gov/transcriptome/Anopheles_sialome/links/cluster-b/anopheline-sialome-cds-pep-larger-orf70-50SimCLTL31.txt", 14)</f>
        <v>14</v>
      </c>
      <c r="CF776">
        <f>HYPERLINK("http://exon.niaid.nih.gov/transcriptome/Anopheles_sialome/links/cluster-b/anopheline-sialome-cds-pep-larger-orf75-50SimCLU29.txt", 29)</f>
        <v>29</v>
      </c>
      <c r="CG776">
        <f>HYPERLINK("http://exon.niaid.nih.gov/transcriptome/Anopheles_sialome/links/cluster-b/anopheline-sialome-cds-pep-larger-orf75-50SimCLTL29.txt", 12)</f>
        <v>12</v>
      </c>
      <c r="CH776">
        <f>HYPERLINK("http://exon.niaid.nih.gov/transcriptome/Anopheles_sialome/links/cluster-b/anopheline-sialome-cds-pep-larger-orf80-50SimCLU55.txt", 55)</f>
        <v>55</v>
      </c>
      <c r="CI776">
        <f>HYPERLINK("http://exon.niaid.nih.gov/transcriptome/Anopheles_sialome/links/cluster-b/anopheline-sialome-cds-pep-larger-orf80-50SimCLTL55.txt", 3)</f>
        <v>3</v>
      </c>
      <c r="CJ776">
        <f>HYPERLINK("http://exon.niaid.nih.gov/transcriptome/Anopheles_sialome/links/cluster-b/anopheline-sialome-cds-pep-larger-orf85-50SimCLU83.txt", 83)</f>
        <v>83</v>
      </c>
      <c r="CK776">
        <f>HYPERLINK("http://exon.niaid.nih.gov/transcriptome/Anopheles_sialome/links/cluster-b/anopheline-sialome-cds-pep-larger-orf85-50SimCLTL83.txt", 2)</f>
        <v>2</v>
      </c>
      <c r="CL776">
        <f>HYPERLINK("http://exon.niaid.nih.gov/transcriptome/Anopheles_sialome/links/cluster-b/anopheline-sialome-cds-pep-larger-orf90-50SimCLU73.txt", 73)</f>
        <v>73</v>
      </c>
      <c r="CM776">
        <f>HYPERLINK("http://exon.niaid.nih.gov/transcriptome/Anopheles_sialome/links/cluster-b/anopheline-sialome-cds-pep-larger-orf90-50SimCLTL73.txt", 2)</f>
        <v>2</v>
      </c>
      <c r="CN776">
        <v>287</v>
      </c>
      <c r="CO776">
        <v>1</v>
      </c>
    </row>
    <row r="777" spans="1:93">
      <c r="A777" s="2" t="str">
        <f>HYPERLINK("http://exon.niaid.nih.gov/transcriptome/Anopheles_sialome/links/cds/anoste_hyp12-cds.txt","anoste_hyp12")</f>
        <v>anoste_hyp12</v>
      </c>
      <c r="B777">
        <v>273</v>
      </c>
      <c r="C777" t="s">
        <v>269</v>
      </c>
      <c r="D777" t="s">
        <v>7</v>
      </c>
      <c r="E777" t="s">
        <v>5</v>
      </c>
      <c r="F777" t="s">
        <v>1</v>
      </c>
      <c r="G777" t="str">
        <f>HYPERLINK("http://exon.niaid.nih.gov/transcriptome/Anopheles_sialome/links/pep/anoste_hyp12-pep.txt","anoste_hyp12")</f>
        <v>anoste_hyp12</v>
      </c>
      <c r="H777">
        <v>90</v>
      </c>
      <c r="I777">
        <v>1</v>
      </c>
      <c r="J777" s="3" t="str">
        <f>HYPERLINK("http://exon.niaid.nih.gov/transcriptome/Anopheles_sialome/links/Sigp/anoste_hyp12-SigP.txt","SIG")</f>
        <v>SIG</v>
      </c>
      <c r="K777" t="s">
        <v>652</v>
      </c>
      <c r="L777">
        <v>10.176</v>
      </c>
      <c r="M777">
        <v>4.51</v>
      </c>
      <c r="N777">
        <v>8.0589999999999993</v>
      </c>
      <c r="O777">
        <v>4.3600000000000003</v>
      </c>
      <c r="P777" t="s">
        <v>1047</v>
      </c>
      <c r="Q777" s="3">
        <v>0</v>
      </c>
      <c r="R777" t="s">
        <v>128</v>
      </c>
      <c r="S777" t="s">
        <v>128</v>
      </c>
      <c r="T777" t="s">
        <v>128</v>
      </c>
      <c r="U777" t="s">
        <v>128</v>
      </c>
      <c r="V777" t="s">
        <v>128</v>
      </c>
      <c r="W777" s="3" t="str">
        <f>HYPERLINK("http://exon.niaid.nih.gov/transcriptome/Anopheles_sialome/links/netoglyc/anoste_hyp12-netoglyc.txt","0")</f>
        <v>0</v>
      </c>
      <c r="X777">
        <v>14.4</v>
      </c>
      <c r="Y777">
        <v>6.7</v>
      </c>
      <c r="Z777">
        <v>1.1000000000000001</v>
      </c>
      <c r="AA777" t="s">
        <v>654</v>
      </c>
      <c r="AB777" t="s">
        <v>128</v>
      </c>
      <c r="AC777" s="2" t="str">
        <f>HYPERLINK("http://exon.niaid.nih.gov/transcriptome/Anopheles_sialome/links/DIPTERA/anoste_hyp12-DIPTERA.txt","putative salivary protein hyp12")</f>
        <v>putative salivary protein hyp12</v>
      </c>
      <c r="AD777" t="str">
        <f>HYPERLINK("http://www.ncbi.nlm.nih.gov/sutils/blink.cgi?pid=27372893","4E-047")</f>
        <v>4E-047</v>
      </c>
      <c r="AE777" t="str">
        <f>HYPERLINK("http://www.ncbi.nlm.nih.gov/protein/27372893","gi|27372893")</f>
        <v>gi|27372893</v>
      </c>
      <c r="AF777">
        <v>100</v>
      </c>
      <c r="AG777">
        <v>100</v>
      </c>
      <c r="AH777">
        <v>100</v>
      </c>
      <c r="AI777" t="s">
        <v>2271</v>
      </c>
      <c r="AJ777" s="2" t="s">
        <v>128</v>
      </c>
      <c r="AK777" t="s">
        <v>128</v>
      </c>
      <c r="AL777" t="s">
        <v>128</v>
      </c>
      <c r="AM777" t="s">
        <v>128</v>
      </c>
      <c r="AN777" t="s">
        <v>128</v>
      </c>
      <c r="AO777" t="s">
        <v>128</v>
      </c>
      <c r="AP777" t="s">
        <v>128</v>
      </c>
      <c r="AQ777" s="2" t="str">
        <f>HYPERLINK("http://exon.niaid.nih.gov/transcriptome/Anopheles_sialome/links/NR-LIGHT/anoste_hyp12-NR-LIGHT.txt","putative salivary protein hyp12")</f>
        <v>putative salivary protein hyp12</v>
      </c>
      <c r="AR777" t="str">
        <f>HYPERLINK("http://www.ncbi.nlm.nih.gov/sutils/blink.cgi?pid=27372893","1E-046")</f>
        <v>1E-046</v>
      </c>
      <c r="AS777" t="str">
        <f>HYPERLINK("http://www.ncbi.nlm.nih.gov/protein/27372893","gi|27372893")</f>
        <v>gi|27372893</v>
      </c>
      <c r="AT777">
        <v>100</v>
      </c>
      <c r="AU777">
        <v>100</v>
      </c>
      <c r="AV777">
        <v>100</v>
      </c>
      <c r="AW777" t="s">
        <v>2271</v>
      </c>
      <c r="AX777" s="2" t="str">
        <f>HYPERLINK("http://exon.niaid.nih.gov/transcriptome/Anopheles_sialome/links/CDD/anoste_hyp12-CDD.txt","PRK13247")</f>
        <v>PRK13247</v>
      </c>
      <c r="AY777" t="str">
        <f>HYPERLINK("http://www.ncbi.nlm.nih.gov/Structure/cdd/cddsrv.cgi?uid=PRK13247&amp;version=v4.0","2.3")</f>
        <v>2.3</v>
      </c>
      <c r="AZ777" t="s">
        <v>2688</v>
      </c>
      <c r="BA777" s="2" t="str">
        <f>HYPERLINK("http://exon.niaid.nih.gov/transcriptome/Anopheles_sialome/links/KOG/anoste_hyp12-KOG.txt","SNF2 family DNA-dependent ATPase")</f>
        <v>SNF2 family DNA-dependent ATPase</v>
      </c>
      <c r="BB777" t="str">
        <f>HYPERLINK("http://www.ncbi.nlm.nih.gov/Structure/cdd/cddsrv.cgi?uid=KOG0388","0.41")</f>
        <v>0.41</v>
      </c>
      <c r="BC777" t="s">
        <v>2290</v>
      </c>
      <c r="BD777" t="str">
        <f>HYPERLINK("http://exon.niaid.nih.gov/transcriptome/Anopheles_sialome/links/KOG/anoste_hyp12-KOG.txt","KOG0388")</f>
        <v>KOG0388</v>
      </c>
      <c r="BE777" t="str">
        <f>HYPERLINK("http://exon.niaid.nih.gov/transcriptome/Anopheles_sialome/links/PFAM/anoste_hyp12-PFAM.txt","DUF4106")</f>
        <v>DUF4106</v>
      </c>
      <c r="BF777" t="str">
        <f>HYPERLINK("http://pfam.sanger.ac.uk/family?acc=PF13388","0.70")</f>
        <v>0.70</v>
      </c>
      <c r="BG777" s="2" t="str">
        <f>HYPERLINK("http://exon.niaid.nih.gov/transcriptome/Anopheles_sialome/links/SMART/anoste_hyp12-SMART.txt","RRM")</f>
        <v>RRM</v>
      </c>
      <c r="BH777" t="str">
        <f>HYPERLINK("http://smart.embl-heidelberg.de/smart/do_annotation.pl?DOMAIN=RRM&amp;BLAST=DUMMY","0.75")</f>
        <v>0.75</v>
      </c>
      <c r="BI777" t="str">
        <f>HYPERLINK("http://exon.niaid.nih.gov/transcriptome/Anopheles_sialome/links/TICK-BLOCKS/anoste_hyp12-TICK-BLOCKS.txt","hyp10_hyp12_anopheline_family |")</f>
        <v>hyp10_hyp12_anopheline_family |</v>
      </c>
      <c r="BJ777" s="2" t="s">
        <v>2662</v>
      </c>
      <c r="BK777" t="s">
        <v>1402</v>
      </c>
      <c r="BL777">
        <f>HYPERLINK("http://exon.niaid.nih.gov/transcriptome/Anopheles_sialome/links/cluster-b/anopheline-sialome-cds-pep-larger-orf25-50SimCLU1.txt", 1)</f>
        <v>1</v>
      </c>
      <c r="BM777">
        <f>HYPERLINK("http://exon.niaid.nih.gov/transcriptome/Anopheles_sialome/links/cluster-b/anopheline-sialome-cds-pep-larger-orf25-50SimCLTL1.txt", 165)</f>
        <v>165</v>
      </c>
      <c r="BN777">
        <f>HYPERLINK("http://exon.niaid.nih.gov/transcriptome/Anopheles_sialome/links/cluster-b/anopheline-sialome-cds-pep-larger-orf30-50SimCLU1.txt", 1)</f>
        <v>1</v>
      </c>
      <c r="BO777">
        <f>HYPERLINK("http://exon.niaid.nih.gov/transcriptome/Anopheles_sialome/links/cluster-b/anopheline-sialome-cds-pep-larger-orf30-50SimCLTL1.txt", 165)</f>
        <v>165</v>
      </c>
      <c r="BP777">
        <f>HYPERLINK("http://exon.niaid.nih.gov/transcriptome/Anopheles_sialome/links/cluster-b/anopheline-sialome-cds-pep-larger-orf35-50SimCLU5.txt", 5)</f>
        <v>5</v>
      </c>
      <c r="BQ777">
        <f>HYPERLINK("http://exon.niaid.nih.gov/transcriptome/Anopheles_sialome/links/cluster-b/anopheline-sialome-cds-pep-larger-orf35-50SimCLTL5.txt", 61)</f>
        <v>61</v>
      </c>
      <c r="BR777">
        <f>HYPERLINK("http://exon.niaid.nih.gov/transcriptome/Anopheles_sialome/links/cluster-b/anopheline-sialome-cds-pep-larger-orf40-50SimCLU9.txt", 9)</f>
        <v>9</v>
      </c>
      <c r="BS777">
        <f>HYPERLINK("http://exon.niaid.nih.gov/transcriptome/Anopheles_sialome/links/cluster-b/anopheline-sialome-cds-pep-larger-orf40-50SimCLTL9.txt", 28)</f>
        <v>28</v>
      </c>
      <c r="BT777">
        <f>HYPERLINK("http://exon.niaid.nih.gov/transcriptome/Anopheles_sialome/links/cluster-b/anopheline-sialome-cds-pep-larger-orf45-50SimCLU8.txt", 8)</f>
        <v>8</v>
      </c>
      <c r="BU777">
        <f>HYPERLINK("http://exon.niaid.nih.gov/transcriptome/Anopheles_sialome/links/cluster-b/anopheline-sialome-cds-pep-larger-orf45-50SimCLTL8.txt", 28)</f>
        <v>28</v>
      </c>
      <c r="BV777">
        <f>HYPERLINK("http://exon.niaid.nih.gov/transcriptome/Anopheles_sialome/links/cluster-b/anopheline-sialome-cds-pep-larger-orf50-50SimCLU8.txt", 8)</f>
        <v>8</v>
      </c>
      <c r="BW777">
        <f>HYPERLINK("http://exon.niaid.nih.gov/transcriptome/Anopheles_sialome/links/cluster-b/anopheline-sialome-cds-pep-larger-orf50-50SimCLTL8.txt", 28)</f>
        <v>28</v>
      </c>
      <c r="BX777">
        <f>HYPERLINK("http://exon.niaid.nih.gov/transcriptome/Anopheles_sialome/links/cluster-b/anopheline-sialome-cds-pep-larger-orf55-50SimCLU8.txt", 8)</f>
        <v>8</v>
      </c>
      <c r="BY777">
        <f>HYPERLINK("http://exon.niaid.nih.gov/transcriptome/Anopheles_sialome/links/cluster-b/anopheline-sialome-cds-pep-larger-orf55-50SimCLTL8.txt", 28)</f>
        <v>28</v>
      </c>
      <c r="BZ777">
        <f>HYPERLINK("http://exon.niaid.nih.gov/transcriptome/Anopheles_sialome/links/cluster-b/anopheline-sialome-cds-pep-larger-orf60-50SimCLU6.txt", 6)</f>
        <v>6</v>
      </c>
      <c r="CA777">
        <f>HYPERLINK("http://exon.niaid.nih.gov/transcriptome/Anopheles_sialome/links/cluster-b/anopheline-sialome-cds-pep-larger-orf60-50SimCLTL6.txt", 28)</f>
        <v>28</v>
      </c>
      <c r="CB777">
        <f>HYPERLINK("http://exon.niaid.nih.gov/transcriptome/Anopheles_sialome/links/cluster-b/anopheline-sialome-cds-pep-larger-orf65-50SimCLU32.txt", 32)</f>
        <v>32</v>
      </c>
      <c r="CC777">
        <f>HYPERLINK("http://exon.niaid.nih.gov/transcriptome/Anopheles_sialome/links/cluster-b/anopheline-sialome-cds-pep-larger-orf65-50SimCLTL32.txt", 14)</f>
        <v>14</v>
      </c>
      <c r="CD777">
        <f>HYPERLINK("http://exon.niaid.nih.gov/transcriptome/Anopheles_sialome/links/cluster-b/anopheline-sialome-cds-pep-larger-orf70-50SimCLU31.txt", 31)</f>
        <v>31</v>
      </c>
      <c r="CE777">
        <f>HYPERLINK("http://exon.niaid.nih.gov/transcriptome/Anopheles_sialome/links/cluster-b/anopheline-sialome-cds-pep-larger-orf70-50SimCLTL31.txt", 14)</f>
        <v>14</v>
      </c>
      <c r="CF777">
        <f>HYPERLINK("http://exon.niaid.nih.gov/transcriptome/Anopheles_sialome/links/cluster-b/anopheline-sialome-cds-pep-larger-orf75-50SimCLU29.txt", 29)</f>
        <v>29</v>
      </c>
      <c r="CG777">
        <f>HYPERLINK("http://exon.niaid.nih.gov/transcriptome/Anopheles_sialome/links/cluster-b/anopheline-sialome-cds-pep-larger-orf75-50SimCLTL29.txt", 12)</f>
        <v>12</v>
      </c>
      <c r="CH777">
        <f>HYPERLINK("http://exon.niaid.nih.gov/transcriptome/Anopheles_sialome/links/cluster-b/anopheline-sialome-cds-pep-larger-orf80-50SimCLU55.txt", 55)</f>
        <v>55</v>
      </c>
      <c r="CI777">
        <f>HYPERLINK("http://exon.niaid.nih.gov/transcriptome/Anopheles_sialome/links/cluster-b/anopheline-sialome-cds-pep-larger-orf80-50SimCLTL55.txt", 3)</f>
        <v>3</v>
      </c>
      <c r="CJ777">
        <v>212</v>
      </c>
      <c r="CK777">
        <v>1</v>
      </c>
      <c r="CL777">
        <v>258</v>
      </c>
      <c r="CM777">
        <v>1</v>
      </c>
      <c r="CN777">
        <v>288</v>
      </c>
      <c r="CO777">
        <v>1</v>
      </c>
    </row>
    <row r="778" spans="1:93">
      <c r="A778" s="2" t="str">
        <f>HYPERLINK("http://exon.niaid.nih.gov/transcriptome/Anopheles_sialome/links/cds/anofar_hyp12-cds.txt","anofar_hyp12")</f>
        <v>anofar_hyp12</v>
      </c>
      <c r="B778">
        <v>267</v>
      </c>
      <c r="C778" t="s">
        <v>270</v>
      </c>
      <c r="D778" t="s">
        <v>7</v>
      </c>
      <c r="E778" t="s">
        <v>5</v>
      </c>
      <c r="F778" t="s">
        <v>1</v>
      </c>
      <c r="G778" t="str">
        <f>HYPERLINK("http://exon.niaid.nih.gov/transcriptome/Anopheles_sialome/links/pep/anofar_hyp12-pep.txt","anofar_hyp12")</f>
        <v>anofar_hyp12</v>
      </c>
      <c r="H778">
        <v>88</v>
      </c>
      <c r="I778">
        <v>1</v>
      </c>
      <c r="J778" s="3" t="str">
        <f>HYPERLINK("http://exon.niaid.nih.gov/transcriptome/Anopheles_sialome/links/Sigp/anofar_hyp12-SigP.txt","SIG")</f>
        <v>SIG</v>
      </c>
      <c r="K778" t="s">
        <v>652</v>
      </c>
      <c r="L778">
        <v>10.073</v>
      </c>
      <c r="M778">
        <v>5.08</v>
      </c>
      <c r="N778">
        <v>7.9160000000000004</v>
      </c>
      <c r="O778">
        <v>4.72</v>
      </c>
      <c r="P778" t="s">
        <v>1334</v>
      </c>
      <c r="Q778" s="3">
        <v>0</v>
      </c>
      <c r="R778" t="s">
        <v>128</v>
      </c>
      <c r="S778" t="s">
        <v>128</v>
      </c>
      <c r="T778" t="s">
        <v>128</v>
      </c>
      <c r="U778" t="s">
        <v>128</v>
      </c>
      <c r="V778" t="s">
        <v>128</v>
      </c>
      <c r="W778" s="3" t="str">
        <f>HYPERLINK("http://exon.niaid.nih.gov/transcriptome/Anopheles_sialome/links/netoglyc/anofar_hyp12-netoglyc.txt","0")</f>
        <v>0</v>
      </c>
      <c r="X778">
        <v>15.9</v>
      </c>
      <c r="Y778">
        <v>4.5</v>
      </c>
      <c r="Z778">
        <v>1.1000000000000001</v>
      </c>
      <c r="AA778" t="s">
        <v>654</v>
      </c>
      <c r="AB778" t="s">
        <v>128</v>
      </c>
      <c r="AC778" s="2" t="str">
        <f>HYPERLINK("http://exon.niaid.nih.gov/transcriptome/Anopheles_sialome/links/DIPTERA/anofar_hyp12-DIPTERA.txt","putative salivary protein hyp12")</f>
        <v>putative salivary protein hyp12</v>
      </c>
      <c r="AD778" t="str">
        <f>HYPERLINK("http://www.ncbi.nlm.nih.gov/sutils/blink.cgi?pid=27372893","7E-017")</f>
        <v>7E-017</v>
      </c>
      <c r="AE778" t="str">
        <f>HYPERLINK("http://www.ncbi.nlm.nih.gov/protein/27372893","gi|27372893")</f>
        <v>gi|27372893</v>
      </c>
      <c r="AF778">
        <v>49</v>
      </c>
      <c r="AG778">
        <v>69</v>
      </c>
      <c r="AH778">
        <v>101</v>
      </c>
      <c r="AI778" t="s">
        <v>2271</v>
      </c>
      <c r="AJ778" s="2" t="s">
        <v>128</v>
      </c>
      <c r="AK778" t="s">
        <v>128</v>
      </c>
      <c r="AL778" t="s">
        <v>128</v>
      </c>
      <c r="AM778" t="s">
        <v>128</v>
      </c>
      <c r="AN778" t="s">
        <v>128</v>
      </c>
      <c r="AO778" t="s">
        <v>128</v>
      </c>
      <c r="AP778" t="s">
        <v>128</v>
      </c>
      <c r="AQ778" s="2" t="str">
        <f>HYPERLINK("http://exon.niaid.nih.gov/transcriptome/Anopheles_sialome/links/NR-LIGHT/anofar_hyp12-NR-LIGHT.txt","putative salivary protein hyp12")</f>
        <v>putative salivary protein hyp12</v>
      </c>
      <c r="AR778" t="str">
        <f>HYPERLINK("http://www.ncbi.nlm.nih.gov/sutils/blink.cgi?pid=27372893","2E-016")</f>
        <v>2E-016</v>
      </c>
      <c r="AS778" t="str">
        <f>HYPERLINK("http://www.ncbi.nlm.nih.gov/protein/27372893","gi|27372893")</f>
        <v>gi|27372893</v>
      </c>
      <c r="AT778">
        <v>49</v>
      </c>
      <c r="AU778">
        <v>69</v>
      </c>
      <c r="AV778">
        <v>101</v>
      </c>
      <c r="AW778" t="s">
        <v>2271</v>
      </c>
      <c r="AX778" s="2" t="str">
        <f>HYPERLINK("http://exon.niaid.nih.gov/transcriptome/Anopheles_sialome/links/CDD/anofar_hyp12-CDD.txt","pbp2_mrdA")</f>
        <v>pbp2_mrdA</v>
      </c>
      <c r="AY778" t="str">
        <f>HYPERLINK("http://www.ncbi.nlm.nih.gov/Structure/cdd/cddsrv.cgi?uid=TIGR03423&amp;version=v4.0","0.24")</f>
        <v>0.24</v>
      </c>
      <c r="AZ778" t="s">
        <v>2689</v>
      </c>
      <c r="BA778" s="2" t="str">
        <f>HYPERLINK("http://exon.niaid.nih.gov/transcriptome/Anopheles_sialome/links/KOG/anofar_hyp12-KOG.txt","Uncharacterized conserved protein")</f>
        <v>Uncharacterized conserved protein</v>
      </c>
      <c r="BB778" t="str">
        <f>HYPERLINK("http://www.ncbi.nlm.nih.gov/Structure/cdd/cddsrv.cgi?uid=KOG1988","1.5")</f>
        <v>1.5</v>
      </c>
      <c r="BC778" t="s">
        <v>2304</v>
      </c>
      <c r="BD778" t="str">
        <f>HYPERLINK("http://exon.niaid.nih.gov/transcriptome/Anopheles_sialome/links/KOG/anofar_hyp12-KOG.txt","KOG1988")</f>
        <v>KOG1988</v>
      </c>
      <c r="BE778" t="str">
        <f>HYPERLINK("http://exon.niaid.nih.gov/transcriptome/Anopheles_sialome/links/PFAM/anofar_hyp12-PFAM.txt","TRAPP")</f>
        <v>TRAPP</v>
      </c>
      <c r="BF778" t="str">
        <f>HYPERLINK("http://pfam.sanger.ac.uk/family?acc=PF04051","1.1")</f>
        <v>1.1</v>
      </c>
      <c r="BG778" s="2" t="str">
        <f>HYPERLINK("http://exon.niaid.nih.gov/transcriptome/Anopheles_sialome/links/SMART/anofar_hyp12-SMART.txt","SEC63")</f>
        <v>SEC63</v>
      </c>
      <c r="BH778" t="str">
        <f>HYPERLINK("http://smart.embl-heidelberg.de/smart/do_annotation.pl?DOMAIN=SEC63&amp;BLAST=DUMMY","0.19")</f>
        <v>0.19</v>
      </c>
      <c r="BI778" t="s">
        <v>128</v>
      </c>
      <c r="BJ778" s="2" t="s">
        <v>128</v>
      </c>
      <c r="BK778" t="s">
        <v>1403</v>
      </c>
      <c r="BL778">
        <f>HYPERLINK("http://exon.niaid.nih.gov/transcriptome/Anopheles_sialome/links/cluster-b/anopheline-sialome-cds-pep-larger-orf25-50SimCLU1.txt", 1)</f>
        <v>1</v>
      </c>
      <c r="BM778">
        <f>HYPERLINK("http://exon.niaid.nih.gov/transcriptome/Anopheles_sialome/links/cluster-b/anopheline-sialome-cds-pep-larger-orf25-50SimCLTL1.txt", 165)</f>
        <v>165</v>
      </c>
      <c r="BN778">
        <f>HYPERLINK("http://exon.niaid.nih.gov/transcriptome/Anopheles_sialome/links/cluster-b/anopheline-sialome-cds-pep-larger-orf30-50SimCLU1.txt", 1)</f>
        <v>1</v>
      </c>
      <c r="BO778">
        <f>HYPERLINK("http://exon.niaid.nih.gov/transcriptome/Anopheles_sialome/links/cluster-b/anopheline-sialome-cds-pep-larger-orf30-50SimCLTL1.txt", 165)</f>
        <v>165</v>
      </c>
      <c r="BP778">
        <f>HYPERLINK("http://exon.niaid.nih.gov/transcriptome/Anopheles_sialome/links/cluster-b/anopheline-sialome-cds-pep-larger-orf35-50SimCLU5.txt", 5)</f>
        <v>5</v>
      </c>
      <c r="BQ778">
        <f>HYPERLINK("http://exon.niaid.nih.gov/transcriptome/Anopheles_sialome/links/cluster-b/anopheline-sialome-cds-pep-larger-orf35-50SimCLTL5.txt", 61)</f>
        <v>61</v>
      </c>
      <c r="BR778">
        <f>HYPERLINK("http://exon.niaid.nih.gov/transcriptome/Anopheles_sialome/links/cluster-b/anopheline-sialome-cds-pep-larger-orf40-50SimCLU9.txt", 9)</f>
        <v>9</v>
      </c>
      <c r="BS778">
        <f>HYPERLINK("http://exon.niaid.nih.gov/transcriptome/Anopheles_sialome/links/cluster-b/anopheline-sialome-cds-pep-larger-orf40-50SimCLTL9.txt", 28)</f>
        <v>28</v>
      </c>
      <c r="BT778">
        <f>HYPERLINK("http://exon.niaid.nih.gov/transcriptome/Anopheles_sialome/links/cluster-b/anopheline-sialome-cds-pep-larger-orf45-50SimCLU8.txt", 8)</f>
        <v>8</v>
      </c>
      <c r="BU778">
        <f>HYPERLINK("http://exon.niaid.nih.gov/transcriptome/Anopheles_sialome/links/cluster-b/anopheline-sialome-cds-pep-larger-orf45-50SimCLTL8.txt", 28)</f>
        <v>28</v>
      </c>
      <c r="BV778">
        <f>HYPERLINK("http://exon.niaid.nih.gov/transcriptome/Anopheles_sialome/links/cluster-b/anopheline-sialome-cds-pep-larger-orf50-50SimCLU8.txt", 8)</f>
        <v>8</v>
      </c>
      <c r="BW778">
        <f>HYPERLINK("http://exon.niaid.nih.gov/transcriptome/Anopheles_sialome/links/cluster-b/anopheline-sialome-cds-pep-larger-orf50-50SimCLTL8.txt", 28)</f>
        <v>28</v>
      </c>
      <c r="BX778">
        <f>HYPERLINK("http://exon.niaid.nih.gov/transcriptome/Anopheles_sialome/links/cluster-b/anopheline-sialome-cds-pep-larger-orf55-50SimCLU8.txt", 8)</f>
        <v>8</v>
      </c>
      <c r="BY778">
        <f>HYPERLINK("http://exon.niaid.nih.gov/transcriptome/Anopheles_sialome/links/cluster-b/anopheline-sialome-cds-pep-larger-orf55-50SimCLTL8.txt", 28)</f>
        <v>28</v>
      </c>
      <c r="BZ778">
        <f>HYPERLINK("http://exon.niaid.nih.gov/transcriptome/Anopheles_sialome/links/cluster-b/anopheline-sialome-cds-pep-larger-orf60-50SimCLU6.txt", 6)</f>
        <v>6</v>
      </c>
      <c r="CA778">
        <f>HYPERLINK("http://exon.niaid.nih.gov/transcriptome/Anopheles_sialome/links/cluster-b/anopheline-sialome-cds-pep-larger-orf60-50SimCLTL6.txt", 28)</f>
        <v>28</v>
      </c>
      <c r="CB778">
        <f>HYPERLINK("http://exon.niaid.nih.gov/transcriptome/Anopheles_sialome/links/cluster-b/anopheline-sialome-cds-pep-larger-orf65-50SimCLU32.txt", 32)</f>
        <v>32</v>
      </c>
      <c r="CC778">
        <f>HYPERLINK("http://exon.niaid.nih.gov/transcriptome/Anopheles_sialome/links/cluster-b/anopheline-sialome-cds-pep-larger-orf65-50SimCLTL32.txt", 14)</f>
        <v>14</v>
      </c>
      <c r="CD778">
        <f>HYPERLINK("http://exon.niaid.nih.gov/transcriptome/Anopheles_sialome/links/cluster-b/anopheline-sialome-cds-pep-larger-orf70-50SimCLU31.txt", 31)</f>
        <v>31</v>
      </c>
      <c r="CE778">
        <f>HYPERLINK("http://exon.niaid.nih.gov/transcriptome/Anopheles_sialome/links/cluster-b/anopheline-sialome-cds-pep-larger-orf70-50SimCLTL31.txt", 14)</f>
        <v>14</v>
      </c>
      <c r="CF778">
        <f>HYPERLINK("http://exon.niaid.nih.gov/transcriptome/Anopheles_sialome/links/cluster-b/anopheline-sialome-cds-pep-larger-orf75-50SimCLU68.txt", 68)</f>
        <v>68</v>
      </c>
      <c r="CG778">
        <f>HYPERLINK("http://exon.niaid.nih.gov/transcriptome/Anopheles_sialome/links/cluster-b/anopheline-sialome-cds-pep-larger-orf75-50SimCLTL68.txt", 2)</f>
        <v>2</v>
      </c>
      <c r="CH778">
        <f>HYPERLINK("http://exon.niaid.nih.gov/transcriptome/Anopheles_sialome/links/cluster-b/anopheline-sialome-cds-pep-larger-orf80-50SimCLU82.txt", 82)</f>
        <v>82</v>
      </c>
      <c r="CI778">
        <f>HYPERLINK("http://exon.niaid.nih.gov/transcriptome/Anopheles_sialome/links/cluster-b/anopheline-sialome-cds-pep-larger-orf80-50SimCLTL82.txt", 2)</f>
        <v>2</v>
      </c>
      <c r="CJ778">
        <v>213</v>
      </c>
      <c r="CK778">
        <v>1</v>
      </c>
      <c r="CL778">
        <v>259</v>
      </c>
      <c r="CM778">
        <v>1</v>
      </c>
      <c r="CN778">
        <v>289</v>
      </c>
      <c r="CO778">
        <v>1</v>
      </c>
    </row>
    <row r="779" spans="1:93">
      <c r="A779" s="2" t="str">
        <f>HYPERLINK("http://exon.niaid.nih.gov/transcriptome/Anopheles_sialome/links/cds/anodir-hyp12-cds.txt","anodir-hyp12")</f>
        <v>anodir-hyp12</v>
      </c>
      <c r="B779">
        <v>261</v>
      </c>
      <c r="C779" t="s">
        <v>271</v>
      </c>
      <c r="D779" t="s">
        <v>7</v>
      </c>
      <c r="E779" t="s">
        <v>5</v>
      </c>
      <c r="F779" t="s">
        <v>1</v>
      </c>
      <c r="G779" t="str">
        <f>HYPERLINK("http://exon.niaid.nih.gov/transcriptome/Anopheles_sialome/links/pep/anodir-hyp12-pep.txt","anodir-hyp12")</f>
        <v>anodir-hyp12</v>
      </c>
      <c r="H779">
        <v>86</v>
      </c>
      <c r="I779">
        <v>1</v>
      </c>
      <c r="J779" s="3" t="str">
        <f>HYPERLINK("http://exon.niaid.nih.gov/transcriptome/Anopheles_sialome/links/Sigp/anodir-hyp12-SigP.txt","SIG")</f>
        <v>SIG</v>
      </c>
      <c r="K779" t="s">
        <v>652</v>
      </c>
      <c r="L779">
        <v>9.6349999999999998</v>
      </c>
      <c r="M779">
        <v>5.13</v>
      </c>
      <c r="N779">
        <v>7.5330000000000004</v>
      </c>
      <c r="O779">
        <v>4.7699999999999996</v>
      </c>
      <c r="P779" t="s">
        <v>1021</v>
      </c>
      <c r="Q779" s="3">
        <v>0</v>
      </c>
      <c r="R779" t="s">
        <v>128</v>
      </c>
      <c r="S779" t="s">
        <v>128</v>
      </c>
      <c r="T779" t="s">
        <v>128</v>
      </c>
      <c r="U779" t="s">
        <v>128</v>
      </c>
      <c r="V779" t="s">
        <v>128</v>
      </c>
      <c r="W779" s="3" t="str">
        <f>HYPERLINK("http://exon.niaid.nih.gov/transcriptome/Anopheles_sialome/links/netoglyc/anodir-hyp12-netoglyc.txt","0")</f>
        <v>0</v>
      </c>
      <c r="X779">
        <v>10.5</v>
      </c>
      <c r="Y779">
        <v>7</v>
      </c>
      <c r="Z779">
        <v>1.2</v>
      </c>
      <c r="AA779" t="s">
        <v>654</v>
      </c>
      <c r="AB779" t="s">
        <v>128</v>
      </c>
      <c r="AC779" s="2" t="str">
        <f>HYPERLINK("http://exon.niaid.nih.gov/transcriptome/Anopheles_sialome/links/DIPTERA/anodir-hyp12-DIPTERA.txt","hypothetical salivary protein 12")</f>
        <v>hypothetical salivary protein 12</v>
      </c>
      <c r="AD779" t="str">
        <f>HYPERLINK("http://www.ncbi.nlm.nih.gov/sutils/blink.cgi?pid=114864727","3E-019")</f>
        <v>3E-019</v>
      </c>
      <c r="AE779" t="str">
        <f>HYPERLINK("http://www.ncbi.nlm.nih.gov/protein/114864727","gi|114864727")</f>
        <v>gi|114864727</v>
      </c>
      <c r="AF779">
        <v>56</v>
      </c>
      <c r="AG779">
        <v>70</v>
      </c>
      <c r="AH779">
        <v>101</v>
      </c>
      <c r="AI779" t="s">
        <v>2266</v>
      </c>
      <c r="AJ779" s="2" t="s">
        <v>128</v>
      </c>
      <c r="AK779" t="s">
        <v>128</v>
      </c>
      <c r="AL779" t="s">
        <v>128</v>
      </c>
      <c r="AM779" t="s">
        <v>128</v>
      </c>
      <c r="AN779" t="s">
        <v>128</v>
      </c>
      <c r="AO779" t="s">
        <v>128</v>
      </c>
      <c r="AP779" t="s">
        <v>128</v>
      </c>
      <c r="AQ779" s="2" t="str">
        <f>HYPERLINK("http://exon.niaid.nih.gov/transcriptome/Anopheles_sialome/links/NR-LIGHT/anodir-hyp12-NR-LIGHT.txt","hypothetical salivary protein 12")</f>
        <v>hypothetical salivary protein 12</v>
      </c>
      <c r="AR779" t="str">
        <f>HYPERLINK("http://www.ncbi.nlm.nih.gov/sutils/blink.cgi?pid=114864727","1E-018")</f>
        <v>1E-018</v>
      </c>
      <c r="AS779" t="str">
        <f>HYPERLINK("http://www.ncbi.nlm.nih.gov/protein/114864727","gi|114864727")</f>
        <v>gi|114864727</v>
      </c>
      <c r="AT779">
        <v>56</v>
      </c>
      <c r="AU779">
        <v>70</v>
      </c>
      <c r="AV779">
        <v>101</v>
      </c>
      <c r="AW779" t="s">
        <v>2266</v>
      </c>
      <c r="AX779" s="2" t="str">
        <f>HYPERLINK("http://exon.niaid.nih.gov/transcriptome/Anopheles_sialome/links/CDD/anodir-hyp12-CDD.txt","JHBP")</f>
        <v>JHBP</v>
      </c>
      <c r="AY779" t="str">
        <f>HYPERLINK("http://www.ncbi.nlm.nih.gov/Structure/cdd/cddsrv.cgi?uid=pfam06585&amp;version=v4.0","0.22")</f>
        <v>0.22</v>
      </c>
      <c r="AZ779" t="s">
        <v>2690</v>
      </c>
      <c r="BA779" s="2" t="str">
        <f>HYPERLINK("http://exon.niaid.nih.gov/transcriptome/Anopheles_sialome/links/KOG/anodir-hyp12-KOG.txt","Gamma-tubulin complex, DGRIP84/SPC97 component")</f>
        <v>Gamma-tubulin complex, DGRIP84/SPC97 component</v>
      </c>
      <c r="BB779" t="str">
        <f>HYPERLINK("http://www.ncbi.nlm.nih.gov/Structure/cdd/cddsrv.cgi?uid=KOG2001","0.75")</f>
        <v>0.75</v>
      </c>
      <c r="BC779" t="s">
        <v>2312</v>
      </c>
      <c r="BD779" t="str">
        <f>HYPERLINK("http://exon.niaid.nih.gov/transcriptome/Anopheles_sialome/links/KOG/anodir-hyp12-KOG.txt","KOG2001")</f>
        <v>KOG2001</v>
      </c>
      <c r="BE779" t="str">
        <f>HYPERLINK("http://exon.niaid.nih.gov/transcriptome/Anopheles_sialome/links/PFAM/anodir-hyp12-PFAM.txt","JHBP")</f>
        <v>JHBP</v>
      </c>
      <c r="BF779" t="str">
        <f>HYPERLINK("http://pfam.sanger.ac.uk/family?acc=PF06585","0.050")</f>
        <v>0.050</v>
      </c>
      <c r="BG779" s="2" t="str">
        <f>HYPERLINK("http://exon.niaid.nih.gov/transcriptome/Anopheles_sialome/links/SMART/anodir-hyp12-SMART.txt","Asparaginase")</f>
        <v>Asparaginase</v>
      </c>
      <c r="BH779" t="str">
        <f>HYPERLINK("http://smart.embl-heidelberg.de/smart/do_annotation.pl?DOMAIN=Asparaginase&amp;BLAST=DUMMY","0.29")</f>
        <v>0.29</v>
      </c>
      <c r="BI779" t="s">
        <v>128</v>
      </c>
      <c r="BJ779" s="2" t="s">
        <v>128</v>
      </c>
      <c r="BK779" t="s">
        <v>1404</v>
      </c>
      <c r="BL779">
        <f>HYPERLINK("http://exon.niaid.nih.gov/transcriptome/Anopheles_sialome/links/cluster-b/anopheline-sialome-cds-pep-larger-orf25-50SimCLU1.txt", 1)</f>
        <v>1</v>
      </c>
      <c r="BM779">
        <f>HYPERLINK("http://exon.niaid.nih.gov/transcriptome/Anopheles_sialome/links/cluster-b/anopheline-sialome-cds-pep-larger-orf25-50SimCLTL1.txt", 165)</f>
        <v>165</v>
      </c>
      <c r="BN779">
        <f>HYPERLINK("http://exon.niaid.nih.gov/transcriptome/Anopheles_sialome/links/cluster-b/anopheline-sialome-cds-pep-larger-orf30-50SimCLU1.txt", 1)</f>
        <v>1</v>
      </c>
      <c r="BO779">
        <f>HYPERLINK("http://exon.niaid.nih.gov/transcriptome/Anopheles_sialome/links/cluster-b/anopheline-sialome-cds-pep-larger-orf30-50SimCLTL1.txt", 165)</f>
        <v>165</v>
      </c>
      <c r="BP779">
        <f>HYPERLINK("http://exon.niaid.nih.gov/transcriptome/Anopheles_sialome/links/cluster-b/anopheline-sialome-cds-pep-larger-orf35-50SimCLU5.txt", 5)</f>
        <v>5</v>
      </c>
      <c r="BQ779">
        <f>HYPERLINK("http://exon.niaid.nih.gov/transcriptome/Anopheles_sialome/links/cluster-b/anopheline-sialome-cds-pep-larger-orf35-50SimCLTL5.txt", 61)</f>
        <v>61</v>
      </c>
      <c r="BR779">
        <f>HYPERLINK("http://exon.niaid.nih.gov/transcriptome/Anopheles_sialome/links/cluster-b/anopheline-sialome-cds-pep-larger-orf40-50SimCLU9.txt", 9)</f>
        <v>9</v>
      </c>
      <c r="BS779">
        <f>HYPERLINK("http://exon.niaid.nih.gov/transcriptome/Anopheles_sialome/links/cluster-b/anopheline-sialome-cds-pep-larger-orf40-50SimCLTL9.txt", 28)</f>
        <v>28</v>
      </c>
      <c r="BT779">
        <f>HYPERLINK("http://exon.niaid.nih.gov/transcriptome/Anopheles_sialome/links/cluster-b/anopheline-sialome-cds-pep-larger-orf45-50SimCLU8.txt", 8)</f>
        <v>8</v>
      </c>
      <c r="BU779">
        <f>HYPERLINK("http://exon.niaid.nih.gov/transcriptome/Anopheles_sialome/links/cluster-b/anopheline-sialome-cds-pep-larger-orf45-50SimCLTL8.txt", 28)</f>
        <v>28</v>
      </c>
      <c r="BV779">
        <f>HYPERLINK("http://exon.niaid.nih.gov/transcriptome/Anopheles_sialome/links/cluster-b/anopheline-sialome-cds-pep-larger-orf50-50SimCLU8.txt", 8)</f>
        <v>8</v>
      </c>
      <c r="BW779">
        <f>HYPERLINK("http://exon.niaid.nih.gov/transcriptome/Anopheles_sialome/links/cluster-b/anopheline-sialome-cds-pep-larger-orf50-50SimCLTL8.txt", 28)</f>
        <v>28</v>
      </c>
      <c r="BX779">
        <f>HYPERLINK("http://exon.niaid.nih.gov/transcriptome/Anopheles_sialome/links/cluster-b/anopheline-sialome-cds-pep-larger-orf55-50SimCLU8.txt", 8)</f>
        <v>8</v>
      </c>
      <c r="BY779">
        <f>HYPERLINK("http://exon.niaid.nih.gov/transcriptome/Anopheles_sialome/links/cluster-b/anopheline-sialome-cds-pep-larger-orf55-50SimCLTL8.txt", 28)</f>
        <v>28</v>
      </c>
      <c r="BZ779">
        <f>HYPERLINK("http://exon.niaid.nih.gov/transcriptome/Anopheles_sialome/links/cluster-b/anopheline-sialome-cds-pep-larger-orf60-50SimCLU6.txt", 6)</f>
        <v>6</v>
      </c>
      <c r="CA779">
        <f>HYPERLINK("http://exon.niaid.nih.gov/transcriptome/Anopheles_sialome/links/cluster-b/anopheline-sialome-cds-pep-larger-orf60-50SimCLTL6.txt", 28)</f>
        <v>28</v>
      </c>
      <c r="CB779">
        <f>HYPERLINK("http://exon.niaid.nih.gov/transcriptome/Anopheles_sialome/links/cluster-b/anopheline-sialome-cds-pep-larger-orf65-50SimCLU32.txt", 32)</f>
        <v>32</v>
      </c>
      <c r="CC779">
        <f>HYPERLINK("http://exon.niaid.nih.gov/transcriptome/Anopheles_sialome/links/cluster-b/anopheline-sialome-cds-pep-larger-orf65-50SimCLTL32.txt", 14)</f>
        <v>14</v>
      </c>
      <c r="CD779">
        <f>HYPERLINK("http://exon.niaid.nih.gov/transcriptome/Anopheles_sialome/links/cluster-b/anopheline-sialome-cds-pep-larger-orf70-50SimCLU31.txt", 31)</f>
        <v>31</v>
      </c>
      <c r="CE779">
        <f>HYPERLINK("http://exon.niaid.nih.gov/transcriptome/Anopheles_sialome/links/cluster-b/anopheline-sialome-cds-pep-larger-orf70-50SimCLTL31.txt", 14)</f>
        <v>14</v>
      </c>
      <c r="CF779">
        <f>HYPERLINK("http://exon.niaid.nih.gov/transcriptome/Anopheles_sialome/links/cluster-b/anopheline-sialome-cds-pep-larger-orf75-50SimCLU68.txt", 68)</f>
        <v>68</v>
      </c>
      <c r="CG779">
        <f>HYPERLINK("http://exon.niaid.nih.gov/transcriptome/Anopheles_sialome/links/cluster-b/anopheline-sialome-cds-pep-larger-orf75-50SimCLTL68.txt", 2)</f>
        <v>2</v>
      </c>
      <c r="CH779">
        <f>HYPERLINK("http://exon.niaid.nih.gov/transcriptome/Anopheles_sialome/links/cluster-b/anopheline-sialome-cds-pep-larger-orf80-50SimCLU82.txt", 82)</f>
        <v>82</v>
      </c>
      <c r="CI779">
        <f>HYPERLINK("http://exon.niaid.nih.gov/transcriptome/Anopheles_sialome/links/cluster-b/anopheline-sialome-cds-pep-larger-orf80-50SimCLTL82.txt", 2)</f>
        <v>2</v>
      </c>
      <c r="CJ779">
        <v>214</v>
      </c>
      <c r="CK779">
        <v>1</v>
      </c>
      <c r="CL779">
        <v>260</v>
      </c>
      <c r="CM779">
        <v>1</v>
      </c>
      <c r="CN779">
        <v>290</v>
      </c>
      <c r="CO779">
        <v>1</v>
      </c>
    </row>
    <row r="780" spans="1:93">
      <c r="A780" s="14" t="s">
        <v>3147</v>
      </c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3"/>
      <c r="AX780" s="13"/>
      <c r="AY780" s="13"/>
      <c r="AZ780" s="13"/>
      <c r="BA780" s="13"/>
      <c r="BB780" s="13"/>
      <c r="BC780" s="13"/>
      <c r="BD780" s="13"/>
      <c r="BE780" s="13"/>
      <c r="BF780" s="13"/>
      <c r="BG780" s="13"/>
      <c r="BH780" s="13"/>
      <c r="BI780" s="13"/>
      <c r="BJ780" s="13"/>
      <c r="BK780" s="13"/>
      <c r="BL780" s="13"/>
      <c r="BM780" s="13"/>
      <c r="BN780" s="13"/>
      <c r="BO780" s="13"/>
      <c r="BP780" s="13"/>
      <c r="BQ780" s="13"/>
      <c r="BR780" s="13"/>
      <c r="BS780" s="13"/>
      <c r="BT780" s="13"/>
      <c r="BU780" s="13"/>
      <c r="BV780" s="13"/>
      <c r="BW780" s="13"/>
      <c r="BX780" s="13"/>
      <c r="BY780" s="13"/>
      <c r="BZ780" s="13"/>
      <c r="CA780" s="13"/>
      <c r="CB780" s="13"/>
      <c r="CC780" s="13"/>
      <c r="CD780" s="13"/>
      <c r="CE780" s="13"/>
      <c r="CF780" s="13"/>
      <c r="CG780" s="13"/>
      <c r="CH780" s="13"/>
      <c r="CI780" s="13"/>
      <c r="CJ780" s="13"/>
      <c r="CK780" s="13"/>
      <c r="CL780" s="13"/>
      <c r="CM780" s="13"/>
      <c r="CN780" s="13"/>
      <c r="CO780" s="13"/>
    </row>
    <row r="781" spans="1:93">
      <c r="A781" s="5" t="s">
        <v>3219</v>
      </c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</row>
    <row r="782" spans="1:93">
      <c r="A782" s="2" t="str">
        <f>HYPERLINK("http://exon.niaid.nih.gov/transcriptome/Anopheles_sialome/links/cds/anoga_hyp15-cds.txt","anoga_hyp15")</f>
        <v>anoga_hyp15</v>
      </c>
      <c r="B782">
        <v>237</v>
      </c>
      <c r="C782" t="s">
        <v>279</v>
      </c>
      <c r="D782" t="s">
        <v>4</v>
      </c>
      <c r="E782" t="s">
        <v>5</v>
      </c>
      <c r="F782" t="s">
        <v>1</v>
      </c>
      <c r="G782" t="str">
        <f>HYPERLINK("http://exon.niaid.nih.gov/transcriptome/Anopheles_sialome/links/pep/anoga_hyp15-pep.txt","anoga_hyp15")</f>
        <v>anoga_hyp15</v>
      </c>
      <c r="H782">
        <v>78</v>
      </c>
      <c r="I782">
        <v>1</v>
      </c>
      <c r="J782" s="3" t="str">
        <f>HYPERLINK("http://exon.niaid.nih.gov/transcriptome/Anopheles_sialome/links/Sigp/anoga_hyp15-SigP.txt","SIG")</f>
        <v>SIG</v>
      </c>
      <c r="K782" t="s">
        <v>1199</v>
      </c>
      <c r="L782">
        <v>8.0229999999999997</v>
      </c>
      <c r="M782">
        <v>9.9600000000000009</v>
      </c>
      <c r="N782">
        <v>4.8689999999999998</v>
      </c>
      <c r="O782">
        <v>10.55</v>
      </c>
      <c r="P782" t="s">
        <v>1406</v>
      </c>
      <c r="Q782" s="3" t="str">
        <f>HYPERLINK("http://exon.niaid.nih.gov/transcriptome/Anopheles_sialome/links/tmhmm/anoga_hyp15-tmhmm.txt","1")</f>
        <v>1</v>
      </c>
      <c r="R782">
        <v>23.1</v>
      </c>
      <c r="S782">
        <v>61.5</v>
      </c>
      <c r="T782">
        <v>15.4</v>
      </c>
      <c r="U782" t="s">
        <v>128</v>
      </c>
      <c r="V782">
        <v>48</v>
      </c>
      <c r="W782" s="3" t="str">
        <f>HYPERLINK("http://exon.niaid.nih.gov/transcriptome/Anopheles_sialome/links/netoglyc/anoga_hyp15-netoglyc.txt","1")</f>
        <v>1</v>
      </c>
      <c r="X782">
        <v>12.8</v>
      </c>
      <c r="Y782">
        <v>12.8</v>
      </c>
      <c r="Z782">
        <v>5.0999999999999996</v>
      </c>
      <c r="AA782" t="s">
        <v>654</v>
      </c>
      <c r="AB782" t="s">
        <v>128</v>
      </c>
      <c r="AC782" s="2" t="str">
        <f>HYPERLINK("http://exon.niaid.nih.gov/transcriptome/Anopheles_sialome/links/DIPTERA/anoga_hyp15-DIPTERA.txt","hypothetical protein 15")</f>
        <v>hypothetical protein 15</v>
      </c>
      <c r="AD782" t="str">
        <f>HYPERLINK("http://www.ncbi.nlm.nih.gov/sutils/blink.cgi?pid=18389911","2E-038")</f>
        <v>2E-038</v>
      </c>
      <c r="AE782" t="str">
        <f t="shared" ref="AE782:AE787" si="261">HYPERLINK("http://www.ncbi.nlm.nih.gov/protein/18389911","gi|18389911")</f>
        <v>gi|18389911</v>
      </c>
      <c r="AF782">
        <v>100</v>
      </c>
      <c r="AG782">
        <v>100</v>
      </c>
      <c r="AH782">
        <v>100</v>
      </c>
      <c r="AI782" t="s">
        <v>2254</v>
      </c>
      <c r="AJ782" s="2" t="s">
        <v>128</v>
      </c>
      <c r="AK782" t="s">
        <v>128</v>
      </c>
      <c r="AL782" t="s">
        <v>128</v>
      </c>
      <c r="AM782" t="s">
        <v>128</v>
      </c>
      <c r="AN782" t="s">
        <v>128</v>
      </c>
      <c r="AO782" t="s">
        <v>128</v>
      </c>
      <c r="AP782" t="s">
        <v>128</v>
      </c>
      <c r="AQ782" s="2" t="str">
        <f>HYPERLINK("http://exon.niaid.nih.gov/transcriptome/Anopheles_sialome/links/NR-LIGHT/anoga_hyp15-NR-LIGHT.txt","AGAP000152-PA")</f>
        <v>AGAP000152-PA</v>
      </c>
      <c r="AR782" t="str">
        <f>HYPERLINK("http://www.ncbi.nlm.nih.gov/sutils/blink.cgi?pid=119115276","5E-038")</f>
        <v>5E-038</v>
      </c>
      <c r="AS782" t="str">
        <f t="shared" ref="AS782:AS787" si="262">HYPERLINK("http://www.ncbi.nlm.nih.gov/protein/119115276","gi|119115276")</f>
        <v>gi|119115276</v>
      </c>
      <c r="AT782">
        <v>100</v>
      </c>
      <c r="AU782">
        <v>100</v>
      </c>
      <c r="AV782">
        <v>100</v>
      </c>
      <c r="AW782" t="s">
        <v>2285</v>
      </c>
      <c r="AX782" s="2" t="str">
        <f>HYPERLINK("http://exon.niaid.nih.gov/transcriptome/Anopheles_sialome/links/CDD/anoga_hyp15-CDD.txt","mrcA")</f>
        <v>mrcA</v>
      </c>
      <c r="AY782" t="str">
        <f>HYPERLINK("http://www.ncbi.nlm.nih.gov/Structure/cdd/cddsrv.cgi?uid=PRK11636&amp;version=v4.0","0.084")</f>
        <v>0.084</v>
      </c>
      <c r="AZ782" t="s">
        <v>2691</v>
      </c>
      <c r="BA782" s="2" t="str">
        <f>HYPERLINK("http://exon.niaid.nih.gov/transcriptome/Anopheles_sialome/links/KOG/anoga_hyp15-KOG.txt","Phosphatidylserine decarboxylase")</f>
        <v>Phosphatidylserine decarboxylase</v>
      </c>
      <c r="BB782" t="str">
        <f>HYPERLINK("http://www.ncbi.nlm.nih.gov/Structure/cdd/cddsrv.cgi?uid=KOG2419","0.019")</f>
        <v>0.019</v>
      </c>
      <c r="BC782" t="s">
        <v>2298</v>
      </c>
      <c r="BD782" t="str">
        <f>HYPERLINK("http://exon.niaid.nih.gov/transcriptome/Anopheles_sialome/links/KOG/anoga_hyp15-KOG.txt","KOG2419")</f>
        <v>KOG2419</v>
      </c>
      <c r="BE782" t="str">
        <f>HYPERLINK("http://exon.niaid.nih.gov/transcriptome/Anopheles_sialome/links/PFAM/anoga_hyp15-PFAM.txt","DUF4662")</f>
        <v>DUF4662</v>
      </c>
      <c r="BF782" t="str">
        <f>HYPERLINK("http://pfam.sanger.ac.uk/family?acc=PF15578","0.52")</f>
        <v>0.52</v>
      </c>
      <c r="BG782" s="2" t="str">
        <f>HYPERLINK("http://exon.niaid.nih.gov/transcriptome/Anopheles_sialome/links/SMART/anoga_hyp15-SMART.txt","Agouti")</f>
        <v>Agouti</v>
      </c>
      <c r="BH782" t="str">
        <f>HYPERLINK("http://smart.embl-heidelberg.de/smart/do_annotation.pl?DOMAIN=Agouti&amp;BLAST=DUMMY","0.23")</f>
        <v>0.23</v>
      </c>
      <c r="BI782" t="s">
        <v>128</v>
      </c>
      <c r="BJ782" s="2" t="s">
        <v>128</v>
      </c>
      <c r="BK782" t="s">
        <v>1405</v>
      </c>
      <c r="BL782">
        <f>HYPERLINK("http://exon.niaid.nih.gov/transcriptome/Anopheles_sialome/links/cluster-b/anopheline-sialome-cds-pep-larger-orf25-50SimCLU1.txt", 1)</f>
        <v>1</v>
      </c>
      <c r="BM782">
        <f>HYPERLINK("http://exon.niaid.nih.gov/transcriptome/Anopheles_sialome/links/cluster-b/anopheline-sialome-cds-pep-larger-orf25-50SimCLTL1.txt", 165)</f>
        <v>165</v>
      </c>
      <c r="BN782">
        <f>HYPERLINK("http://exon.niaid.nih.gov/transcriptome/Anopheles_sialome/links/cluster-b/anopheline-sialome-cds-pep-larger-orf30-50SimCLU1.txt", 1)</f>
        <v>1</v>
      </c>
      <c r="BO782">
        <f>HYPERLINK("http://exon.niaid.nih.gov/transcriptome/Anopheles_sialome/links/cluster-b/anopheline-sialome-cds-pep-larger-orf30-50SimCLTL1.txt", 165)</f>
        <v>165</v>
      </c>
      <c r="BP782">
        <f>HYPERLINK("http://exon.niaid.nih.gov/transcriptome/Anopheles_sialome/links/cluster-b/anopheline-sialome-cds-pep-larger-orf35-50SimCLU4.txt", 4)</f>
        <v>4</v>
      </c>
      <c r="BQ782">
        <f>HYPERLINK("http://exon.niaid.nih.gov/transcriptome/Anopheles_sialome/links/cluster-b/anopheline-sialome-cds-pep-larger-orf35-50SimCLTL4.txt", 76)</f>
        <v>76</v>
      </c>
      <c r="BR782">
        <f>HYPERLINK("http://exon.niaid.nih.gov/transcriptome/Anopheles_sialome/links/cluster-b/anopheline-sialome-cds-pep-larger-orf40-50SimCLU11.txt", 11)</f>
        <v>11</v>
      </c>
      <c r="BS782">
        <f>HYPERLINK("http://exon.niaid.nih.gov/transcriptome/Anopheles_sialome/links/cluster-b/anopheline-sialome-cds-pep-larger-orf40-50SimCLTL11.txt", 21)</f>
        <v>21</v>
      </c>
      <c r="BT782">
        <f>HYPERLINK("http://exon.niaid.nih.gov/transcriptome/Anopheles_sialome/links/cluster-b/anopheline-sialome-cds-pep-larger-orf45-50SimCLU11.txt", 11)</f>
        <v>11</v>
      </c>
      <c r="BU782">
        <f>HYPERLINK("http://exon.niaid.nih.gov/transcriptome/Anopheles_sialome/links/cluster-b/anopheline-sialome-cds-pep-larger-orf45-50SimCLTL11.txt", 21)</f>
        <v>21</v>
      </c>
      <c r="BV782">
        <f>HYPERLINK("http://exon.niaid.nih.gov/transcriptome/Anopheles_sialome/links/cluster-b/anopheline-sialome-cds-pep-larger-orf50-50SimCLU11.txt", 11)</f>
        <v>11</v>
      </c>
      <c r="BW782">
        <f>HYPERLINK("http://exon.niaid.nih.gov/transcriptome/Anopheles_sialome/links/cluster-b/anopheline-sialome-cds-pep-larger-orf50-50SimCLTL11.txt", 21)</f>
        <v>21</v>
      </c>
      <c r="BX782">
        <f>HYPERLINK("http://exon.niaid.nih.gov/transcriptome/Anopheles_sialome/links/cluster-b/anopheline-sialome-cds-pep-larger-orf55-50SimCLU12.txt", 12)</f>
        <v>12</v>
      </c>
      <c r="BY782">
        <f>HYPERLINK("http://exon.niaid.nih.gov/transcriptome/Anopheles_sialome/links/cluster-b/anopheline-sialome-cds-pep-larger-orf55-50SimCLTL12.txt", 21)</f>
        <v>21</v>
      </c>
      <c r="BZ782">
        <f>HYPERLINK("http://exon.niaid.nih.gov/transcriptome/Anopheles_sialome/links/cluster-b/anopheline-sialome-cds-pep-larger-orf60-50SimCLU10.txt", 10)</f>
        <v>10</v>
      </c>
      <c r="CA782">
        <f>HYPERLINK("http://exon.niaid.nih.gov/transcriptome/Anopheles_sialome/links/cluster-b/anopheline-sialome-cds-pep-larger-orf60-50SimCLTL10.txt", 21)</f>
        <v>21</v>
      </c>
      <c r="CB782">
        <f>HYPERLINK("http://exon.niaid.nih.gov/transcriptome/Anopheles_sialome/links/cluster-b/anopheline-sialome-cds-pep-larger-orf65-50SimCLU10.txt", 10)</f>
        <v>10</v>
      </c>
      <c r="CC782">
        <f>HYPERLINK("http://exon.niaid.nih.gov/transcriptome/Anopheles_sialome/links/cluster-b/anopheline-sialome-cds-pep-larger-orf65-50SimCLTL10.txt", 19)</f>
        <v>19</v>
      </c>
      <c r="CD782">
        <f>HYPERLINK("http://exon.niaid.nih.gov/transcriptome/Anopheles_sialome/links/cluster-b/anopheline-sialome-cds-pep-larger-orf70-50SimCLU19.txt", 19)</f>
        <v>19</v>
      </c>
      <c r="CE782">
        <f>HYPERLINK("http://exon.niaid.nih.gov/transcriptome/Anopheles_sialome/links/cluster-b/anopheline-sialome-cds-pep-larger-orf70-50SimCLTL19.txt", 17)</f>
        <v>17</v>
      </c>
      <c r="CF782">
        <f>HYPERLINK("http://exon.niaid.nih.gov/transcriptome/Anopheles_sialome/links/cluster-b/anopheline-sialome-cds-pep-larger-orf75-50SimCLU30.txt", 30)</f>
        <v>30</v>
      </c>
      <c r="CG782">
        <f>HYPERLINK("http://exon.niaid.nih.gov/transcriptome/Anopheles_sialome/links/cluster-b/anopheline-sialome-cds-pep-larger-orf75-50SimCLTL30.txt", 12)</f>
        <v>12</v>
      </c>
      <c r="CH782">
        <f>HYPERLINK("http://exon.niaid.nih.gov/transcriptome/Anopheles_sialome/links/cluster-b/anopheline-sialome-cds-pep-larger-orf80-50SimCLU39.txt", 39)</f>
        <v>39</v>
      </c>
      <c r="CI782">
        <f>HYPERLINK("http://exon.niaid.nih.gov/transcriptome/Anopheles_sialome/links/cluster-b/anopheline-sialome-cds-pep-larger-orf80-50SimCLTL39.txt", 6)</f>
        <v>6</v>
      </c>
      <c r="CJ782">
        <f>HYPERLINK("http://exon.niaid.nih.gov/transcriptome/Anopheles_sialome/links/cluster-b/anopheline-sialome-cds-pep-larger-orf85-50SimCLU36.txt", 36)</f>
        <v>36</v>
      </c>
      <c r="CK782">
        <f>HYPERLINK("http://exon.niaid.nih.gov/transcriptome/Anopheles_sialome/links/cluster-b/anopheline-sialome-cds-pep-larger-orf85-50SimCLTL36.txt", 6)</f>
        <v>6</v>
      </c>
      <c r="CL782">
        <f>HYPERLINK("http://exon.niaid.nih.gov/transcriptome/Anopheles_sialome/links/cluster-b/anopheline-sialome-cds-pep-larger-orf90-50SimCLU28.txt", 28)</f>
        <v>28</v>
      </c>
      <c r="CM782">
        <f>HYPERLINK("http://exon.niaid.nih.gov/transcriptome/Anopheles_sialome/links/cluster-b/anopheline-sialome-cds-pep-larger-orf90-50SimCLTL28.txt", 6)</f>
        <v>6</v>
      </c>
      <c r="CN782">
        <f>HYPERLINK("http://exon.niaid.nih.gov/transcriptome/Anopheles_sialome/links/cluster-b/anopheline-sialome-cds-pep-larger-orf95-50SimCLU18.txt", 18)</f>
        <v>18</v>
      </c>
      <c r="CO782">
        <f>HYPERLINK("http://exon.niaid.nih.gov/transcriptome/Anopheles_sialome/links/cluster-b/anopheline-sialome-cds-pep-larger-orf95-50SimCLTL18.txt", 6)</f>
        <v>6</v>
      </c>
    </row>
    <row r="783" spans="1:93">
      <c r="A783" s="2" t="str">
        <f>HYPERLINK("http://exon.niaid.nih.gov/transcriptome/Anopheles_sialome/links/cds/anocol_hyp15-cds.txt","anocol_hyp15")</f>
        <v>anocol_hyp15</v>
      </c>
      <c r="B783">
        <v>237</v>
      </c>
      <c r="C783" t="s">
        <v>280</v>
      </c>
      <c r="D783" t="s">
        <v>4</v>
      </c>
      <c r="E783" t="s">
        <v>5</v>
      </c>
      <c r="F783" t="s">
        <v>1</v>
      </c>
      <c r="G783" t="str">
        <f>HYPERLINK("http://exon.niaid.nih.gov/transcriptome/Anopheles_sialome/links/pep/anocol_hyp15-pep.txt","anocol_hyp15")</f>
        <v>anocol_hyp15</v>
      </c>
      <c r="H783">
        <v>78</v>
      </c>
      <c r="I783">
        <v>1</v>
      </c>
      <c r="J783" s="3" t="str">
        <f>HYPERLINK("http://exon.niaid.nih.gov/transcriptome/Anopheles_sialome/links/Sigp/anocol_hyp15-SigP.txt","SIG")</f>
        <v>SIG</v>
      </c>
      <c r="K783" t="s">
        <v>1199</v>
      </c>
      <c r="L783">
        <v>8.0340000000000007</v>
      </c>
      <c r="M783">
        <v>9.9600000000000009</v>
      </c>
      <c r="N783">
        <v>4.8689999999999998</v>
      </c>
      <c r="O783">
        <v>10.55</v>
      </c>
      <c r="P783" t="s">
        <v>1408</v>
      </c>
      <c r="Q783" s="3" t="str">
        <f>HYPERLINK("http://exon.niaid.nih.gov/transcriptome/Anopheles_sialome/links/tmhmm/anocol_hyp15-tmhmm.txt","1")</f>
        <v>1</v>
      </c>
      <c r="R783">
        <v>28.2</v>
      </c>
      <c r="S783">
        <v>62.8</v>
      </c>
      <c r="T783">
        <v>9</v>
      </c>
      <c r="U783" t="s">
        <v>128</v>
      </c>
      <c r="V783">
        <v>49</v>
      </c>
      <c r="W783" s="3" t="str">
        <f>HYPERLINK("http://exon.niaid.nih.gov/transcriptome/Anopheles_sialome/links/netoglyc/anocol_hyp15-netoglyc.txt","1")</f>
        <v>1</v>
      </c>
      <c r="X783">
        <v>12.8</v>
      </c>
      <c r="Y783">
        <v>12.8</v>
      </c>
      <c r="Z783">
        <v>5.0999999999999996</v>
      </c>
      <c r="AA783" t="s">
        <v>654</v>
      </c>
      <c r="AB783" t="s">
        <v>128</v>
      </c>
      <c r="AC783" s="2" t="str">
        <f>HYPERLINK("http://exon.niaid.nih.gov/transcriptome/Anopheles_sialome/links/DIPTERA/anocol_hyp15-DIPTERA.txt","hypothetical protein 15")</f>
        <v>hypothetical protein 15</v>
      </c>
      <c r="AD783" t="str">
        <f>HYPERLINK("http://www.ncbi.nlm.nih.gov/sutils/blink.cgi?pid=18389911","3E-038")</f>
        <v>3E-038</v>
      </c>
      <c r="AE783" t="str">
        <f t="shared" si="261"/>
        <v>gi|18389911</v>
      </c>
      <c r="AF783">
        <v>98</v>
      </c>
      <c r="AG783">
        <v>100</v>
      </c>
      <c r="AH783">
        <v>100</v>
      </c>
      <c r="AI783" t="s">
        <v>2254</v>
      </c>
      <c r="AJ783" s="2" t="s">
        <v>128</v>
      </c>
      <c r="AK783" t="s">
        <v>128</v>
      </c>
      <c r="AL783" t="s">
        <v>128</v>
      </c>
      <c r="AM783" t="s">
        <v>128</v>
      </c>
      <c r="AN783" t="s">
        <v>128</v>
      </c>
      <c r="AO783" t="s">
        <v>128</v>
      </c>
      <c r="AP783" t="s">
        <v>128</v>
      </c>
      <c r="AQ783" s="2" t="str">
        <f>HYPERLINK("http://exon.niaid.nih.gov/transcriptome/Anopheles_sialome/links/NR-LIGHT/anocol_hyp15-NR-LIGHT.txt","AGAP000152-PA")</f>
        <v>AGAP000152-PA</v>
      </c>
      <c r="AR783" t="str">
        <f>HYPERLINK("http://www.ncbi.nlm.nih.gov/sutils/blink.cgi?pid=119115276","7E-038")</f>
        <v>7E-038</v>
      </c>
      <c r="AS783" t="str">
        <f t="shared" si="262"/>
        <v>gi|119115276</v>
      </c>
      <c r="AT783">
        <v>98</v>
      </c>
      <c r="AU783">
        <v>100</v>
      </c>
      <c r="AV783">
        <v>100</v>
      </c>
      <c r="AW783" t="s">
        <v>2285</v>
      </c>
      <c r="AX783" s="2" t="str">
        <f>HYPERLINK("http://exon.niaid.nih.gov/transcriptome/Anopheles_sialome/links/CDD/anocol_hyp15-CDD.txt","mrcA")</f>
        <v>mrcA</v>
      </c>
      <c r="AY783" t="str">
        <f>HYPERLINK("http://www.ncbi.nlm.nih.gov/Structure/cdd/cddsrv.cgi?uid=PRK11636&amp;version=v4.0","0.085")</f>
        <v>0.085</v>
      </c>
      <c r="AZ783" t="s">
        <v>2692</v>
      </c>
      <c r="BA783" s="2" t="str">
        <f>HYPERLINK("http://exon.niaid.nih.gov/transcriptome/Anopheles_sialome/links/KOG/anocol_hyp15-KOG.txt","Phosphatidylserine decarboxylase")</f>
        <v>Phosphatidylserine decarboxylase</v>
      </c>
      <c r="BB783" t="str">
        <f>HYPERLINK("http://www.ncbi.nlm.nih.gov/Structure/cdd/cddsrv.cgi?uid=KOG2419","0.023")</f>
        <v>0.023</v>
      </c>
      <c r="BC783" t="s">
        <v>2298</v>
      </c>
      <c r="BD783" t="str">
        <f>HYPERLINK("http://exon.niaid.nih.gov/transcriptome/Anopheles_sialome/links/KOG/anocol_hyp15-KOG.txt","KOG2419")</f>
        <v>KOG2419</v>
      </c>
      <c r="BE783" t="str">
        <f>HYPERLINK("http://exon.niaid.nih.gov/transcriptome/Anopheles_sialome/links/PFAM/anocol_hyp15-PFAM.txt","DUF4662")</f>
        <v>DUF4662</v>
      </c>
      <c r="BF783" t="str">
        <f>HYPERLINK("http://pfam.sanger.ac.uk/family?acc=PF15578","0.50")</f>
        <v>0.50</v>
      </c>
      <c r="BG783" s="2" t="str">
        <f>HYPERLINK("http://exon.niaid.nih.gov/transcriptome/Anopheles_sialome/links/SMART/anocol_hyp15-SMART.txt","Agouti")</f>
        <v>Agouti</v>
      </c>
      <c r="BH783" t="str">
        <f>HYPERLINK("http://smart.embl-heidelberg.de/smart/do_annotation.pl?DOMAIN=Agouti&amp;BLAST=DUMMY","0.20")</f>
        <v>0.20</v>
      </c>
      <c r="BI783" t="s">
        <v>128</v>
      </c>
      <c r="BJ783" s="2" t="s">
        <v>128</v>
      </c>
      <c r="BK783" t="s">
        <v>1407</v>
      </c>
      <c r="BL783">
        <f>HYPERLINK("http://exon.niaid.nih.gov/transcriptome/Anopheles_sialome/links/cluster-b/anopheline-sialome-cds-pep-larger-orf25-50SimCLU1.txt", 1)</f>
        <v>1</v>
      </c>
      <c r="BM783">
        <f>HYPERLINK("http://exon.niaid.nih.gov/transcriptome/Anopheles_sialome/links/cluster-b/anopheline-sialome-cds-pep-larger-orf25-50SimCLTL1.txt", 165)</f>
        <v>165</v>
      </c>
      <c r="BN783">
        <f>HYPERLINK("http://exon.niaid.nih.gov/transcriptome/Anopheles_sialome/links/cluster-b/anopheline-sialome-cds-pep-larger-orf30-50SimCLU1.txt", 1)</f>
        <v>1</v>
      </c>
      <c r="BO783">
        <f>HYPERLINK("http://exon.niaid.nih.gov/transcriptome/Anopheles_sialome/links/cluster-b/anopheline-sialome-cds-pep-larger-orf30-50SimCLTL1.txt", 165)</f>
        <v>165</v>
      </c>
      <c r="BP783">
        <f>HYPERLINK("http://exon.niaid.nih.gov/transcriptome/Anopheles_sialome/links/cluster-b/anopheline-sialome-cds-pep-larger-orf35-50SimCLU4.txt", 4)</f>
        <v>4</v>
      </c>
      <c r="BQ783">
        <f>HYPERLINK("http://exon.niaid.nih.gov/transcriptome/Anopheles_sialome/links/cluster-b/anopheline-sialome-cds-pep-larger-orf35-50SimCLTL4.txt", 76)</f>
        <v>76</v>
      </c>
      <c r="BR783">
        <f>HYPERLINK("http://exon.niaid.nih.gov/transcriptome/Anopheles_sialome/links/cluster-b/anopheline-sialome-cds-pep-larger-orf40-50SimCLU11.txt", 11)</f>
        <v>11</v>
      </c>
      <c r="BS783">
        <f>HYPERLINK("http://exon.niaid.nih.gov/transcriptome/Anopheles_sialome/links/cluster-b/anopheline-sialome-cds-pep-larger-orf40-50SimCLTL11.txt", 21)</f>
        <v>21</v>
      </c>
      <c r="BT783">
        <f>HYPERLINK("http://exon.niaid.nih.gov/transcriptome/Anopheles_sialome/links/cluster-b/anopheline-sialome-cds-pep-larger-orf45-50SimCLU11.txt", 11)</f>
        <v>11</v>
      </c>
      <c r="BU783">
        <f>HYPERLINK("http://exon.niaid.nih.gov/transcriptome/Anopheles_sialome/links/cluster-b/anopheline-sialome-cds-pep-larger-orf45-50SimCLTL11.txt", 21)</f>
        <v>21</v>
      </c>
      <c r="BV783">
        <f>HYPERLINK("http://exon.niaid.nih.gov/transcriptome/Anopheles_sialome/links/cluster-b/anopheline-sialome-cds-pep-larger-orf50-50SimCLU11.txt", 11)</f>
        <v>11</v>
      </c>
      <c r="BW783">
        <f>HYPERLINK("http://exon.niaid.nih.gov/transcriptome/Anopheles_sialome/links/cluster-b/anopheline-sialome-cds-pep-larger-orf50-50SimCLTL11.txt", 21)</f>
        <v>21</v>
      </c>
      <c r="BX783">
        <f>HYPERLINK("http://exon.niaid.nih.gov/transcriptome/Anopheles_sialome/links/cluster-b/anopheline-sialome-cds-pep-larger-orf55-50SimCLU12.txt", 12)</f>
        <v>12</v>
      </c>
      <c r="BY783">
        <f>HYPERLINK("http://exon.niaid.nih.gov/transcriptome/Anopheles_sialome/links/cluster-b/anopheline-sialome-cds-pep-larger-orf55-50SimCLTL12.txt", 21)</f>
        <v>21</v>
      </c>
      <c r="BZ783">
        <f>HYPERLINK("http://exon.niaid.nih.gov/transcriptome/Anopheles_sialome/links/cluster-b/anopheline-sialome-cds-pep-larger-orf60-50SimCLU10.txt", 10)</f>
        <v>10</v>
      </c>
      <c r="CA783">
        <f>HYPERLINK("http://exon.niaid.nih.gov/transcriptome/Anopheles_sialome/links/cluster-b/anopheline-sialome-cds-pep-larger-orf60-50SimCLTL10.txt", 21)</f>
        <v>21</v>
      </c>
      <c r="CB783">
        <f>HYPERLINK("http://exon.niaid.nih.gov/transcriptome/Anopheles_sialome/links/cluster-b/anopheline-sialome-cds-pep-larger-orf65-50SimCLU10.txt", 10)</f>
        <v>10</v>
      </c>
      <c r="CC783">
        <f>HYPERLINK("http://exon.niaid.nih.gov/transcriptome/Anopheles_sialome/links/cluster-b/anopheline-sialome-cds-pep-larger-orf65-50SimCLTL10.txt", 19)</f>
        <v>19</v>
      </c>
      <c r="CD783">
        <f>HYPERLINK("http://exon.niaid.nih.gov/transcriptome/Anopheles_sialome/links/cluster-b/anopheline-sialome-cds-pep-larger-orf70-50SimCLU19.txt", 19)</f>
        <v>19</v>
      </c>
      <c r="CE783">
        <f>HYPERLINK("http://exon.niaid.nih.gov/transcriptome/Anopheles_sialome/links/cluster-b/anopheline-sialome-cds-pep-larger-orf70-50SimCLTL19.txt", 17)</f>
        <v>17</v>
      </c>
      <c r="CF783">
        <f>HYPERLINK("http://exon.niaid.nih.gov/transcriptome/Anopheles_sialome/links/cluster-b/anopheline-sialome-cds-pep-larger-orf75-50SimCLU30.txt", 30)</f>
        <v>30</v>
      </c>
      <c r="CG783">
        <f>HYPERLINK("http://exon.niaid.nih.gov/transcriptome/Anopheles_sialome/links/cluster-b/anopheline-sialome-cds-pep-larger-orf75-50SimCLTL30.txt", 12)</f>
        <v>12</v>
      </c>
      <c r="CH783">
        <f>HYPERLINK("http://exon.niaid.nih.gov/transcriptome/Anopheles_sialome/links/cluster-b/anopheline-sialome-cds-pep-larger-orf80-50SimCLU39.txt", 39)</f>
        <v>39</v>
      </c>
      <c r="CI783">
        <f>HYPERLINK("http://exon.niaid.nih.gov/transcriptome/Anopheles_sialome/links/cluster-b/anopheline-sialome-cds-pep-larger-orf80-50SimCLTL39.txt", 6)</f>
        <v>6</v>
      </c>
      <c r="CJ783">
        <f>HYPERLINK("http://exon.niaid.nih.gov/transcriptome/Anopheles_sialome/links/cluster-b/anopheline-sialome-cds-pep-larger-orf85-50SimCLU36.txt", 36)</f>
        <v>36</v>
      </c>
      <c r="CK783">
        <f>HYPERLINK("http://exon.niaid.nih.gov/transcriptome/Anopheles_sialome/links/cluster-b/anopheline-sialome-cds-pep-larger-orf85-50SimCLTL36.txt", 6)</f>
        <v>6</v>
      </c>
      <c r="CL783">
        <f>HYPERLINK("http://exon.niaid.nih.gov/transcriptome/Anopheles_sialome/links/cluster-b/anopheline-sialome-cds-pep-larger-orf90-50SimCLU28.txt", 28)</f>
        <v>28</v>
      </c>
      <c r="CM783">
        <f>HYPERLINK("http://exon.niaid.nih.gov/transcriptome/Anopheles_sialome/links/cluster-b/anopheline-sialome-cds-pep-larger-orf90-50SimCLTL28.txt", 6)</f>
        <v>6</v>
      </c>
      <c r="CN783">
        <f>HYPERLINK("http://exon.niaid.nih.gov/transcriptome/Anopheles_sialome/links/cluster-b/anopheline-sialome-cds-pep-larger-orf95-50SimCLU18.txt", 18)</f>
        <v>18</v>
      </c>
      <c r="CO783">
        <f>HYPERLINK("http://exon.niaid.nih.gov/transcriptome/Anopheles_sialome/links/cluster-b/anopheline-sialome-cds-pep-larger-orf95-50SimCLTL18.txt", 6)</f>
        <v>6</v>
      </c>
    </row>
    <row r="784" spans="1:93">
      <c r="A784" s="2" t="str">
        <f>HYPERLINK("http://exon.niaid.nih.gov/transcriptome/Anopheles_sialome/links/cds/anoara_hyp15-cds.txt","anoara_hyp15")</f>
        <v>anoara_hyp15</v>
      </c>
      <c r="B784">
        <v>237</v>
      </c>
      <c r="C784" t="s">
        <v>281</v>
      </c>
      <c r="D784" t="s">
        <v>4</v>
      </c>
      <c r="E784" t="s">
        <v>5</v>
      </c>
      <c r="F784" t="s">
        <v>1</v>
      </c>
      <c r="G784" t="str">
        <f>HYPERLINK("http://exon.niaid.nih.gov/transcriptome/Anopheles_sialome/links/pep/anoara_hyp15-pep.txt","anoara_hyp15")</f>
        <v>anoara_hyp15</v>
      </c>
      <c r="H784">
        <v>78</v>
      </c>
      <c r="I784">
        <v>1</v>
      </c>
      <c r="J784" s="3" t="str">
        <f>HYPERLINK("http://exon.niaid.nih.gov/transcriptome/Anopheles_sialome/links/Sigp/anoara_hyp15-SigP.txt","SIG")</f>
        <v>SIG</v>
      </c>
      <c r="K784" t="s">
        <v>1199</v>
      </c>
      <c r="L784">
        <v>8.1180000000000003</v>
      </c>
      <c r="M784">
        <v>9.94</v>
      </c>
      <c r="N784">
        <v>4.92</v>
      </c>
      <c r="O784">
        <v>11</v>
      </c>
      <c r="P784" t="s">
        <v>1410</v>
      </c>
      <c r="Q784" s="3" t="str">
        <f>HYPERLINK("http://exon.niaid.nih.gov/transcriptome/Anopheles_sialome/links/tmhmm/anoara_hyp15-tmhmm.txt","1")</f>
        <v>1</v>
      </c>
      <c r="R784">
        <v>28.2</v>
      </c>
      <c r="S784">
        <v>62.8</v>
      </c>
      <c r="T784">
        <v>9</v>
      </c>
      <c r="U784" t="s">
        <v>128</v>
      </c>
      <c r="V784">
        <v>49</v>
      </c>
      <c r="W784" s="3" t="str">
        <f>HYPERLINK("http://exon.niaid.nih.gov/transcriptome/Anopheles_sialome/links/netoglyc/anoara_hyp15-netoglyc.txt","1")</f>
        <v>1</v>
      </c>
      <c r="X784">
        <v>12.8</v>
      </c>
      <c r="Y784">
        <v>12.8</v>
      </c>
      <c r="Z784">
        <v>5.0999999999999996</v>
      </c>
      <c r="AA784" t="s">
        <v>654</v>
      </c>
      <c r="AB784" t="s">
        <v>128</v>
      </c>
      <c r="AC784" s="2" t="str">
        <f>HYPERLINK("http://exon.niaid.nih.gov/transcriptome/Anopheles_sialome/links/DIPTERA/anoara_hyp15-DIPTERA.txt","hypothetical protein 15")</f>
        <v>hypothetical protein 15</v>
      </c>
      <c r="AD784" t="str">
        <f>HYPERLINK("http://www.ncbi.nlm.nih.gov/sutils/blink.cgi?pid=18389911","2E-036")</f>
        <v>2E-036</v>
      </c>
      <c r="AE784" t="str">
        <f t="shared" si="261"/>
        <v>gi|18389911</v>
      </c>
      <c r="AF784">
        <v>93</v>
      </c>
      <c r="AG784">
        <v>98</v>
      </c>
      <c r="AH784">
        <v>100</v>
      </c>
      <c r="AI784" t="s">
        <v>2254</v>
      </c>
      <c r="AJ784" s="2" t="s">
        <v>128</v>
      </c>
      <c r="AK784" t="s">
        <v>128</v>
      </c>
      <c r="AL784" t="s">
        <v>128</v>
      </c>
      <c r="AM784" t="s">
        <v>128</v>
      </c>
      <c r="AN784" t="s">
        <v>128</v>
      </c>
      <c r="AO784" t="s">
        <v>128</v>
      </c>
      <c r="AP784" t="s">
        <v>128</v>
      </c>
      <c r="AQ784" s="2" t="str">
        <f>HYPERLINK("http://exon.niaid.nih.gov/transcriptome/Anopheles_sialome/links/NR-LIGHT/anoara_hyp15-NR-LIGHT.txt","AGAP000152-PA")</f>
        <v>AGAP000152-PA</v>
      </c>
      <c r="AR784" t="str">
        <f>HYPERLINK("http://www.ncbi.nlm.nih.gov/sutils/blink.cgi?pid=119115276","7E-036")</f>
        <v>7E-036</v>
      </c>
      <c r="AS784" t="str">
        <f t="shared" si="262"/>
        <v>gi|119115276</v>
      </c>
      <c r="AT784">
        <v>93</v>
      </c>
      <c r="AU784">
        <v>98</v>
      </c>
      <c r="AV784">
        <v>100</v>
      </c>
      <c r="AW784" t="s">
        <v>2285</v>
      </c>
      <c r="AX784" s="2" t="str">
        <f>HYPERLINK("http://exon.niaid.nih.gov/transcriptome/Anopheles_sialome/links/CDD/anoara_hyp15-CDD.txt","mrcA")</f>
        <v>mrcA</v>
      </c>
      <c r="AY784" t="str">
        <f>HYPERLINK("http://www.ncbi.nlm.nih.gov/Structure/cdd/cddsrv.cgi?uid=PRK11636&amp;version=v4.0","0.93")</f>
        <v>0.93</v>
      </c>
      <c r="AZ784" t="s">
        <v>2693</v>
      </c>
      <c r="BA784" s="2" t="str">
        <f>HYPERLINK("http://exon.niaid.nih.gov/transcriptome/Anopheles_sialome/links/KOG/anoara_hyp15-KOG.txt","Signal recognition particle, subunit Srp72")</f>
        <v>Signal recognition particle, subunit Srp72</v>
      </c>
      <c r="BB784" t="str">
        <f>HYPERLINK("http://www.ncbi.nlm.nih.gov/Structure/cdd/cddsrv.cgi?uid=KOG2376","0.18")</f>
        <v>0.18</v>
      </c>
      <c r="BC784" t="s">
        <v>2487</v>
      </c>
      <c r="BD784" t="str">
        <f>HYPERLINK("http://exon.niaid.nih.gov/transcriptome/Anopheles_sialome/links/KOG/anoara_hyp15-KOG.txt","KOG2376")</f>
        <v>KOG2376</v>
      </c>
      <c r="BE784" t="str">
        <f>HYPERLINK("http://exon.niaid.nih.gov/transcriptome/Anopheles_sialome/links/PFAM/anoara_hyp15-PFAM.txt","TcdA_TcdB_pore")</f>
        <v>TcdA_TcdB_pore</v>
      </c>
      <c r="BF784" t="str">
        <f>HYPERLINK("http://pfam.sanger.ac.uk/family?acc=PF12920","3.4")</f>
        <v>3.4</v>
      </c>
      <c r="BG784" s="2" t="str">
        <f>HYPERLINK("http://exon.niaid.nih.gov/transcriptome/Anopheles_sialome/links/SMART/anoara_hyp15-SMART.txt","Agouti")</f>
        <v>Agouti</v>
      </c>
      <c r="BH784" t="str">
        <f>HYPERLINK("http://smart.embl-heidelberg.de/smart/do_annotation.pl?DOMAIN=Agouti&amp;BLAST=DUMMY","0.31")</f>
        <v>0.31</v>
      </c>
      <c r="BI784" t="s">
        <v>128</v>
      </c>
      <c r="BJ784" s="2" t="s">
        <v>128</v>
      </c>
      <c r="BK784" t="s">
        <v>1409</v>
      </c>
      <c r="BL784">
        <f>HYPERLINK("http://exon.niaid.nih.gov/transcriptome/Anopheles_sialome/links/cluster-b/anopheline-sialome-cds-pep-larger-orf25-50SimCLU1.txt", 1)</f>
        <v>1</v>
      </c>
      <c r="BM784">
        <f>HYPERLINK("http://exon.niaid.nih.gov/transcriptome/Anopheles_sialome/links/cluster-b/anopheline-sialome-cds-pep-larger-orf25-50SimCLTL1.txt", 165)</f>
        <v>165</v>
      </c>
      <c r="BN784">
        <f>HYPERLINK("http://exon.niaid.nih.gov/transcriptome/Anopheles_sialome/links/cluster-b/anopheline-sialome-cds-pep-larger-orf30-50SimCLU1.txt", 1)</f>
        <v>1</v>
      </c>
      <c r="BO784">
        <f>HYPERLINK("http://exon.niaid.nih.gov/transcriptome/Anopheles_sialome/links/cluster-b/anopheline-sialome-cds-pep-larger-orf30-50SimCLTL1.txt", 165)</f>
        <v>165</v>
      </c>
      <c r="BP784">
        <f>HYPERLINK("http://exon.niaid.nih.gov/transcriptome/Anopheles_sialome/links/cluster-b/anopheline-sialome-cds-pep-larger-orf35-50SimCLU4.txt", 4)</f>
        <v>4</v>
      </c>
      <c r="BQ784">
        <f>HYPERLINK("http://exon.niaid.nih.gov/transcriptome/Anopheles_sialome/links/cluster-b/anopheline-sialome-cds-pep-larger-orf35-50SimCLTL4.txt", 76)</f>
        <v>76</v>
      </c>
      <c r="BR784">
        <f>HYPERLINK("http://exon.niaid.nih.gov/transcriptome/Anopheles_sialome/links/cluster-b/anopheline-sialome-cds-pep-larger-orf40-50SimCLU11.txt", 11)</f>
        <v>11</v>
      </c>
      <c r="BS784">
        <f>HYPERLINK("http://exon.niaid.nih.gov/transcriptome/Anopheles_sialome/links/cluster-b/anopheline-sialome-cds-pep-larger-orf40-50SimCLTL11.txt", 21)</f>
        <v>21</v>
      </c>
      <c r="BT784">
        <f>HYPERLINK("http://exon.niaid.nih.gov/transcriptome/Anopheles_sialome/links/cluster-b/anopheline-sialome-cds-pep-larger-orf45-50SimCLU11.txt", 11)</f>
        <v>11</v>
      </c>
      <c r="BU784">
        <f>HYPERLINK("http://exon.niaid.nih.gov/transcriptome/Anopheles_sialome/links/cluster-b/anopheline-sialome-cds-pep-larger-orf45-50SimCLTL11.txt", 21)</f>
        <v>21</v>
      </c>
      <c r="BV784">
        <f>HYPERLINK("http://exon.niaid.nih.gov/transcriptome/Anopheles_sialome/links/cluster-b/anopheline-sialome-cds-pep-larger-orf50-50SimCLU11.txt", 11)</f>
        <v>11</v>
      </c>
      <c r="BW784">
        <f>HYPERLINK("http://exon.niaid.nih.gov/transcriptome/Anopheles_sialome/links/cluster-b/anopheline-sialome-cds-pep-larger-orf50-50SimCLTL11.txt", 21)</f>
        <v>21</v>
      </c>
      <c r="BX784">
        <f>HYPERLINK("http://exon.niaid.nih.gov/transcriptome/Anopheles_sialome/links/cluster-b/anopheline-sialome-cds-pep-larger-orf55-50SimCLU12.txt", 12)</f>
        <v>12</v>
      </c>
      <c r="BY784">
        <f>HYPERLINK("http://exon.niaid.nih.gov/transcriptome/Anopheles_sialome/links/cluster-b/anopheline-sialome-cds-pep-larger-orf55-50SimCLTL12.txt", 21)</f>
        <v>21</v>
      </c>
      <c r="BZ784">
        <f>HYPERLINK("http://exon.niaid.nih.gov/transcriptome/Anopheles_sialome/links/cluster-b/anopheline-sialome-cds-pep-larger-orf60-50SimCLU10.txt", 10)</f>
        <v>10</v>
      </c>
      <c r="CA784">
        <f>HYPERLINK("http://exon.niaid.nih.gov/transcriptome/Anopheles_sialome/links/cluster-b/anopheline-sialome-cds-pep-larger-orf60-50SimCLTL10.txt", 21)</f>
        <v>21</v>
      </c>
      <c r="CB784">
        <f>HYPERLINK("http://exon.niaid.nih.gov/transcriptome/Anopheles_sialome/links/cluster-b/anopheline-sialome-cds-pep-larger-orf65-50SimCLU10.txt", 10)</f>
        <v>10</v>
      </c>
      <c r="CC784">
        <f>HYPERLINK("http://exon.niaid.nih.gov/transcriptome/Anopheles_sialome/links/cluster-b/anopheline-sialome-cds-pep-larger-orf65-50SimCLTL10.txt", 19)</f>
        <v>19</v>
      </c>
      <c r="CD784">
        <f>HYPERLINK("http://exon.niaid.nih.gov/transcriptome/Anopheles_sialome/links/cluster-b/anopheline-sialome-cds-pep-larger-orf70-50SimCLU19.txt", 19)</f>
        <v>19</v>
      </c>
      <c r="CE784">
        <f>HYPERLINK("http://exon.niaid.nih.gov/transcriptome/Anopheles_sialome/links/cluster-b/anopheline-sialome-cds-pep-larger-orf70-50SimCLTL19.txt", 17)</f>
        <v>17</v>
      </c>
      <c r="CF784">
        <f>HYPERLINK("http://exon.niaid.nih.gov/transcriptome/Anopheles_sialome/links/cluster-b/anopheline-sialome-cds-pep-larger-orf75-50SimCLU30.txt", 30)</f>
        <v>30</v>
      </c>
      <c r="CG784">
        <f>HYPERLINK("http://exon.niaid.nih.gov/transcriptome/Anopheles_sialome/links/cluster-b/anopheline-sialome-cds-pep-larger-orf75-50SimCLTL30.txt", 12)</f>
        <v>12</v>
      </c>
      <c r="CH784">
        <f>HYPERLINK("http://exon.niaid.nih.gov/transcriptome/Anopheles_sialome/links/cluster-b/anopheline-sialome-cds-pep-larger-orf80-50SimCLU39.txt", 39)</f>
        <v>39</v>
      </c>
      <c r="CI784">
        <f>HYPERLINK("http://exon.niaid.nih.gov/transcriptome/Anopheles_sialome/links/cluster-b/anopheline-sialome-cds-pep-larger-orf80-50SimCLTL39.txt", 6)</f>
        <v>6</v>
      </c>
      <c r="CJ784">
        <f>HYPERLINK("http://exon.niaid.nih.gov/transcriptome/Anopheles_sialome/links/cluster-b/anopheline-sialome-cds-pep-larger-orf85-50SimCLU36.txt", 36)</f>
        <v>36</v>
      </c>
      <c r="CK784">
        <f>HYPERLINK("http://exon.niaid.nih.gov/transcriptome/Anopheles_sialome/links/cluster-b/anopheline-sialome-cds-pep-larger-orf85-50SimCLTL36.txt", 6)</f>
        <v>6</v>
      </c>
      <c r="CL784">
        <f>HYPERLINK("http://exon.niaid.nih.gov/transcriptome/Anopheles_sialome/links/cluster-b/anopheline-sialome-cds-pep-larger-orf90-50SimCLU28.txt", 28)</f>
        <v>28</v>
      </c>
      <c r="CM784">
        <f>HYPERLINK("http://exon.niaid.nih.gov/transcriptome/Anopheles_sialome/links/cluster-b/anopheline-sialome-cds-pep-larger-orf90-50SimCLTL28.txt", 6)</f>
        <v>6</v>
      </c>
      <c r="CN784">
        <f>HYPERLINK("http://exon.niaid.nih.gov/transcriptome/Anopheles_sialome/links/cluster-b/anopheline-sialome-cds-pep-larger-orf95-50SimCLU18.txt", 18)</f>
        <v>18</v>
      </c>
      <c r="CO784">
        <f>HYPERLINK("http://exon.niaid.nih.gov/transcriptome/Anopheles_sialome/links/cluster-b/anopheline-sialome-cds-pep-larger-orf95-50SimCLTL18.txt", 6)</f>
        <v>6</v>
      </c>
    </row>
    <row r="785" spans="1:93">
      <c r="A785" s="2" t="str">
        <f>HYPERLINK("http://exon.niaid.nih.gov/transcriptome/Anopheles_sialome/links/cds/anoqua_hyp15-cds.txt","anoqua_hyp15")</f>
        <v>anoqua_hyp15</v>
      </c>
      <c r="B785">
        <v>237</v>
      </c>
      <c r="C785" t="s">
        <v>282</v>
      </c>
      <c r="D785" t="s">
        <v>4</v>
      </c>
      <c r="E785" t="s">
        <v>5</v>
      </c>
      <c r="F785" t="s">
        <v>1</v>
      </c>
      <c r="G785" t="str">
        <f>HYPERLINK("http://exon.niaid.nih.gov/transcriptome/Anopheles_sialome/links/pep/anoqua_hyp15-pep.txt","anoqua_hyp15")</f>
        <v>anoqua_hyp15</v>
      </c>
      <c r="H785">
        <v>78</v>
      </c>
      <c r="I785">
        <v>1</v>
      </c>
      <c r="J785" s="3" t="str">
        <f>HYPERLINK("http://exon.niaid.nih.gov/transcriptome/Anopheles_sialome/links/Sigp/anoqua_hyp15-SigP.txt","SIG")</f>
        <v>SIG</v>
      </c>
      <c r="K785" t="s">
        <v>1199</v>
      </c>
      <c r="L785">
        <v>8.09</v>
      </c>
      <c r="M785">
        <v>9.94</v>
      </c>
      <c r="N785">
        <v>4.92</v>
      </c>
      <c r="O785">
        <v>11</v>
      </c>
      <c r="P785" t="s">
        <v>1412</v>
      </c>
      <c r="Q785" s="3" t="str">
        <f>HYPERLINK("http://exon.niaid.nih.gov/transcriptome/Anopheles_sialome/links/tmhmm/anoqua_hyp15-tmhmm.txt","1")</f>
        <v>1</v>
      </c>
      <c r="R785">
        <v>28.2</v>
      </c>
      <c r="S785">
        <v>62.8</v>
      </c>
      <c r="T785">
        <v>9</v>
      </c>
      <c r="U785" t="s">
        <v>128</v>
      </c>
      <c r="V785">
        <v>49</v>
      </c>
      <c r="W785" s="3" t="str">
        <f>HYPERLINK("http://exon.niaid.nih.gov/transcriptome/Anopheles_sialome/links/netoglyc/anoqua_hyp15-netoglyc.txt","1")</f>
        <v>1</v>
      </c>
      <c r="X785">
        <v>12.8</v>
      </c>
      <c r="Y785">
        <v>12.8</v>
      </c>
      <c r="Z785">
        <v>5.0999999999999996</v>
      </c>
      <c r="AA785" t="s">
        <v>654</v>
      </c>
      <c r="AB785" t="s">
        <v>128</v>
      </c>
      <c r="AC785" s="2" t="str">
        <f>HYPERLINK("http://exon.niaid.nih.gov/transcriptome/Anopheles_sialome/links/DIPTERA/anoqua_hyp15-DIPTERA.txt","hypothetical protein 15")</f>
        <v>hypothetical protein 15</v>
      </c>
      <c r="AD785" t="str">
        <f>HYPERLINK("http://www.ncbi.nlm.nih.gov/sutils/blink.cgi?pid=18389911","8E-037")</f>
        <v>8E-037</v>
      </c>
      <c r="AE785" t="str">
        <f t="shared" si="261"/>
        <v>gi|18389911</v>
      </c>
      <c r="AF785">
        <v>94</v>
      </c>
      <c r="AG785">
        <v>100</v>
      </c>
      <c r="AH785">
        <v>100</v>
      </c>
      <c r="AI785" t="s">
        <v>2254</v>
      </c>
      <c r="AJ785" s="2" t="s">
        <v>128</v>
      </c>
      <c r="AK785" t="s">
        <v>128</v>
      </c>
      <c r="AL785" t="s">
        <v>128</v>
      </c>
      <c r="AM785" t="s">
        <v>128</v>
      </c>
      <c r="AN785" t="s">
        <v>128</v>
      </c>
      <c r="AO785" t="s">
        <v>128</v>
      </c>
      <c r="AP785" t="s">
        <v>128</v>
      </c>
      <c r="AQ785" s="2" t="str">
        <f>HYPERLINK("http://exon.niaid.nih.gov/transcriptome/Anopheles_sialome/links/NR-LIGHT/anoqua_hyp15-NR-LIGHT.txt","AGAP000152-PA")</f>
        <v>AGAP000152-PA</v>
      </c>
      <c r="AR785" t="str">
        <f>HYPERLINK("http://www.ncbi.nlm.nih.gov/sutils/blink.cgi?pid=119115276","2E-036")</f>
        <v>2E-036</v>
      </c>
      <c r="AS785" t="str">
        <f t="shared" si="262"/>
        <v>gi|119115276</v>
      </c>
      <c r="AT785">
        <v>94</v>
      </c>
      <c r="AU785">
        <v>100</v>
      </c>
      <c r="AV785">
        <v>100</v>
      </c>
      <c r="AW785" t="s">
        <v>2285</v>
      </c>
      <c r="AX785" s="2" t="str">
        <f>HYPERLINK("http://exon.niaid.nih.gov/transcriptome/Anopheles_sialome/links/CDD/anoqua_hyp15-CDD.txt","mrcA")</f>
        <v>mrcA</v>
      </c>
      <c r="AY785" t="str">
        <f>HYPERLINK("http://www.ncbi.nlm.nih.gov/Structure/cdd/cddsrv.cgi?uid=PRK11636&amp;version=v4.0","0.56")</f>
        <v>0.56</v>
      </c>
      <c r="AZ785" t="s">
        <v>2694</v>
      </c>
      <c r="BA785" s="2" t="str">
        <f>HYPERLINK("http://exon.niaid.nih.gov/transcriptome/Anopheles_sialome/links/KOG/anoqua_hyp15-KOG.txt","Signal recognition particle, subunit Srp72")</f>
        <v>Signal recognition particle, subunit Srp72</v>
      </c>
      <c r="BB785" t="str">
        <f>HYPERLINK("http://www.ncbi.nlm.nih.gov/Structure/cdd/cddsrv.cgi?uid=KOG2376","0.20")</f>
        <v>0.20</v>
      </c>
      <c r="BC785" t="s">
        <v>2487</v>
      </c>
      <c r="BD785" t="str">
        <f>HYPERLINK("http://exon.niaid.nih.gov/transcriptome/Anopheles_sialome/links/KOG/anoqua_hyp15-KOG.txt","KOG2376")</f>
        <v>KOG2376</v>
      </c>
      <c r="BE785" t="str">
        <f>HYPERLINK("http://exon.niaid.nih.gov/transcriptome/Anopheles_sialome/links/PFAM/anoqua_hyp15-PFAM.txt","ISG65-75")</f>
        <v>ISG65-75</v>
      </c>
      <c r="BF785" t="str">
        <f>HYPERLINK("http://pfam.sanger.ac.uk/family?acc=PF11727","2.3")</f>
        <v>2.3</v>
      </c>
      <c r="BG785" s="2" t="str">
        <f>HYPERLINK("http://exon.niaid.nih.gov/transcriptome/Anopheles_sialome/links/SMART/anoqua_hyp15-SMART.txt","Agouti")</f>
        <v>Agouti</v>
      </c>
      <c r="BH785" t="str">
        <f>HYPERLINK("http://smart.embl-heidelberg.de/smart/do_annotation.pl?DOMAIN=Agouti&amp;BLAST=DUMMY","1.1")</f>
        <v>1.1</v>
      </c>
      <c r="BI785" t="s">
        <v>128</v>
      </c>
      <c r="BJ785" s="2" t="s">
        <v>128</v>
      </c>
      <c r="BK785" t="s">
        <v>1411</v>
      </c>
      <c r="BL785">
        <f>HYPERLINK("http://exon.niaid.nih.gov/transcriptome/Anopheles_sialome/links/cluster-b/anopheline-sialome-cds-pep-larger-orf25-50SimCLU1.txt", 1)</f>
        <v>1</v>
      </c>
      <c r="BM785">
        <f>HYPERLINK("http://exon.niaid.nih.gov/transcriptome/Anopheles_sialome/links/cluster-b/anopheline-sialome-cds-pep-larger-orf25-50SimCLTL1.txt", 165)</f>
        <v>165</v>
      </c>
      <c r="BN785">
        <f>HYPERLINK("http://exon.niaid.nih.gov/transcriptome/Anopheles_sialome/links/cluster-b/anopheline-sialome-cds-pep-larger-orf30-50SimCLU1.txt", 1)</f>
        <v>1</v>
      </c>
      <c r="BO785">
        <f>HYPERLINK("http://exon.niaid.nih.gov/transcriptome/Anopheles_sialome/links/cluster-b/anopheline-sialome-cds-pep-larger-orf30-50SimCLTL1.txt", 165)</f>
        <v>165</v>
      </c>
      <c r="BP785">
        <f>HYPERLINK("http://exon.niaid.nih.gov/transcriptome/Anopheles_sialome/links/cluster-b/anopheline-sialome-cds-pep-larger-orf35-50SimCLU4.txt", 4)</f>
        <v>4</v>
      </c>
      <c r="BQ785">
        <f>HYPERLINK("http://exon.niaid.nih.gov/transcriptome/Anopheles_sialome/links/cluster-b/anopheline-sialome-cds-pep-larger-orf35-50SimCLTL4.txt", 76)</f>
        <v>76</v>
      </c>
      <c r="BR785">
        <f>HYPERLINK("http://exon.niaid.nih.gov/transcriptome/Anopheles_sialome/links/cluster-b/anopheline-sialome-cds-pep-larger-orf40-50SimCLU11.txt", 11)</f>
        <v>11</v>
      </c>
      <c r="BS785">
        <f>HYPERLINK("http://exon.niaid.nih.gov/transcriptome/Anopheles_sialome/links/cluster-b/anopheline-sialome-cds-pep-larger-orf40-50SimCLTL11.txt", 21)</f>
        <v>21</v>
      </c>
      <c r="BT785">
        <f>HYPERLINK("http://exon.niaid.nih.gov/transcriptome/Anopheles_sialome/links/cluster-b/anopheline-sialome-cds-pep-larger-orf45-50SimCLU11.txt", 11)</f>
        <v>11</v>
      </c>
      <c r="BU785">
        <f>HYPERLINK("http://exon.niaid.nih.gov/transcriptome/Anopheles_sialome/links/cluster-b/anopheline-sialome-cds-pep-larger-orf45-50SimCLTL11.txt", 21)</f>
        <v>21</v>
      </c>
      <c r="BV785">
        <f>HYPERLINK("http://exon.niaid.nih.gov/transcriptome/Anopheles_sialome/links/cluster-b/anopheline-sialome-cds-pep-larger-orf50-50SimCLU11.txt", 11)</f>
        <v>11</v>
      </c>
      <c r="BW785">
        <f>HYPERLINK("http://exon.niaid.nih.gov/transcriptome/Anopheles_sialome/links/cluster-b/anopheline-sialome-cds-pep-larger-orf50-50SimCLTL11.txt", 21)</f>
        <v>21</v>
      </c>
      <c r="BX785">
        <f>HYPERLINK("http://exon.niaid.nih.gov/transcriptome/Anopheles_sialome/links/cluster-b/anopheline-sialome-cds-pep-larger-orf55-50SimCLU12.txt", 12)</f>
        <v>12</v>
      </c>
      <c r="BY785">
        <f>HYPERLINK("http://exon.niaid.nih.gov/transcriptome/Anopheles_sialome/links/cluster-b/anopheline-sialome-cds-pep-larger-orf55-50SimCLTL12.txt", 21)</f>
        <v>21</v>
      </c>
      <c r="BZ785">
        <f>HYPERLINK("http://exon.niaid.nih.gov/transcriptome/Anopheles_sialome/links/cluster-b/anopheline-sialome-cds-pep-larger-orf60-50SimCLU10.txt", 10)</f>
        <v>10</v>
      </c>
      <c r="CA785">
        <f>HYPERLINK("http://exon.niaid.nih.gov/transcriptome/Anopheles_sialome/links/cluster-b/anopheline-sialome-cds-pep-larger-orf60-50SimCLTL10.txt", 21)</f>
        <v>21</v>
      </c>
      <c r="CB785">
        <f>HYPERLINK("http://exon.niaid.nih.gov/transcriptome/Anopheles_sialome/links/cluster-b/anopheline-sialome-cds-pep-larger-orf65-50SimCLU10.txt", 10)</f>
        <v>10</v>
      </c>
      <c r="CC785">
        <f>HYPERLINK("http://exon.niaid.nih.gov/transcriptome/Anopheles_sialome/links/cluster-b/anopheline-sialome-cds-pep-larger-orf65-50SimCLTL10.txt", 19)</f>
        <v>19</v>
      </c>
      <c r="CD785">
        <f>HYPERLINK("http://exon.niaid.nih.gov/transcriptome/Anopheles_sialome/links/cluster-b/anopheline-sialome-cds-pep-larger-orf70-50SimCLU19.txt", 19)</f>
        <v>19</v>
      </c>
      <c r="CE785">
        <f>HYPERLINK("http://exon.niaid.nih.gov/transcriptome/Anopheles_sialome/links/cluster-b/anopheline-sialome-cds-pep-larger-orf70-50SimCLTL19.txt", 17)</f>
        <v>17</v>
      </c>
      <c r="CF785">
        <f>HYPERLINK("http://exon.niaid.nih.gov/transcriptome/Anopheles_sialome/links/cluster-b/anopheline-sialome-cds-pep-larger-orf75-50SimCLU30.txt", 30)</f>
        <v>30</v>
      </c>
      <c r="CG785">
        <f>HYPERLINK("http://exon.niaid.nih.gov/transcriptome/Anopheles_sialome/links/cluster-b/anopheline-sialome-cds-pep-larger-orf75-50SimCLTL30.txt", 12)</f>
        <v>12</v>
      </c>
      <c r="CH785">
        <f>HYPERLINK("http://exon.niaid.nih.gov/transcriptome/Anopheles_sialome/links/cluster-b/anopheline-sialome-cds-pep-larger-orf80-50SimCLU39.txt", 39)</f>
        <v>39</v>
      </c>
      <c r="CI785">
        <f>HYPERLINK("http://exon.niaid.nih.gov/transcriptome/Anopheles_sialome/links/cluster-b/anopheline-sialome-cds-pep-larger-orf80-50SimCLTL39.txt", 6)</f>
        <v>6</v>
      </c>
      <c r="CJ785">
        <f>HYPERLINK("http://exon.niaid.nih.gov/transcriptome/Anopheles_sialome/links/cluster-b/anopheline-sialome-cds-pep-larger-orf85-50SimCLU36.txt", 36)</f>
        <v>36</v>
      </c>
      <c r="CK785">
        <f>HYPERLINK("http://exon.niaid.nih.gov/transcriptome/Anopheles_sialome/links/cluster-b/anopheline-sialome-cds-pep-larger-orf85-50SimCLTL36.txt", 6)</f>
        <v>6</v>
      </c>
      <c r="CL785">
        <f>HYPERLINK("http://exon.niaid.nih.gov/transcriptome/Anopheles_sialome/links/cluster-b/anopheline-sialome-cds-pep-larger-orf90-50SimCLU28.txt", 28)</f>
        <v>28</v>
      </c>
      <c r="CM785">
        <f>HYPERLINK("http://exon.niaid.nih.gov/transcriptome/Anopheles_sialome/links/cluster-b/anopheline-sialome-cds-pep-larger-orf90-50SimCLTL28.txt", 6)</f>
        <v>6</v>
      </c>
      <c r="CN785">
        <f>HYPERLINK("http://exon.niaid.nih.gov/transcriptome/Anopheles_sialome/links/cluster-b/anopheline-sialome-cds-pep-larger-orf95-50SimCLU18.txt", 18)</f>
        <v>18</v>
      </c>
      <c r="CO785">
        <f>HYPERLINK("http://exon.niaid.nih.gov/transcriptome/Anopheles_sialome/links/cluster-b/anopheline-sialome-cds-pep-larger-orf95-50SimCLTL18.txt", 6)</f>
        <v>6</v>
      </c>
    </row>
    <row r="786" spans="1:93">
      <c r="A786" s="2" t="str">
        <f>HYPERLINK("http://exon.niaid.nih.gov/transcriptome/Anopheles_sialome/links/cds/anomer_hyp15-cds.txt","anomer_hyp15")</f>
        <v>anomer_hyp15</v>
      </c>
      <c r="B786">
        <v>237</v>
      </c>
      <c r="C786" t="s">
        <v>283</v>
      </c>
      <c r="D786" t="s">
        <v>4</v>
      </c>
      <c r="E786" t="s">
        <v>5</v>
      </c>
      <c r="F786" t="s">
        <v>1</v>
      </c>
      <c r="G786" t="str">
        <f>HYPERLINK("http://exon.niaid.nih.gov/transcriptome/Anopheles_sialome/links/pep/anomer_hyp15-pep.txt","anomer_hyp15")</f>
        <v>anomer_hyp15</v>
      </c>
      <c r="H786">
        <v>78</v>
      </c>
      <c r="I786">
        <v>1</v>
      </c>
      <c r="J786" s="3" t="str">
        <f>HYPERLINK("http://exon.niaid.nih.gov/transcriptome/Anopheles_sialome/links/Sigp/anomer_hyp15-SigP.txt","SIG")</f>
        <v>SIG</v>
      </c>
      <c r="K786" t="s">
        <v>1199</v>
      </c>
      <c r="L786">
        <v>7.9649999999999999</v>
      </c>
      <c r="M786">
        <v>9.9600000000000009</v>
      </c>
      <c r="N786">
        <v>4.8739999999999997</v>
      </c>
      <c r="O786">
        <v>10.55</v>
      </c>
      <c r="P786" t="s">
        <v>1414</v>
      </c>
      <c r="Q786" s="3" t="str">
        <f>HYPERLINK("http://exon.niaid.nih.gov/transcriptome/Anopheles_sialome/links/tmhmm/anomer_hyp15-tmhmm.txt","1")</f>
        <v>1</v>
      </c>
      <c r="R786">
        <v>23.1</v>
      </c>
      <c r="S786">
        <v>61.5</v>
      </c>
      <c r="T786">
        <v>15.4</v>
      </c>
      <c r="U786" t="s">
        <v>128</v>
      </c>
      <c r="V786">
        <v>48</v>
      </c>
      <c r="W786" s="3" t="str">
        <f>HYPERLINK("http://exon.niaid.nih.gov/transcriptome/Anopheles_sialome/links/netoglyc/anomer_hyp15-netoglyc.txt","1")</f>
        <v>1</v>
      </c>
      <c r="X786">
        <v>12.8</v>
      </c>
      <c r="Y786">
        <v>12.8</v>
      </c>
      <c r="Z786">
        <v>5.0999999999999996</v>
      </c>
      <c r="AA786" t="s">
        <v>654</v>
      </c>
      <c r="AB786" t="s">
        <v>128</v>
      </c>
      <c r="AC786" s="2" t="str">
        <f>HYPERLINK("http://exon.niaid.nih.gov/transcriptome/Anopheles_sialome/links/DIPTERA/anomer_hyp15-DIPTERA.txt","hypothetical protein 15")</f>
        <v>hypothetical protein 15</v>
      </c>
      <c r="AD786" t="str">
        <f>HYPERLINK("http://www.ncbi.nlm.nih.gov/sutils/blink.cgi?pid=18389911","1E-035")</f>
        <v>1E-035</v>
      </c>
      <c r="AE786" t="str">
        <f t="shared" si="261"/>
        <v>gi|18389911</v>
      </c>
      <c r="AF786">
        <v>91</v>
      </c>
      <c r="AG786">
        <v>98</v>
      </c>
      <c r="AH786">
        <v>100</v>
      </c>
      <c r="AI786" t="s">
        <v>2254</v>
      </c>
      <c r="AJ786" s="2" t="s">
        <v>128</v>
      </c>
      <c r="AK786" t="s">
        <v>128</v>
      </c>
      <c r="AL786" t="s">
        <v>128</v>
      </c>
      <c r="AM786" t="s">
        <v>128</v>
      </c>
      <c r="AN786" t="s">
        <v>128</v>
      </c>
      <c r="AO786" t="s">
        <v>128</v>
      </c>
      <c r="AP786" t="s">
        <v>128</v>
      </c>
      <c r="AQ786" s="2" t="str">
        <f>HYPERLINK("http://exon.niaid.nih.gov/transcriptome/Anopheles_sialome/links/NR-LIGHT/anomer_hyp15-NR-LIGHT.txt","AGAP000152-PA")</f>
        <v>AGAP000152-PA</v>
      </c>
      <c r="AR786" t="str">
        <f>HYPERLINK("http://www.ncbi.nlm.nih.gov/sutils/blink.cgi?pid=119115276","3E-035")</f>
        <v>3E-035</v>
      </c>
      <c r="AS786" t="str">
        <f t="shared" si="262"/>
        <v>gi|119115276</v>
      </c>
      <c r="AT786">
        <v>91</v>
      </c>
      <c r="AU786">
        <v>98</v>
      </c>
      <c r="AV786">
        <v>100</v>
      </c>
      <c r="AW786" t="s">
        <v>2285</v>
      </c>
      <c r="AX786" s="2" t="str">
        <f>HYPERLINK("http://exon.niaid.nih.gov/transcriptome/Anopheles_sialome/links/CDD/anomer_hyp15-CDD.txt","mrcA")</f>
        <v>mrcA</v>
      </c>
      <c r="AY786" t="str">
        <f>HYPERLINK("http://www.ncbi.nlm.nih.gov/Structure/cdd/cddsrv.cgi?uid=PRK11636&amp;version=v4.0","0.67")</f>
        <v>0.67</v>
      </c>
      <c r="AZ786" t="s">
        <v>2695</v>
      </c>
      <c r="BA786" s="2" t="str">
        <f>HYPERLINK("http://exon.niaid.nih.gov/transcriptome/Anopheles_sialome/links/KOG/anomer_hyp15-KOG.txt","Transcription factor E2F/dimerization partner (TDP)")</f>
        <v>Transcription factor E2F/dimerization partner (TDP)</v>
      </c>
      <c r="BB786" t="str">
        <f>HYPERLINK("http://www.ncbi.nlm.nih.gov/Structure/cdd/cddsrv.cgi?uid=KOG2577","1.1")</f>
        <v>1.1</v>
      </c>
      <c r="BC786" t="s">
        <v>2262</v>
      </c>
      <c r="BD786" t="str">
        <f>HYPERLINK("http://exon.niaid.nih.gov/transcriptome/Anopheles_sialome/links/KOG/anomer_hyp15-KOG.txt","KOG2577")</f>
        <v>KOG2577</v>
      </c>
      <c r="BE786" t="str">
        <f>HYPERLINK("http://exon.niaid.nih.gov/transcriptome/Anopheles_sialome/links/PFAM/anomer_hyp15-PFAM.txt","ISG65-75")</f>
        <v>ISG65-75</v>
      </c>
      <c r="BF786" t="str">
        <f>HYPERLINK("http://pfam.sanger.ac.uk/family?acc=PF11727","0.46")</f>
        <v>0.46</v>
      </c>
      <c r="BG786" s="2" t="str">
        <f>HYPERLINK("http://exon.niaid.nih.gov/transcriptome/Anopheles_sialome/links/SMART/anomer_hyp15-SMART.txt","Amb_all")</f>
        <v>Amb_all</v>
      </c>
      <c r="BH786" t="str">
        <f>HYPERLINK("http://smart.embl-heidelberg.de/smart/do_annotation.pl?DOMAIN=Amb_all&amp;BLAST=DUMMY","0.34")</f>
        <v>0.34</v>
      </c>
      <c r="BI786" t="s">
        <v>128</v>
      </c>
      <c r="BJ786" s="2" t="s">
        <v>128</v>
      </c>
      <c r="BK786" t="s">
        <v>1413</v>
      </c>
      <c r="BL786">
        <f>HYPERLINK("http://exon.niaid.nih.gov/transcriptome/Anopheles_sialome/links/cluster-b/anopheline-sialome-cds-pep-larger-orf25-50SimCLU1.txt", 1)</f>
        <v>1</v>
      </c>
      <c r="BM786">
        <f>HYPERLINK("http://exon.niaid.nih.gov/transcriptome/Anopheles_sialome/links/cluster-b/anopheline-sialome-cds-pep-larger-orf25-50SimCLTL1.txt", 165)</f>
        <v>165</v>
      </c>
      <c r="BN786">
        <f>HYPERLINK("http://exon.niaid.nih.gov/transcriptome/Anopheles_sialome/links/cluster-b/anopheline-sialome-cds-pep-larger-orf30-50SimCLU1.txt", 1)</f>
        <v>1</v>
      </c>
      <c r="BO786">
        <f>HYPERLINK("http://exon.niaid.nih.gov/transcriptome/Anopheles_sialome/links/cluster-b/anopheline-sialome-cds-pep-larger-orf30-50SimCLTL1.txt", 165)</f>
        <v>165</v>
      </c>
      <c r="BP786">
        <f>HYPERLINK("http://exon.niaid.nih.gov/transcriptome/Anopheles_sialome/links/cluster-b/anopheline-sialome-cds-pep-larger-orf35-50SimCLU4.txt", 4)</f>
        <v>4</v>
      </c>
      <c r="BQ786">
        <f>HYPERLINK("http://exon.niaid.nih.gov/transcriptome/Anopheles_sialome/links/cluster-b/anopheline-sialome-cds-pep-larger-orf35-50SimCLTL4.txt", 76)</f>
        <v>76</v>
      </c>
      <c r="BR786">
        <f>HYPERLINK("http://exon.niaid.nih.gov/transcriptome/Anopheles_sialome/links/cluster-b/anopheline-sialome-cds-pep-larger-orf40-50SimCLU11.txt", 11)</f>
        <v>11</v>
      </c>
      <c r="BS786">
        <f>HYPERLINK("http://exon.niaid.nih.gov/transcriptome/Anopheles_sialome/links/cluster-b/anopheline-sialome-cds-pep-larger-orf40-50SimCLTL11.txt", 21)</f>
        <v>21</v>
      </c>
      <c r="BT786">
        <f>HYPERLINK("http://exon.niaid.nih.gov/transcriptome/Anopheles_sialome/links/cluster-b/anopheline-sialome-cds-pep-larger-orf45-50SimCLU11.txt", 11)</f>
        <v>11</v>
      </c>
      <c r="BU786">
        <f>HYPERLINK("http://exon.niaid.nih.gov/transcriptome/Anopheles_sialome/links/cluster-b/anopheline-sialome-cds-pep-larger-orf45-50SimCLTL11.txt", 21)</f>
        <v>21</v>
      </c>
      <c r="BV786">
        <f>HYPERLINK("http://exon.niaid.nih.gov/transcriptome/Anopheles_sialome/links/cluster-b/anopheline-sialome-cds-pep-larger-orf50-50SimCLU11.txt", 11)</f>
        <v>11</v>
      </c>
      <c r="BW786">
        <f>HYPERLINK("http://exon.niaid.nih.gov/transcriptome/Anopheles_sialome/links/cluster-b/anopheline-sialome-cds-pep-larger-orf50-50SimCLTL11.txt", 21)</f>
        <v>21</v>
      </c>
      <c r="BX786">
        <f>HYPERLINK("http://exon.niaid.nih.gov/transcriptome/Anopheles_sialome/links/cluster-b/anopheline-sialome-cds-pep-larger-orf55-50SimCLU12.txt", 12)</f>
        <v>12</v>
      </c>
      <c r="BY786">
        <f>HYPERLINK("http://exon.niaid.nih.gov/transcriptome/Anopheles_sialome/links/cluster-b/anopheline-sialome-cds-pep-larger-orf55-50SimCLTL12.txt", 21)</f>
        <v>21</v>
      </c>
      <c r="BZ786">
        <f>HYPERLINK("http://exon.niaid.nih.gov/transcriptome/Anopheles_sialome/links/cluster-b/anopheline-sialome-cds-pep-larger-orf60-50SimCLU10.txt", 10)</f>
        <v>10</v>
      </c>
      <c r="CA786">
        <f>HYPERLINK("http://exon.niaid.nih.gov/transcriptome/Anopheles_sialome/links/cluster-b/anopheline-sialome-cds-pep-larger-orf60-50SimCLTL10.txt", 21)</f>
        <v>21</v>
      </c>
      <c r="CB786">
        <f>HYPERLINK("http://exon.niaid.nih.gov/transcriptome/Anopheles_sialome/links/cluster-b/anopheline-sialome-cds-pep-larger-orf65-50SimCLU10.txt", 10)</f>
        <v>10</v>
      </c>
      <c r="CC786">
        <f>HYPERLINK("http://exon.niaid.nih.gov/transcriptome/Anopheles_sialome/links/cluster-b/anopheline-sialome-cds-pep-larger-orf65-50SimCLTL10.txt", 19)</f>
        <v>19</v>
      </c>
      <c r="CD786">
        <f>HYPERLINK("http://exon.niaid.nih.gov/transcriptome/Anopheles_sialome/links/cluster-b/anopheline-sialome-cds-pep-larger-orf70-50SimCLU19.txt", 19)</f>
        <v>19</v>
      </c>
      <c r="CE786">
        <f>HYPERLINK("http://exon.niaid.nih.gov/transcriptome/Anopheles_sialome/links/cluster-b/anopheline-sialome-cds-pep-larger-orf70-50SimCLTL19.txt", 17)</f>
        <v>17</v>
      </c>
      <c r="CF786">
        <f>HYPERLINK("http://exon.niaid.nih.gov/transcriptome/Anopheles_sialome/links/cluster-b/anopheline-sialome-cds-pep-larger-orf75-50SimCLU30.txt", 30)</f>
        <v>30</v>
      </c>
      <c r="CG786">
        <f>HYPERLINK("http://exon.niaid.nih.gov/transcriptome/Anopheles_sialome/links/cluster-b/anopheline-sialome-cds-pep-larger-orf75-50SimCLTL30.txt", 12)</f>
        <v>12</v>
      </c>
      <c r="CH786">
        <f>HYPERLINK("http://exon.niaid.nih.gov/transcriptome/Anopheles_sialome/links/cluster-b/anopheline-sialome-cds-pep-larger-orf80-50SimCLU39.txt", 39)</f>
        <v>39</v>
      </c>
      <c r="CI786">
        <f>HYPERLINK("http://exon.niaid.nih.gov/transcriptome/Anopheles_sialome/links/cluster-b/anopheline-sialome-cds-pep-larger-orf80-50SimCLTL39.txt", 6)</f>
        <v>6</v>
      </c>
      <c r="CJ786">
        <f>HYPERLINK("http://exon.niaid.nih.gov/transcriptome/Anopheles_sialome/links/cluster-b/anopheline-sialome-cds-pep-larger-orf85-50SimCLU36.txt", 36)</f>
        <v>36</v>
      </c>
      <c r="CK786">
        <f>HYPERLINK("http://exon.niaid.nih.gov/transcriptome/Anopheles_sialome/links/cluster-b/anopheline-sialome-cds-pep-larger-orf85-50SimCLTL36.txt", 6)</f>
        <v>6</v>
      </c>
      <c r="CL786">
        <f>HYPERLINK("http://exon.niaid.nih.gov/transcriptome/Anopheles_sialome/links/cluster-b/anopheline-sialome-cds-pep-larger-orf90-50SimCLU28.txt", 28)</f>
        <v>28</v>
      </c>
      <c r="CM786">
        <f>HYPERLINK("http://exon.niaid.nih.gov/transcriptome/Anopheles_sialome/links/cluster-b/anopheline-sialome-cds-pep-larger-orf90-50SimCLTL28.txt", 6)</f>
        <v>6</v>
      </c>
      <c r="CN786">
        <f>HYPERLINK("http://exon.niaid.nih.gov/transcriptome/Anopheles_sialome/links/cluster-b/anopheline-sialome-cds-pep-larger-orf95-50SimCLU18.txt", 18)</f>
        <v>18</v>
      </c>
      <c r="CO786">
        <f>HYPERLINK("http://exon.niaid.nih.gov/transcriptome/Anopheles_sialome/links/cluster-b/anopheline-sialome-cds-pep-larger-orf95-50SimCLTL18.txt", 6)</f>
        <v>6</v>
      </c>
    </row>
    <row r="787" spans="1:93">
      <c r="A787" s="2" t="str">
        <f>HYPERLINK("http://exon.niaid.nih.gov/transcriptome/Anopheles_sialome/links/cds/anomel_hyp15-cds.txt","anomel_hyp15")</f>
        <v>anomel_hyp15</v>
      </c>
      <c r="B787">
        <v>237</v>
      </c>
      <c r="C787" t="s">
        <v>4</v>
      </c>
      <c r="D787" s="8" t="s">
        <v>3178</v>
      </c>
      <c r="E787" t="s">
        <v>5</v>
      </c>
      <c r="F787" t="s">
        <v>1</v>
      </c>
      <c r="G787" t="str">
        <f>HYPERLINK("http://exon.niaid.nih.gov/transcriptome/Anopheles_sialome/links/pep/anomel_hyp15-pep.txt","anomel_hyp15")</f>
        <v>anomel_hyp15</v>
      </c>
      <c r="H787">
        <v>78</v>
      </c>
      <c r="I787">
        <v>1</v>
      </c>
      <c r="J787" s="3" t="str">
        <f>HYPERLINK("http://exon.niaid.nih.gov/transcriptome/Anopheles_sialome/links/Sigp/anomel_hyp15-SigP.txt","SIG")</f>
        <v>SIG</v>
      </c>
      <c r="K787" t="s">
        <v>1199</v>
      </c>
      <c r="L787">
        <v>8.0739999999999998</v>
      </c>
      <c r="M787">
        <v>9.9600000000000009</v>
      </c>
      <c r="N787">
        <v>4.8920000000000003</v>
      </c>
      <c r="O787">
        <v>10.55</v>
      </c>
      <c r="P787" t="s">
        <v>1416</v>
      </c>
      <c r="Q787" s="3" t="str">
        <f>HYPERLINK("http://exon.niaid.nih.gov/transcriptome/Anopheles_sialome/links/tmhmm/anomel_hyp15-tmhmm.txt","1")</f>
        <v>1</v>
      </c>
      <c r="R787">
        <v>23.1</v>
      </c>
      <c r="S787">
        <v>61.5</v>
      </c>
      <c r="T787">
        <v>15.4</v>
      </c>
      <c r="U787" t="s">
        <v>128</v>
      </c>
      <c r="V787">
        <v>48</v>
      </c>
      <c r="W787" s="3" t="str">
        <f>HYPERLINK("http://exon.niaid.nih.gov/transcriptome/Anopheles_sialome/links/netoglyc/anomel_hyp15-netoglyc.txt","1")</f>
        <v>1</v>
      </c>
      <c r="X787">
        <v>14.1</v>
      </c>
      <c r="Y787">
        <v>11.5</v>
      </c>
      <c r="Z787">
        <v>5.0999999999999996</v>
      </c>
      <c r="AA787" t="s">
        <v>654</v>
      </c>
      <c r="AB787" t="s">
        <v>128</v>
      </c>
      <c r="AC787" s="2" t="str">
        <f>HYPERLINK("http://exon.niaid.nih.gov/transcriptome/Anopheles_sialome/links/DIPTERA/anomel_hyp15-DIPTERA.txt","hypothetical protein 15")</f>
        <v>hypothetical protein 15</v>
      </c>
      <c r="AD787" t="str">
        <f>HYPERLINK("http://www.ncbi.nlm.nih.gov/sutils/blink.cgi?pid=18389911","4E-037")</f>
        <v>4E-037</v>
      </c>
      <c r="AE787" t="str">
        <f t="shared" si="261"/>
        <v>gi|18389911</v>
      </c>
      <c r="AF787">
        <v>97</v>
      </c>
      <c r="AG787">
        <v>98</v>
      </c>
      <c r="AH787">
        <v>100</v>
      </c>
      <c r="AI787" t="s">
        <v>2254</v>
      </c>
      <c r="AJ787" s="2" t="s">
        <v>128</v>
      </c>
      <c r="AK787" t="s">
        <v>128</v>
      </c>
      <c r="AL787" t="s">
        <v>128</v>
      </c>
      <c r="AM787" t="s">
        <v>128</v>
      </c>
      <c r="AN787" t="s">
        <v>128</v>
      </c>
      <c r="AO787" t="s">
        <v>128</v>
      </c>
      <c r="AP787" t="s">
        <v>128</v>
      </c>
      <c r="AQ787" s="2" t="str">
        <f>HYPERLINK("http://exon.niaid.nih.gov/transcriptome/Anopheles_sialome/links/NR-LIGHT/anomel_hyp15-NR-LIGHT.txt","AGAP000152-PA")</f>
        <v>AGAP000152-PA</v>
      </c>
      <c r="AR787" t="str">
        <f>HYPERLINK("http://www.ncbi.nlm.nih.gov/sutils/blink.cgi?pid=119115276","1E-036")</f>
        <v>1E-036</v>
      </c>
      <c r="AS787" t="str">
        <f t="shared" si="262"/>
        <v>gi|119115276</v>
      </c>
      <c r="AT787">
        <v>97</v>
      </c>
      <c r="AU787">
        <v>98</v>
      </c>
      <c r="AV787">
        <v>100</v>
      </c>
      <c r="AW787" t="s">
        <v>2285</v>
      </c>
      <c r="AX787" s="2" t="str">
        <f>HYPERLINK("http://exon.niaid.nih.gov/transcriptome/Anopheles_sialome/links/CDD/anomel_hyp15-CDD.txt","mrcA")</f>
        <v>mrcA</v>
      </c>
      <c r="AY787" t="str">
        <f>HYPERLINK("http://www.ncbi.nlm.nih.gov/Structure/cdd/cddsrv.cgi?uid=PRK11636&amp;version=v4.0","0.077")</f>
        <v>0.077</v>
      </c>
      <c r="AZ787" t="s">
        <v>2696</v>
      </c>
      <c r="BA787" s="2" t="str">
        <f>HYPERLINK("http://exon.niaid.nih.gov/transcriptome/Anopheles_sialome/links/KOG/anomel_hyp15-KOG.txt","Signal recognition particle, subunit Srp72")</f>
        <v>Signal recognition particle, subunit Srp72</v>
      </c>
      <c r="BB787" t="str">
        <f>HYPERLINK("http://www.ncbi.nlm.nih.gov/Structure/cdd/cddsrv.cgi?uid=KOG2376","0.40")</f>
        <v>0.40</v>
      </c>
      <c r="BC787" t="s">
        <v>2487</v>
      </c>
      <c r="BD787" t="str">
        <f>HYPERLINK("http://exon.niaid.nih.gov/transcriptome/Anopheles_sialome/links/KOG/anomel_hyp15-KOG.txt","KOG2376")</f>
        <v>KOG2376</v>
      </c>
      <c r="BE787" t="str">
        <f>HYPERLINK("http://exon.niaid.nih.gov/transcriptome/Anopheles_sialome/links/PFAM/anomel_hyp15-PFAM.txt","DNA_pol_B_2")</f>
        <v>DNA_pol_B_2</v>
      </c>
      <c r="BF787" t="str">
        <f>HYPERLINK("http://pfam.sanger.ac.uk/family?acc=PF03175","0.86")</f>
        <v>0.86</v>
      </c>
      <c r="BG787" s="2" t="str">
        <f>HYPERLINK("http://exon.niaid.nih.gov/transcriptome/Anopheles_sialome/links/SMART/anomel_hyp15-SMART.txt","Agouti")</f>
        <v>Agouti</v>
      </c>
      <c r="BH787" t="str">
        <f>HYPERLINK("http://smart.embl-heidelberg.de/smart/do_annotation.pl?DOMAIN=Agouti&amp;BLAST=DUMMY","0.67")</f>
        <v>0.67</v>
      </c>
      <c r="BI787" t="s">
        <v>128</v>
      </c>
      <c r="BJ787" s="2" t="s">
        <v>128</v>
      </c>
      <c r="BK787" t="s">
        <v>1415</v>
      </c>
      <c r="BL787">
        <f>HYPERLINK("http://exon.niaid.nih.gov/transcriptome/Anopheles_sialome/links/cluster-b/anopheline-sialome-cds-pep-larger-orf25-50SimCLU1.txt", 1)</f>
        <v>1</v>
      </c>
      <c r="BM787">
        <f>HYPERLINK("http://exon.niaid.nih.gov/transcriptome/Anopheles_sialome/links/cluster-b/anopheline-sialome-cds-pep-larger-orf25-50SimCLTL1.txt", 165)</f>
        <v>165</v>
      </c>
      <c r="BN787">
        <f>HYPERLINK("http://exon.niaid.nih.gov/transcriptome/Anopheles_sialome/links/cluster-b/anopheline-sialome-cds-pep-larger-orf30-50SimCLU1.txt", 1)</f>
        <v>1</v>
      </c>
      <c r="BO787">
        <f>HYPERLINK("http://exon.niaid.nih.gov/transcriptome/Anopheles_sialome/links/cluster-b/anopheline-sialome-cds-pep-larger-orf30-50SimCLTL1.txt", 165)</f>
        <v>165</v>
      </c>
      <c r="BP787">
        <f>HYPERLINK("http://exon.niaid.nih.gov/transcriptome/Anopheles_sialome/links/cluster-b/anopheline-sialome-cds-pep-larger-orf35-50SimCLU4.txt", 4)</f>
        <v>4</v>
      </c>
      <c r="BQ787">
        <f>HYPERLINK("http://exon.niaid.nih.gov/transcriptome/Anopheles_sialome/links/cluster-b/anopheline-sialome-cds-pep-larger-orf35-50SimCLTL4.txt", 76)</f>
        <v>76</v>
      </c>
      <c r="BR787">
        <f>HYPERLINK("http://exon.niaid.nih.gov/transcriptome/Anopheles_sialome/links/cluster-b/anopheline-sialome-cds-pep-larger-orf40-50SimCLU11.txt", 11)</f>
        <v>11</v>
      </c>
      <c r="BS787">
        <f>HYPERLINK("http://exon.niaid.nih.gov/transcriptome/Anopheles_sialome/links/cluster-b/anopheline-sialome-cds-pep-larger-orf40-50SimCLTL11.txt", 21)</f>
        <v>21</v>
      </c>
      <c r="BT787">
        <f>HYPERLINK("http://exon.niaid.nih.gov/transcriptome/Anopheles_sialome/links/cluster-b/anopheline-sialome-cds-pep-larger-orf45-50SimCLU11.txt", 11)</f>
        <v>11</v>
      </c>
      <c r="BU787">
        <f>HYPERLINK("http://exon.niaid.nih.gov/transcriptome/Anopheles_sialome/links/cluster-b/anopheline-sialome-cds-pep-larger-orf45-50SimCLTL11.txt", 21)</f>
        <v>21</v>
      </c>
      <c r="BV787">
        <f>HYPERLINK("http://exon.niaid.nih.gov/transcriptome/Anopheles_sialome/links/cluster-b/anopheline-sialome-cds-pep-larger-orf50-50SimCLU11.txt", 11)</f>
        <v>11</v>
      </c>
      <c r="BW787">
        <f>HYPERLINK("http://exon.niaid.nih.gov/transcriptome/Anopheles_sialome/links/cluster-b/anopheline-sialome-cds-pep-larger-orf50-50SimCLTL11.txt", 21)</f>
        <v>21</v>
      </c>
      <c r="BX787">
        <f>HYPERLINK("http://exon.niaid.nih.gov/transcriptome/Anopheles_sialome/links/cluster-b/anopheline-sialome-cds-pep-larger-orf55-50SimCLU12.txt", 12)</f>
        <v>12</v>
      </c>
      <c r="BY787">
        <f>HYPERLINK("http://exon.niaid.nih.gov/transcriptome/Anopheles_sialome/links/cluster-b/anopheline-sialome-cds-pep-larger-orf55-50SimCLTL12.txt", 21)</f>
        <v>21</v>
      </c>
      <c r="BZ787">
        <f>HYPERLINK("http://exon.niaid.nih.gov/transcriptome/Anopheles_sialome/links/cluster-b/anopheline-sialome-cds-pep-larger-orf60-50SimCLU10.txt", 10)</f>
        <v>10</v>
      </c>
      <c r="CA787">
        <f>HYPERLINK("http://exon.niaid.nih.gov/transcriptome/Anopheles_sialome/links/cluster-b/anopheline-sialome-cds-pep-larger-orf60-50SimCLTL10.txt", 21)</f>
        <v>21</v>
      </c>
      <c r="CB787">
        <f>HYPERLINK("http://exon.niaid.nih.gov/transcriptome/Anopheles_sialome/links/cluster-b/anopheline-sialome-cds-pep-larger-orf65-50SimCLU10.txt", 10)</f>
        <v>10</v>
      </c>
      <c r="CC787">
        <f>HYPERLINK("http://exon.niaid.nih.gov/transcriptome/Anopheles_sialome/links/cluster-b/anopheline-sialome-cds-pep-larger-orf65-50SimCLTL10.txt", 19)</f>
        <v>19</v>
      </c>
      <c r="CD787">
        <f>HYPERLINK("http://exon.niaid.nih.gov/transcriptome/Anopheles_sialome/links/cluster-b/anopheline-sialome-cds-pep-larger-orf70-50SimCLU19.txt", 19)</f>
        <v>19</v>
      </c>
      <c r="CE787">
        <f>HYPERLINK("http://exon.niaid.nih.gov/transcriptome/Anopheles_sialome/links/cluster-b/anopheline-sialome-cds-pep-larger-orf70-50SimCLTL19.txt", 17)</f>
        <v>17</v>
      </c>
      <c r="CF787">
        <f>HYPERLINK("http://exon.niaid.nih.gov/transcriptome/Anopheles_sialome/links/cluster-b/anopheline-sialome-cds-pep-larger-orf75-50SimCLU30.txt", 30)</f>
        <v>30</v>
      </c>
      <c r="CG787">
        <f>HYPERLINK("http://exon.niaid.nih.gov/transcriptome/Anopheles_sialome/links/cluster-b/anopheline-sialome-cds-pep-larger-orf75-50SimCLTL30.txt", 12)</f>
        <v>12</v>
      </c>
      <c r="CH787">
        <f>HYPERLINK("http://exon.niaid.nih.gov/transcriptome/Anopheles_sialome/links/cluster-b/anopheline-sialome-cds-pep-larger-orf80-50SimCLU39.txt", 39)</f>
        <v>39</v>
      </c>
      <c r="CI787">
        <f>HYPERLINK("http://exon.niaid.nih.gov/transcriptome/Anopheles_sialome/links/cluster-b/anopheline-sialome-cds-pep-larger-orf80-50SimCLTL39.txt", 6)</f>
        <v>6</v>
      </c>
      <c r="CJ787">
        <f>HYPERLINK("http://exon.niaid.nih.gov/transcriptome/Anopheles_sialome/links/cluster-b/anopheline-sialome-cds-pep-larger-orf85-50SimCLU36.txt", 36)</f>
        <v>36</v>
      </c>
      <c r="CK787">
        <f>HYPERLINK("http://exon.niaid.nih.gov/transcriptome/Anopheles_sialome/links/cluster-b/anopheline-sialome-cds-pep-larger-orf85-50SimCLTL36.txt", 6)</f>
        <v>6</v>
      </c>
      <c r="CL787">
        <f>HYPERLINK("http://exon.niaid.nih.gov/transcriptome/Anopheles_sialome/links/cluster-b/anopheline-sialome-cds-pep-larger-orf90-50SimCLU28.txt", 28)</f>
        <v>28</v>
      </c>
      <c r="CM787">
        <f>HYPERLINK("http://exon.niaid.nih.gov/transcriptome/Anopheles_sialome/links/cluster-b/anopheline-sialome-cds-pep-larger-orf90-50SimCLTL28.txt", 6)</f>
        <v>6</v>
      </c>
      <c r="CN787">
        <f>HYPERLINK("http://exon.niaid.nih.gov/transcriptome/Anopheles_sialome/links/cluster-b/anopheline-sialome-cds-pep-larger-orf95-50SimCLU18.txt", 18)</f>
        <v>18</v>
      </c>
      <c r="CO787">
        <f>HYPERLINK("http://exon.niaid.nih.gov/transcriptome/Anopheles_sialome/links/cluster-b/anopheline-sialome-cds-pep-larger-orf95-50SimCLTL18.txt", 6)</f>
        <v>6</v>
      </c>
    </row>
    <row r="788" spans="1:93">
      <c r="A788" s="2" t="str">
        <f>HYPERLINK("http://exon.niaid.nih.gov/transcriptome/Anopheles_sialome/links/cds/anofun_hyp15-cds.txt","anofun_hyp15")</f>
        <v>anofun_hyp15</v>
      </c>
      <c r="B788">
        <v>243</v>
      </c>
      <c r="C788" t="s">
        <v>284</v>
      </c>
      <c r="D788" t="s">
        <v>4</v>
      </c>
      <c r="E788" t="s">
        <v>5</v>
      </c>
      <c r="F788" t="s">
        <v>1</v>
      </c>
      <c r="G788" t="str">
        <f>HYPERLINK("http://exon.niaid.nih.gov/transcriptome/Anopheles_sialome/links/pep/anofun_hyp15-pep.txt","anofun_hyp15")</f>
        <v>anofun_hyp15</v>
      </c>
      <c r="H788">
        <v>80</v>
      </c>
      <c r="I788">
        <v>0</v>
      </c>
      <c r="J788" s="3" t="str">
        <f>HYPERLINK("http://exon.niaid.nih.gov/transcriptome/Anopheles_sialome/links/Sigp/anofun_hyp15-SigP.txt","SIG")</f>
        <v>SIG</v>
      </c>
      <c r="K788" t="s">
        <v>949</v>
      </c>
      <c r="L788">
        <v>8.0920000000000005</v>
      </c>
      <c r="M788">
        <v>9.9600000000000009</v>
      </c>
      <c r="N788">
        <v>4.9379999999999997</v>
      </c>
      <c r="O788">
        <v>11.43</v>
      </c>
      <c r="P788" t="s">
        <v>1418</v>
      </c>
      <c r="Q788" s="3">
        <v>0</v>
      </c>
      <c r="R788" t="s">
        <v>128</v>
      </c>
      <c r="S788" t="s">
        <v>128</v>
      </c>
      <c r="T788" t="s">
        <v>128</v>
      </c>
      <c r="U788" t="s">
        <v>128</v>
      </c>
      <c r="V788" t="s">
        <v>128</v>
      </c>
      <c r="W788" s="3" t="str">
        <f>HYPERLINK("http://exon.niaid.nih.gov/transcriptome/Anopheles_sialome/links/netoglyc/anofun_hyp15-netoglyc.txt","2")</f>
        <v>2</v>
      </c>
      <c r="X788">
        <v>20</v>
      </c>
      <c r="Y788">
        <v>12.5</v>
      </c>
      <c r="Z788">
        <v>3.8</v>
      </c>
      <c r="AA788" t="s">
        <v>654</v>
      </c>
      <c r="AB788" t="s">
        <v>128</v>
      </c>
      <c r="AC788" s="2" t="str">
        <f>HYPERLINK("http://exon.niaid.nih.gov/transcriptome/Anopheles_sialome/links/DIPTERA/anofun_hyp15-DIPTERA.txt","hypothetical salivary protein 15")</f>
        <v>hypothetical salivary protein 15</v>
      </c>
      <c r="AD788" t="str">
        <f>HYPERLINK("http://www.ncbi.nlm.nih.gov/sutils/blink.cgi?pid=114864684","9E-038")</f>
        <v>9E-038</v>
      </c>
      <c r="AE788" t="str">
        <f>HYPERLINK("http://www.ncbi.nlm.nih.gov/protein/114864684","gi|114864684")</f>
        <v>gi|114864684</v>
      </c>
      <c r="AF788">
        <v>98</v>
      </c>
      <c r="AG788">
        <v>98</v>
      </c>
      <c r="AH788">
        <v>100</v>
      </c>
      <c r="AI788" t="s">
        <v>2266</v>
      </c>
      <c r="AJ788" s="2" t="s">
        <v>128</v>
      </c>
      <c r="AK788" t="s">
        <v>128</v>
      </c>
      <c r="AL788" t="s">
        <v>128</v>
      </c>
      <c r="AM788" t="s">
        <v>128</v>
      </c>
      <c r="AN788" t="s">
        <v>128</v>
      </c>
      <c r="AO788" t="s">
        <v>128</v>
      </c>
      <c r="AP788" t="s">
        <v>128</v>
      </c>
      <c r="AQ788" s="2" t="str">
        <f>HYPERLINK("http://exon.niaid.nih.gov/transcriptome/Anopheles_sialome/links/NR-LIGHT/anofun_hyp15-NR-LIGHT.txt","hypothetical salivary protein 15")</f>
        <v>hypothetical salivary protein 15</v>
      </c>
      <c r="AR788" t="str">
        <f>HYPERLINK("http://www.ncbi.nlm.nih.gov/sutils/blink.cgi?pid=114864684","3E-037")</f>
        <v>3E-037</v>
      </c>
      <c r="AS788" t="str">
        <f>HYPERLINK("http://www.ncbi.nlm.nih.gov/protein/114864684","gi|114864684")</f>
        <v>gi|114864684</v>
      </c>
      <c r="AT788">
        <v>98</v>
      </c>
      <c r="AU788">
        <v>98</v>
      </c>
      <c r="AV788">
        <v>100</v>
      </c>
      <c r="AW788" t="s">
        <v>2266</v>
      </c>
      <c r="AX788" s="2" t="str">
        <f>HYPERLINK("http://exon.niaid.nih.gov/transcriptome/Anopheles_sialome/links/CDD/anofun_hyp15-CDD.txt","PLN00034")</f>
        <v>PLN00034</v>
      </c>
      <c r="AY788" t="str">
        <f>HYPERLINK("http://www.ncbi.nlm.nih.gov/Structure/cdd/cddsrv.cgi?uid=PLN00034&amp;version=v4.0","0.42")</f>
        <v>0.42</v>
      </c>
      <c r="AZ788" t="s">
        <v>2697</v>
      </c>
      <c r="BA788" s="2" t="str">
        <f>HYPERLINK("http://exon.niaid.nih.gov/transcriptome/Anopheles_sialome/links/KOG/anofun_hyp15-KOG.txt","Uncharacterized conserved protein")</f>
        <v>Uncharacterized conserved protein</v>
      </c>
      <c r="BB788" t="str">
        <f>HYPERLINK("http://www.ncbi.nlm.nih.gov/Structure/cdd/cddsrv.cgi?uid=KOG3661","0.79")</f>
        <v>0.79</v>
      </c>
      <c r="BC788" t="s">
        <v>2304</v>
      </c>
      <c r="BD788" t="str">
        <f>HYPERLINK("http://exon.niaid.nih.gov/transcriptome/Anopheles_sialome/links/KOG/anofun_hyp15-KOG.txt","KOG3661")</f>
        <v>KOG3661</v>
      </c>
      <c r="BE788" t="str">
        <f>HYPERLINK("http://exon.niaid.nih.gov/transcriptome/Anopheles_sialome/links/PFAM/anofun_hyp15-PFAM.txt","LEF-4")</f>
        <v>LEF-4</v>
      </c>
      <c r="BF788" t="str">
        <f>HYPERLINK("http://pfam.sanger.ac.uk/family?acc=PF05098","0.46")</f>
        <v>0.46</v>
      </c>
      <c r="BG788" s="2" t="str">
        <f>HYPERLINK("http://exon.niaid.nih.gov/transcriptome/Anopheles_sialome/links/SMART/anofun_hyp15-SMART.txt","AKAP_110")</f>
        <v>AKAP_110</v>
      </c>
      <c r="BH788" t="str">
        <f>HYPERLINK("http://smart.embl-heidelberg.de/smart/do_annotation.pl?DOMAIN=AKAP_110&amp;BLAST=DUMMY","0.32")</f>
        <v>0.32</v>
      </c>
      <c r="BI788" t="s">
        <v>128</v>
      </c>
      <c r="BJ788" s="2" t="s">
        <v>128</v>
      </c>
      <c r="BK788" t="s">
        <v>1417</v>
      </c>
      <c r="BL788">
        <f>HYPERLINK("http://exon.niaid.nih.gov/transcriptome/Anopheles_sialome/links/cluster-b/anopheline-sialome-cds-pep-larger-orf25-50SimCLU1.txt", 1)</f>
        <v>1</v>
      </c>
      <c r="BM788">
        <f>HYPERLINK("http://exon.niaid.nih.gov/transcriptome/Anopheles_sialome/links/cluster-b/anopheline-sialome-cds-pep-larger-orf25-50SimCLTL1.txt", 165)</f>
        <v>165</v>
      </c>
      <c r="BN788">
        <f>HYPERLINK("http://exon.niaid.nih.gov/transcriptome/Anopheles_sialome/links/cluster-b/anopheline-sialome-cds-pep-larger-orf30-50SimCLU1.txt", 1)</f>
        <v>1</v>
      </c>
      <c r="BO788">
        <f>HYPERLINK("http://exon.niaid.nih.gov/transcriptome/Anopheles_sialome/links/cluster-b/anopheline-sialome-cds-pep-larger-orf30-50SimCLTL1.txt", 165)</f>
        <v>165</v>
      </c>
      <c r="BP788">
        <f>HYPERLINK("http://exon.niaid.nih.gov/transcriptome/Anopheles_sialome/links/cluster-b/anopheline-sialome-cds-pep-larger-orf35-50SimCLU4.txt", 4)</f>
        <v>4</v>
      </c>
      <c r="BQ788">
        <f>HYPERLINK("http://exon.niaid.nih.gov/transcriptome/Anopheles_sialome/links/cluster-b/anopheline-sialome-cds-pep-larger-orf35-50SimCLTL4.txt", 76)</f>
        <v>76</v>
      </c>
      <c r="BR788">
        <f>HYPERLINK("http://exon.niaid.nih.gov/transcriptome/Anopheles_sialome/links/cluster-b/anopheline-sialome-cds-pep-larger-orf40-50SimCLU11.txt", 11)</f>
        <v>11</v>
      </c>
      <c r="BS788">
        <f>HYPERLINK("http://exon.niaid.nih.gov/transcriptome/Anopheles_sialome/links/cluster-b/anopheline-sialome-cds-pep-larger-orf40-50SimCLTL11.txt", 21)</f>
        <v>21</v>
      </c>
      <c r="BT788">
        <f>HYPERLINK("http://exon.niaid.nih.gov/transcriptome/Anopheles_sialome/links/cluster-b/anopheline-sialome-cds-pep-larger-orf45-50SimCLU11.txt", 11)</f>
        <v>11</v>
      </c>
      <c r="BU788">
        <f>HYPERLINK("http://exon.niaid.nih.gov/transcriptome/Anopheles_sialome/links/cluster-b/anopheline-sialome-cds-pep-larger-orf45-50SimCLTL11.txt", 21)</f>
        <v>21</v>
      </c>
      <c r="BV788">
        <f>HYPERLINK("http://exon.niaid.nih.gov/transcriptome/Anopheles_sialome/links/cluster-b/anopheline-sialome-cds-pep-larger-orf50-50SimCLU11.txt", 11)</f>
        <v>11</v>
      </c>
      <c r="BW788">
        <f>HYPERLINK("http://exon.niaid.nih.gov/transcriptome/Anopheles_sialome/links/cluster-b/anopheline-sialome-cds-pep-larger-orf50-50SimCLTL11.txt", 21)</f>
        <v>21</v>
      </c>
      <c r="BX788">
        <f>HYPERLINK("http://exon.niaid.nih.gov/transcriptome/Anopheles_sialome/links/cluster-b/anopheline-sialome-cds-pep-larger-orf55-50SimCLU12.txt", 12)</f>
        <v>12</v>
      </c>
      <c r="BY788">
        <f>HYPERLINK("http://exon.niaid.nih.gov/transcriptome/Anopheles_sialome/links/cluster-b/anopheline-sialome-cds-pep-larger-orf55-50SimCLTL12.txt", 21)</f>
        <v>21</v>
      </c>
      <c r="BZ788">
        <f>HYPERLINK("http://exon.niaid.nih.gov/transcriptome/Anopheles_sialome/links/cluster-b/anopheline-sialome-cds-pep-larger-orf60-50SimCLU10.txt", 10)</f>
        <v>10</v>
      </c>
      <c r="CA788">
        <f>HYPERLINK("http://exon.niaid.nih.gov/transcriptome/Anopheles_sialome/links/cluster-b/anopheline-sialome-cds-pep-larger-orf60-50SimCLTL10.txt", 21)</f>
        <v>21</v>
      </c>
      <c r="CB788">
        <f>HYPERLINK("http://exon.niaid.nih.gov/transcriptome/Anopheles_sialome/links/cluster-b/anopheline-sialome-cds-pep-larger-orf65-50SimCLU10.txt", 10)</f>
        <v>10</v>
      </c>
      <c r="CC788">
        <f>HYPERLINK("http://exon.niaid.nih.gov/transcriptome/Anopheles_sialome/links/cluster-b/anopheline-sialome-cds-pep-larger-orf65-50SimCLTL10.txt", 19)</f>
        <v>19</v>
      </c>
      <c r="CD788">
        <f>HYPERLINK("http://exon.niaid.nih.gov/transcriptome/Anopheles_sialome/links/cluster-b/anopheline-sialome-cds-pep-larger-orf70-50SimCLU19.txt", 19)</f>
        <v>19</v>
      </c>
      <c r="CE788">
        <f>HYPERLINK("http://exon.niaid.nih.gov/transcriptome/Anopheles_sialome/links/cluster-b/anopheline-sialome-cds-pep-larger-orf70-50SimCLTL19.txt", 17)</f>
        <v>17</v>
      </c>
      <c r="CF788">
        <f>HYPERLINK("http://exon.niaid.nih.gov/transcriptome/Anopheles_sialome/links/cluster-b/anopheline-sialome-cds-pep-larger-orf75-50SimCLU52.txt", 52)</f>
        <v>52</v>
      </c>
      <c r="CG788">
        <f>HYPERLINK("http://exon.niaid.nih.gov/transcriptome/Anopheles_sialome/links/cluster-b/anopheline-sialome-cds-pep-larger-orf75-50SimCLTL52.txt", 4)</f>
        <v>4</v>
      </c>
      <c r="CH788">
        <v>166</v>
      </c>
      <c r="CI788">
        <v>1</v>
      </c>
      <c r="CJ788">
        <v>215</v>
      </c>
      <c r="CK788">
        <v>1</v>
      </c>
      <c r="CL788">
        <v>261</v>
      </c>
      <c r="CM788">
        <v>1</v>
      </c>
      <c r="CN788">
        <v>291</v>
      </c>
      <c r="CO788">
        <v>1</v>
      </c>
    </row>
    <row r="789" spans="1:93">
      <c r="A789" s="2" t="str">
        <f>HYPERLINK("http://exon.niaid.nih.gov/transcriptome/Anopheles_sialome/links/cds/anomin_hyp15-cds.txt","anomin_hyp15")</f>
        <v>anomin_hyp15</v>
      </c>
      <c r="B789">
        <v>258</v>
      </c>
      <c r="C789" t="s">
        <v>285</v>
      </c>
      <c r="D789" t="s">
        <v>4</v>
      </c>
      <c r="E789" t="s">
        <v>5</v>
      </c>
      <c r="F789" t="s">
        <v>1</v>
      </c>
      <c r="G789" t="str">
        <f>HYPERLINK("http://exon.niaid.nih.gov/transcriptome/Anopheles_sialome/links/pep/anomin_hyp15-pep.txt","anomin_hyp15")</f>
        <v>anomin_hyp15</v>
      </c>
      <c r="H789">
        <v>85</v>
      </c>
      <c r="I789">
        <v>1</v>
      </c>
      <c r="J789" s="3" t="str">
        <f>HYPERLINK("http://exon.niaid.nih.gov/transcriptome/Anopheles_sialome/links/Sigp/anomin_hyp15-SigP.txt","SIG")</f>
        <v>SIG</v>
      </c>
      <c r="K789" t="s">
        <v>949</v>
      </c>
      <c r="L789">
        <v>8.4350000000000005</v>
      </c>
      <c r="M789">
        <v>9.56</v>
      </c>
      <c r="N789">
        <v>5.43</v>
      </c>
      <c r="O789">
        <v>11.26</v>
      </c>
      <c r="P789" t="s">
        <v>1420</v>
      </c>
      <c r="Q789" s="3">
        <v>0</v>
      </c>
      <c r="R789" t="s">
        <v>128</v>
      </c>
      <c r="S789" t="s">
        <v>128</v>
      </c>
      <c r="T789" t="s">
        <v>128</v>
      </c>
      <c r="U789" t="s">
        <v>128</v>
      </c>
      <c r="V789" t="s">
        <v>128</v>
      </c>
      <c r="W789" s="3" t="str">
        <f>HYPERLINK("http://exon.niaid.nih.gov/transcriptome/Anopheles_sialome/links/netoglyc/anomin_hyp15-netoglyc.txt","7")</f>
        <v>7</v>
      </c>
      <c r="X789">
        <v>18.8</v>
      </c>
      <c r="Y789">
        <v>11.8</v>
      </c>
      <c r="Z789">
        <v>4.7</v>
      </c>
      <c r="AA789" t="s">
        <v>654</v>
      </c>
      <c r="AB789" t="s">
        <v>128</v>
      </c>
      <c r="AC789" s="2" t="str">
        <f>HYPERLINK("http://exon.niaid.nih.gov/transcriptome/Anopheles_sialome/links/DIPTERA/anomin_hyp15-DIPTERA.txt","hypothetical salivary protein 15")</f>
        <v>hypothetical salivary protein 15</v>
      </c>
      <c r="AD789" t="str">
        <f>HYPERLINK("http://www.ncbi.nlm.nih.gov/sutils/blink.cgi?pid=114864684","1E-024")</f>
        <v>1E-024</v>
      </c>
      <c r="AE789" t="str">
        <f>HYPERLINK("http://www.ncbi.nlm.nih.gov/protein/114864684","gi|114864684")</f>
        <v>gi|114864684</v>
      </c>
      <c r="AF789">
        <v>68</v>
      </c>
      <c r="AG789">
        <v>78</v>
      </c>
      <c r="AH789">
        <v>106</v>
      </c>
      <c r="AI789" t="s">
        <v>2266</v>
      </c>
      <c r="AJ789" s="2" t="s">
        <v>128</v>
      </c>
      <c r="AK789" t="s">
        <v>128</v>
      </c>
      <c r="AL789" t="s">
        <v>128</v>
      </c>
      <c r="AM789" t="s">
        <v>128</v>
      </c>
      <c r="AN789" t="s">
        <v>128</v>
      </c>
      <c r="AO789" t="s">
        <v>128</v>
      </c>
      <c r="AP789" t="s">
        <v>128</v>
      </c>
      <c r="AQ789" s="2" t="str">
        <f>HYPERLINK("http://exon.niaid.nih.gov/transcriptome/Anopheles_sialome/links/NR-LIGHT/anomin_hyp15-NR-LIGHT.txt","hypothetical salivary protein 15")</f>
        <v>hypothetical salivary protein 15</v>
      </c>
      <c r="AR789" t="str">
        <f>HYPERLINK("http://www.ncbi.nlm.nih.gov/sutils/blink.cgi?pid=114864684","3E-024")</f>
        <v>3E-024</v>
      </c>
      <c r="AS789" t="str">
        <f>HYPERLINK("http://www.ncbi.nlm.nih.gov/protein/114864684","gi|114864684")</f>
        <v>gi|114864684</v>
      </c>
      <c r="AT789">
        <v>68</v>
      </c>
      <c r="AU789">
        <v>78</v>
      </c>
      <c r="AV789">
        <v>106</v>
      </c>
      <c r="AW789" t="s">
        <v>2266</v>
      </c>
      <c r="AX789" s="2" t="str">
        <f>HYPERLINK("http://exon.niaid.nih.gov/transcriptome/Anopheles_sialome/links/CDD/anomin_hyp15-CDD.txt","PLN00034")</f>
        <v>PLN00034</v>
      </c>
      <c r="AY789" t="str">
        <f>HYPERLINK("http://www.ncbi.nlm.nih.gov/Structure/cdd/cddsrv.cgi?uid=PLN00034&amp;version=v4.0","0.15")</f>
        <v>0.15</v>
      </c>
      <c r="AZ789" t="s">
        <v>2698</v>
      </c>
      <c r="BA789" s="2" t="str">
        <f>HYPERLINK("http://exon.niaid.nih.gov/transcriptome/Anopheles_sialome/links/KOG/anomin_hyp15-KOG.txt","Transcription factor MSH, contains HOX domain")</f>
        <v>Transcription factor MSH, contains HOX domain</v>
      </c>
      <c r="BB789" t="str">
        <f>HYPERLINK("http://www.ncbi.nlm.nih.gov/Structure/cdd/cddsrv.cgi?uid=KOG0492","0.12")</f>
        <v>0.12</v>
      </c>
      <c r="BC789" t="s">
        <v>2310</v>
      </c>
      <c r="BD789" t="str">
        <f>HYPERLINK("http://exon.niaid.nih.gov/transcriptome/Anopheles_sialome/links/KOG/anomin_hyp15-KOG.txt","KOG0492")</f>
        <v>KOG0492</v>
      </c>
      <c r="BE789" t="str">
        <f>HYPERLINK("http://exon.niaid.nih.gov/transcriptome/Anopheles_sialome/links/PFAM/anomin_hyp15-PFAM.txt","FRG2")</f>
        <v>FRG2</v>
      </c>
      <c r="BF789" t="str">
        <f>HYPERLINK("http://pfam.sanger.ac.uk/family?acc=PF15315","0.83")</f>
        <v>0.83</v>
      </c>
      <c r="BG789" s="2" t="str">
        <f>HYPERLINK("http://exon.niaid.nih.gov/transcriptome/Anopheles_sialome/links/SMART/anomin_hyp15-SMART.txt","AgrB")</f>
        <v>AgrB</v>
      </c>
      <c r="BH789" t="str">
        <f>HYPERLINK("http://smart.embl-heidelberg.de/smart/do_annotation.pl?DOMAIN=AgrB&amp;BLAST=DUMMY","4.2")</f>
        <v>4.2</v>
      </c>
      <c r="BI789" t="s">
        <v>128</v>
      </c>
      <c r="BJ789" s="2" t="s">
        <v>128</v>
      </c>
      <c r="BK789" t="s">
        <v>1419</v>
      </c>
      <c r="BL789">
        <f>HYPERLINK("http://exon.niaid.nih.gov/transcriptome/Anopheles_sialome/links/cluster-b/anopheline-sialome-cds-pep-larger-orf25-50SimCLU1.txt", 1)</f>
        <v>1</v>
      </c>
      <c r="BM789">
        <f>HYPERLINK("http://exon.niaid.nih.gov/transcriptome/Anopheles_sialome/links/cluster-b/anopheline-sialome-cds-pep-larger-orf25-50SimCLTL1.txt", 165)</f>
        <v>165</v>
      </c>
      <c r="BN789">
        <f>HYPERLINK("http://exon.niaid.nih.gov/transcriptome/Anopheles_sialome/links/cluster-b/anopheline-sialome-cds-pep-larger-orf30-50SimCLU1.txt", 1)</f>
        <v>1</v>
      </c>
      <c r="BO789">
        <f>HYPERLINK("http://exon.niaid.nih.gov/transcriptome/Anopheles_sialome/links/cluster-b/anopheline-sialome-cds-pep-larger-orf30-50SimCLTL1.txt", 165)</f>
        <v>165</v>
      </c>
      <c r="BP789">
        <f>HYPERLINK("http://exon.niaid.nih.gov/transcriptome/Anopheles_sialome/links/cluster-b/anopheline-sialome-cds-pep-larger-orf35-50SimCLU4.txt", 4)</f>
        <v>4</v>
      </c>
      <c r="BQ789">
        <f>HYPERLINK("http://exon.niaid.nih.gov/transcriptome/Anopheles_sialome/links/cluster-b/anopheline-sialome-cds-pep-larger-orf35-50SimCLTL4.txt", 76)</f>
        <v>76</v>
      </c>
      <c r="BR789">
        <f>HYPERLINK("http://exon.niaid.nih.gov/transcriptome/Anopheles_sialome/links/cluster-b/anopheline-sialome-cds-pep-larger-orf40-50SimCLU11.txt", 11)</f>
        <v>11</v>
      </c>
      <c r="BS789">
        <f>HYPERLINK("http://exon.niaid.nih.gov/transcriptome/Anopheles_sialome/links/cluster-b/anopheline-sialome-cds-pep-larger-orf40-50SimCLTL11.txt", 21)</f>
        <v>21</v>
      </c>
      <c r="BT789">
        <f>HYPERLINK("http://exon.niaid.nih.gov/transcriptome/Anopheles_sialome/links/cluster-b/anopheline-sialome-cds-pep-larger-orf45-50SimCLU11.txt", 11)</f>
        <v>11</v>
      </c>
      <c r="BU789">
        <f>HYPERLINK("http://exon.niaid.nih.gov/transcriptome/Anopheles_sialome/links/cluster-b/anopheline-sialome-cds-pep-larger-orf45-50SimCLTL11.txt", 21)</f>
        <v>21</v>
      </c>
      <c r="BV789">
        <f>HYPERLINK("http://exon.niaid.nih.gov/transcriptome/Anopheles_sialome/links/cluster-b/anopheline-sialome-cds-pep-larger-orf50-50SimCLU11.txt", 11)</f>
        <v>11</v>
      </c>
      <c r="BW789">
        <f>HYPERLINK("http://exon.niaid.nih.gov/transcriptome/Anopheles_sialome/links/cluster-b/anopheline-sialome-cds-pep-larger-orf50-50SimCLTL11.txt", 21)</f>
        <v>21</v>
      </c>
      <c r="BX789">
        <f>HYPERLINK("http://exon.niaid.nih.gov/transcriptome/Anopheles_sialome/links/cluster-b/anopheline-sialome-cds-pep-larger-orf55-50SimCLU12.txt", 12)</f>
        <v>12</v>
      </c>
      <c r="BY789">
        <f>HYPERLINK("http://exon.niaid.nih.gov/transcriptome/Anopheles_sialome/links/cluster-b/anopheline-sialome-cds-pep-larger-orf55-50SimCLTL12.txt", 21)</f>
        <v>21</v>
      </c>
      <c r="BZ789">
        <f>HYPERLINK("http://exon.niaid.nih.gov/transcriptome/Anopheles_sialome/links/cluster-b/anopheline-sialome-cds-pep-larger-orf60-50SimCLU10.txt", 10)</f>
        <v>10</v>
      </c>
      <c r="CA789">
        <f>HYPERLINK("http://exon.niaid.nih.gov/transcriptome/Anopheles_sialome/links/cluster-b/anopheline-sialome-cds-pep-larger-orf60-50SimCLTL10.txt", 21)</f>
        <v>21</v>
      </c>
      <c r="CB789">
        <f>HYPERLINK("http://exon.niaid.nih.gov/transcriptome/Anopheles_sialome/links/cluster-b/anopheline-sialome-cds-pep-larger-orf65-50SimCLU10.txt", 10)</f>
        <v>10</v>
      </c>
      <c r="CC789">
        <f>HYPERLINK("http://exon.niaid.nih.gov/transcriptome/Anopheles_sialome/links/cluster-b/anopheline-sialome-cds-pep-larger-orf65-50SimCLTL10.txt", 19)</f>
        <v>19</v>
      </c>
      <c r="CD789">
        <f>HYPERLINK("http://exon.niaid.nih.gov/transcriptome/Anopheles_sialome/links/cluster-b/anopheline-sialome-cds-pep-larger-orf70-50SimCLU19.txt", 19)</f>
        <v>19</v>
      </c>
      <c r="CE789">
        <f>HYPERLINK("http://exon.niaid.nih.gov/transcriptome/Anopheles_sialome/links/cluster-b/anopheline-sialome-cds-pep-larger-orf70-50SimCLTL19.txt", 17)</f>
        <v>17</v>
      </c>
      <c r="CF789">
        <f>HYPERLINK("http://exon.niaid.nih.gov/transcriptome/Anopheles_sialome/links/cluster-b/anopheline-sialome-cds-pep-larger-orf75-50SimCLU52.txt", 52)</f>
        <v>52</v>
      </c>
      <c r="CG789">
        <f>HYPERLINK("http://exon.niaid.nih.gov/transcriptome/Anopheles_sialome/links/cluster-b/anopheline-sialome-cds-pep-larger-orf75-50SimCLTL52.txt", 4)</f>
        <v>4</v>
      </c>
      <c r="CH789">
        <v>167</v>
      </c>
      <c r="CI789">
        <v>1</v>
      </c>
      <c r="CJ789">
        <v>216</v>
      </c>
      <c r="CK789">
        <v>1</v>
      </c>
      <c r="CL789">
        <v>262</v>
      </c>
      <c r="CM789">
        <v>1</v>
      </c>
      <c r="CN789">
        <v>292</v>
      </c>
      <c r="CO789">
        <v>1</v>
      </c>
    </row>
    <row r="790" spans="1:93">
      <c r="A790" s="2" t="str">
        <f>HYPERLINK("http://exon.niaid.nih.gov/transcriptome/Anopheles_sialome/links/cds/anocul_hyp15-cds.txt","anocul_hyp15")</f>
        <v>anocul_hyp15</v>
      </c>
      <c r="B790">
        <v>234</v>
      </c>
      <c r="C790" t="s">
        <v>4</v>
      </c>
      <c r="D790" s="8" t="s">
        <v>3178</v>
      </c>
      <c r="E790" t="s">
        <v>5</v>
      </c>
      <c r="F790" t="s">
        <v>1</v>
      </c>
      <c r="G790" t="str">
        <f>HYPERLINK("http://exon.niaid.nih.gov/transcriptome/Anopheles_sialome/links/pep/anocul_hyp15-pep.txt","anocul_hyp15")</f>
        <v>anocul_hyp15</v>
      </c>
      <c r="H790">
        <v>77</v>
      </c>
      <c r="I790">
        <v>0</v>
      </c>
      <c r="J790" s="3" t="str">
        <f>HYPERLINK("http://exon.niaid.nih.gov/transcriptome/Anopheles_sialome/links/Sigp/anocul_hyp15-SigP.txt","SIG")</f>
        <v>SIG</v>
      </c>
      <c r="K790" t="s">
        <v>715</v>
      </c>
      <c r="L790">
        <v>7.9409999999999998</v>
      </c>
      <c r="M790">
        <v>9.77</v>
      </c>
      <c r="N790">
        <v>5.2460000000000004</v>
      </c>
      <c r="O790">
        <v>12.04</v>
      </c>
      <c r="P790" t="s">
        <v>1422</v>
      </c>
      <c r="Q790" s="3">
        <v>0</v>
      </c>
      <c r="R790" t="s">
        <v>128</v>
      </c>
      <c r="S790" t="s">
        <v>128</v>
      </c>
      <c r="T790" t="s">
        <v>128</v>
      </c>
      <c r="U790" t="s">
        <v>128</v>
      </c>
      <c r="V790" t="s">
        <v>128</v>
      </c>
      <c r="W790" s="3" t="str">
        <f>HYPERLINK("http://exon.niaid.nih.gov/transcriptome/Anopheles_sialome/links/netoglyc/anocul_hyp15-netoglyc.txt","6")</f>
        <v>6</v>
      </c>
      <c r="X790">
        <v>19.5</v>
      </c>
      <c r="Y790">
        <v>11.7</v>
      </c>
      <c r="Z790">
        <v>3.9</v>
      </c>
      <c r="AA790" t="s">
        <v>654</v>
      </c>
      <c r="AB790" t="s">
        <v>128</v>
      </c>
      <c r="AC790" s="2" t="str">
        <f>HYPERLINK("http://exon.niaid.nih.gov/transcriptome/Anopheles_sialome/links/DIPTERA/anocul_hyp15-DIPTERA.txt","hypothetical salivary protein 15")</f>
        <v>hypothetical salivary protein 15</v>
      </c>
      <c r="AD790" t="str">
        <f>HYPERLINK("http://www.ncbi.nlm.nih.gov/sutils/blink.cgi?pid=114864684","7E-020")</f>
        <v>7E-020</v>
      </c>
      <c r="AE790" t="str">
        <f>HYPERLINK("http://www.ncbi.nlm.nih.gov/protein/114864684","gi|114864684")</f>
        <v>gi|114864684</v>
      </c>
      <c r="AF790">
        <v>60</v>
      </c>
      <c r="AG790">
        <v>74</v>
      </c>
      <c r="AH790">
        <v>99</v>
      </c>
      <c r="AI790" t="s">
        <v>2266</v>
      </c>
      <c r="AJ790" s="2" t="s">
        <v>128</v>
      </c>
      <c r="AK790" t="s">
        <v>128</v>
      </c>
      <c r="AL790" t="s">
        <v>128</v>
      </c>
      <c r="AM790" t="s">
        <v>128</v>
      </c>
      <c r="AN790" t="s">
        <v>128</v>
      </c>
      <c r="AO790" t="s">
        <v>128</v>
      </c>
      <c r="AP790" t="s">
        <v>128</v>
      </c>
      <c r="AQ790" s="2" t="str">
        <f>HYPERLINK("http://exon.niaid.nih.gov/transcriptome/Anopheles_sialome/links/NR-LIGHT/anocul_hyp15-NR-LIGHT.txt","hypothetical salivary protein 15")</f>
        <v>hypothetical salivary protein 15</v>
      </c>
      <c r="AR790" t="str">
        <f>HYPERLINK("http://www.ncbi.nlm.nih.gov/sutils/blink.cgi?pid=114864684","2E-019")</f>
        <v>2E-019</v>
      </c>
      <c r="AS790" t="str">
        <f>HYPERLINK("http://www.ncbi.nlm.nih.gov/protein/114864684","gi|114864684")</f>
        <v>gi|114864684</v>
      </c>
      <c r="AT790">
        <v>60</v>
      </c>
      <c r="AU790">
        <v>74</v>
      </c>
      <c r="AV790">
        <v>99</v>
      </c>
      <c r="AW790" t="s">
        <v>2266</v>
      </c>
      <c r="AX790" s="2" t="str">
        <f>HYPERLINK("http://exon.niaid.nih.gov/transcriptome/Anopheles_sialome/links/CDD/anocul_hyp15-CDD.txt","PLN00034")</f>
        <v>PLN00034</v>
      </c>
      <c r="AY790" t="str">
        <f>HYPERLINK("http://www.ncbi.nlm.nih.gov/Structure/cdd/cddsrv.cgi?uid=PLN00034&amp;version=v4.0","0.93")</f>
        <v>0.93</v>
      </c>
      <c r="AZ790" t="s">
        <v>2699</v>
      </c>
      <c r="BA790" s="2" t="str">
        <f>HYPERLINK("http://exon.niaid.nih.gov/transcriptome/Anopheles_sialome/links/KOG/anocul_hyp15-KOG.txt","Vitamin-D-receptor interacting protein complex component")</f>
        <v>Vitamin-D-receptor interacting protein complex component</v>
      </c>
      <c r="BB790" t="str">
        <f>HYPERLINK("http://www.ncbi.nlm.nih.gov/Structure/cdd/cddsrv.cgi?uid=KOG4552","0.33")</f>
        <v>0.33</v>
      </c>
      <c r="BC790" t="s">
        <v>2262</v>
      </c>
      <c r="BD790" t="str">
        <f>HYPERLINK("http://exon.niaid.nih.gov/transcriptome/Anopheles_sialome/links/KOG/anocul_hyp15-KOG.txt","KOG4552")</f>
        <v>KOG4552</v>
      </c>
      <c r="BE790" t="str">
        <f>HYPERLINK("http://exon.niaid.nih.gov/transcriptome/Anopheles_sialome/links/PFAM/anocul_hyp15-PFAM.txt","DcuA_DcuB")</f>
        <v>DcuA_DcuB</v>
      </c>
      <c r="BF790" t="str">
        <f>HYPERLINK("http://pfam.sanger.ac.uk/family?acc=PF03605","1.9")</f>
        <v>1.9</v>
      </c>
      <c r="BG790" s="2" t="str">
        <f>HYPERLINK("http://exon.niaid.nih.gov/transcriptome/Anopheles_sialome/links/SMART/anocul_hyp15-SMART.txt","STI")</f>
        <v>STI</v>
      </c>
      <c r="BH790" t="str">
        <f>HYPERLINK("http://smart.embl-heidelberg.de/smart/do_annotation.pl?DOMAIN=STI&amp;BLAST=DUMMY","2.9")</f>
        <v>2.9</v>
      </c>
      <c r="BI790" t="s">
        <v>128</v>
      </c>
      <c r="BJ790" s="2" t="s">
        <v>128</v>
      </c>
      <c r="BK790" t="s">
        <v>1421</v>
      </c>
      <c r="BL790">
        <f>HYPERLINK("http://exon.niaid.nih.gov/transcriptome/Anopheles_sialome/links/cluster-b/anopheline-sialome-cds-pep-larger-orf25-50SimCLU1.txt", 1)</f>
        <v>1</v>
      </c>
      <c r="BM790">
        <f>HYPERLINK("http://exon.niaid.nih.gov/transcriptome/Anopheles_sialome/links/cluster-b/anopheline-sialome-cds-pep-larger-orf25-50SimCLTL1.txt", 165)</f>
        <v>165</v>
      </c>
      <c r="BN790">
        <f>HYPERLINK("http://exon.niaid.nih.gov/transcriptome/Anopheles_sialome/links/cluster-b/anopheline-sialome-cds-pep-larger-orf30-50SimCLU1.txt", 1)</f>
        <v>1</v>
      </c>
      <c r="BO790">
        <f>HYPERLINK("http://exon.niaid.nih.gov/transcriptome/Anopheles_sialome/links/cluster-b/anopheline-sialome-cds-pep-larger-orf30-50SimCLTL1.txt", 165)</f>
        <v>165</v>
      </c>
      <c r="BP790">
        <f>HYPERLINK("http://exon.niaid.nih.gov/transcriptome/Anopheles_sialome/links/cluster-b/anopheline-sialome-cds-pep-larger-orf35-50SimCLU4.txt", 4)</f>
        <v>4</v>
      </c>
      <c r="BQ790">
        <f>HYPERLINK("http://exon.niaid.nih.gov/transcriptome/Anopheles_sialome/links/cluster-b/anopheline-sialome-cds-pep-larger-orf35-50SimCLTL4.txt", 76)</f>
        <v>76</v>
      </c>
      <c r="BR790">
        <f>HYPERLINK("http://exon.niaid.nih.gov/transcriptome/Anopheles_sialome/links/cluster-b/anopheline-sialome-cds-pep-larger-orf40-50SimCLU11.txt", 11)</f>
        <v>11</v>
      </c>
      <c r="BS790">
        <f>HYPERLINK("http://exon.niaid.nih.gov/transcriptome/Anopheles_sialome/links/cluster-b/anopheline-sialome-cds-pep-larger-orf40-50SimCLTL11.txt", 21)</f>
        <v>21</v>
      </c>
      <c r="BT790">
        <f>HYPERLINK("http://exon.niaid.nih.gov/transcriptome/Anopheles_sialome/links/cluster-b/anopheline-sialome-cds-pep-larger-orf45-50SimCLU11.txt", 11)</f>
        <v>11</v>
      </c>
      <c r="BU790">
        <f>HYPERLINK("http://exon.niaid.nih.gov/transcriptome/Anopheles_sialome/links/cluster-b/anopheline-sialome-cds-pep-larger-orf45-50SimCLTL11.txt", 21)</f>
        <v>21</v>
      </c>
      <c r="BV790">
        <f>HYPERLINK("http://exon.niaid.nih.gov/transcriptome/Anopheles_sialome/links/cluster-b/anopheline-sialome-cds-pep-larger-orf50-50SimCLU11.txt", 11)</f>
        <v>11</v>
      </c>
      <c r="BW790">
        <f>HYPERLINK("http://exon.niaid.nih.gov/transcriptome/Anopheles_sialome/links/cluster-b/anopheline-sialome-cds-pep-larger-orf50-50SimCLTL11.txt", 21)</f>
        <v>21</v>
      </c>
      <c r="BX790">
        <f>HYPERLINK("http://exon.niaid.nih.gov/transcriptome/Anopheles_sialome/links/cluster-b/anopheline-sialome-cds-pep-larger-orf55-50SimCLU12.txt", 12)</f>
        <v>12</v>
      </c>
      <c r="BY790">
        <f>HYPERLINK("http://exon.niaid.nih.gov/transcriptome/Anopheles_sialome/links/cluster-b/anopheline-sialome-cds-pep-larger-orf55-50SimCLTL12.txt", 21)</f>
        <v>21</v>
      </c>
      <c r="BZ790">
        <f>HYPERLINK("http://exon.niaid.nih.gov/transcriptome/Anopheles_sialome/links/cluster-b/anopheline-sialome-cds-pep-larger-orf60-50SimCLU10.txt", 10)</f>
        <v>10</v>
      </c>
      <c r="CA790">
        <f>HYPERLINK("http://exon.niaid.nih.gov/transcriptome/Anopheles_sialome/links/cluster-b/anopheline-sialome-cds-pep-larger-orf60-50SimCLTL10.txt", 21)</f>
        <v>21</v>
      </c>
      <c r="CB790">
        <f>HYPERLINK("http://exon.niaid.nih.gov/transcriptome/Anopheles_sialome/links/cluster-b/anopheline-sialome-cds-pep-larger-orf65-50SimCLU10.txt", 10)</f>
        <v>10</v>
      </c>
      <c r="CC790">
        <f>HYPERLINK("http://exon.niaid.nih.gov/transcriptome/Anopheles_sialome/links/cluster-b/anopheline-sialome-cds-pep-larger-orf65-50SimCLTL10.txt", 19)</f>
        <v>19</v>
      </c>
      <c r="CD790">
        <f>HYPERLINK("http://exon.niaid.nih.gov/transcriptome/Anopheles_sialome/links/cluster-b/anopheline-sialome-cds-pep-larger-orf70-50SimCLU19.txt", 19)</f>
        <v>19</v>
      </c>
      <c r="CE790">
        <f>HYPERLINK("http://exon.niaid.nih.gov/transcriptome/Anopheles_sialome/links/cluster-b/anopheline-sialome-cds-pep-larger-orf70-50SimCLTL19.txt", 17)</f>
        <v>17</v>
      </c>
      <c r="CF790">
        <f>HYPERLINK("http://exon.niaid.nih.gov/transcriptome/Anopheles_sialome/links/cluster-b/anopheline-sialome-cds-pep-larger-orf75-50SimCLU52.txt", 52)</f>
        <v>52</v>
      </c>
      <c r="CG790">
        <f>HYPERLINK("http://exon.niaid.nih.gov/transcriptome/Anopheles_sialome/links/cluster-b/anopheline-sialome-cds-pep-larger-orf75-50SimCLTL52.txt", 4)</f>
        <v>4</v>
      </c>
      <c r="CH790">
        <v>168</v>
      </c>
      <c r="CI790">
        <v>1</v>
      </c>
      <c r="CJ790">
        <v>217</v>
      </c>
      <c r="CK790">
        <v>1</v>
      </c>
      <c r="CL790">
        <v>263</v>
      </c>
      <c r="CM790">
        <v>1</v>
      </c>
      <c r="CN790">
        <v>293</v>
      </c>
      <c r="CO790">
        <v>1</v>
      </c>
    </row>
    <row r="791" spans="1:93">
      <c r="A791" s="2" t="str">
        <f>HYPERLINK("http://exon.niaid.nih.gov/transcriptome/Anopheles_sialome/links/cds/anoste_hyp15-cds.txt","anoste_hyp15")</f>
        <v>anoste_hyp15</v>
      </c>
      <c r="B791">
        <v>237</v>
      </c>
      <c r="C791" t="s">
        <v>286</v>
      </c>
      <c r="D791" t="s">
        <v>4</v>
      </c>
      <c r="E791" t="s">
        <v>5</v>
      </c>
      <c r="F791" t="s">
        <v>1</v>
      </c>
      <c r="G791" t="str">
        <f>HYPERLINK("http://exon.niaid.nih.gov/transcriptome/Anopheles_sialome/links/pep/anoste_hyp15-pep.txt","anoste_hyp15")</f>
        <v>anoste_hyp15</v>
      </c>
      <c r="H791">
        <v>78</v>
      </c>
      <c r="I791">
        <v>1</v>
      </c>
      <c r="J791" s="3" t="str">
        <f>HYPERLINK("http://exon.niaid.nih.gov/transcriptome/Anopheles_sialome/links/Sigp/anoste_hyp15-SigP.txt","SIG")</f>
        <v>SIG</v>
      </c>
      <c r="K791" t="s">
        <v>949</v>
      </c>
      <c r="L791">
        <v>8.2080000000000002</v>
      </c>
      <c r="M791">
        <v>10.039999999999999</v>
      </c>
      <c r="N791">
        <v>4.9740000000000002</v>
      </c>
      <c r="O791">
        <v>11.74</v>
      </c>
      <c r="P791" t="s">
        <v>1424</v>
      </c>
      <c r="Q791" s="3">
        <v>0</v>
      </c>
      <c r="R791" t="s">
        <v>128</v>
      </c>
      <c r="S791" t="s">
        <v>128</v>
      </c>
      <c r="T791" t="s">
        <v>128</v>
      </c>
      <c r="U791" t="s">
        <v>128</v>
      </c>
      <c r="V791" t="s">
        <v>128</v>
      </c>
      <c r="W791" s="3" t="str">
        <f>HYPERLINK("http://exon.niaid.nih.gov/transcriptome/Anopheles_sialome/links/netoglyc/anoste_hyp15-netoglyc.txt","0")</f>
        <v>0</v>
      </c>
      <c r="X791">
        <v>16.7</v>
      </c>
      <c r="Y791">
        <v>11.5</v>
      </c>
      <c r="Z791">
        <v>3.8</v>
      </c>
      <c r="AA791" t="s">
        <v>654</v>
      </c>
      <c r="AB791" t="s">
        <v>128</v>
      </c>
      <c r="AC791" s="2" t="str">
        <f>HYPERLINK("http://exon.niaid.nih.gov/transcriptome/Anopheles_sialome/links/DIPTERA/anoste_hyp15-DIPTERA.txt","5 kDa salivary peptide hyp15")</f>
        <v>5 kDa salivary peptide hyp15</v>
      </c>
      <c r="AD791" t="str">
        <f>HYPERLINK("http://www.ncbi.nlm.nih.gov/sutils/blink.cgi?pid=27372913","4E-038")</f>
        <v>4E-038</v>
      </c>
      <c r="AE791" t="str">
        <f>HYPERLINK("http://www.ncbi.nlm.nih.gov/protein/27372913","gi|27372913")</f>
        <v>gi|27372913</v>
      </c>
      <c r="AF791">
        <v>100</v>
      </c>
      <c r="AG791">
        <v>100</v>
      </c>
      <c r="AH791">
        <v>100</v>
      </c>
      <c r="AI791" t="s">
        <v>2271</v>
      </c>
      <c r="AJ791" s="2" t="s">
        <v>128</v>
      </c>
      <c r="AK791" t="s">
        <v>128</v>
      </c>
      <c r="AL791" t="s">
        <v>128</v>
      </c>
      <c r="AM791" t="s">
        <v>128</v>
      </c>
      <c r="AN791" t="s">
        <v>128</v>
      </c>
      <c r="AO791" t="s">
        <v>128</v>
      </c>
      <c r="AP791" t="s">
        <v>128</v>
      </c>
      <c r="AQ791" s="2" t="str">
        <f>HYPERLINK("http://exon.niaid.nih.gov/transcriptome/Anopheles_sialome/links/NR-LIGHT/anoste_hyp15-NR-LIGHT.txt","5 kDa salivary peptide hyp15")</f>
        <v>5 kDa salivary peptide hyp15</v>
      </c>
      <c r="AR791" t="str">
        <f>HYPERLINK("http://www.ncbi.nlm.nih.gov/sutils/blink.cgi?pid=27372913","1E-037")</f>
        <v>1E-037</v>
      </c>
      <c r="AS791" t="str">
        <f>HYPERLINK("http://www.ncbi.nlm.nih.gov/protein/27372913","gi|27372913")</f>
        <v>gi|27372913</v>
      </c>
      <c r="AT791">
        <v>100</v>
      </c>
      <c r="AU791">
        <v>100</v>
      </c>
      <c r="AV791">
        <v>100</v>
      </c>
      <c r="AW791" t="s">
        <v>2271</v>
      </c>
      <c r="AX791" s="2" t="str">
        <f>HYPERLINK("http://exon.niaid.nih.gov/transcriptome/Anopheles_sialome/links/CDD/anoste_hyp15-CDD.txt","SLC5sbd_SGLT5")</f>
        <v>SLC5sbd_SGLT5</v>
      </c>
      <c r="AY791" t="str">
        <f>HYPERLINK("http://www.ncbi.nlm.nih.gov/Structure/cdd/cddsrv.cgi?uid=cd11489&amp;version=v4.0","1.4")</f>
        <v>1.4</v>
      </c>
      <c r="AZ791" t="s">
        <v>2700</v>
      </c>
      <c r="BA791" s="2" t="str">
        <f>HYPERLINK("http://exon.niaid.nih.gov/transcriptome/Anopheles_sialome/links/KOG/anoste_hyp15-KOG.txt","Glutamate synthase")</f>
        <v>Glutamate synthase</v>
      </c>
      <c r="BB791" t="str">
        <f>HYPERLINK("http://www.ncbi.nlm.nih.gov/Structure/cdd/cddsrv.cgi?uid=KOG0399","1.8")</f>
        <v>1.8</v>
      </c>
      <c r="BC791" t="s">
        <v>2287</v>
      </c>
      <c r="BD791" t="str">
        <f>HYPERLINK("http://exon.niaid.nih.gov/transcriptome/Anopheles_sialome/links/KOG/anoste_hyp15-KOG.txt","KOG0399")</f>
        <v>KOG0399</v>
      </c>
      <c r="BE791" t="str">
        <f>HYPERLINK("http://exon.niaid.nih.gov/transcriptome/Anopheles_sialome/links/PFAM/anoste_hyp15-PFAM.txt","DUF3866")</f>
        <v>DUF3866</v>
      </c>
      <c r="BF791" t="str">
        <f>HYPERLINK("http://pfam.sanger.ac.uk/family?acc=PF12982","0.47")</f>
        <v>0.47</v>
      </c>
      <c r="BG791" s="2" t="str">
        <f>HYPERLINK("http://exon.niaid.nih.gov/transcriptome/Anopheles_sialome/links/SMART/anoste_hyp15-SMART.txt","CPSF73-100_C")</f>
        <v>CPSF73-100_C</v>
      </c>
      <c r="BH791" t="str">
        <f>HYPERLINK("http://smart.embl-heidelberg.de/smart/do_annotation.pl?DOMAIN=CPSF73-100_C&amp;BLAST=DUMMY","1.2")</f>
        <v>1.2</v>
      </c>
      <c r="BI791" t="s">
        <v>128</v>
      </c>
      <c r="BJ791" s="2" t="s">
        <v>128</v>
      </c>
      <c r="BK791" t="s">
        <v>1423</v>
      </c>
      <c r="BL791">
        <f>HYPERLINK("http://exon.niaid.nih.gov/transcriptome/Anopheles_sialome/links/cluster-b/anopheline-sialome-cds-pep-larger-orf25-50SimCLU1.txt", 1)</f>
        <v>1</v>
      </c>
      <c r="BM791">
        <f>HYPERLINK("http://exon.niaid.nih.gov/transcriptome/Anopheles_sialome/links/cluster-b/anopheline-sialome-cds-pep-larger-orf25-50SimCLTL1.txt", 165)</f>
        <v>165</v>
      </c>
      <c r="BN791">
        <f>HYPERLINK("http://exon.niaid.nih.gov/transcriptome/Anopheles_sialome/links/cluster-b/anopheline-sialome-cds-pep-larger-orf30-50SimCLU1.txt", 1)</f>
        <v>1</v>
      </c>
      <c r="BO791">
        <f>HYPERLINK("http://exon.niaid.nih.gov/transcriptome/Anopheles_sialome/links/cluster-b/anopheline-sialome-cds-pep-larger-orf30-50SimCLTL1.txt", 165)</f>
        <v>165</v>
      </c>
      <c r="BP791">
        <f>HYPERLINK("http://exon.niaid.nih.gov/transcriptome/Anopheles_sialome/links/cluster-b/anopheline-sialome-cds-pep-larger-orf35-50SimCLU4.txt", 4)</f>
        <v>4</v>
      </c>
      <c r="BQ791">
        <f>HYPERLINK("http://exon.niaid.nih.gov/transcriptome/Anopheles_sialome/links/cluster-b/anopheline-sialome-cds-pep-larger-orf35-50SimCLTL4.txt", 76)</f>
        <v>76</v>
      </c>
      <c r="BR791">
        <f>HYPERLINK("http://exon.niaid.nih.gov/transcriptome/Anopheles_sialome/links/cluster-b/anopheline-sialome-cds-pep-larger-orf40-50SimCLU11.txt", 11)</f>
        <v>11</v>
      </c>
      <c r="BS791">
        <f>HYPERLINK("http://exon.niaid.nih.gov/transcriptome/Anopheles_sialome/links/cluster-b/anopheline-sialome-cds-pep-larger-orf40-50SimCLTL11.txt", 21)</f>
        <v>21</v>
      </c>
      <c r="BT791">
        <f>HYPERLINK("http://exon.niaid.nih.gov/transcriptome/Anopheles_sialome/links/cluster-b/anopheline-sialome-cds-pep-larger-orf45-50SimCLU11.txt", 11)</f>
        <v>11</v>
      </c>
      <c r="BU791">
        <f>HYPERLINK("http://exon.niaid.nih.gov/transcriptome/Anopheles_sialome/links/cluster-b/anopheline-sialome-cds-pep-larger-orf45-50SimCLTL11.txt", 21)</f>
        <v>21</v>
      </c>
      <c r="BV791">
        <f>HYPERLINK("http://exon.niaid.nih.gov/transcriptome/Anopheles_sialome/links/cluster-b/anopheline-sialome-cds-pep-larger-orf50-50SimCLU11.txt", 11)</f>
        <v>11</v>
      </c>
      <c r="BW791">
        <f>HYPERLINK("http://exon.niaid.nih.gov/transcriptome/Anopheles_sialome/links/cluster-b/anopheline-sialome-cds-pep-larger-orf50-50SimCLTL11.txt", 21)</f>
        <v>21</v>
      </c>
      <c r="BX791">
        <f>HYPERLINK("http://exon.niaid.nih.gov/transcriptome/Anopheles_sialome/links/cluster-b/anopheline-sialome-cds-pep-larger-orf55-50SimCLU12.txt", 12)</f>
        <v>12</v>
      </c>
      <c r="BY791">
        <f>HYPERLINK("http://exon.niaid.nih.gov/transcriptome/Anopheles_sialome/links/cluster-b/anopheline-sialome-cds-pep-larger-orf55-50SimCLTL12.txt", 21)</f>
        <v>21</v>
      </c>
      <c r="BZ791">
        <f>HYPERLINK("http://exon.niaid.nih.gov/transcriptome/Anopheles_sialome/links/cluster-b/anopheline-sialome-cds-pep-larger-orf60-50SimCLU10.txt", 10)</f>
        <v>10</v>
      </c>
      <c r="CA791">
        <f>HYPERLINK("http://exon.niaid.nih.gov/transcriptome/Anopheles_sialome/links/cluster-b/anopheline-sialome-cds-pep-larger-orf60-50SimCLTL10.txt", 21)</f>
        <v>21</v>
      </c>
      <c r="CB791">
        <f>HYPERLINK("http://exon.niaid.nih.gov/transcriptome/Anopheles_sialome/links/cluster-b/anopheline-sialome-cds-pep-larger-orf65-50SimCLU10.txt", 10)</f>
        <v>10</v>
      </c>
      <c r="CC791">
        <f>HYPERLINK("http://exon.niaid.nih.gov/transcriptome/Anopheles_sialome/links/cluster-b/anopheline-sialome-cds-pep-larger-orf65-50SimCLTL10.txt", 19)</f>
        <v>19</v>
      </c>
      <c r="CD791">
        <v>93</v>
      </c>
      <c r="CE791">
        <v>1</v>
      </c>
      <c r="CF791">
        <v>126</v>
      </c>
      <c r="CG791">
        <v>1</v>
      </c>
      <c r="CH791">
        <v>169</v>
      </c>
      <c r="CI791">
        <v>1</v>
      </c>
      <c r="CJ791">
        <v>218</v>
      </c>
      <c r="CK791">
        <v>1</v>
      </c>
      <c r="CL791">
        <v>264</v>
      </c>
      <c r="CM791">
        <v>1</v>
      </c>
      <c r="CN791">
        <v>294</v>
      </c>
      <c r="CO791">
        <v>1</v>
      </c>
    </row>
    <row r="792" spans="1:93">
      <c r="A792" s="2" t="str">
        <f>HYPERLINK("http://exon.niaid.nih.gov/transcriptome/Anopheles_sialome/links/cds/anodir_hyp15-cds.txt","anodir_hyp15")</f>
        <v>anodir_hyp15</v>
      </c>
      <c r="B792">
        <v>219</v>
      </c>
      <c r="C792" t="s">
        <v>287</v>
      </c>
      <c r="D792" t="s">
        <v>4</v>
      </c>
      <c r="E792" t="s">
        <v>5</v>
      </c>
      <c r="F792" t="s">
        <v>1</v>
      </c>
      <c r="G792" t="str">
        <f>HYPERLINK("http://exon.niaid.nih.gov/transcriptome/Anopheles_sialome/links/pep/anodir_hyp15-pep.txt","anodir_hyp15")</f>
        <v>anodir_hyp15</v>
      </c>
      <c r="H792">
        <v>72</v>
      </c>
      <c r="I792">
        <v>0</v>
      </c>
      <c r="J792" s="3" t="str">
        <f>HYPERLINK("http://exon.niaid.nih.gov/transcriptome/Anopheles_sialome/links/Sigp/anodir_hyp15-SigP.txt","SIG")</f>
        <v>SIG</v>
      </c>
      <c r="K792" t="s">
        <v>1313</v>
      </c>
      <c r="L792">
        <v>7.3380000000000001</v>
      </c>
      <c r="M792">
        <v>10.97</v>
      </c>
      <c r="N792">
        <v>4.12</v>
      </c>
      <c r="O792">
        <v>12.01</v>
      </c>
      <c r="P792" t="s">
        <v>1426</v>
      </c>
      <c r="Q792" s="3" t="str">
        <f>HYPERLINK("http://exon.niaid.nih.gov/transcriptome/Anopheles_sialome/links/tmhmm/anodir_hyp15-tmhmm.txt","1")</f>
        <v>1</v>
      </c>
      <c r="R792">
        <v>30.6</v>
      </c>
      <c r="S792">
        <v>13.9</v>
      </c>
      <c r="T792">
        <v>55.6</v>
      </c>
      <c r="U792" t="s">
        <v>128</v>
      </c>
      <c r="V792">
        <v>40</v>
      </c>
      <c r="W792" s="3" t="str">
        <f>HYPERLINK("http://exon.niaid.nih.gov/transcriptome/Anopheles_sialome/links/netoglyc/anodir_hyp15-netoglyc.txt","4")</f>
        <v>4</v>
      </c>
      <c r="X792">
        <v>16.7</v>
      </c>
      <c r="Y792">
        <v>12.5</v>
      </c>
      <c r="Z792">
        <v>8.3000000000000007</v>
      </c>
      <c r="AA792" t="s">
        <v>654</v>
      </c>
      <c r="AB792" t="s">
        <v>128</v>
      </c>
      <c r="AC792" s="2" t="str">
        <f>HYPERLINK("http://exon.niaid.nih.gov/transcriptome/Anopheles_sialome/links/DIPTERA/anodir_hyp15-DIPTERA.txt","hypothetical salivary protein 15")</f>
        <v>hypothetical salivary protein 15</v>
      </c>
      <c r="AD792" t="str">
        <f>HYPERLINK("http://www.ncbi.nlm.nih.gov/sutils/blink.cgi?pid=114864684","3E-014")</f>
        <v>3E-014</v>
      </c>
      <c r="AE792" t="str">
        <f>HYPERLINK("http://www.ncbi.nlm.nih.gov/protein/114864684","gi|114864684")</f>
        <v>gi|114864684</v>
      </c>
      <c r="AF792">
        <v>53</v>
      </c>
      <c r="AG792">
        <v>69</v>
      </c>
      <c r="AH792">
        <v>99</v>
      </c>
      <c r="AI792" t="s">
        <v>2266</v>
      </c>
      <c r="AJ792" s="2" t="s">
        <v>128</v>
      </c>
      <c r="AK792" t="s">
        <v>128</v>
      </c>
      <c r="AL792" t="s">
        <v>128</v>
      </c>
      <c r="AM792" t="s">
        <v>128</v>
      </c>
      <c r="AN792" t="s">
        <v>128</v>
      </c>
      <c r="AO792" t="s">
        <v>128</v>
      </c>
      <c r="AP792" t="s">
        <v>128</v>
      </c>
      <c r="AQ792" s="2" t="str">
        <f>HYPERLINK("http://exon.niaid.nih.gov/transcriptome/Anopheles_sialome/links/NR-LIGHT/anodir_hyp15-NR-LIGHT.txt","hypothetical salivary protein 15")</f>
        <v>hypothetical salivary protein 15</v>
      </c>
      <c r="AR792" t="str">
        <f>HYPERLINK("http://www.ncbi.nlm.nih.gov/sutils/blink.cgi?pid=114864684","9E-014")</f>
        <v>9E-014</v>
      </c>
      <c r="AS792" t="str">
        <f>HYPERLINK("http://www.ncbi.nlm.nih.gov/protein/114864684","gi|114864684")</f>
        <v>gi|114864684</v>
      </c>
      <c r="AT792">
        <v>53</v>
      </c>
      <c r="AU792">
        <v>69</v>
      </c>
      <c r="AV792">
        <v>99</v>
      </c>
      <c r="AW792" t="s">
        <v>2266</v>
      </c>
      <c r="AX792" s="2" t="str">
        <f>HYPERLINK("http://exon.niaid.nih.gov/transcriptome/Anopheles_sialome/links/CDD/anodir_hyp15-CDD.txt","Fig1")</f>
        <v>Fig1</v>
      </c>
      <c r="AY792" t="str">
        <f>HYPERLINK("http://www.ncbi.nlm.nih.gov/Structure/cdd/cddsrv.cgi?uid=pfam12351&amp;version=v4.0","0.14")</f>
        <v>0.14</v>
      </c>
      <c r="AZ792" t="s">
        <v>2701</v>
      </c>
      <c r="BA792" s="2" t="str">
        <f>HYPERLINK("http://exon.niaid.nih.gov/transcriptome/Anopheles_sialome/links/KOG/anodir_hyp15-KOG.txt","Serine/threonine protein kinase, contains leucine zipper domain")</f>
        <v>Serine/threonine protein kinase, contains leucine zipper domain</v>
      </c>
      <c r="BB792" t="str">
        <f>HYPERLINK("http://www.ncbi.nlm.nih.gov/Structure/cdd/cddsrv.cgi?uid=KOG4721","0.099")</f>
        <v>0.099</v>
      </c>
      <c r="BC792" t="s">
        <v>2292</v>
      </c>
      <c r="BD792" t="str">
        <f>HYPERLINK("http://exon.niaid.nih.gov/transcriptome/Anopheles_sialome/links/KOG/anodir_hyp15-KOG.txt","KOG4721")</f>
        <v>KOG4721</v>
      </c>
      <c r="BE792" t="str">
        <f>HYPERLINK("http://exon.niaid.nih.gov/transcriptome/Anopheles_sialome/links/PFAM/anodir_hyp15-PFAM.txt","Fig1")</f>
        <v>Fig1</v>
      </c>
      <c r="BF792" t="str">
        <f>HYPERLINK("http://pfam.sanger.ac.uk/family?acc=PF12351","0.030")</f>
        <v>0.030</v>
      </c>
      <c r="BG792" s="2" t="str">
        <f>HYPERLINK("http://exon.niaid.nih.gov/transcriptome/Anopheles_sialome/links/SMART/anodir_hyp15-SMART.txt","OSTEO")</f>
        <v>OSTEO</v>
      </c>
      <c r="BH792" t="str">
        <f>HYPERLINK("http://smart.embl-heidelberg.de/smart/do_annotation.pl?DOMAIN=OSTEO&amp;BLAST=DUMMY","0.77")</f>
        <v>0.77</v>
      </c>
      <c r="BI792" t="s">
        <v>128</v>
      </c>
      <c r="BJ792" s="2" t="s">
        <v>128</v>
      </c>
      <c r="BK792" t="s">
        <v>1425</v>
      </c>
      <c r="BL792">
        <f>HYPERLINK("http://exon.niaid.nih.gov/transcriptome/Anopheles_sialome/links/cluster-b/anopheline-sialome-cds-pep-larger-orf25-50SimCLU1.txt", 1)</f>
        <v>1</v>
      </c>
      <c r="BM792">
        <f>HYPERLINK("http://exon.niaid.nih.gov/transcriptome/Anopheles_sialome/links/cluster-b/anopheline-sialome-cds-pep-larger-orf25-50SimCLTL1.txt", 165)</f>
        <v>165</v>
      </c>
      <c r="BN792">
        <f>HYPERLINK("http://exon.niaid.nih.gov/transcriptome/Anopheles_sialome/links/cluster-b/anopheline-sialome-cds-pep-larger-orf30-50SimCLU1.txt", 1)</f>
        <v>1</v>
      </c>
      <c r="BO792">
        <f>HYPERLINK("http://exon.niaid.nih.gov/transcriptome/Anopheles_sialome/links/cluster-b/anopheline-sialome-cds-pep-larger-orf30-50SimCLTL1.txt", 165)</f>
        <v>165</v>
      </c>
      <c r="BP792">
        <f>HYPERLINK("http://exon.niaid.nih.gov/transcriptome/Anopheles_sialome/links/cluster-b/anopheline-sialome-cds-pep-larger-orf35-50SimCLU4.txt", 4)</f>
        <v>4</v>
      </c>
      <c r="BQ792">
        <f>HYPERLINK("http://exon.niaid.nih.gov/transcriptome/Anopheles_sialome/links/cluster-b/anopheline-sialome-cds-pep-larger-orf35-50SimCLTL4.txt", 76)</f>
        <v>76</v>
      </c>
      <c r="BR792">
        <f>HYPERLINK("http://exon.niaid.nih.gov/transcriptome/Anopheles_sialome/links/cluster-b/anopheline-sialome-cds-pep-larger-orf40-50SimCLU11.txt", 11)</f>
        <v>11</v>
      </c>
      <c r="BS792">
        <f>HYPERLINK("http://exon.niaid.nih.gov/transcriptome/Anopheles_sialome/links/cluster-b/anopheline-sialome-cds-pep-larger-orf40-50SimCLTL11.txt", 21)</f>
        <v>21</v>
      </c>
      <c r="BT792">
        <f>HYPERLINK("http://exon.niaid.nih.gov/transcriptome/Anopheles_sialome/links/cluster-b/anopheline-sialome-cds-pep-larger-orf45-50SimCLU11.txt", 11)</f>
        <v>11</v>
      </c>
      <c r="BU792">
        <f>HYPERLINK("http://exon.niaid.nih.gov/transcriptome/Anopheles_sialome/links/cluster-b/anopheline-sialome-cds-pep-larger-orf45-50SimCLTL11.txt", 21)</f>
        <v>21</v>
      </c>
      <c r="BV792">
        <f>HYPERLINK("http://exon.niaid.nih.gov/transcriptome/Anopheles_sialome/links/cluster-b/anopheline-sialome-cds-pep-larger-orf50-50SimCLU11.txt", 11)</f>
        <v>11</v>
      </c>
      <c r="BW792">
        <f>HYPERLINK("http://exon.niaid.nih.gov/transcriptome/Anopheles_sialome/links/cluster-b/anopheline-sialome-cds-pep-larger-orf50-50SimCLTL11.txt", 21)</f>
        <v>21</v>
      </c>
      <c r="BX792">
        <f>HYPERLINK("http://exon.niaid.nih.gov/transcriptome/Anopheles_sialome/links/cluster-b/anopheline-sialome-cds-pep-larger-orf55-50SimCLU12.txt", 12)</f>
        <v>12</v>
      </c>
      <c r="BY792">
        <f>HYPERLINK("http://exon.niaid.nih.gov/transcriptome/Anopheles_sialome/links/cluster-b/anopheline-sialome-cds-pep-larger-orf55-50SimCLTL12.txt", 21)</f>
        <v>21</v>
      </c>
      <c r="BZ792">
        <f>HYPERLINK("http://exon.niaid.nih.gov/transcriptome/Anopheles_sialome/links/cluster-b/anopheline-sialome-cds-pep-larger-orf60-50SimCLU10.txt", 10)</f>
        <v>10</v>
      </c>
      <c r="CA792">
        <f>HYPERLINK("http://exon.niaid.nih.gov/transcriptome/Anopheles_sialome/links/cluster-b/anopheline-sialome-cds-pep-larger-orf60-50SimCLTL10.txt", 21)</f>
        <v>21</v>
      </c>
      <c r="CB792">
        <f>HYPERLINK("http://exon.niaid.nih.gov/transcriptome/Anopheles_sialome/links/cluster-b/anopheline-sialome-cds-pep-larger-orf65-50SimCLU10.txt", 10)</f>
        <v>10</v>
      </c>
      <c r="CC792">
        <f>HYPERLINK("http://exon.niaid.nih.gov/transcriptome/Anopheles_sialome/links/cluster-b/anopheline-sialome-cds-pep-larger-orf65-50SimCLTL10.txt", 19)</f>
        <v>19</v>
      </c>
      <c r="CD792">
        <v>94</v>
      </c>
      <c r="CE792">
        <v>1</v>
      </c>
      <c r="CF792">
        <v>127</v>
      </c>
      <c r="CG792">
        <v>1</v>
      </c>
      <c r="CH792">
        <v>170</v>
      </c>
      <c r="CI792">
        <v>1</v>
      </c>
      <c r="CJ792">
        <v>219</v>
      </c>
      <c r="CK792">
        <v>1</v>
      </c>
      <c r="CL792">
        <v>265</v>
      </c>
      <c r="CM792">
        <v>1</v>
      </c>
      <c r="CN792">
        <v>295</v>
      </c>
      <c r="CO792">
        <v>1</v>
      </c>
    </row>
    <row r="793" spans="1:93">
      <c r="A793" s="2" t="str">
        <f>HYPERLINK("http://exon.niaid.nih.gov/transcriptome/Anopheles_sialome/links/cds/anoatro_hyp15-cds.txt","anoatro_hyp15")</f>
        <v>anoatro_hyp15</v>
      </c>
      <c r="B793">
        <v>240</v>
      </c>
      <c r="C793" t="s">
        <v>288</v>
      </c>
      <c r="D793" t="s">
        <v>4</v>
      </c>
      <c r="E793" t="s">
        <v>5</v>
      </c>
      <c r="F793" t="s">
        <v>1</v>
      </c>
      <c r="G793" t="str">
        <f>HYPERLINK("http://exon.niaid.nih.gov/transcriptome/Anopheles_sialome/links/pep/anoatro_hyp15-pep.txt","anoatro_hyp15")</f>
        <v>anoatro_hyp15</v>
      </c>
      <c r="H793">
        <v>79</v>
      </c>
      <c r="I793">
        <v>1</v>
      </c>
      <c r="J793" s="3" t="str">
        <f>HYPERLINK("http://exon.niaid.nih.gov/transcriptome/Anopheles_sialome/links/Sigp/anoatro_hyp15-SigP.txt","SIG")</f>
        <v>SIG</v>
      </c>
      <c r="K793" t="s">
        <v>949</v>
      </c>
      <c r="L793">
        <v>8.0670000000000002</v>
      </c>
      <c r="M793">
        <v>11.01</v>
      </c>
      <c r="N793">
        <v>4.9710000000000001</v>
      </c>
      <c r="O793">
        <v>10.57</v>
      </c>
      <c r="P793" t="s">
        <v>1428</v>
      </c>
      <c r="Q793" s="3">
        <v>0</v>
      </c>
      <c r="R793" t="s">
        <v>128</v>
      </c>
      <c r="S793" t="s">
        <v>128</v>
      </c>
      <c r="T793" t="s">
        <v>128</v>
      </c>
      <c r="U793" t="s">
        <v>128</v>
      </c>
      <c r="V793" t="s">
        <v>128</v>
      </c>
      <c r="W793" s="3" t="str">
        <f>HYPERLINK("http://exon.niaid.nih.gov/transcriptome/Anopheles_sialome/links/netoglyc/anoatro_hyp15-netoglyc.txt","13")</f>
        <v>13</v>
      </c>
      <c r="X793">
        <v>25.3</v>
      </c>
      <c r="Y793">
        <v>10.1</v>
      </c>
      <c r="Z793">
        <v>5.0999999999999996</v>
      </c>
      <c r="AA793" t="s">
        <v>654</v>
      </c>
      <c r="AB793" t="s">
        <v>128</v>
      </c>
      <c r="AC793" s="2" t="str">
        <f>HYPERLINK("http://exon.niaid.nih.gov/transcriptome/Anopheles_sialome/links/DIPTERA/anoatro_hyp15-DIPTERA.txt","putative salivary protein 15")</f>
        <v>putative salivary protein 15</v>
      </c>
      <c r="AD793" t="str">
        <f>HYPERLINK("http://www.ncbi.nlm.nih.gov/sutils/blink.cgi?pid=668461466","1E-017")</f>
        <v>1E-017</v>
      </c>
      <c r="AE793" t="str">
        <f>HYPERLINK("http://www.ncbi.nlm.nih.gov/protein/668461466","gi|668461466")</f>
        <v>gi|668461466</v>
      </c>
      <c r="AF793">
        <v>66</v>
      </c>
      <c r="AG793">
        <v>85</v>
      </c>
      <c r="AH793">
        <v>100</v>
      </c>
      <c r="AI793" t="s">
        <v>2277</v>
      </c>
      <c r="AJ793" s="2" t="s">
        <v>128</v>
      </c>
      <c r="AK793" t="s">
        <v>128</v>
      </c>
      <c r="AL793" t="s">
        <v>128</v>
      </c>
      <c r="AM793" t="s">
        <v>128</v>
      </c>
      <c r="AN793" t="s">
        <v>128</v>
      </c>
      <c r="AO793" t="s">
        <v>128</v>
      </c>
      <c r="AP793" t="s">
        <v>128</v>
      </c>
      <c r="AQ793" s="2" t="str">
        <f>HYPERLINK("http://exon.niaid.nih.gov/transcriptome/Anopheles_sialome/links/NR-LIGHT/anoatro_hyp15-NR-LIGHT.txt","putative salivary protein 15")</f>
        <v>putative salivary protein 15</v>
      </c>
      <c r="AR793" t="str">
        <f>HYPERLINK("http://www.ncbi.nlm.nih.gov/sutils/blink.cgi?pid=668461466","3E-017")</f>
        <v>3E-017</v>
      </c>
      <c r="AS793" t="str">
        <f>HYPERLINK("http://www.ncbi.nlm.nih.gov/protein/668461466","gi|668461466")</f>
        <v>gi|668461466</v>
      </c>
      <c r="AT793">
        <v>66</v>
      </c>
      <c r="AU793">
        <v>85</v>
      </c>
      <c r="AV793">
        <v>100</v>
      </c>
      <c r="AW793" t="s">
        <v>2277</v>
      </c>
      <c r="AX793" s="2" t="str">
        <f>HYPERLINK("http://exon.niaid.nih.gov/transcriptome/Anopheles_sialome/links/CDD/anoatro_hyp15-CDD.txt","PRK10386")</f>
        <v>PRK10386</v>
      </c>
      <c r="AY793" t="str">
        <f>HYPERLINK("http://www.ncbi.nlm.nih.gov/Structure/cdd/cddsrv.cgi?uid=PRK10386&amp;version=v4.0","0.74")</f>
        <v>0.74</v>
      </c>
      <c r="AZ793" t="s">
        <v>2702</v>
      </c>
      <c r="BA793" s="2" t="str">
        <f>HYPERLINK("http://exon.niaid.nih.gov/transcriptome/Anopheles_sialome/links/KOG/anoatro_hyp15-KOG.txt","PHD finger protein BR140/LIN-49")</f>
        <v>PHD finger protein BR140/LIN-49</v>
      </c>
      <c r="BB793" t="str">
        <f>HYPERLINK("http://www.ncbi.nlm.nih.gov/Structure/cdd/cddsrv.cgi?uid=KOG0955","0.32")</f>
        <v>0.32</v>
      </c>
      <c r="BC793" t="s">
        <v>2310</v>
      </c>
      <c r="BD793" t="str">
        <f>HYPERLINK("http://exon.niaid.nih.gov/transcriptome/Anopheles_sialome/links/KOG/anoatro_hyp15-KOG.txt","KOG0955")</f>
        <v>KOG0955</v>
      </c>
      <c r="BE793" t="str">
        <f>HYPERLINK("http://exon.niaid.nih.gov/transcriptome/Anopheles_sialome/links/PFAM/anoatro_hyp15-PFAM.txt","RecQ5")</f>
        <v>RecQ5</v>
      </c>
      <c r="BF793" t="str">
        <f>HYPERLINK("http://pfam.sanger.ac.uk/family?acc=PF06959","3.0")</f>
        <v>3.0</v>
      </c>
      <c r="BG793" s="2" t="str">
        <f>HYPERLINK("http://exon.niaid.nih.gov/transcriptome/Anopheles_sialome/links/SMART/anoatro_hyp15-SMART.txt","UBA_e1_C")</f>
        <v>UBA_e1_C</v>
      </c>
      <c r="BH793" t="str">
        <f>HYPERLINK("http://smart.embl-heidelberg.de/smart/do_annotation.pl?DOMAIN=UBA_e1_C&amp;BLAST=DUMMY","1.6")</f>
        <v>1.6</v>
      </c>
      <c r="BI793" t="s">
        <v>128</v>
      </c>
      <c r="BJ793" s="2" t="s">
        <v>128</v>
      </c>
      <c r="BK793" t="s">
        <v>1427</v>
      </c>
      <c r="BL793">
        <f>HYPERLINK("http://exon.niaid.nih.gov/transcriptome/Anopheles_sialome/links/cluster-b/anopheline-sialome-cds-pep-larger-orf25-50SimCLU1.txt", 1)</f>
        <v>1</v>
      </c>
      <c r="BM793">
        <f>HYPERLINK("http://exon.niaid.nih.gov/transcriptome/Anopheles_sialome/links/cluster-b/anopheline-sialome-cds-pep-larger-orf25-50SimCLTL1.txt", 165)</f>
        <v>165</v>
      </c>
      <c r="BN793">
        <f>HYPERLINK("http://exon.niaid.nih.gov/transcriptome/Anopheles_sialome/links/cluster-b/anopheline-sialome-cds-pep-larger-orf30-50SimCLU1.txt", 1)</f>
        <v>1</v>
      </c>
      <c r="BO793">
        <f>HYPERLINK("http://exon.niaid.nih.gov/transcriptome/Anopheles_sialome/links/cluster-b/anopheline-sialome-cds-pep-larger-orf30-50SimCLTL1.txt", 165)</f>
        <v>165</v>
      </c>
      <c r="BP793">
        <f>HYPERLINK("http://exon.niaid.nih.gov/transcriptome/Anopheles_sialome/links/cluster-b/anopheline-sialome-cds-pep-larger-orf35-50SimCLU4.txt", 4)</f>
        <v>4</v>
      </c>
      <c r="BQ793">
        <f>HYPERLINK("http://exon.niaid.nih.gov/transcriptome/Anopheles_sialome/links/cluster-b/anopheline-sialome-cds-pep-larger-orf35-50SimCLTL4.txt", 76)</f>
        <v>76</v>
      </c>
      <c r="BR793">
        <f>HYPERLINK("http://exon.niaid.nih.gov/transcriptome/Anopheles_sialome/links/cluster-b/anopheline-sialome-cds-pep-larger-orf40-50SimCLU11.txt", 11)</f>
        <v>11</v>
      </c>
      <c r="BS793">
        <f>HYPERLINK("http://exon.niaid.nih.gov/transcriptome/Anopheles_sialome/links/cluster-b/anopheline-sialome-cds-pep-larger-orf40-50SimCLTL11.txt", 21)</f>
        <v>21</v>
      </c>
      <c r="BT793">
        <f>HYPERLINK("http://exon.niaid.nih.gov/transcriptome/Anopheles_sialome/links/cluster-b/anopheline-sialome-cds-pep-larger-orf45-50SimCLU11.txt", 11)</f>
        <v>11</v>
      </c>
      <c r="BU793">
        <f>HYPERLINK("http://exon.niaid.nih.gov/transcriptome/Anopheles_sialome/links/cluster-b/anopheline-sialome-cds-pep-larger-orf45-50SimCLTL11.txt", 21)</f>
        <v>21</v>
      </c>
      <c r="BV793">
        <f>HYPERLINK("http://exon.niaid.nih.gov/transcriptome/Anopheles_sialome/links/cluster-b/anopheline-sialome-cds-pep-larger-orf50-50SimCLU11.txt", 11)</f>
        <v>11</v>
      </c>
      <c r="BW793">
        <f>HYPERLINK("http://exon.niaid.nih.gov/transcriptome/Anopheles_sialome/links/cluster-b/anopheline-sialome-cds-pep-larger-orf50-50SimCLTL11.txt", 21)</f>
        <v>21</v>
      </c>
      <c r="BX793">
        <f>HYPERLINK("http://exon.niaid.nih.gov/transcriptome/Anopheles_sialome/links/cluster-b/anopheline-sialome-cds-pep-larger-orf55-50SimCLU12.txt", 12)</f>
        <v>12</v>
      </c>
      <c r="BY793">
        <f>HYPERLINK("http://exon.niaid.nih.gov/transcriptome/Anopheles_sialome/links/cluster-b/anopheline-sialome-cds-pep-larger-orf55-50SimCLTL12.txt", 21)</f>
        <v>21</v>
      </c>
      <c r="BZ793">
        <f>HYPERLINK("http://exon.niaid.nih.gov/transcriptome/Anopheles_sialome/links/cluster-b/anopheline-sialome-cds-pep-larger-orf60-50SimCLU10.txt", 10)</f>
        <v>10</v>
      </c>
      <c r="CA793">
        <f>HYPERLINK("http://exon.niaid.nih.gov/transcriptome/Anopheles_sialome/links/cluster-b/anopheline-sialome-cds-pep-larger-orf60-50SimCLTL10.txt", 21)</f>
        <v>21</v>
      </c>
      <c r="CB793">
        <f>HYPERLINK("http://exon.niaid.nih.gov/transcriptome/Anopheles_sialome/links/cluster-b/anopheline-sialome-cds-pep-larger-orf65-50SimCLU10.txt", 10)</f>
        <v>10</v>
      </c>
      <c r="CC793">
        <f>HYPERLINK("http://exon.niaid.nih.gov/transcriptome/Anopheles_sialome/links/cluster-b/anopheline-sialome-cds-pep-larger-orf65-50SimCLTL10.txt", 19)</f>
        <v>19</v>
      </c>
      <c r="CD793">
        <f>HYPERLINK("http://exon.niaid.nih.gov/transcriptome/Anopheles_sialome/links/cluster-b/anopheline-sialome-cds-pep-larger-orf70-50SimCLU19.txt", 19)</f>
        <v>19</v>
      </c>
      <c r="CE793">
        <f>HYPERLINK("http://exon.niaid.nih.gov/transcriptome/Anopheles_sialome/links/cluster-b/anopheline-sialome-cds-pep-larger-orf70-50SimCLTL19.txt", 17)</f>
        <v>17</v>
      </c>
      <c r="CF793">
        <f>HYPERLINK("http://exon.niaid.nih.gov/transcriptome/Anopheles_sialome/links/cluster-b/anopheline-sialome-cds-pep-larger-orf75-50SimCLU52.txt", 52)</f>
        <v>52</v>
      </c>
      <c r="CG793">
        <f>HYPERLINK("http://exon.niaid.nih.gov/transcriptome/Anopheles_sialome/links/cluster-b/anopheline-sialome-cds-pep-larger-orf75-50SimCLTL52.txt", 4)</f>
        <v>4</v>
      </c>
      <c r="CH793">
        <v>171</v>
      </c>
      <c r="CI793">
        <v>1</v>
      </c>
      <c r="CJ793">
        <v>220</v>
      </c>
      <c r="CK793">
        <v>1</v>
      </c>
      <c r="CL793">
        <v>266</v>
      </c>
      <c r="CM793">
        <v>1</v>
      </c>
      <c r="CN793">
        <v>296</v>
      </c>
      <c r="CO793">
        <v>1</v>
      </c>
    </row>
    <row r="794" spans="1:93">
      <c r="A794" s="2" t="str">
        <f>HYPERLINK("http://exon.niaid.nih.gov/transcriptome/Anopheles_sialome/links/cds/anosin_hyp15-cds.txt","anosin_hyp15")</f>
        <v>anosin_hyp15</v>
      </c>
      <c r="B794">
        <v>231</v>
      </c>
      <c r="C794" t="s">
        <v>289</v>
      </c>
      <c r="D794" t="s">
        <v>4</v>
      </c>
      <c r="E794" t="s">
        <v>5</v>
      </c>
      <c r="F794" t="s">
        <v>1</v>
      </c>
      <c r="G794" t="str">
        <f>HYPERLINK("http://exon.niaid.nih.gov/transcriptome/Anopheles_sialome/links/pep/anosin_hyp15-pep.txt","anosin_hyp15")</f>
        <v>anosin_hyp15</v>
      </c>
      <c r="H794">
        <v>76</v>
      </c>
      <c r="I794">
        <v>0</v>
      </c>
      <c r="J794" s="3" t="str">
        <f>HYPERLINK("http://exon.niaid.nih.gov/transcriptome/Anopheles_sialome/links/Sigp/anosin_hyp15-SigP.txt","SIG")</f>
        <v>SIG</v>
      </c>
      <c r="K794" t="s">
        <v>834</v>
      </c>
      <c r="L794">
        <v>7.524</v>
      </c>
      <c r="M794">
        <v>10.74</v>
      </c>
      <c r="N794">
        <v>4.7169999999999996</v>
      </c>
      <c r="O794">
        <v>12.04</v>
      </c>
      <c r="P794" t="s">
        <v>1430</v>
      </c>
      <c r="Q794" s="3" t="str">
        <f>HYPERLINK("http://exon.niaid.nih.gov/transcriptome/Anopheles_sialome/links/tmhmm/anosin_hyp15-tmhmm.txt","1")</f>
        <v>1</v>
      </c>
      <c r="R794">
        <v>25</v>
      </c>
      <c r="S794">
        <v>65.8</v>
      </c>
      <c r="T794">
        <v>9.1999999999999993</v>
      </c>
      <c r="U794" t="s">
        <v>128</v>
      </c>
      <c r="V794">
        <v>50</v>
      </c>
      <c r="W794" s="3" t="str">
        <f>HYPERLINK("http://exon.niaid.nih.gov/transcriptome/Anopheles_sialome/links/netoglyc/anosin_hyp15-netoglyc.txt","5")</f>
        <v>5</v>
      </c>
      <c r="X794">
        <v>15.8</v>
      </c>
      <c r="Y794">
        <v>14.5</v>
      </c>
      <c r="Z794">
        <v>6.6</v>
      </c>
      <c r="AA794" t="s">
        <v>654</v>
      </c>
      <c r="AB794" t="s">
        <v>128</v>
      </c>
      <c r="AC794" s="2" t="str">
        <f>HYPERLINK("http://exon.niaid.nih.gov/transcriptome/Anopheles_sialome/links/DIPTERA/anosin_hyp15-DIPTERA.txt","putative salivary protein 15")</f>
        <v>putative salivary protein 15</v>
      </c>
      <c r="AD794" t="str">
        <f>HYPERLINK("http://www.ncbi.nlm.nih.gov/sutils/blink.cgi?pid=668461466","4E-032")</f>
        <v>4E-032</v>
      </c>
      <c r="AE794" t="str">
        <f>HYPERLINK("http://www.ncbi.nlm.nih.gov/protein/668461466","gi|668461466")</f>
        <v>gi|668461466</v>
      </c>
      <c r="AF794">
        <v>98</v>
      </c>
      <c r="AG794">
        <v>100</v>
      </c>
      <c r="AH794">
        <v>100</v>
      </c>
      <c r="AI794" t="s">
        <v>2277</v>
      </c>
      <c r="AJ794" s="2" t="s">
        <v>128</v>
      </c>
      <c r="AK794" t="s">
        <v>128</v>
      </c>
      <c r="AL794" t="s">
        <v>128</v>
      </c>
      <c r="AM794" t="s">
        <v>128</v>
      </c>
      <c r="AN794" t="s">
        <v>128</v>
      </c>
      <c r="AO794" t="s">
        <v>128</v>
      </c>
      <c r="AP794" t="s">
        <v>128</v>
      </c>
      <c r="AQ794" s="2" t="str">
        <f>HYPERLINK("http://exon.niaid.nih.gov/transcriptome/Anopheles_sialome/links/NR-LIGHT/anosin_hyp15-NR-LIGHT.txt","putative salivary protein 15")</f>
        <v>putative salivary protein 15</v>
      </c>
      <c r="AR794" t="str">
        <f>HYPERLINK("http://www.ncbi.nlm.nih.gov/sutils/blink.cgi?pid=668461466","1E-031")</f>
        <v>1E-031</v>
      </c>
      <c r="AS794" t="str">
        <f>HYPERLINK("http://www.ncbi.nlm.nih.gov/protein/668461466","gi|668461466")</f>
        <v>gi|668461466</v>
      </c>
      <c r="AT794">
        <v>98</v>
      </c>
      <c r="AU794">
        <v>100</v>
      </c>
      <c r="AV794">
        <v>100</v>
      </c>
      <c r="AW794" t="s">
        <v>2277</v>
      </c>
      <c r="AX794" s="2" t="str">
        <f>HYPERLINK("http://exon.niaid.nih.gov/transcriptome/Anopheles_sialome/links/CDD/anosin_hyp15-CDD.txt","mrcA")</f>
        <v>mrcA</v>
      </c>
      <c r="AY794" t="str">
        <f>HYPERLINK("http://www.ncbi.nlm.nih.gov/Structure/cdd/cddsrv.cgi?uid=PRK11636&amp;version=v4.0","0.056")</f>
        <v>0.056</v>
      </c>
      <c r="AZ794" t="s">
        <v>2703</v>
      </c>
      <c r="BA794" s="2" t="str">
        <f>HYPERLINK("http://exon.niaid.nih.gov/transcriptome/Anopheles_sialome/links/KOG/anosin_hyp15-KOG.txt","Hsp27-ERE-TATA-binding protein/Scaffold attachment factor (SAF-B)")</f>
        <v>Hsp27-ERE-TATA-binding protein/Scaffold attachment factor (SAF-B)</v>
      </c>
      <c r="BB794" t="str">
        <f>HYPERLINK("http://www.ncbi.nlm.nih.gov/Structure/cdd/cddsrv.cgi?uid=KOG4661","0.74")</f>
        <v>0.74</v>
      </c>
      <c r="BC794" t="s">
        <v>2262</v>
      </c>
      <c r="BD794" t="str">
        <f>HYPERLINK("http://exon.niaid.nih.gov/transcriptome/Anopheles_sialome/links/KOG/anosin_hyp15-KOG.txt","KOG4661")</f>
        <v>KOG4661</v>
      </c>
      <c r="BE794" t="str">
        <f>HYPERLINK("http://exon.niaid.nih.gov/transcriptome/Anopheles_sialome/links/PFAM/anosin_hyp15-PFAM.txt","DUF4179")</f>
        <v>DUF4179</v>
      </c>
      <c r="BF794" t="str">
        <f>HYPERLINK("http://pfam.sanger.ac.uk/family?acc=PF13786","0.13")</f>
        <v>0.13</v>
      </c>
      <c r="BG794" s="2" t="str">
        <f>HYPERLINK("http://exon.niaid.nih.gov/transcriptome/Anopheles_sialome/links/SMART/anosin_hyp15-SMART.txt","PSN")</f>
        <v>PSN</v>
      </c>
      <c r="BH794" t="str">
        <f>HYPERLINK("http://smart.embl-heidelberg.de/smart/do_annotation.pl?DOMAIN=PSN&amp;BLAST=DUMMY","1.6")</f>
        <v>1.6</v>
      </c>
      <c r="BI794" t="s">
        <v>128</v>
      </c>
      <c r="BJ794" s="2" t="s">
        <v>128</v>
      </c>
      <c r="BK794" t="s">
        <v>1429</v>
      </c>
      <c r="BL794">
        <f>HYPERLINK("http://exon.niaid.nih.gov/transcriptome/Anopheles_sialome/links/cluster-b/anopheline-sialome-cds-pep-larger-orf25-50SimCLU1.txt", 1)</f>
        <v>1</v>
      </c>
      <c r="BM794">
        <f>HYPERLINK("http://exon.niaid.nih.gov/transcriptome/Anopheles_sialome/links/cluster-b/anopheline-sialome-cds-pep-larger-orf25-50SimCLTL1.txt", 165)</f>
        <v>165</v>
      </c>
      <c r="BN794">
        <f>HYPERLINK("http://exon.niaid.nih.gov/transcriptome/Anopheles_sialome/links/cluster-b/anopheline-sialome-cds-pep-larger-orf30-50SimCLU1.txt", 1)</f>
        <v>1</v>
      </c>
      <c r="BO794">
        <f>HYPERLINK("http://exon.niaid.nih.gov/transcriptome/Anopheles_sialome/links/cluster-b/anopheline-sialome-cds-pep-larger-orf30-50SimCLTL1.txt", 165)</f>
        <v>165</v>
      </c>
      <c r="BP794">
        <f>HYPERLINK("http://exon.niaid.nih.gov/transcriptome/Anopheles_sialome/links/cluster-b/anopheline-sialome-cds-pep-larger-orf35-50SimCLU4.txt", 4)</f>
        <v>4</v>
      </c>
      <c r="BQ794">
        <f>HYPERLINK("http://exon.niaid.nih.gov/transcriptome/Anopheles_sialome/links/cluster-b/anopheline-sialome-cds-pep-larger-orf35-50SimCLTL4.txt", 76)</f>
        <v>76</v>
      </c>
      <c r="BR794">
        <f>HYPERLINK("http://exon.niaid.nih.gov/transcriptome/Anopheles_sialome/links/cluster-b/anopheline-sialome-cds-pep-larger-orf40-50SimCLU11.txt", 11)</f>
        <v>11</v>
      </c>
      <c r="BS794">
        <f>HYPERLINK("http://exon.niaid.nih.gov/transcriptome/Anopheles_sialome/links/cluster-b/anopheline-sialome-cds-pep-larger-orf40-50SimCLTL11.txt", 21)</f>
        <v>21</v>
      </c>
      <c r="BT794">
        <f>HYPERLINK("http://exon.niaid.nih.gov/transcriptome/Anopheles_sialome/links/cluster-b/anopheline-sialome-cds-pep-larger-orf45-50SimCLU11.txt", 11)</f>
        <v>11</v>
      </c>
      <c r="BU794">
        <f>HYPERLINK("http://exon.niaid.nih.gov/transcriptome/Anopheles_sialome/links/cluster-b/anopheline-sialome-cds-pep-larger-orf45-50SimCLTL11.txt", 21)</f>
        <v>21</v>
      </c>
      <c r="BV794">
        <f>HYPERLINK("http://exon.niaid.nih.gov/transcriptome/Anopheles_sialome/links/cluster-b/anopheline-sialome-cds-pep-larger-orf50-50SimCLU11.txt", 11)</f>
        <v>11</v>
      </c>
      <c r="BW794">
        <f>HYPERLINK("http://exon.niaid.nih.gov/transcriptome/Anopheles_sialome/links/cluster-b/anopheline-sialome-cds-pep-larger-orf50-50SimCLTL11.txt", 21)</f>
        <v>21</v>
      </c>
      <c r="BX794">
        <f>HYPERLINK("http://exon.niaid.nih.gov/transcriptome/Anopheles_sialome/links/cluster-b/anopheline-sialome-cds-pep-larger-orf55-50SimCLU12.txt", 12)</f>
        <v>12</v>
      </c>
      <c r="BY794">
        <f>HYPERLINK("http://exon.niaid.nih.gov/transcriptome/Anopheles_sialome/links/cluster-b/anopheline-sialome-cds-pep-larger-orf55-50SimCLTL12.txt", 21)</f>
        <v>21</v>
      </c>
      <c r="BZ794">
        <f>HYPERLINK("http://exon.niaid.nih.gov/transcriptome/Anopheles_sialome/links/cluster-b/anopheline-sialome-cds-pep-larger-orf60-50SimCLU10.txt", 10)</f>
        <v>10</v>
      </c>
      <c r="CA794">
        <f>HYPERLINK("http://exon.niaid.nih.gov/transcriptome/Anopheles_sialome/links/cluster-b/anopheline-sialome-cds-pep-larger-orf60-50SimCLTL10.txt", 21)</f>
        <v>21</v>
      </c>
      <c r="CB794">
        <f>HYPERLINK("http://exon.niaid.nih.gov/transcriptome/Anopheles_sialome/links/cluster-b/anopheline-sialome-cds-pep-larger-orf65-50SimCLU10.txt", 10)</f>
        <v>10</v>
      </c>
      <c r="CC794">
        <f>HYPERLINK("http://exon.niaid.nih.gov/transcriptome/Anopheles_sialome/links/cluster-b/anopheline-sialome-cds-pep-larger-orf65-50SimCLTL10.txt", 19)</f>
        <v>19</v>
      </c>
      <c r="CD794">
        <f>HYPERLINK("http://exon.niaid.nih.gov/transcriptome/Anopheles_sialome/links/cluster-b/anopheline-sialome-cds-pep-larger-orf70-50SimCLU19.txt", 19)</f>
        <v>19</v>
      </c>
      <c r="CE794">
        <f>HYPERLINK("http://exon.niaid.nih.gov/transcriptome/Anopheles_sialome/links/cluster-b/anopheline-sialome-cds-pep-larger-orf70-50SimCLTL19.txt", 17)</f>
        <v>17</v>
      </c>
      <c r="CF794">
        <v>128</v>
      </c>
      <c r="CG794">
        <v>1</v>
      </c>
      <c r="CH794">
        <v>172</v>
      </c>
      <c r="CI794">
        <v>1</v>
      </c>
      <c r="CJ794">
        <v>221</v>
      </c>
      <c r="CK794">
        <v>1</v>
      </c>
      <c r="CL794">
        <v>267</v>
      </c>
      <c r="CM794">
        <v>1</v>
      </c>
      <c r="CN794">
        <v>297</v>
      </c>
      <c r="CO794">
        <v>1</v>
      </c>
    </row>
    <row r="795" spans="1:93">
      <c r="A795" s="2" t="str">
        <f>HYPERLINK("http://exon.niaid.nih.gov/transcriptome/Anopheles_sialome/links/cds/anoalb_hyp15-cds.txt","anoalb_hyp15")</f>
        <v>anoalb_hyp15</v>
      </c>
      <c r="B795">
        <v>240</v>
      </c>
      <c r="C795" t="s">
        <v>290</v>
      </c>
      <c r="D795" t="s">
        <v>4</v>
      </c>
      <c r="E795" t="s">
        <v>5</v>
      </c>
      <c r="F795" t="s">
        <v>1</v>
      </c>
      <c r="G795" t="str">
        <f>HYPERLINK("http://exon.niaid.nih.gov/transcriptome/Anopheles_sialome/links/pep/anoalb_hyp15-pep.txt","anoalb_hyp15")</f>
        <v>anoalb_hyp15</v>
      </c>
      <c r="H795">
        <v>79</v>
      </c>
      <c r="I795">
        <v>0</v>
      </c>
      <c r="J795" s="3" t="str">
        <f>HYPERLINK("http://exon.niaid.nih.gov/transcriptome/Anopheles_sialome/links/Sigp/anoalb_hyp15-SigP.txt","SIG")</f>
        <v>SIG</v>
      </c>
      <c r="K795" t="s">
        <v>945</v>
      </c>
      <c r="L795">
        <v>7.766</v>
      </c>
      <c r="M795">
        <v>10.15</v>
      </c>
      <c r="N795">
        <v>4.7590000000000003</v>
      </c>
      <c r="O795">
        <v>11.39</v>
      </c>
      <c r="P795" t="s">
        <v>1432</v>
      </c>
      <c r="Q795" s="3">
        <v>0</v>
      </c>
      <c r="R795" t="s">
        <v>128</v>
      </c>
      <c r="S795" t="s">
        <v>128</v>
      </c>
      <c r="T795" t="s">
        <v>128</v>
      </c>
      <c r="U795" t="s">
        <v>128</v>
      </c>
      <c r="V795" t="s">
        <v>128</v>
      </c>
      <c r="W795" s="3" t="str">
        <f>HYPERLINK("http://exon.niaid.nih.gov/transcriptome/Anopheles_sialome/links/netoglyc/anoalb_hyp15-netoglyc.txt","0")</f>
        <v>0</v>
      </c>
      <c r="X795">
        <v>10.1</v>
      </c>
      <c r="Y795">
        <v>13.9</v>
      </c>
      <c r="Z795">
        <v>2.5</v>
      </c>
      <c r="AA795" t="s">
        <v>654</v>
      </c>
      <c r="AB795" t="s">
        <v>128</v>
      </c>
      <c r="AC795" s="2" t="str">
        <f>HYPERLINK("http://exon.niaid.nih.gov/transcriptome/Anopheles_sialome/links/DIPTERA/anoalb_hyp15-DIPTERA.txt","hypothetical salivary protein 15")</f>
        <v>hypothetical salivary protein 15</v>
      </c>
      <c r="AD795" t="str">
        <f>HYPERLINK("http://www.ncbi.nlm.nih.gov/sutils/blink.cgi?pid=208657719","5E-026")</f>
        <v>5E-026</v>
      </c>
      <c r="AE795" t="str">
        <f>HYPERLINK("http://www.ncbi.nlm.nih.gov/protein/208657719","gi|208657719")</f>
        <v>gi|208657719</v>
      </c>
      <c r="AF795">
        <v>73</v>
      </c>
      <c r="AG795">
        <v>84</v>
      </c>
      <c r="AH795">
        <v>104</v>
      </c>
      <c r="AI795" t="s">
        <v>2283</v>
      </c>
      <c r="AJ795" s="2" t="s">
        <v>128</v>
      </c>
      <c r="AK795" t="s">
        <v>128</v>
      </c>
      <c r="AL795" t="s">
        <v>128</v>
      </c>
      <c r="AM795" t="s">
        <v>128</v>
      </c>
      <c r="AN795" t="s">
        <v>128</v>
      </c>
      <c r="AO795" t="s">
        <v>128</v>
      </c>
      <c r="AP795" t="s">
        <v>128</v>
      </c>
      <c r="AQ795" s="2" t="str">
        <f>HYPERLINK("http://exon.niaid.nih.gov/transcriptome/Anopheles_sialome/links/NR-LIGHT/anoalb_hyp15-NR-LIGHT.txt","hypothetical protein AND_003913")</f>
        <v>hypothetical protein AND_003913</v>
      </c>
      <c r="AR795" t="str">
        <f>HYPERLINK("http://www.ncbi.nlm.nih.gov/sutils/blink.cgi?pid=568255598","3E-025")</f>
        <v>3E-025</v>
      </c>
      <c r="AS795" t="str">
        <f>HYPERLINK("http://www.ncbi.nlm.nih.gov/protein/568255598","gi|568255598")</f>
        <v>gi|568255598</v>
      </c>
      <c r="AT795">
        <v>75</v>
      </c>
      <c r="AU795">
        <v>83</v>
      </c>
      <c r="AV795">
        <v>104</v>
      </c>
      <c r="AW795" t="s">
        <v>2283</v>
      </c>
      <c r="AX795" s="2" t="str">
        <f>HYPERLINK("http://exon.niaid.nih.gov/transcriptome/Anopheles_sialome/links/CDD/anoalb_hyp15-CDD.txt","EIIBC-GUT_N")</f>
        <v>EIIBC-GUT_N</v>
      </c>
      <c r="AY795" t="str">
        <f>HYPERLINK("http://www.ncbi.nlm.nih.gov/Structure/cdd/cddsrv.cgi?uid=pfam03612&amp;version=v4.0","0.20")</f>
        <v>0.20</v>
      </c>
      <c r="AZ795" t="s">
        <v>2704</v>
      </c>
      <c r="BA795" s="2" t="str">
        <f>HYPERLINK("http://exon.niaid.nih.gov/transcriptome/Anopheles_sialome/links/KOG/anoalb_hyp15-KOG.txt","Cell differentiation regulator of the Headcase family")</f>
        <v>Cell differentiation regulator of the Headcase family</v>
      </c>
      <c r="BB795" t="str">
        <f>HYPERLINK("http://www.ncbi.nlm.nih.gov/Structure/cdd/cddsrv.cgi?uid=KOG3816","0.051")</f>
        <v>0.051</v>
      </c>
      <c r="BC795" t="s">
        <v>2292</v>
      </c>
      <c r="BD795" t="str">
        <f>HYPERLINK("http://exon.niaid.nih.gov/transcriptome/Anopheles_sialome/links/KOG/anoalb_hyp15-KOG.txt","KOG3816")</f>
        <v>KOG3816</v>
      </c>
      <c r="BE795" t="str">
        <f>HYPERLINK("http://exon.niaid.nih.gov/transcriptome/Anopheles_sialome/links/PFAM/anoalb_hyp15-PFAM.txt","EIIBC-GUT_N")</f>
        <v>EIIBC-GUT_N</v>
      </c>
      <c r="BF795" t="str">
        <f>HYPERLINK("http://pfam.sanger.ac.uk/family?acc=PF03612","0.046")</f>
        <v>0.046</v>
      </c>
      <c r="BG795" s="2" t="str">
        <f>HYPERLINK("http://exon.niaid.nih.gov/transcriptome/Anopheles_sialome/links/SMART/anoalb_hyp15-SMART.txt","eIF6")</f>
        <v>eIF6</v>
      </c>
      <c r="BH795" t="str">
        <f>HYPERLINK("http://smart.embl-heidelberg.de/smart/do_annotation.pl?DOMAIN=eIF6&amp;BLAST=DUMMY","1.7")</f>
        <v>1.7</v>
      </c>
      <c r="BI795" t="s">
        <v>128</v>
      </c>
      <c r="BJ795" s="2" t="s">
        <v>128</v>
      </c>
      <c r="BK795" t="s">
        <v>1431</v>
      </c>
      <c r="BL795">
        <f>HYPERLINK("http://exon.niaid.nih.gov/transcriptome/Anopheles_sialome/links/cluster-b/anopheline-sialome-cds-pep-larger-orf25-50SimCLU1.txt", 1)</f>
        <v>1</v>
      </c>
      <c r="BM795">
        <f>HYPERLINK("http://exon.niaid.nih.gov/transcriptome/Anopheles_sialome/links/cluster-b/anopheline-sialome-cds-pep-larger-orf25-50SimCLTL1.txt", 165)</f>
        <v>165</v>
      </c>
      <c r="BN795">
        <f>HYPERLINK("http://exon.niaid.nih.gov/transcriptome/Anopheles_sialome/links/cluster-b/anopheline-sialome-cds-pep-larger-orf30-50SimCLU1.txt", 1)</f>
        <v>1</v>
      </c>
      <c r="BO795">
        <f>HYPERLINK("http://exon.niaid.nih.gov/transcriptome/Anopheles_sialome/links/cluster-b/anopheline-sialome-cds-pep-larger-orf30-50SimCLTL1.txt", 165)</f>
        <v>165</v>
      </c>
      <c r="BP795">
        <f>HYPERLINK("http://exon.niaid.nih.gov/transcriptome/Anopheles_sialome/links/cluster-b/anopheline-sialome-cds-pep-larger-orf35-50SimCLU4.txt", 4)</f>
        <v>4</v>
      </c>
      <c r="BQ795">
        <f>HYPERLINK("http://exon.niaid.nih.gov/transcriptome/Anopheles_sialome/links/cluster-b/anopheline-sialome-cds-pep-larger-orf35-50SimCLTL4.txt", 76)</f>
        <v>76</v>
      </c>
      <c r="BR795">
        <f>HYPERLINK("http://exon.niaid.nih.gov/transcriptome/Anopheles_sialome/links/cluster-b/anopheline-sialome-cds-pep-larger-orf40-50SimCLU11.txt", 11)</f>
        <v>11</v>
      </c>
      <c r="BS795">
        <f>HYPERLINK("http://exon.niaid.nih.gov/transcriptome/Anopheles_sialome/links/cluster-b/anopheline-sialome-cds-pep-larger-orf40-50SimCLTL11.txt", 21)</f>
        <v>21</v>
      </c>
      <c r="BT795">
        <f>HYPERLINK("http://exon.niaid.nih.gov/transcriptome/Anopheles_sialome/links/cluster-b/anopheline-sialome-cds-pep-larger-orf45-50SimCLU11.txt", 11)</f>
        <v>11</v>
      </c>
      <c r="BU795">
        <f>HYPERLINK("http://exon.niaid.nih.gov/transcriptome/Anopheles_sialome/links/cluster-b/anopheline-sialome-cds-pep-larger-orf45-50SimCLTL11.txt", 21)</f>
        <v>21</v>
      </c>
      <c r="BV795">
        <f>HYPERLINK("http://exon.niaid.nih.gov/transcriptome/Anopheles_sialome/links/cluster-b/anopheline-sialome-cds-pep-larger-orf50-50SimCLU11.txt", 11)</f>
        <v>11</v>
      </c>
      <c r="BW795">
        <f>HYPERLINK("http://exon.niaid.nih.gov/transcriptome/Anopheles_sialome/links/cluster-b/anopheline-sialome-cds-pep-larger-orf50-50SimCLTL11.txt", 21)</f>
        <v>21</v>
      </c>
      <c r="BX795">
        <f>HYPERLINK("http://exon.niaid.nih.gov/transcriptome/Anopheles_sialome/links/cluster-b/anopheline-sialome-cds-pep-larger-orf55-50SimCLU12.txt", 12)</f>
        <v>12</v>
      </c>
      <c r="BY795">
        <f>HYPERLINK("http://exon.niaid.nih.gov/transcriptome/Anopheles_sialome/links/cluster-b/anopheline-sialome-cds-pep-larger-orf55-50SimCLTL12.txt", 21)</f>
        <v>21</v>
      </c>
      <c r="BZ795">
        <f>HYPERLINK("http://exon.niaid.nih.gov/transcriptome/Anopheles_sialome/links/cluster-b/anopheline-sialome-cds-pep-larger-orf60-50SimCLU10.txt", 10)</f>
        <v>10</v>
      </c>
      <c r="CA795">
        <f>HYPERLINK("http://exon.niaid.nih.gov/transcriptome/Anopheles_sialome/links/cluster-b/anopheline-sialome-cds-pep-larger-orf60-50SimCLTL10.txt", 21)</f>
        <v>21</v>
      </c>
      <c r="CB795">
        <f>HYPERLINK("http://exon.niaid.nih.gov/transcriptome/Anopheles_sialome/links/cluster-b/anopheline-sialome-cds-pep-larger-orf65-50SimCLU48.txt", 48)</f>
        <v>48</v>
      </c>
      <c r="CC795">
        <f>HYPERLINK("http://exon.niaid.nih.gov/transcriptome/Anopheles_sialome/links/cluster-b/anopheline-sialome-cds-pep-larger-orf65-50SimCLTL48.txt", 2)</f>
        <v>2</v>
      </c>
      <c r="CD795">
        <f>HYPERLINK("http://exon.niaid.nih.gov/transcriptome/Anopheles_sialome/links/cluster-b/anopheline-sialome-cds-pep-larger-orf70-50SimCLU54.txt", 54)</f>
        <v>54</v>
      </c>
      <c r="CE795">
        <f>HYPERLINK("http://exon.niaid.nih.gov/transcriptome/Anopheles_sialome/links/cluster-b/anopheline-sialome-cds-pep-larger-orf70-50SimCLTL54.txt", 2)</f>
        <v>2</v>
      </c>
      <c r="CF795">
        <f>HYPERLINK("http://exon.niaid.nih.gov/transcriptome/Anopheles_sialome/links/cluster-b/anopheline-sialome-cds-pep-larger-orf75-50SimCLU69.txt", 69)</f>
        <v>69</v>
      </c>
      <c r="CG795">
        <f>HYPERLINK("http://exon.niaid.nih.gov/transcriptome/Anopheles_sialome/links/cluster-b/anopheline-sialome-cds-pep-larger-orf75-50SimCLTL69.txt", 2)</f>
        <v>2</v>
      </c>
      <c r="CH795">
        <f>HYPERLINK("http://exon.niaid.nih.gov/transcriptome/Anopheles_sialome/links/cluster-b/anopheline-sialome-cds-pep-larger-orf80-50SimCLU83.txt", 83)</f>
        <v>83</v>
      </c>
      <c r="CI795">
        <f>HYPERLINK("http://exon.niaid.nih.gov/transcriptome/Anopheles_sialome/links/cluster-b/anopheline-sialome-cds-pep-larger-orf80-50SimCLTL83.txt", 2)</f>
        <v>2</v>
      </c>
      <c r="CJ795">
        <f>HYPERLINK("http://exon.niaid.nih.gov/transcriptome/Anopheles_sialome/links/cluster-b/anopheline-sialome-cds-pep-larger-orf85-50SimCLU84.txt", 84)</f>
        <v>84</v>
      </c>
      <c r="CK795">
        <f>HYPERLINK("http://exon.niaid.nih.gov/transcriptome/Anopheles_sialome/links/cluster-b/anopheline-sialome-cds-pep-larger-orf85-50SimCLTL84.txt", 2)</f>
        <v>2</v>
      </c>
      <c r="CL795">
        <v>268</v>
      </c>
      <c r="CM795">
        <v>1</v>
      </c>
      <c r="CN795">
        <v>298</v>
      </c>
      <c r="CO795">
        <v>1</v>
      </c>
    </row>
    <row r="796" spans="1:93">
      <c r="A796" s="2" t="str">
        <f>HYPERLINK("http://exon.niaid.nih.gov/transcriptome/Anopheles_sialome/links/cds/anodar_hyp15-cds.txt","anodar_hyp15")</f>
        <v>anodar_hyp15</v>
      </c>
      <c r="B796">
        <v>237</v>
      </c>
      <c r="C796" t="s">
        <v>291</v>
      </c>
      <c r="D796" t="s">
        <v>4</v>
      </c>
      <c r="E796" t="s">
        <v>5</v>
      </c>
      <c r="F796" t="s">
        <v>1</v>
      </c>
      <c r="G796" t="str">
        <f>HYPERLINK("http://exon.niaid.nih.gov/transcriptome/Anopheles_sialome/links/pep/anodar_hyp15-pep.txt","anodar_hyp15")</f>
        <v>anodar_hyp15</v>
      </c>
      <c r="H796">
        <v>78</v>
      </c>
      <c r="I796">
        <v>0</v>
      </c>
      <c r="J796" s="3" t="str">
        <f>HYPERLINK("http://exon.niaid.nih.gov/transcriptome/Anopheles_sialome/links/Sigp/anodar_hyp15-SigP.txt","SIG")</f>
        <v>SIG</v>
      </c>
      <c r="K796" t="s">
        <v>834</v>
      </c>
      <c r="L796">
        <v>7.6449999999999996</v>
      </c>
      <c r="M796">
        <v>10.15</v>
      </c>
      <c r="N796">
        <v>4.6790000000000003</v>
      </c>
      <c r="O796">
        <v>11.39</v>
      </c>
      <c r="P796" t="s">
        <v>1434</v>
      </c>
      <c r="Q796" s="3" t="str">
        <f>HYPERLINK("http://exon.niaid.nih.gov/transcriptome/Anopheles_sialome/links/tmhmm/anodar_hyp15-tmhmm.txt","1")</f>
        <v>1</v>
      </c>
      <c r="R796">
        <v>28.2</v>
      </c>
      <c r="S796">
        <v>62.8</v>
      </c>
      <c r="T796">
        <v>9</v>
      </c>
      <c r="U796" t="s">
        <v>128</v>
      </c>
      <c r="V796">
        <v>49</v>
      </c>
      <c r="W796" s="3" t="str">
        <f>HYPERLINK("http://exon.niaid.nih.gov/transcriptome/Anopheles_sialome/links/netoglyc/anodar_hyp15-netoglyc.txt","0")</f>
        <v>0</v>
      </c>
      <c r="X796">
        <v>10.3</v>
      </c>
      <c r="Y796">
        <v>14.1</v>
      </c>
      <c r="Z796">
        <v>2.6</v>
      </c>
      <c r="AA796" t="s">
        <v>654</v>
      </c>
      <c r="AB796" t="s">
        <v>128</v>
      </c>
      <c r="AC796" s="2" t="str">
        <f>HYPERLINK("http://exon.niaid.nih.gov/transcriptome/Anopheles_sialome/links/DIPTERA/anodar_hyp15-DIPTERA.txt","hypothetical protein AND_003913")</f>
        <v>hypothetical protein AND_003913</v>
      </c>
      <c r="AD796" t="str">
        <f>HYPERLINK("http://www.ncbi.nlm.nih.gov/sutils/blink.cgi?pid=568255598","2E-036")</f>
        <v>2E-036</v>
      </c>
      <c r="AE796" t="str">
        <f>HYPERLINK("http://www.ncbi.nlm.nih.gov/protein/568255598","gi|568255598")</f>
        <v>gi|568255598</v>
      </c>
      <c r="AF796">
        <v>100</v>
      </c>
      <c r="AG796">
        <v>100</v>
      </c>
      <c r="AH796">
        <v>100</v>
      </c>
      <c r="AI796" t="s">
        <v>2283</v>
      </c>
      <c r="AJ796" s="2" t="s">
        <v>128</v>
      </c>
      <c r="AK796" t="s">
        <v>128</v>
      </c>
      <c r="AL796" t="s">
        <v>128</v>
      </c>
      <c r="AM796" t="s">
        <v>128</v>
      </c>
      <c r="AN796" t="s">
        <v>128</v>
      </c>
      <c r="AO796" t="s">
        <v>128</v>
      </c>
      <c r="AP796" t="s">
        <v>128</v>
      </c>
      <c r="AQ796" s="2" t="str">
        <f>HYPERLINK("http://exon.niaid.nih.gov/transcriptome/Anopheles_sialome/links/NR-LIGHT/anodar_hyp15-NR-LIGHT.txt","hypothetical protein AND_003913")</f>
        <v>hypothetical protein AND_003913</v>
      </c>
      <c r="AR796" t="str">
        <f>HYPERLINK("http://www.ncbi.nlm.nih.gov/sutils/blink.cgi?pid=568255598","7E-036")</f>
        <v>7E-036</v>
      </c>
      <c r="AS796" t="str">
        <f>HYPERLINK("http://www.ncbi.nlm.nih.gov/protein/568255598","gi|568255598")</f>
        <v>gi|568255598</v>
      </c>
      <c r="AT796">
        <v>100</v>
      </c>
      <c r="AU796">
        <v>100</v>
      </c>
      <c r="AV796">
        <v>100</v>
      </c>
      <c r="AW796" t="s">
        <v>2283</v>
      </c>
      <c r="AX796" s="2" t="str">
        <f>HYPERLINK("http://exon.niaid.nih.gov/transcriptome/Anopheles_sialome/links/CDD/anodar_hyp15-CDD.txt","gliding_motilit")</f>
        <v>gliding_motilit</v>
      </c>
      <c r="AY796" t="str">
        <f>HYPERLINK("http://www.ncbi.nlm.nih.gov/Structure/cdd/cddsrv.cgi?uid=TIGR03524&amp;version=v4.0","0.048")</f>
        <v>0.048</v>
      </c>
      <c r="AZ796" t="s">
        <v>2705</v>
      </c>
      <c r="BA796" s="2" t="str">
        <f>HYPERLINK("http://exon.niaid.nih.gov/transcriptome/Anopheles_sialome/links/KOG/anodar_hyp15-KOG.txt","Predicted beta-mannosidase")</f>
        <v>Predicted beta-mannosidase</v>
      </c>
      <c r="BB796" t="str">
        <f>HYPERLINK("http://www.ncbi.nlm.nih.gov/Structure/cdd/cddsrv.cgi?uid=KOG2230","0.24")</f>
        <v>0.24</v>
      </c>
      <c r="BC796" t="s">
        <v>2308</v>
      </c>
      <c r="BD796" t="str">
        <f>HYPERLINK("http://exon.niaid.nih.gov/transcriptome/Anopheles_sialome/links/KOG/anodar_hyp15-KOG.txt","KOG2230")</f>
        <v>KOG2230</v>
      </c>
      <c r="BE796" t="str">
        <f>HYPERLINK("http://exon.niaid.nih.gov/transcriptome/Anopheles_sialome/links/PFAM/anodar_hyp15-PFAM.txt","EIIBC-GUT_N")</f>
        <v>EIIBC-GUT_N</v>
      </c>
      <c r="BF796" t="str">
        <f>HYPERLINK("http://pfam.sanger.ac.uk/family?acc=PF03612","0.42")</f>
        <v>0.42</v>
      </c>
      <c r="BG796" s="2" t="str">
        <f>HYPERLINK("http://exon.niaid.nih.gov/transcriptome/Anopheles_sialome/links/SMART/anodar_hyp15-SMART.txt","SF_P")</f>
        <v>SF_P</v>
      </c>
      <c r="BH796" t="str">
        <f>HYPERLINK("http://smart.embl-heidelberg.de/smart/do_annotation.pl?DOMAIN=SF_P&amp;BLAST=DUMMY","1.2")</f>
        <v>1.2</v>
      </c>
      <c r="BI796" t="s">
        <v>128</v>
      </c>
      <c r="BJ796" s="2" t="s">
        <v>128</v>
      </c>
      <c r="BK796" t="s">
        <v>1433</v>
      </c>
      <c r="BL796">
        <f>HYPERLINK("http://exon.niaid.nih.gov/transcriptome/Anopheles_sialome/links/cluster-b/anopheline-sialome-cds-pep-larger-orf25-50SimCLU1.txt", 1)</f>
        <v>1</v>
      </c>
      <c r="BM796">
        <f>HYPERLINK("http://exon.niaid.nih.gov/transcriptome/Anopheles_sialome/links/cluster-b/anopheline-sialome-cds-pep-larger-orf25-50SimCLTL1.txt", 165)</f>
        <v>165</v>
      </c>
      <c r="BN796">
        <f>HYPERLINK("http://exon.niaid.nih.gov/transcriptome/Anopheles_sialome/links/cluster-b/anopheline-sialome-cds-pep-larger-orf30-50SimCLU1.txt", 1)</f>
        <v>1</v>
      </c>
      <c r="BO796">
        <f>HYPERLINK("http://exon.niaid.nih.gov/transcriptome/Anopheles_sialome/links/cluster-b/anopheline-sialome-cds-pep-larger-orf30-50SimCLTL1.txt", 165)</f>
        <v>165</v>
      </c>
      <c r="BP796">
        <f>HYPERLINK("http://exon.niaid.nih.gov/transcriptome/Anopheles_sialome/links/cluster-b/anopheline-sialome-cds-pep-larger-orf35-50SimCLU4.txt", 4)</f>
        <v>4</v>
      </c>
      <c r="BQ796">
        <f>HYPERLINK("http://exon.niaid.nih.gov/transcriptome/Anopheles_sialome/links/cluster-b/anopheline-sialome-cds-pep-larger-orf35-50SimCLTL4.txt", 76)</f>
        <v>76</v>
      </c>
      <c r="BR796">
        <f>HYPERLINK("http://exon.niaid.nih.gov/transcriptome/Anopheles_sialome/links/cluster-b/anopheline-sialome-cds-pep-larger-orf40-50SimCLU11.txt", 11)</f>
        <v>11</v>
      </c>
      <c r="BS796">
        <f>HYPERLINK("http://exon.niaid.nih.gov/transcriptome/Anopheles_sialome/links/cluster-b/anopheline-sialome-cds-pep-larger-orf40-50SimCLTL11.txt", 21)</f>
        <v>21</v>
      </c>
      <c r="BT796">
        <f>HYPERLINK("http://exon.niaid.nih.gov/transcriptome/Anopheles_sialome/links/cluster-b/anopheline-sialome-cds-pep-larger-orf45-50SimCLU11.txt", 11)</f>
        <v>11</v>
      </c>
      <c r="BU796">
        <f>HYPERLINK("http://exon.niaid.nih.gov/transcriptome/Anopheles_sialome/links/cluster-b/anopheline-sialome-cds-pep-larger-orf45-50SimCLTL11.txt", 21)</f>
        <v>21</v>
      </c>
      <c r="BV796">
        <f>HYPERLINK("http://exon.niaid.nih.gov/transcriptome/Anopheles_sialome/links/cluster-b/anopheline-sialome-cds-pep-larger-orf50-50SimCLU11.txt", 11)</f>
        <v>11</v>
      </c>
      <c r="BW796">
        <f>HYPERLINK("http://exon.niaid.nih.gov/transcriptome/Anopheles_sialome/links/cluster-b/anopheline-sialome-cds-pep-larger-orf50-50SimCLTL11.txt", 21)</f>
        <v>21</v>
      </c>
      <c r="BX796">
        <f>HYPERLINK("http://exon.niaid.nih.gov/transcriptome/Anopheles_sialome/links/cluster-b/anopheline-sialome-cds-pep-larger-orf55-50SimCLU12.txt", 12)</f>
        <v>12</v>
      </c>
      <c r="BY796">
        <f>HYPERLINK("http://exon.niaid.nih.gov/transcriptome/Anopheles_sialome/links/cluster-b/anopheline-sialome-cds-pep-larger-orf55-50SimCLTL12.txt", 21)</f>
        <v>21</v>
      </c>
      <c r="BZ796">
        <f>HYPERLINK("http://exon.niaid.nih.gov/transcriptome/Anopheles_sialome/links/cluster-b/anopheline-sialome-cds-pep-larger-orf60-50SimCLU10.txt", 10)</f>
        <v>10</v>
      </c>
      <c r="CA796">
        <f>HYPERLINK("http://exon.niaid.nih.gov/transcriptome/Anopheles_sialome/links/cluster-b/anopheline-sialome-cds-pep-larger-orf60-50SimCLTL10.txt", 21)</f>
        <v>21</v>
      </c>
      <c r="CB796">
        <f>HYPERLINK("http://exon.niaid.nih.gov/transcriptome/Anopheles_sialome/links/cluster-b/anopheline-sialome-cds-pep-larger-orf65-50SimCLU48.txt", 48)</f>
        <v>48</v>
      </c>
      <c r="CC796">
        <f>HYPERLINK("http://exon.niaid.nih.gov/transcriptome/Anopheles_sialome/links/cluster-b/anopheline-sialome-cds-pep-larger-orf65-50SimCLTL48.txt", 2)</f>
        <v>2</v>
      </c>
      <c r="CD796">
        <f>HYPERLINK("http://exon.niaid.nih.gov/transcriptome/Anopheles_sialome/links/cluster-b/anopheline-sialome-cds-pep-larger-orf70-50SimCLU54.txt", 54)</f>
        <v>54</v>
      </c>
      <c r="CE796">
        <f>HYPERLINK("http://exon.niaid.nih.gov/transcriptome/Anopheles_sialome/links/cluster-b/anopheline-sialome-cds-pep-larger-orf70-50SimCLTL54.txt", 2)</f>
        <v>2</v>
      </c>
      <c r="CF796">
        <f>HYPERLINK("http://exon.niaid.nih.gov/transcriptome/Anopheles_sialome/links/cluster-b/anopheline-sialome-cds-pep-larger-orf75-50SimCLU69.txt", 69)</f>
        <v>69</v>
      </c>
      <c r="CG796">
        <f>HYPERLINK("http://exon.niaid.nih.gov/transcriptome/Anopheles_sialome/links/cluster-b/anopheline-sialome-cds-pep-larger-orf75-50SimCLTL69.txt", 2)</f>
        <v>2</v>
      </c>
      <c r="CH796">
        <f>HYPERLINK("http://exon.niaid.nih.gov/transcriptome/Anopheles_sialome/links/cluster-b/anopheline-sialome-cds-pep-larger-orf80-50SimCLU83.txt", 83)</f>
        <v>83</v>
      </c>
      <c r="CI796">
        <f>HYPERLINK("http://exon.niaid.nih.gov/transcriptome/Anopheles_sialome/links/cluster-b/anopheline-sialome-cds-pep-larger-orf80-50SimCLTL83.txt", 2)</f>
        <v>2</v>
      </c>
      <c r="CJ796">
        <f>HYPERLINK("http://exon.niaid.nih.gov/transcriptome/Anopheles_sialome/links/cluster-b/anopheline-sialome-cds-pep-larger-orf85-50SimCLU84.txt", 84)</f>
        <v>84</v>
      </c>
      <c r="CK796">
        <f>HYPERLINK("http://exon.niaid.nih.gov/transcriptome/Anopheles_sialome/links/cluster-b/anopheline-sialome-cds-pep-larger-orf85-50SimCLTL84.txt", 2)</f>
        <v>2</v>
      </c>
      <c r="CL796">
        <v>269</v>
      </c>
      <c r="CM796">
        <v>1</v>
      </c>
      <c r="CN796">
        <v>299</v>
      </c>
      <c r="CO796">
        <v>1</v>
      </c>
    </row>
    <row r="797" spans="1:93">
      <c r="A797" s="5" t="s">
        <v>3218</v>
      </c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</row>
    <row r="798" spans="1:93">
      <c r="A798" s="2" t="str">
        <f>HYPERLINK("http://exon.niaid.nih.gov/transcriptome/Anopheles_sialome/links/cds/anoga_hyp17-cds.txt","anoga_hyp17")</f>
        <v>anoga_hyp17</v>
      </c>
      <c r="B798">
        <v>234</v>
      </c>
      <c r="C798" t="s">
        <v>292</v>
      </c>
      <c r="D798" t="s">
        <v>4</v>
      </c>
      <c r="E798" t="s">
        <v>5</v>
      </c>
      <c r="F798" t="s">
        <v>1</v>
      </c>
      <c r="G798" t="str">
        <f>HYPERLINK("http://exon.niaid.nih.gov/transcriptome/Anopheles_sialome/links/pep/anoga_hyp17-pep.txt","anoga_hyp17")</f>
        <v>anoga_hyp17</v>
      </c>
      <c r="H798">
        <v>77</v>
      </c>
      <c r="I798">
        <v>1</v>
      </c>
      <c r="J798" s="3" t="str">
        <f>HYPERLINK("http://exon.niaid.nih.gov/transcriptome/Anopheles_sialome/links/Sigp/anoga_hyp17-SigP.txt","SIG")</f>
        <v>SIG</v>
      </c>
      <c r="K798" t="s">
        <v>949</v>
      </c>
      <c r="L798">
        <v>8.1029999999999998</v>
      </c>
      <c r="M798">
        <v>9.89</v>
      </c>
      <c r="N798">
        <v>4.9219999999999997</v>
      </c>
      <c r="O798">
        <v>10.83</v>
      </c>
      <c r="P798" t="s">
        <v>1436</v>
      </c>
      <c r="Q798" s="3" t="str">
        <f>HYPERLINK("http://exon.niaid.nih.gov/transcriptome/Anopheles_sialome/links/tmhmm/anoga_hyp17-tmhmm.txt","1")</f>
        <v>1</v>
      </c>
      <c r="R798">
        <v>28.6</v>
      </c>
      <c r="S798">
        <v>62.3</v>
      </c>
      <c r="T798">
        <v>9.1</v>
      </c>
      <c r="U798" t="s">
        <v>128</v>
      </c>
      <c r="V798">
        <v>48</v>
      </c>
      <c r="W798" s="3" t="str">
        <f>HYPERLINK("http://exon.niaid.nih.gov/transcriptome/Anopheles_sialome/links/netoglyc/anoga_hyp17-netoglyc.txt","2")</f>
        <v>2</v>
      </c>
      <c r="X798">
        <v>13</v>
      </c>
      <c r="Y798">
        <v>15.6</v>
      </c>
      <c r="Z798">
        <v>6.5</v>
      </c>
      <c r="AA798" t="s">
        <v>654</v>
      </c>
      <c r="AB798" t="s">
        <v>128</v>
      </c>
      <c r="AC798" s="2" t="str">
        <f>HYPERLINK("http://exon.niaid.nih.gov/transcriptome/Anopheles_sialome/links/DIPTERA/anoga_hyp17-DIPTERA.txt","hypothetical protein 17")</f>
        <v>hypothetical protein 17</v>
      </c>
      <c r="AD798" t="str">
        <f>HYPERLINK("http://www.ncbi.nlm.nih.gov/sutils/blink.cgi?pid=18389915","3E-038")</f>
        <v>3E-038</v>
      </c>
      <c r="AE798" t="str">
        <f t="shared" ref="AE798:AE803" si="263">HYPERLINK("http://www.ncbi.nlm.nih.gov/protein/18389915","gi|18389915")</f>
        <v>gi|18389915</v>
      </c>
      <c r="AF798">
        <v>100</v>
      </c>
      <c r="AG798">
        <v>100</v>
      </c>
      <c r="AH798">
        <v>85</v>
      </c>
      <c r="AI798" t="s">
        <v>2254</v>
      </c>
      <c r="AJ798" s="2" t="s">
        <v>128</v>
      </c>
      <c r="AK798" t="s">
        <v>128</v>
      </c>
      <c r="AL798" t="s">
        <v>128</v>
      </c>
      <c r="AM798" t="s">
        <v>128</v>
      </c>
      <c r="AN798" t="s">
        <v>128</v>
      </c>
      <c r="AO798" t="s">
        <v>128</v>
      </c>
      <c r="AP798" t="s">
        <v>128</v>
      </c>
      <c r="AQ798" s="2" t="str">
        <f>HYPERLINK("http://exon.niaid.nih.gov/transcriptome/Anopheles_sialome/links/NR-LIGHT/anoga_hyp17-NR-LIGHT.txt","AGAP000151-PA")</f>
        <v>AGAP000151-PA</v>
      </c>
      <c r="AR798" t="str">
        <f>HYPERLINK("http://www.ncbi.nlm.nih.gov/sutils/blink.cgi?pid=347963266","7E-038")</f>
        <v>7E-038</v>
      </c>
      <c r="AS798" t="str">
        <f t="shared" ref="AS798:AS803" si="264">HYPERLINK("http://www.ncbi.nlm.nih.gov/protein/347963266","gi|347963266")</f>
        <v>gi|347963266</v>
      </c>
      <c r="AT798">
        <v>100</v>
      </c>
      <c r="AU798">
        <v>100</v>
      </c>
      <c r="AV798">
        <v>100</v>
      </c>
      <c r="AW798" t="s">
        <v>2285</v>
      </c>
      <c r="AX798" s="2" t="str">
        <f>HYPERLINK("http://exon.niaid.nih.gov/transcriptome/Anopheles_sialome/links/CDD/anoga_hyp17-CDD.txt","PRK10983")</f>
        <v>PRK10983</v>
      </c>
      <c r="AY798" t="str">
        <f>HYPERLINK("http://www.ncbi.nlm.nih.gov/Structure/cdd/cddsrv.cgi?uid=PRK10983&amp;version=v4.0","0.49")</f>
        <v>0.49</v>
      </c>
      <c r="AZ798" t="s">
        <v>2706</v>
      </c>
      <c r="BA798" s="2" t="str">
        <f>HYPERLINK("http://exon.niaid.nih.gov/transcriptome/Anopheles_sialome/links/KOG/anoga_hyp17-KOG.txt","Uncharacterized conserved protein, contains WD40 repeat")</f>
        <v>Uncharacterized conserved protein, contains WD40 repeat</v>
      </c>
      <c r="BB798" t="str">
        <f>HYPERLINK("http://www.ncbi.nlm.nih.gov/Structure/cdd/cddsrv.cgi?uid=KOG0772","1.8")</f>
        <v>1.8</v>
      </c>
      <c r="BC798" t="s">
        <v>2304</v>
      </c>
      <c r="BD798" t="str">
        <f>HYPERLINK("http://exon.niaid.nih.gov/transcriptome/Anopheles_sialome/links/KOG/anoga_hyp17-KOG.txt","KOG0772")</f>
        <v>KOG0772</v>
      </c>
      <c r="BE798" t="str">
        <f>HYPERLINK("http://exon.niaid.nih.gov/transcriptome/Anopheles_sialome/links/PFAM/anoga_hyp17-PFAM.txt","DUF4367")</f>
        <v>DUF4367</v>
      </c>
      <c r="BF798" t="str">
        <f>HYPERLINK("http://pfam.sanger.ac.uk/family?acc=PF14285","2.1")</f>
        <v>2.1</v>
      </c>
      <c r="BG798" s="2" t="str">
        <f>HYPERLINK("http://exon.niaid.nih.gov/transcriptome/Anopheles_sialome/links/SMART/anoga_hyp17-SMART.txt","CarD_TRCF")</f>
        <v>CarD_TRCF</v>
      </c>
      <c r="BH798" t="str">
        <f>HYPERLINK("http://smart.embl-heidelberg.de/smart/do_annotation.pl?DOMAIN=CarD_TRCF&amp;BLAST=DUMMY","0.65")</f>
        <v>0.65</v>
      </c>
      <c r="BI798" t="s">
        <v>128</v>
      </c>
      <c r="BJ798" s="2" t="s">
        <v>128</v>
      </c>
      <c r="BK798" t="s">
        <v>1435</v>
      </c>
      <c r="BL798">
        <f>HYPERLINK("http://exon.niaid.nih.gov/transcriptome/Anopheles_sialome/links/cluster-b/anopheline-sialome-cds-pep-larger-orf25-50SimCLU1.txt", 1)</f>
        <v>1</v>
      </c>
      <c r="BM798">
        <f>HYPERLINK("http://exon.niaid.nih.gov/transcriptome/Anopheles_sialome/links/cluster-b/anopheline-sialome-cds-pep-larger-orf25-50SimCLTL1.txt", 165)</f>
        <v>165</v>
      </c>
      <c r="BN798">
        <f>HYPERLINK("http://exon.niaid.nih.gov/transcriptome/Anopheles_sialome/links/cluster-b/anopheline-sialome-cds-pep-larger-orf30-50SimCLU1.txt", 1)</f>
        <v>1</v>
      </c>
      <c r="BO798">
        <f>HYPERLINK("http://exon.niaid.nih.gov/transcriptome/Anopheles_sialome/links/cluster-b/anopheline-sialome-cds-pep-larger-orf30-50SimCLTL1.txt", 165)</f>
        <v>165</v>
      </c>
      <c r="BP798">
        <f>HYPERLINK("http://exon.niaid.nih.gov/transcriptome/Anopheles_sialome/links/cluster-b/anopheline-sialome-cds-pep-larger-orf35-50SimCLU4.txt", 4)</f>
        <v>4</v>
      </c>
      <c r="BQ798">
        <f>HYPERLINK("http://exon.niaid.nih.gov/transcriptome/Anopheles_sialome/links/cluster-b/anopheline-sialome-cds-pep-larger-orf35-50SimCLTL4.txt", 76)</f>
        <v>76</v>
      </c>
      <c r="BR798">
        <f>HYPERLINK("http://exon.niaid.nih.gov/transcriptome/Anopheles_sialome/links/cluster-b/anopheline-sialome-cds-pep-larger-orf40-50SimCLU11.txt", 11)</f>
        <v>11</v>
      </c>
      <c r="BS798">
        <f>HYPERLINK("http://exon.niaid.nih.gov/transcriptome/Anopheles_sialome/links/cluster-b/anopheline-sialome-cds-pep-larger-orf40-50SimCLTL11.txt", 21)</f>
        <v>21</v>
      </c>
      <c r="BT798">
        <f>HYPERLINK("http://exon.niaid.nih.gov/transcriptome/Anopheles_sialome/links/cluster-b/anopheline-sialome-cds-pep-larger-orf45-50SimCLU11.txt", 11)</f>
        <v>11</v>
      </c>
      <c r="BU798">
        <f>HYPERLINK("http://exon.niaid.nih.gov/transcriptome/Anopheles_sialome/links/cluster-b/anopheline-sialome-cds-pep-larger-orf45-50SimCLTL11.txt", 21)</f>
        <v>21</v>
      </c>
      <c r="BV798">
        <f>HYPERLINK("http://exon.niaid.nih.gov/transcriptome/Anopheles_sialome/links/cluster-b/anopheline-sialome-cds-pep-larger-orf50-50SimCLU11.txt", 11)</f>
        <v>11</v>
      </c>
      <c r="BW798">
        <f>HYPERLINK("http://exon.niaid.nih.gov/transcriptome/Anopheles_sialome/links/cluster-b/anopheline-sialome-cds-pep-larger-orf50-50SimCLTL11.txt", 21)</f>
        <v>21</v>
      </c>
      <c r="BX798">
        <f>HYPERLINK("http://exon.niaid.nih.gov/transcriptome/Anopheles_sialome/links/cluster-b/anopheline-sialome-cds-pep-larger-orf55-50SimCLU12.txt", 12)</f>
        <v>12</v>
      </c>
      <c r="BY798">
        <f>HYPERLINK("http://exon.niaid.nih.gov/transcriptome/Anopheles_sialome/links/cluster-b/anopheline-sialome-cds-pep-larger-orf55-50SimCLTL12.txt", 21)</f>
        <v>21</v>
      </c>
      <c r="BZ798">
        <f>HYPERLINK("http://exon.niaid.nih.gov/transcriptome/Anopheles_sialome/links/cluster-b/anopheline-sialome-cds-pep-larger-orf60-50SimCLU10.txt", 10)</f>
        <v>10</v>
      </c>
      <c r="CA798">
        <f>HYPERLINK("http://exon.niaid.nih.gov/transcriptome/Anopheles_sialome/links/cluster-b/anopheline-sialome-cds-pep-larger-orf60-50SimCLTL10.txt", 21)</f>
        <v>21</v>
      </c>
      <c r="CB798">
        <f>HYPERLINK("http://exon.niaid.nih.gov/transcriptome/Anopheles_sialome/links/cluster-b/anopheline-sialome-cds-pep-larger-orf65-50SimCLU10.txt", 10)</f>
        <v>10</v>
      </c>
      <c r="CC798">
        <f>HYPERLINK("http://exon.niaid.nih.gov/transcriptome/Anopheles_sialome/links/cluster-b/anopheline-sialome-cds-pep-larger-orf65-50SimCLTL10.txt", 19)</f>
        <v>19</v>
      </c>
      <c r="CD798">
        <f>HYPERLINK("http://exon.niaid.nih.gov/transcriptome/Anopheles_sialome/links/cluster-b/anopheline-sialome-cds-pep-larger-orf70-50SimCLU19.txt", 19)</f>
        <v>19</v>
      </c>
      <c r="CE798">
        <f>HYPERLINK("http://exon.niaid.nih.gov/transcriptome/Anopheles_sialome/links/cluster-b/anopheline-sialome-cds-pep-larger-orf70-50SimCLTL19.txt", 17)</f>
        <v>17</v>
      </c>
      <c r="CF798">
        <f>HYPERLINK("http://exon.niaid.nih.gov/transcriptome/Anopheles_sialome/links/cluster-b/anopheline-sialome-cds-pep-larger-orf75-50SimCLU30.txt", 30)</f>
        <v>30</v>
      </c>
      <c r="CG798">
        <f>HYPERLINK("http://exon.niaid.nih.gov/transcriptome/Anopheles_sialome/links/cluster-b/anopheline-sialome-cds-pep-larger-orf75-50SimCLTL30.txt", 12)</f>
        <v>12</v>
      </c>
      <c r="CH798">
        <f>HYPERLINK("http://exon.niaid.nih.gov/transcriptome/Anopheles_sialome/links/cluster-b/anopheline-sialome-cds-pep-larger-orf80-50SimCLU40.txt", 40)</f>
        <v>40</v>
      </c>
      <c r="CI798">
        <f>HYPERLINK("http://exon.niaid.nih.gov/transcriptome/Anopheles_sialome/links/cluster-b/anopheline-sialome-cds-pep-larger-orf80-50SimCLTL40.txt", 6)</f>
        <v>6</v>
      </c>
      <c r="CJ798">
        <f>HYPERLINK("http://exon.niaid.nih.gov/transcriptome/Anopheles_sialome/links/cluster-b/anopheline-sialome-cds-pep-larger-orf85-50SimCLU37.txt", 37)</f>
        <v>37</v>
      </c>
      <c r="CK798">
        <f>HYPERLINK("http://exon.niaid.nih.gov/transcriptome/Anopheles_sialome/links/cluster-b/anopheline-sialome-cds-pep-larger-orf85-50SimCLTL37.txt", 6)</f>
        <v>6</v>
      </c>
      <c r="CL798">
        <f>HYPERLINK("http://exon.niaid.nih.gov/transcriptome/Anopheles_sialome/links/cluster-b/anopheline-sialome-cds-pep-larger-orf90-50SimCLU29.txt", 29)</f>
        <v>29</v>
      </c>
      <c r="CM798">
        <f>HYPERLINK("http://exon.niaid.nih.gov/transcriptome/Anopheles_sialome/links/cluster-b/anopheline-sialome-cds-pep-larger-orf90-50SimCLTL29.txt", 6)</f>
        <v>6</v>
      </c>
      <c r="CN798">
        <f>HYPERLINK("http://exon.niaid.nih.gov/transcriptome/Anopheles_sialome/links/cluster-b/anopheline-sialome-cds-pep-larger-orf95-50SimCLU37.txt", 37)</f>
        <v>37</v>
      </c>
      <c r="CO798">
        <f>HYPERLINK("http://exon.niaid.nih.gov/transcriptome/Anopheles_sialome/links/cluster-b/anopheline-sialome-cds-pep-larger-orf95-50SimCLTL37.txt", 5)</f>
        <v>5</v>
      </c>
    </row>
    <row r="799" spans="1:93">
      <c r="A799" s="2" t="str">
        <f>HYPERLINK("http://exon.niaid.nih.gov/transcriptome/Anopheles_sialome/links/cds/anocol_hyp17-cds.txt","anocol_hyp17")</f>
        <v>anocol_hyp17</v>
      </c>
      <c r="B799">
        <v>234</v>
      </c>
      <c r="C799" t="s">
        <v>293</v>
      </c>
      <c r="D799" t="s">
        <v>7</v>
      </c>
      <c r="E799" t="s">
        <v>5</v>
      </c>
      <c r="F799" t="s">
        <v>1</v>
      </c>
      <c r="G799" t="str">
        <f>HYPERLINK("http://exon.niaid.nih.gov/transcriptome/Anopheles_sialome/links/pep/anocol_hyp17-pep.txt","anocol_hyp17")</f>
        <v>anocol_hyp17</v>
      </c>
      <c r="H799">
        <v>77</v>
      </c>
      <c r="I799">
        <v>1</v>
      </c>
      <c r="J799" s="3" t="str">
        <f>HYPERLINK("http://exon.niaid.nih.gov/transcriptome/Anopheles_sialome/links/Sigp/anocol_hyp17-SigP.txt","SIG")</f>
        <v>SIG</v>
      </c>
      <c r="K799" t="s">
        <v>949</v>
      </c>
      <c r="L799">
        <v>8.1039999999999992</v>
      </c>
      <c r="M799">
        <v>9.89</v>
      </c>
      <c r="N799">
        <v>4.9219999999999997</v>
      </c>
      <c r="O799">
        <v>10.83</v>
      </c>
      <c r="P799" t="s">
        <v>1436</v>
      </c>
      <c r="Q799" s="3" t="str">
        <f>HYPERLINK("http://exon.niaid.nih.gov/transcriptome/Anopheles_sialome/links/tmhmm/anocol_hyp17-tmhmm.txt","1")</f>
        <v>1</v>
      </c>
      <c r="R799">
        <v>28.6</v>
      </c>
      <c r="S799">
        <v>62.3</v>
      </c>
      <c r="T799">
        <v>9.1</v>
      </c>
      <c r="U799" t="s">
        <v>128</v>
      </c>
      <c r="V799">
        <v>48</v>
      </c>
      <c r="W799" s="3" t="str">
        <f>HYPERLINK("http://exon.niaid.nih.gov/transcriptome/Anopheles_sialome/links/netoglyc/anocol_hyp17-netoglyc.txt","2")</f>
        <v>2</v>
      </c>
      <c r="X799">
        <v>13</v>
      </c>
      <c r="Y799">
        <v>15.6</v>
      </c>
      <c r="Z799">
        <v>6.5</v>
      </c>
      <c r="AA799" t="s">
        <v>654</v>
      </c>
      <c r="AB799" t="s">
        <v>128</v>
      </c>
      <c r="AC799" s="2" t="str">
        <f>HYPERLINK("http://exon.niaid.nih.gov/transcriptome/Anopheles_sialome/links/DIPTERA/anocol_hyp17-DIPTERA.txt","hypothetical protein 17")</f>
        <v>hypothetical protein 17</v>
      </c>
      <c r="AD799" t="str">
        <f>HYPERLINK("http://www.ncbi.nlm.nih.gov/sutils/blink.cgi?pid=18389915","3E-038")</f>
        <v>3E-038</v>
      </c>
      <c r="AE799" t="str">
        <f t="shared" si="263"/>
        <v>gi|18389915</v>
      </c>
      <c r="AF799">
        <v>100</v>
      </c>
      <c r="AG799">
        <v>100</v>
      </c>
      <c r="AH799">
        <v>85</v>
      </c>
      <c r="AI799" t="s">
        <v>2254</v>
      </c>
      <c r="AJ799" s="2" t="str">
        <f>HYPERLINK("http://exon.niaid.nih.gov/transcriptome/Anopheles_sialome/links/CULICOMORPHA/anocol_hyp17-CULICOMORPHA.txt","hypothetical protein 17")</f>
        <v>hypothetical protein 17</v>
      </c>
      <c r="AK799" t="str">
        <f>HYPERLINK("http://www.ncbi.nlm.nih.gov/sutils/blink.cgi?pid=18389915","4E-039")</f>
        <v>4E-039</v>
      </c>
      <c r="AL799" t="str">
        <f>HYPERLINK("http://www.ncbi.nlm.nih.gov/protein/18389915","gi|18389915")</f>
        <v>gi|18389915</v>
      </c>
      <c r="AM799">
        <v>100</v>
      </c>
      <c r="AN799">
        <v>100</v>
      </c>
      <c r="AO799">
        <v>85</v>
      </c>
      <c r="AP799" t="s">
        <v>2254</v>
      </c>
      <c r="AQ799" s="2" t="str">
        <f>HYPERLINK("http://exon.niaid.nih.gov/transcriptome/Anopheles_sialome/links/NR-LIGHT/anocol_hyp17-NR-LIGHT.txt","AGAP000151-PA")</f>
        <v>AGAP000151-PA</v>
      </c>
      <c r="AR799" t="str">
        <f>HYPERLINK("http://www.ncbi.nlm.nih.gov/sutils/blink.cgi?pid=347963266","7E-038")</f>
        <v>7E-038</v>
      </c>
      <c r="AS799" t="str">
        <f t="shared" si="264"/>
        <v>gi|347963266</v>
      </c>
      <c r="AT799">
        <v>100</v>
      </c>
      <c r="AU799">
        <v>100</v>
      </c>
      <c r="AV799">
        <v>100</v>
      </c>
      <c r="AW799" t="s">
        <v>2285</v>
      </c>
      <c r="AX799" s="2" t="str">
        <f>HYPERLINK("http://exon.niaid.nih.gov/transcriptome/Anopheles_sialome/links/CDD/anocol_hyp17-CDD.txt","PRK10983")</f>
        <v>PRK10983</v>
      </c>
      <c r="AY799" t="str">
        <f>HYPERLINK("http://www.ncbi.nlm.nih.gov/Structure/cdd/cddsrv.cgi?uid=PRK10983&amp;version=v4.0","0.49")</f>
        <v>0.49</v>
      </c>
      <c r="AZ799" t="s">
        <v>2706</v>
      </c>
      <c r="BA799" s="2" t="str">
        <f>HYPERLINK("http://exon.niaid.nih.gov/transcriptome/Anopheles_sialome/links/KOG/anocol_hyp17-KOG.txt","Uncharacterized conserved protein, contains WD40 repeat")</f>
        <v>Uncharacterized conserved protein, contains WD40 repeat</v>
      </c>
      <c r="BB799" t="str">
        <f>HYPERLINK("http://www.ncbi.nlm.nih.gov/Structure/cdd/cddsrv.cgi?uid=KOG0772","1.8")</f>
        <v>1.8</v>
      </c>
      <c r="BC799" t="s">
        <v>2304</v>
      </c>
      <c r="BD799" t="str">
        <f>HYPERLINK("http://exon.niaid.nih.gov/transcriptome/Anopheles_sialome/links/KOG/anocol_hyp17-KOG.txt","KOG0772")</f>
        <v>KOG0772</v>
      </c>
      <c r="BE799" t="str">
        <f>HYPERLINK("http://exon.niaid.nih.gov/transcriptome/Anopheles_sialome/links/PFAM/anocol_hyp17-PFAM.txt","DUF4367")</f>
        <v>DUF4367</v>
      </c>
      <c r="BF799" t="str">
        <f>HYPERLINK("http://pfam.sanger.ac.uk/family?acc=PF14285","2.1")</f>
        <v>2.1</v>
      </c>
      <c r="BG799" s="2" t="str">
        <f>HYPERLINK("http://exon.niaid.nih.gov/transcriptome/Anopheles_sialome/links/SMART/anocol_hyp17-SMART.txt","CarD_TRCF")</f>
        <v>CarD_TRCF</v>
      </c>
      <c r="BH799" t="str">
        <f>HYPERLINK("http://smart.embl-heidelberg.de/smart/do_annotation.pl?DOMAIN=CarD_TRCF&amp;BLAST=DUMMY","0.65")</f>
        <v>0.65</v>
      </c>
      <c r="BI799" t="s">
        <v>128</v>
      </c>
      <c r="BJ799" s="2" t="s">
        <v>128</v>
      </c>
      <c r="BK799" t="s">
        <v>1437</v>
      </c>
      <c r="BL799">
        <f>HYPERLINK("http://exon.niaid.nih.gov/transcriptome/Anopheles_sialome/links/cluster-b/anopheline-sialome-cds-pep-larger-orf25-50SimCLU1.txt", 1)</f>
        <v>1</v>
      </c>
      <c r="BM799">
        <f>HYPERLINK("http://exon.niaid.nih.gov/transcriptome/Anopheles_sialome/links/cluster-b/anopheline-sialome-cds-pep-larger-orf25-50SimCLTL1.txt", 165)</f>
        <v>165</v>
      </c>
      <c r="BN799">
        <f>HYPERLINK("http://exon.niaid.nih.gov/transcriptome/Anopheles_sialome/links/cluster-b/anopheline-sialome-cds-pep-larger-orf30-50SimCLU1.txt", 1)</f>
        <v>1</v>
      </c>
      <c r="BO799">
        <f>HYPERLINK("http://exon.niaid.nih.gov/transcriptome/Anopheles_sialome/links/cluster-b/anopheline-sialome-cds-pep-larger-orf30-50SimCLTL1.txt", 165)</f>
        <v>165</v>
      </c>
      <c r="BP799">
        <f>HYPERLINK("http://exon.niaid.nih.gov/transcriptome/Anopheles_sialome/links/cluster-b/anopheline-sialome-cds-pep-larger-orf35-50SimCLU4.txt", 4)</f>
        <v>4</v>
      </c>
      <c r="BQ799">
        <f>HYPERLINK("http://exon.niaid.nih.gov/transcriptome/Anopheles_sialome/links/cluster-b/anopheline-sialome-cds-pep-larger-orf35-50SimCLTL4.txt", 76)</f>
        <v>76</v>
      </c>
      <c r="BR799">
        <f>HYPERLINK("http://exon.niaid.nih.gov/transcriptome/Anopheles_sialome/links/cluster-b/anopheline-sialome-cds-pep-larger-orf40-50SimCLU11.txt", 11)</f>
        <v>11</v>
      </c>
      <c r="BS799">
        <f>HYPERLINK("http://exon.niaid.nih.gov/transcriptome/Anopheles_sialome/links/cluster-b/anopheline-sialome-cds-pep-larger-orf40-50SimCLTL11.txt", 21)</f>
        <v>21</v>
      </c>
      <c r="BT799">
        <f>HYPERLINK("http://exon.niaid.nih.gov/transcriptome/Anopheles_sialome/links/cluster-b/anopheline-sialome-cds-pep-larger-orf45-50SimCLU11.txt", 11)</f>
        <v>11</v>
      </c>
      <c r="BU799">
        <f>HYPERLINK("http://exon.niaid.nih.gov/transcriptome/Anopheles_sialome/links/cluster-b/anopheline-sialome-cds-pep-larger-orf45-50SimCLTL11.txt", 21)</f>
        <v>21</v>
      </c>
      <c r="BV799">
        <f>HYPERLINK("http://exon.niaid.nih.gov/transcriptome/Anopheles_sialome/links/cluster-b/anopheline-sialome-cds-pep-larger-orf50-50SimCLU11.txt", 11)</f>
        <v>11</v>
      </c>
      <c r="BW799">
        <f>HYPERLINK("http://exon.niaid.nih.gov/transcriptome/Anopheles_sialome/links/cluster-b/anopheline-sialome-cds-pep-larger-orf50-50SimCLTL11.txt", 21)</f>
        <v>21</v>
      </c>
      <c r="BX799">
        <f>HYPERLINK("http://exon.niaid.nih.gov/transcriptome/Anopheles_sialome/links/cluster-b/anopheline-sialome-cds-pep-larger-orf55-50SimCLU12.txt", 12)</f>
        <v>12</v>
      </c>
      <c r="BY799">
        <f>HYPERLINK("http://exon.niaid.nih.gov/transcriptome/Anopheles_sialome/links/cluster-b/anopheline-sialome-cds-pep-larger-orf55-50SimCLTL12.txt", 21)</f>
        <v>21</v>
      </c>
      <c r="BZ799">
        <f>HYPERLINK("http://exon.niaid.nih.gov/transcriptome/Anopheles_sialome/links/cluster-b/anopheline-sialome-cds-pep-larger-orf60-50SimCLU10.txt", 10)</f>
        <v>10</v>
      </c>
      <c r="CA799">
        <f>HYPERLINK("http://exon.niaid.nih.gov/transcriptome/Anopheles_sialome/links/cluster-b/anopheline-sialome-cds-pep-larger-orf60-50SimCLTL10.txt", 21)</f>
        <v>21</v>
      </c>
      <c r="CB799">
        <f>HYPERLINK("http://exon.niaid.nih.gov/transcriptome/Anopheles_sialome/links/cluster-b/anopheline-sialome-cds-pep-larger-orf65-50SimCLU10.txt", 10)</f>
        <v>10</v>
      </c>
      <c r="CC799">
        <f>HYPERLINK("http://exon.niaid.nih.gov/transcriptome/Anopheles_sialome/links/cluster-b/anopheline-sialome-cds-pep-larger-orf65-50SimCLTL10.txt", 19)</f>
        <v>19</v>
      </c>
      <c r="CD799">
        <f>HYPERLINK("http://exon.niaid.nih.gov/transcriptome/Anopheles_sialome/links/cluster-b/anopheline-sialome-cds-pep-larger-orf70-50SimCLU19.txt", 19)</f>
        <v>19</v>
      </c>
      <c r="CE799">
        <f>HYPERLINK("http://exon.niaid.nih.gov/transcriptome/Anopheles_sialome/links/cluster-b/anopheline-sialome-cds-pep-larger-orf70-50SimCLTL19.txt", 17)</f>
        <v>17</v>
      </c>
      <c r="CF799">
        <f>HYPERLINK("http://exon.niaid.nih.gov/transcriptome/Anopheles_sialome/links/cluster-b/anopheline-sialome-cds-pep-larger-orf75-50SimCLU30.txt", 30)</f>
        <v>30</v>
      </c>
      <c r="CG799">
        <f>HYPERLINK("http://exon.niaid.nih.gov/transcriptome/Anopheles_sialome/links/cluster-b/anopheline-sialome-cds-pep-larger-orf75-50SimCLTL30.txt", 12)</f>
        <v>12</v>
      </c>
      <c r="CH799">
        <f>HYPERLINK("http://exon.niaid.nih.gov/transcriptome/Anopheles_sialome/links/cluster-b/anopheline-sialome-cds-pep-larger-orf80-50SimCLU40.txt", 40)</f>
        <v>40</v>
      </c>
      <c r="CI799">
        <f>HYPERLINK("http://exon.niaid.nih.gov/transcriptome/Anopheles_sialome/links/cluster-b/anopheline-sialome-cds-pep-larger-orf80-50SimCLTL40.txt", 6)</f>
        <v>6</v>
      </c>
      <c r="CJ799">
        <f>HYPERLINK("http://exon.niaid.nih.gov/transcriptome/Anopheles_sialome/links/cluster-b/anopheline-sialome-cds-pep-larger-orf85-50SimCLU37.txt", 37)</f>
        <v>37</v>
      </c>
      <c r="CK799">
        <f>HYPERLINK("http://exon.niaid.nih.gov/transcriptome/Anopheles_sialome/links/cluster-b/anopheline-sialome-cds-pep-larger-orf85-50SimCLTL37.txt", 6)</f>
        <v>6</v>
      </c>
      <c r="CL799">
        <f>HYPERLINK("http://exon.niaid.nih.gov/transcriptome/Anopheles_sialome/links/cluster-b/anopheline-sialome-cds-pep-larger-orf90-50SimCLU29.txt", 29)</f>
        <v>29</v>
      </c>
      <c r="CM799">
        <f>HYPERLINK("http://exon.niaid.nih.gov/transcriptome/Anopheles_sialome/links/cluster-b/anopheline-sialome-cds-pep-larger-orf90-50SimCLTL29.txt", 6)</f>
        <v>6</v>
      </c>
      <c r="CN799">
        <f>HYPERLINK("http://exon.niaid.nih.gov/transcriptome/Anopheles_sialome/links/cluster-b/anopheline-sialome-cds-pep-larger-orf95-50SimCLU37.txt", 37)</f>
        <v>37</v>
      </c>
      <c r="CO799">
        <f>HYPERLINK("http://exon.niaid.nih.gov/transcriptome/Anopheles_sialome/links/cluster-b/anopheline-sialome-cds-pep-larger-orf95-50SimCLTL37.txt", 5)</f>
        <v>5</v>
      </c>
    </row>
    <row r="800" spans="1:93">
      <c r="A800" s="2" t="str">
        <f>HYPERLINK("http://exon.niaid.nih.gov/transcriptome/Anopheles_sialome/links/cds/anoara_hyp17-cds.txt","anoara_hyp17")</f>
        <v>anoara_hyp17</v>
      </c>
      <c r="B800">
        <v>234</v>
      </c>
      <c r="C800" t="s">
        <v>294</v>
      </c>
      <c r="D800" t="s">
        <v>4</v>
      </c>
      <c r="E800" t="s">
        <v>5</v>
      </c>
      <c r="F800" t="s">
        <v>1</v>
      </c>
      <c r="G800" t="str">
        <f>HYPERLINK("http://exon.niaid.nih.gov/transcriptome/Anopheles_sialome/links/pep/anoara_hyp17-pep.txt","anoara_hyp17")</f>
        <v>anoara_hyp17</v>
      </c>
      <c r="H800">
        <v>77</v>
      </c>
      <c r="I800">
        <v>1</v>
      </c>
      <c r="J800" s="3" t="str">
        <f>HYPERLINK("http://exon.niaid.nih.gov/transcriptome/Anopheles_sialome/links/Sigp/anoara_hyp17-SigP.txt","SIG")</f>
        <v>SIG</v>
      </c>
      <c r="K800" t="s">
        <v>949</v>
      </c>
      <c r="L800">
        <v>8.1059999999999999</v>
      </c>
      <c r="M800">
        <v>9.86</v>
      </c>
      <c r="N800">
        <v>4.923</v>
      </c>
      <c r="O800">
        <v>9.9700000000000006</v>
      </c>
      <c r="P800" t="s">
        <v>1439</v>
      </c>
      <c r="Q800" s="3" t="str">
        <f>HYPERLINK("http://exon.niaid.nih.gov/transcriptome/Anopheles_sialome/links/tmhmm/anoara_hyp17-tmhmm.txt","1")</f>
        <v>1</v>
      </c>
      <c r="R800">
        <v>28.6</v>
      </c>
      <c r="S800">
        <v>62.3</v>
      </c>
      <c r="T800">
        <v>9.1</v>
      </c>
      <c r="U800" t="s">
        <v>128</v>
      </c>
      <c r="V800">
        <v>48</v>
      </c>
      <c r="W800" s="3" t="str">
        <f>HYPERLINK("http://exon.niaid.nih.gov/transcriptome/Anopheles_sialome/links/netoglyc/anoara_hyp17-netoglyc.txt","2")</f>
        <v>2</v>
      </c>
      <c r="X800">
        <v>13</v>
      </c>
      <c r="Y800">
        <v>15.6</v>
      </c>
      <c r="Z800">
        <v>6.5</v>
      </c>
      <c r="AA800" t="s">
        <v>654</v>
      </c>
      <c r="AB800" t="s">
        <v>128</v>
      </c>
      <c r="AC800" s="2" t="str">
        <f>HYPERLINK("http://exon.niaid.nih.gov/transcriptome/Anopheles_sialome/links/DIPTERA/anoara_hyp17-DIPTERA.txt","hypothetical protein 17")</f>
        <v>hypothetical protein 17</v>
      </c>
      <c r="AD800" t="str">
        <f>HYPERLINK("http://www.ncbi.nlm.nih.gov/sutils/blink.cgi?pid=18389915","1E-034")</f>
        <v>1E-034</v>
      </c>
      <c r="AE800" t="str">
        <f t="shared" si="263"/>
        <v>gi|18389915</v>
      </c>
      <c r="AF800">
        <v>90</v>
      </c>
      <c r="AG800">
        <v>96</v>
      </c>
      <c r="AH800">
        <v>85</v>
      </c>
      <c r="AI800" t="s">
        <v>2254</v>
      </c>
      <c r="AJ800" s="2" t="str">
        <f>HYPERLINK("http://exon.niaid.nih.gov/transcriptome/Anopheles_sialome/links/CULICOMORPHA/anoara_hyp17-CULICOMORPHA.txt","hypothetical protein 17")</f>
        <v>hypothetical protein 17</v>
      </c>
      <c r="AK800" t="str">
        <f>HYPERLINK("http://www.ncbi.nlm.nih.gov/sutils/blink.cgi?pid=18389915","2E-035")</f>
        <v>2E-035</v>
      </c>
      <c r="AL800" t="str">
        <f>HYPERLINK("http://www.ncbi.nlm.nih.gov/protein/18389915","gi|18389915")</f>
        <v>gi|18389915</v>
      </c>
      <c r="AM800">
        <v>90</v>
      </c>
      <c r="AN800">
        <v>96</v>
      </c>
      <c r="AO800">
        <v>85</v>
      </c>
      <c r="AP800" t="s">
        <v>2254</v>
      </c>
      <c r="AQ800" s="2" t="str">
        <f>HYPERLINK("http://exon.niaid.nih.gov/transcriptome/Anopheles_sialome/links/NR-LIGHT/anoara_hyp17-NR-LIGHT.txt","AGAP000151-PA")</f>
        <v>AGAP000151-PA</v>
      </c>
      <c r="AR800" t="str">
        <f>HYPERLINK("http://www.ncbi.nlm.nih.gov/sutils/blink.cgi?pid=347963266","4E-034")</f>
        <v>4E-034</v>
      </c>
      <c r="AS800" t="str">
        <f t="shared" si="264"/>
        <v>gi|347963266</v>
      </c>
      <c r="AT800">
        <v>90</v>
      </c>
      <c r="AU800">
        <v>96</v>
      </c>
      <c r="AV800">
        <v>100</v>
      </c>
      <c r="AW800" t="s">
        <v>2285</v>
      </c>
      <c r="AX800" s="2" t="str">
        <f>HYPERLINK("http://exon.niaid.nih.gov/transcriptome/Anopheles_sialome/links/CDD/anoara_hyp17-CDD.txt","Tenui_PVC2")</f>
        <v>Tenui_PVC2</v>
      </c>
      <c r="AY800" t="str">
        <f>HYPERLINK("http://www.ncbi.nlm.nih.gov/Structure/cdd/cddsrv.cgi?uid=pfam06656&amp;version=v4.0","2.1")</f>
        <v>2.1</v>
      </c>
      <c r="AZ800" t="s">
        <v>2707</v>
      </c>
      <c r="BA800" s="2" t="str">
        <f>HYPERLINK("http://exon.niaid.nih.gov/transcriptome/Anopheles_sialome/links/KOG/anoara_hyp17-KOG.txt","Uncharacterized conserved protein, contains WD40 repeat")</f>
        <v>Uncharacterized conserved protein, contains WD40 repeat</v>
      </c>
      <c r="BB800" t="str">
        <f>HYPERLINK("http://www.ncbi.nlm.nih.gov/Structure/cdd/cddsrv.cgi?uid=KOG0772","2.2")</f>
        <v>2.2</v>
      </c>
      <c r="BC800" t="s">
        <v>2304</v>
      </c>
      <c r="BD800" t="str">
        <f>HYPERLINK("http://exon.niaid.nih.gov/transcriptome/Anopheles_sialome/links/KOG/anoara_hyp17-KOG.txt","KOG0772")</f>
        <v>KOG0772</v>
      </c>
      <c r="BE800" t="str">
        <f>HYPERLINK("http://exon.niaid.nih.gov/transcriptome/Anopheles_sialome/links/PFAM/anoara_hyp17-PFAM.txt","Tenui_PVC2")</f>
        <v>Tenui_PVC2</v>
      </c>
      <c r="BF800" t="str">
        <f>HYPERLINK("http://pfam.sanger.ac.uk/family?acc=PF06656","0.46")</f>
        <v>0.46</v>
      </c>
      <c r="BG800" s="2" t="str">
        <f>HYPERLINK("http://exon.niaid.nih.gov/transcriptome/Anopheles_sialome/links/SMART/anoara_hyp17-SMART.txt","CarD_TRCF")</f>
        <v>CarD_TRCF</v>
      </c>
      <c r="BH800" t="str">
        <f>HYPERLINK("http://smart.embl-heidelberg.de/smart/do_annotation.pl?DOMAIN=CarD_TRCF&amp;BLAST=DUMMY","0.86")</f>
        <v>0.86</v>
      </c>
      <c r="BI800" t="s">
        <v>128</v>
      </c>
      <c r="BJ800" s="2" t="s">
        <v>128</v>
      </c>
      <c r="BK800" t="s">
        <v>1438</v>
      </c>
      <c r="BL800">
        <f>HYPERLINK("http://exon.niaid.nih.gov/transcriptome/Anopheles_sialome/links/cluster-b/anopheline-sialome-cds-pep-larger-orf25-50SimCLU1.txt", 1)</f>
        <v>1</v>
      </c>
      <c r="BM800">
        <f>HYPERLINK("http://exon.niaid.nih.gov/transcriptome/Anopheles_sialome/links/cluster-b/anopheline-sialome-cds-pep-larger-orf25-50SimCLTL1.txt", 165)</f>
        <v>165</v>
      </c>
      <c r="BN800">
        <f>HYPERLINK("http://exon.niaid.nih.gov/transcriptome/Anopheles_sialome/links/cluster-b/anopheline-sialome-cds-pep-larger-orf30-50SimCLU1.txt", 1)</f>
        <v>1</v>
      </c>
      <c r="BO800">
        <f>HYPERLINK("http://exon.niaid.nih.gov/transcriptome/Anopheles_sialome/links/cluster-b/anopheline-sialome-cds-pep-larger-orf30-50SimCLTL1.txt", 165)</f>
        <v>165</v>
      </c>
      <c r="BP800">
        <f>HYPERLINK("http://exon.niaid.nih.gov/transcriptome/Anopheles_sialome/links/cluster-b/anopheline-sialome-cds-pep-larger-orf35-50SimCLU4.txt", 4)</f>
        <v>4</v>
      </c>
      <c r="BQ800">
        <f>HYPERLINK("http://exon.niaid.nih.gov/transcriptome/Anopheles_sialome/links/cluster-b/anopheline-sialome-cds-pep-larger-orf35-50SimCLTL4.txt", 76)</f>
        <v>76</v>
      </c>
      <c r="BR800">
        <f>HYPERLINK("http://exon.niaid.nih.gov/transcriptome/Anopheles_sialome/links/cluster-b/anopheline-sialome-cds-pep-larger-orf40-50SimCLU11.txt", 11)</f>
        <v>11</v>
      </c>
      <c r="BS800">
        <f>HYPERLINK("http://exon.niaid.nih.gov/transcriptome/Anopheles_sialome/links/cluster-b/anopheline-sialome-cds-pep-larger-orf40-50SimCLTL11.txt", 21)</f>
        <v>21</v>
      </c>
      <c r="BT800">
        <f>HYPERLINK("http://exon.niaid.nih.gov/transcriptome/Anopheles_sialome/links/cluster-b/anopheline-sialome-cds-pep-larger-orf45-50SimCLU11.txt", 11)</f>
        <v>11</v>
      </c>
      <c r="BU800">
        <f>HYPERLINK("http://exon.niaid.nih.gov/transcriptome/Anopheles_sialome/links/cluster-b/anopheline-sialome-cds-pep-larger-orf45-50SimCLTL11.txt", 21)</f>
        <v>21</v>
      </c>
      <c r="BV800">
        <f>HYPERLINK("http://exon.niaid.nih.gov/transcriptome/Anopheles_sialome/links/cluster-b/anopheline-sialome-cds-pep-larger-orf50-50SimCLU11.txt", 11)</f>
        <v>11</v>
      </c>
      <c r="BW800">
        <f>HYPERLINK("http://exon.niaid.nih.gov/transcriptome/Anopheles_sialome/links/cluster-b/anopheline-sialome-cds-pep-larger-orf50-50SimCLTL11.txt", 21)</f>
        <v>21</v>
      </c>
      <c r="BX800">
        <f>HYPERLINK("http://exon.niaid.nih.gov/transcriptome/Anopheles_sialome/links/cluster-b/anopheline-sialome-cds-pep-larger-orf55-50SimCLU12.txt", 12)</f>
        <v>12</v>
      </c>
      <c r="BY800">
        <f>HYPERLINK("http://exon.niaid.nih.gov/transcriptome/Anopheles_sialome/links/cluster-b/anopheline-sialome-cds-pep-larger-orf55-50SimCLTL12.txt", 21)</f>
        <v>21</v>
      </c>
      <c r="BZ800">
        <f>HYPERLINK("http://exon.niaid.nih.gov/transcriptome/Anopheles_sialome/links/cluster-b/anopheline-sialome-cds-pep-larger-orf60-50SimCLU10.txt", 10)</f>
        <v>10</v>
      </c>
      <c r="CA800">
        <f>HYPERLINK("http://exon.niaid.nih.gov/transcriptome/Anopheles_sialome/links/cluster-b/anopheline-sialome-cds-pep-larger-orf60-50SimCLTL10.txt", 21)</f>
        <v>21</v>
      </c>
      <c r="CB800">
        <f>HYPERLINK("http://exon.niaid.nih.gov/transcriptome/Anopheles_sialome/links/cluster-b/anopheline-sialome-cds-pep-larger-orf65-50SimCLU10.txt", 10)</f>
        <v>10</v>
      </c>
      <c r="CC800">
        <f>HYPERLINK("http://exon.niaid.nih.gov/transcriptome/Anopheles_sialome/links/cluster-b/anopheline-sialome-cds-pep-larger-orf65-50SimCLTL10.txt", 19)</f>
        <v>19</v>
      </c>
      <c r="CD800">
        <f>HYPERLINK("http://exon.niaid.nih.gov/transcriptome/Anopheles_sialome/links/cluster-b/anopheline-sialome-cds-pep-larger-orf70-50SimCLU19.txt", 19)</f>
        <v>19</v>
      </c>
      <c r="CE800">
        <f>HYPERLINK("http://exon.niaid.nih.gov/transcriptome/Anopheles_sialome/links/cluster-b/anopheline-sialome-cds-pep-larger-orf70-50SimCLTL19.txt", 17)</f>
        <v>17</v>
      </c>
      <c r="CF800">
        <f>HYPERLINK("http://exon.niaid.nih.gov/transcriptome/Anopheles_sialome/links/cluster-b/anopheline-sialome-cds-pep-larger-orf75-50SimCLU30.txt", 30)</f>
        <v>30</v>
      </c>
      <c r="CG800">
        <f>HYPERLINK("http://exon.niaid.nih.gov/transcriptome/Anopheles_sialome/links/cluster-b/anopheline-sialome-cds-pep-larger-orf75-50SimCLTL30.txt", 12)</f>
        <v>12</v>
      </c>
      <c r="CH800">
        <f>HYPERLINK("http://exon.niaid.nih.gov/transcriptome/Anopheles_sialome/links/cluster-b/anopheline-sialome-cds-pep-larger-orf80-50SimCLU40.txt", 40)</f>
        <v>40</v>
      </c>
      <c r="CI800">
        <f>HYPERLINK("http://exon.niaid.nih.gov/transcriptome/Anopheles_sialome/links/cluster-b/anopheline-sialome-cds-pep-larger-orf80-50SimCLTL40.txt", 6)</f>
        <v>6</v>
      </c>
      <c r="CJ800">
        <f>HYPERLINK("http://exon.niaid.nih.gov/transcriptome/Anopheles_sialome/links/cluster-b/anopheline-sialome-cds-pep-larger-orf85-50SimCLU37.txt", 37)</f>
        <v>37</v>
      </c>
      <c r="CK800">
        <f>HYPERLINK("http://exon.niaid.nih.gov/transcriptome/Anopheles_sialome/links/cluster-b/anopheline-sialome-cds-pep-larger-orf85-50SimCLTL37.txt", 6)</f>
        <v>6</v>
      </c>
      <c r="CL800">
        <f>HYPERLINK("http://exon.niaid.nih.gov/transcriptome/Anopheles_sialome/links/cluster-b/anopheline-sialome-cds-pep-larger-orf90-50SimCLU29.txt", 29)</f>
        <v>29</v>
      </c>
      <c r="CM800">
        <f>HYPERLINK("http://exon.niaid.nih.gov/transcriptome/Anopheles_sialome/links/cluster-b/anopheline-sialome-cds-pep-larger-orf90-50SimCLTL29.txt", 6)</f>
        <v>6</v>
      </c>
      <c r="CN800">
        <f>HYPERLINK("http://exon.niaid.nih.gov/transcriptome/Anopheles_sialome/links/cluster-b/anopheline-sialome-cds-pep-larger-orf95-50SimCLU37.txt", 37)</f>
        <v>37</v>
      </c>
      <c r="CO800">
        <f>HYPERLINK("http://exon.niaid.nih.gov/transcriptome/Anopheles_sialome/links/cluster-b/anopheline-sialome-cds-pep-larger-orf95-50SimCLTL37.txt", 5)</f>
        <v>5</v>
      </c>
    </row>
    <row r="801" spans="1:93">
      <c r="A801" s="2" t="str">
        <f>HYPERLINK("http://exon.niaid.nih.gov/transcriptome/Anopheles_sialome/links/cds/anoqua_hyp17-cds.txt","anoqua_hyp17")</f>
        <v>anoqua_hyp17</v>
      </c>
      <c r="B801">
        <v>234</v>
      </c>
      <c r="C801" t="s">
        <v>295</v>
      </c>
      <c r="D801" t="s">
        <v>4</v>
      </c>
      <c r="E801" t="s">
        <v>5</v>
      </c>
      <c r="F801" t="s">
        <v>1</v>
      </c>
      <c r="G801" t="str">
        <f>HYPERLINK("http://exon.niaid.nih.gov/transcriptome/Anopheles_sialome/links/pep/anoqua_hyp17-pep.txt","anoqua_hyp17")</f>
        <v>anoqua_hyp17</v>
      </c>
      <c r="H801">
        <v>77</v>
      </c>
      <c r="I801">
        <v>1</v>
      </c>
      <c r="J801" s="3" t="str">
        <f>HYPERLINK("http://exon.niaid.nih.gov/transcriptome/Anopheles_sialome/links/Sigp/anoqua_hyp17-SigP.txt","SIG")</f>
        <v>SIG</v>
      </c>
      <c r="K801" t="s">
        <v>949</v>
      </c>
      <c r="L801">
        <v>8.1020000000000003</v>
      </c>
      <c r="M801">
        <v>10.029999999999999</v>
      </c>
      <c r="N801">
        <v>4.9219999999999997</v>
      </c>
      <c r="O801">
        <v>10.93</v>
      </c>
      <c r="P801" t="s">
        <v>1441</v>
      </c>
      <c r="Q801" s="3" t="str">
        <f>HYPERLINK("http://exon.niaid.nih.gov/transcriptome/Anopheles_sialome/links/tmhmm/anoqua_hyp17-tmhmm.txt","1")</f>
        <v>1</v>
      </c>
      <c r="R801">
        <v>28.6</v>
      </c>
      <c r="S801">
        <v>62.3</v>
      </c>
      <c r="T801">
        <v>9.1</v>
      </c>
      <c r="U801" t="s">
        <v>128</v>
      </c>
      <c r="V801">
        <v>48</v>
      </c>
      <c r="W801" s="3" t="str">
        <f>HYPERLINK("http://exon.niaid.nih.gov/transcriptome/Anopheles_sialome/links/netoglyc/anoqua_hyp17-netoglyc.txt","2")</f>
        <v>2</v>
      </c>
      <c r="X801">
        <v>11.7</v>
      </c>
      <c r="Y801">
        <v>15.6</v>
      </c>
      <c r="Z801">
        <v>6.5</v>
      </c>
      <c r="AA801" t="s">
        <v>654</v>
      </c>
      <c r="AB801" t="s">
        <v>128</v>
      </c>
      <c r="AC801" s="2" t="str">
        <f>HYPERLINK("http://exon.niaid.nih.gov/transcriptome/Anopheles_sialome/links/DIPTERA/anoqua_hyp17-DIPTERA.txt","hypothetical protein 17")</f>
        <v>hypothetical protein 17</v>
      </c>
      <c r="AD801" t="str">
        <f>HYPERLINK("http://www.ncbi.nlm.nih.gov/sutils/blink.cgi?pid=18389915","2E-036")</f>
        <v>2E-036</v>
      </c>
      <c r="AE801" t="str">
        <f t="shared" si="263"/>
        <v>gi|18389915</v>
      </c>
      <c r="AF801">
        <v>94</v>
      </c>
      <c r="AG801">
        <v>98</v>
      </c>
      <c r="AH801">
        <v>85</v>
      </c>
      <c r="AI801" t="s">
        <v>2254</v>
      </c>
      <c r="AJ801" s="2" t="str">
        <f>HYPERLINK("http://exon.niaid.nih.gov/transcriptome/Anopheles_sialome/links/CULICOMORPHA/anoqua_hyp17-CULICOMORPHA.txt","hypothetical protein 17")</f>
        <v>hypothetical protein 17</v>
      </c>
      <c r="AK801" t="str">
        <f>HYPERLINK("http://www.ncbi.nlm.nih.gov/sutils/blink.cgi?pid=18389915","3E-037")</f>
        <v>3E-037</v>
      </c>
      <c r="AL801" t="str">
        <f>HYPERLINK("http://www.ncbi.nlm.nih.gov/protein/18389915","gi|18389915")</f>
        <v>gi|18389915</v>
      </c>
      <c r="AM801">
        <v>94</v>
      </c>
      <c r="AN801">
        <v>98</v>
      </c>
      <c r="AO801">
        <v>85</v>
      </c>
      <c r="AP801" t="s">
        <v>2254</v>
      </c>
      <c r="AQ801" s="2" t="str">
        <f>HYPERLINK("http://exon.niaid.nih.gov/transcriptome/Anopheles_sialome/links/NR-LIGHT/anoqua_hyp17-NR-LIGHT.txt","AGAP000151-PA")</f>
        <v>AGAP000151-PA</v>
      </c>
      <c r="AR801" t="str">
        <f>HYPERLINK("http://www.ncbi.nlm.nih.gov/sutils/blink.cgi?pid=347963266","5E-036")</f>
        <v>5E-036</v>
      </c>
      <c r="AS801" t="str">
        <f t="shared" si="264"/>
        <v>gi|347963266</v>
      </c>
      <c r="AT801">
        <v>94</v>
      </c>
      <c r="AU801">
        <v>98</v>
      </c>
      <c r="AV801">
        <v>100</v>
      </c>
      <c r="AW801" t="s">
        <v>2285</v>
      </c>
      <c r="AX801" s="2" t="str">
        <f>HYPERLINK("http://exon.niaid.nih.gov/transcriptome/Anopheles_sialome/links/CDD/anoqua_hyp17-CDD.txt","PHA02724")</f>
        <v>PHA02724</v>
      </c>
      <c r="AY801" t="str">
        <f>HYPERLINK("http://www.ncbi.nlm.nih.gov/Structure/cdd/cddsrv.cgi?uid=PHA02724&amp;version=v4.0","4.8")</f>
        <v>4.8</v>
      </c>
      <c r="AZ801" t="s">
        <v>2708</v>
      </c>
      <c r="BA801" s="2" t="str">
        <f>HYPERLINK("http://exon.niaid.nih.gov/transcriptome/Anopheles_sialome/links/KOG/anoqua_hyp17-KOG.txt","Major epididymal secretory protein HE1")</f>
        <v>Major epididymal secretory protein HE1</v>
      </c>
      <c r="BB801" t="str">
        <f>HYPERLINK("http://www.ncbi.nlm.nih.gov/Structure/cdd/cddsrv.cgi?uid=KOG4063","1.5")</f>
        <v>1.5</v>
      </c>
      <c r="BC801" t="s">
        <v>2304</v>
      </c>
      <c r="BD801" t="str">
        <f>HYPERLINK("http://exon.niaid.nih.gov/transcriptome/Anopheles_sialome/links/KOG/anoqua_hyp17-KOG.txt","KOG4063")</f>
        <v>KOG4063</v>
      </c>
      <c r="BE801" t="str">
        <f>HYPERLINK("http://exon.niaid.nih.gov/transcriptome/Anopheles_sialome/links/PFAM/anoqua_hyp17-PFAM.txt","Tenui_PVC2")</f>
        <v>Tenui_PVC2</v>
      </c>
      <c r="BF801" t="str">
        <f>HYPERLINK("http://pfam.sanger.ac.uk/family?acc=PF06656","1.3")</f>
        <v>1.3</v>
      </c>
      <c r="BG801" s="2" t="str">
        <f>HYPERLINK("http://exon.niaid.nih.gov/transcriptome/Anopheles_sialome/links/SMART/anoqua_hyp17-SMART.txt","CarD_TRCF")</f>
        <v>CarD_TRCF</v>
      </c>
      <c r="BH801" t="str">
        <f>HYPERLINK("http://smart.embl-heidelberg.de/smart/do_annotation.pl?DOMAIN=CarD_TRCF&amp;BLAST=DUMMY","0.86")</f>
        <v>0.86</v>
      </c>
      <c r="BI801" t="s">
        <v>128</v>
      </c>
      <c r="BJ801" s="2" t="s">
        <v>128</v>
      </c>
      <c r="BK801" t="s">
        <v>1440</v>
      </c>
      <c r="BL801">
        <f>HYPERLINK("http://exon.niaid.nih.gov/transcriptome/Anopheles_sialome/links/cluster-b/anopheline-sialome-cds-pep-larger-orf25-50SimCLU1.txt", 1)</f>
        <v>1</v>
      </c>
      <c r="BM801">
        <f>HYPERLINK("http://exon.niaid.nih.gov/transcriptome/Anopheles_sialome/links/cluster-b/anopheline-sialome-cds-pep-larger-orf25-50SimCLTL1.txt", 165)</f>
        <v>165</v>
      </c>
      <c r="BN801">
        <f>HYPERLINK("http://exon.niaid.nih.gov/transcriptome/Anopheles_sialome/links/cluster-b/anopheline-sialome-cds-pep-larger-orf30-50SimCLU1.txt", 1)</f>
        <v>1</v>
      </c>
      <c r="BO801">
        <f>HYPERLINK("http://exon.niaid.nih.gov/transcriptome/Anopheles_sialome/links/cluster-b/anopheline-sialome-cds-pep-larger-orf30-50SimCLTL1.txt", 165)</f>
        <v>165</v>
      </c>
      <c r="BP801">
        <f>HYPERLINK("http://exon.niaid.nih.gov/transcriptome/Anopheles_sialome/links/cluster-b/anopheline-sialome-cds-pep-larger-orf35-50SimCLU4.txt", 4)</f>
        <v>4</v>
      </c>
      <c r="BQ801">
        <f>HYPERLINK("http://exon.niaid.nih.gov/transcriptome/Anopheles_sialome/links/cluster-b/anopheline-sialome-cds-pep-larger-orf35-50SimCLTL4.txt", 76)</f>
        <v>76</v>
      </c>
      <c r="BR801">
        <f>HYPERLINK("http://exon.niaid.nih.gov/transcriptome/Anopheles_sialome/links/cluster-b/anopheline-sialome-cds-pep-larger-orf40-50SimCLU11.txt", 11)</f>
        <v>11</v>
      </c>
      <c r="BS801">
        <f>HYPERLINK("http://exon.niaid.nih.gov/transcriptome/Anopheles_sialome/links/cluster-b/anopheline-sialome-cds-pep-larger-orf40-50SimCLTL11.txt", 21)</f>
        <v>21</v>
      </c>
      <c r="BT801">
        <f>HYPERLINK("http://exon.niaid.nih.gov/transcriptome/Anopheles_sialome/links/cluster-b/anopheline-sialome-cds-pep-larger-orf45-50SimCLU11.txt", 11)</f>
        <v>11</v>
      </c>
      <c r="BU801">
        <f>HYPERLINK("http://exon.niaid.nih.gov/transcriptome/Anopheles_sialome/links/cluster-b/anopheline-sialome-cds-pep-larger-orf45-50SimCLTL11.txt", 21)</f>
        <v>21</v>
      </c>
      <c r="BV801">
        <f>HYPERLINK("http://exon.niaid.nih.gov/transcriptome/Anopheles_sialome/links/cluster-b/anopheline-sialome-cds-pep-larger-orf50-50SimCLU11.txt", 11)</f>
        <v>11</v>
      </c>
      <c r="BW801">
        <f>HYPERLINK("http://exon.niaid.nih.gov/transcriptome/Anopheles_sialome/links/cluster-b/anopheline-sialome-cds-pep-larger-orf50-50SimCLTL11.txt", 21)</f>
        <v>21</v>
      </c>
      <c r="BX801">
        <f>HYPERLINK("http://exon.niaid.nih.gov/transcriptome/Anopheles_sialome/links/cluster-b/anopheline-sialome-cds-pep-larger-orf55-50SimCLU12.txt", 12)</f>
        <v>12</v>
      </c>
      <c r="BY801">
        <f>HYPERLINK("http://exon.niaid.nih.gov/transcriptome/Anopheles_sialome/links/cluster-b/anopheline-sialome-cds-pep-larger-orf55-50SimCLTL12.txt", 21)</f>
        <v>21</v>
      </c>
      <c r="BZ801">
        <f>HYPERLINK("http://exon.niaid.nih.gov/transcriptome/Anopheles_sialome/links/cluster-b/anopheline-sialome-cds-pep-larger-orf60-50SimCLU10.txt", 10)</f>
        <v>10</v>
      </c>
      <c r="CA801">
        <f>HYPERLINK("http://exon.niaid.nih.gov/transcriptome/Anopheles_sialome/links/cluster-b/anopheline-sialome-cds-pep-larger-orf60-50SimCLTL10.txt", 21)</f>
        <v>21</v>
      </c>
      <c r="CB801">
        <f>HYPERLINK("http://exon.niaid.nih.gov/transcriptome/Anopheles_sialome/links/cluster-b/anopheline-sialome-cds-pep-larger-orf65-50SimCLU10.txt", 10)</f>
        <v>10</v>
      </c>
      <c r="CC801">
        <f>HYPERLINK("http://exon.niaid.nih.gov/transcriptome/Anopheles_sialome/links/cluster-b/anopheline-sialome-cds-pep-larger-orf65-50SimCLTL10.txt", 19)</f>
        <v>19</v>
      </c>
      <c r="CD801">
        <f>HYPERLINK("http://exon.niaid.nih.gov/transcriptome/Anopheles_sialome/links/cluster-b/anopheline-sialome-cds-pep-larger-orf70-50SimCLU19.txt", 19)</f>
        <v>19</v>
      </c>
      <c r="CE801">
        <f>HYPERLINK("http://exon.niaid.nih.gov/transcriptome/Anopheles_sialome/links/cluster-b/anopheline-sialome-cds-pep-larger-orf70-50SimCLTL19.txt", 17)</f>
        <v>17</v>
      </c>
      <c r="CF801">
        <f>HYPERLINK("http://exon.niaid.nih.gov/transcriptome/Anopheles_sialome/links/cluster-b/anopheline-sialome-cds-pep-larger-orf75-50SimCLU30.txt", 30)</f>
        <v>30</v>
      </c>
      <c r="CG801">
        <f>HYPERLINK("http://exon.niaid.nih.gov/transcriptome/Anopheles_sialome/links/cluster-b/anopheline-sialome-cds-pep-larger-orf75-50SimCLTL30.txt", 12)</f>
        <v>12</v>
      </c>
      <c r="CH801">
        <f>HYPERLINK("http://exon.niaid.nih.gov/transcriptome/Anopheles_sialome/links/cluster-b/anopheline-sialome-cds-pep-larger-orf80-50SimCLU40.txt", 40)</f>
        <v>40</v>
      </c>
      <c r="CI801">
        <f>HYPERLINK("http://exon.niaid.nih.gov/transcriptome/Anopheles_sialome/links/cluster-b/anopheline-sialome-cds-pep-larger-orf80-50SimCLTL40.txt", 6)</f>
        <v>6</v>
      </c>
      <c r="CJ801">
        <f>HYPERLINK("http://exon.niaid.nih.gov/transcriptome/Anopheles_sialome/links/cluster-b/anopheline-sialome-cds-pep-larger-orf85-50SimCLU37.txt", 37)</f>
        <v>37</v>
      </c>
      <c r="CK801">
        <f>HYPERLINK("http://exon.niaid.nih.gov/transcriptome/Anopheles_sialome/links/cluster-b/anopheline-sialome-cds-pep-larger-orf85-50SimCLTL37.txt", 6)</f>
        <v>6</v>
      </c>
      <c r="CL801">
        <f>HYPERLINK("http://exon.niaid.nih.gov/transcriptome/Anopheles_sialome/links/cluster-b/anopheline-sialome-cds-pep-larger-orf90-50SimCLU29.txt", 29)</f>
        <v>29</v>
      </c>
      <c r="CM801">
        <f>HYPERLINK("http://exon.niaid.nih.gov/transcriptome/Anopheles_sialome/links/cluster-b/anopheline-sialome-cds-pep-larger-orf90-50SimCLTL29.txt", 6)</f>
        <v>6</v>
      </c>
      <c r="CN801">
        <f>HYPERLINK("http://exon.niaid.nih.gov/transcriptome/Anopheles_sialome/links/cluster-b/anopheline-sialome-cds-pep-larger-orf95-50SimCLU37.txt", 37)</f>
        <v>37</v>
      </c>
      <c r="CO801">
        <f>HYPERLINK("http://exon.niaid.nih.gov/transcriptome/Anopheles_sialome/links/cluster-b/anopheline-sialome-cds-pep-larger-orf95-50SimCLTL37.txt", 5)</f>
        <v>5</v>
      </c>
    </row>
    <row r="802" spans="1:93">
      <c r="A802" s="2" t="str">
        <f>HYPERLINK("http://exon.niaid.nih.gov/transcriptome/Anopheles_sialome/links/cds/anomer_hyp17-cds.txt","anomer_hyp17")</f>
        <v>anomer_hyp17</v>
      </c>
      <c r="B802">
        <v>234</v>
      </c>
      <c r="C802" t="s">
        <v>296</v>
      </c>
      <c r="D802" t="s">
        <v>4</v>
      </c>
      <c r="E802" t="s">
        <v>5</v>
      </c>
      <c r="F802" t="s">
        <v>1</v>
      </c>
      <c r="G802" t="str">
        <f>HYPERLINK("http://exon.niaid.nih.gov/transcriptome/Anopheles_sialome/links/pep/anomer_hyp17-pep.txt","anomer_hyp17")</f>
        <v>anomer_hyp17</v>
      </c>
      <c r="H802">
        <v>77</v>
      </c>
      <c r="I802">
        <v>1</v>
      </c>
      <c r="J802" s="3" t="str">
        <f>HYPERLINK("http://exon.niaid.nih.gov/transcriptome/Anopheles_sialome/links/Sigp/anomer_hyp17-SigP.txt","SIG")</f>
        <v>SIG</v>
      </c>
      <c r="K802" t="s">
        <v>949</v>
      </c>
      <c r="L802">
        <v>7.984</v>
      </c>
      <c r="M802">
        <v>10.039999999999999</v>
      </c>
      <c r="N802">
        <v>4.8940000000000001</v>
      </c>
      <c r="O802">
        <v>10.43</v>
      </c>
      <c r="P802" t="s">
        <v>1443</v>
      </c>
      <c r="Q802" s="3" t="str">
        <f>HYPERLINK("http://exon.niaid.nih.gov/transcriptome/Anopheles_sialome/links/tmhmm/anomer_hyp17-tmhmm.txt","1")</f>
        <v>1</v>
      </c>
      <c r="R802">
        <v>28.6</v>
      </c>
      <c r="S802">
        <v>62.3</v>
      </c>
      <c r="T802">
        <v>9.1</v>
      </c>
      <c r="U802" t="s">
        <v>128</v>
      </c>
      <c r="V802">
        <v>48</v>
      </c>
      <c r="W802" s="3" t="str">
        <f>HYPERLINK("http://exon.niaid.nih.gov/transcriptome/Anopheles_sialome/links/netoglyc/anomer_hyp17-netoglyc.txt","2")</f>
        <v>2</v>
      </c>
      <c r="X802">
        <v>13</v>
      </c>
      <c r="Y802">
        <v>15.6</v>
      </c>
      <c r="Z802">
        <v>6.5</v>
      </c>
      <c r="AA802" t="s">
        <v>654</v>
      </c>
      <c r="AB802" t="s">
        <v>128</v>
      </c>
      <c r="AC802" s="2" t="str">
        <f>HYPERLINK("http://exon.niaid.nih.gov/transcriptome/Anopheles_sialome/links/DIPTERA/anomer_hyp17-DIPTERA.txt","hypothetical protein 17")</f>
        <v>hypothetical protein 17</v>
      </c>
      <c r="AD802" t="str">
        <f>HYPERLINK("http://www.ncbi.nlm.nih.gov/sutils/blink.cgi?pid=18389915","3E-035")</f>
        <v>3E-035</v>
      </c>
      <c r="AE802" t="str">
        <f t="shared" si="263"/>
        <v>gi|18389915</v>
      </c>
      <c r="AF802">
        <v>92</v>
      </c>
      <c r="AG802">
        <v>97</v>
      </c>
      <c r="AH802">
        <v>85</v>
      </c>
      <c r="AI802" t="s">
        <v>2254</v>
      </c>
      <c r="AJ802" s="2" t="str">
        <f>HYPERLINK("http://exon.niaid.nih.gov/transcriptome/Anopheles_sialome/links/CULICOMORPHA/anomer_hyp17-CULICOMORPHA.txt","hypothetical protein 17")</f>
        <v>hypothetical protein 17</v>
      </c>
      <c r="AK802" t="str">
        <f>HYPERLINK("http://www.ncbi.nlm.nih.gov/sutils/blink.cgi?pid=18389915","4E-036")</f>
        <v>4E-036</v>
      </c>
      <c r="AL802" t="str">
        <f>HYPERLINK("http://www.ncbi.nlm.nih.gov/protein/18389915","gi|18389915")</f>
        <v>gi|18389915</v>
      </c>
      <c r="AM802">
        <v>92</v>
      </c>
      <c r="AN802">
        <v>97</v>
      </c>
      <c r="AO802">
        <v>85</v>
      </c>
      <c r="AP802" t="s">
        <v>2254</v>
      </c>
      <c r="AQ802" s="2" t="str">
        <f>HYPERLINK("http://exon.niaid.nih.gov/transcriptome/Anopheles_sialome/links/NR-LIGHT/anomer_hyp17-NR-LIGHT.txt","AGAP000151-PA")</f>
        <v>AGAP000151-PA</v>
      </c>
      <c r="AR802" t="str">
        <f>HYPERLINK("http://www.ncbi.nlm.nih.gov/sutils/blink.cgi?pid=347963266","7E-035")</f>
        <v>7E-035</v>
      </c>
      <c r="AS802" t="str">
        <f t="shared" si="264"/>
        <v>gi|347963266</v>
      </c>
      <c r="AT802">
        <v>92</v>
      </c>
      <c r="AU802">
        <v>97</v>
      </c>
      <c r="AV802">
        <v>100</v>
      </c>
      <c r="AW802" t="s">
        <v>2285</v>
      </c>
      <c r="AX802" s="2" t="str">
        <f>HYPERLINK("http://exon.niaid.nih.gov/transcriptome/Anopheles_sialome/links/CDD/anomer_hyp17-CDD.txt","CuRO_1_MCO_like")</f>
        <v>CuRO_1_MCO_like</v>
      </c>
      <c r="AY802" t="str">
        <f>HYPERLINK("http://www.ncbi.nlm.nih.gov/Structure/cdd/cddsrv.cgi?uid=cd13862&amp;version=v4.0","9.5")</f>
        <v>9.5</v>
      </c>
      <c r="AZ802" t="s">
        <v>2709</v>
      </c>
      <c r="BA802" s="2" t="str">
        <f>HYPERLINK("http://exon.niaid.nih.gov/transcriptome/Anopheles_sialome/links/KOG/anomer_hyp17-KOG.txt","Major epididymal secretory protein HE1")</f>
        <v>Major epididymal secretory protein HE1</v>
      </c>
      <c r="BB802" t="str">
        <f>HYPERLINK("http://www.ncbi.nlm.nih.gov/Structure/cdd/cddsrv.cgi?uid=KOG4063","1.9")</f>
        <v>1.9</v>
      </c>
      <c r="BC802" t="s">
        <v>2304</v>
      </c>
      <c r="BD802" t="str">
        <f>HYPERLINK("http://exon.niaid.nih.gov/transcriptome/Anopheles_sialome/links/KOG/anomer_hyp17-KOG.txt","KOG4063")</f>
        <v>KOG4063</v>
      </c>
      <c r="BE802" t="str">
        <f>HYPERLINK("http://exon.niaid.nih.gov/transcriptome/Anopheles_sialome/links/PFAM/anomer_hyp17-PFAM.txt","Septin")</f>
        <v>Septin</v>
      </c>
      <c r="BF802" t="str">
        <f>HYPERLINK("http://pfam.sanger.ac.uk/family?acc=PF00735","3.0")</f>
        <v>3.0</v>
      </c>
      <c r="BG802" s="2" t="str">
        <f>HYPERLINK("http://exon.niaid.nih.gov/transcriptome/Anopheles_sialome/links/SMART/anomer_hyp17-SMART.txt","CarD_TRCF")</f>
        <v>CarD_TRCF</v>
      </c>
      <c r="BH802" t="str">
        <f>HYPERLINK("http://smart.embl-heidelberg.de/smart/do_annotation.pl?DOMAIN=CarD_TRCF&amp;BLAST=DUMMY","0.23")</f>
        <v>0.23</v>
      </c>
      <c r="BI802" t="s">
        <v>128</v>
      </c>
      <c r="BJ802" s="2" t="s">
        <v>128</v>
      </c>
      <c r="BK802" t="s">
        <v>1442</v>
      </c>
      <c r="BL802">
        <f>HYPERLINK("http://exon.niaid.nih.gov/transcriptome/Anopheles_sialome/links/cluster-b/anopheline-sialome-cds-pep-larger-orf25-50SimCLU1.txt", 1)</f>
        <v>1</v>
      </c>
      <c r="BM802">
        <f>HYPERLINK("http://exon.niaid.nih.gov/transcriptome/Anopheles_sialome/links/cluster-b/anopheline-sialome-cds-pep-larger-orf25-50SimCLTL1.txt", 165)</f>
        <v>165</v>
      </c>
      <c r="BN802">
        <f>HYPERLINK("http://exon.niaid.nih.gov/transcriptome/Anopheles_sialome/links/cluster-b/anopheline-sialome-cds-pep-larger-orf30-50SimCLU1.txt", 1)</f>
        <v>1</v>
      </c>
      <c r="BO802">
        <f>HYPERLINK("http://exon.niaid.nih.gov/transcriptome/Anopheles_sialome/links/cluster-b/anopheline-sialome-cds-pep-larger-orf30-50SimCLTL1.txt", 165)</f>
        <v>165</v>
      </c>
      <c r="BP802">
        <f>HYPERLINK("http://exon.niaid.nih.gov/transcriptome/Anopheles_sialome/links/cluster-b/anopheline-sialome-cds-pep-larger-orf35-50SimCLU4.txt", 4)</f>
        <v>4</v>
      </c>
      <c r="BQ802">
        <f>HYPERLINK("http://exon.niaid.nih.gov/transcriptome/Anopheles_sialome/links/cluster-b/anopheline-sialome-cds-pep-larger-orf35-50SimCLTL4.txt", 76)</f>
        <v>76</v>
      </c>
      <c r="BR802">
        <f>HYPERLINK("http://exon.niaid.nih.gov/transcriptome/Anopheles_sialome/links/cluster-b/anopheline-sialome-cds-pep-larger-orf40-50SimCLU11.txt", 11)</f>
        <v>11</v>
      </c>
      <c r="BS802">
        <f>HYPERLINK("http://exon.niaid.nih.gov/transcriptome/Anopheles_sialome/links/cluster-b/anopheline-sialome-cds-pep-larger-orf40-50SimCLTL11.txt", 21)</f>
        <v>21</v>
      </c>
      <c r="BT802">
        <f>HYPERLINK("http://exon.niaid.nih.gov/transcriptome/Anopheles_sialome/links/cluster-b/anopheline-sialome-cds-pep-larger-orf45-50SimCLU11.txt", 11)</f>
        <v>11</v>
      </c>
      <c r="BU802">
        <f>HYPERLINK("http://exon.niaid.nih.gov/transcriptome/Anopheles_sialome/links/cluster-b/anopheline-sialome-cds-pep-larger-orf45-50SimCLTL11.txt", 21)</f>
        <v>21</v>
      </c>
      <c r="BV802">
        <f>HYPERLINK("http://exon.niaid.nih.gov/transcriptome/Anopheles_sialome/links/cluster-b/anopheline-sialome-cds-pep-larger-orf50-50SimCLU11.txt", 11)</f>
        <v>11</v>
      </c>
      <c r="BW802">
        <f>HYPERLINK("http://exon.niaid.nih.gov/transcriptome/Anopheles_sialome/links/cluster-b/anopheline-sialome-cds-pep-larger-orf50-50SimCLTL11.txt", 21)</f>
        <v>21</v>
      </c>
      <c r="BX802">
        <f>HYPERLINK("http://exon.niaid.nih.gov/transcriptome/Anopheles_sialome/links/cluster-b/anopheline-sialome-cds-pep-larger-orf55-50SimCLU12.txt", 12)</f>
        <v>12</v>
      </c>
      <c r="BY802">
        <f>HYPERLINK("http://exon.niaid.nih.gov/transcriptome/Anopheles_sialome/links/cluster-b/anopheline-sialome-cds-pep-larger-orf55-50SimCLTL12.txt", 21)</f>
        <v>21</v>
      </c>
      <c r="BZ802">
        <f>HYPERLINK("http://exon.niaid.nih.gov/transcriptome/Anopheles_sialome/links/cluster-b/anopheline-sialome-cds-pep-larger-orf60-50SimCLU10.txt", 10)</f>
        <v>10</v>
      </c>
      <c r="CA802">
        <f>HYPERLINK("http://exon.niaid.nih.gov/transcriptome/Anopheles_sialome/links/cluster-b/anopheline-sialome-cds-pep-larger-orf60-50SimCLTL10.txt", 21)</f>
        <v>21</v>
      </c>
      <c r="CB802">
        <f>HYPERLINK("http://exon.niaid.nih.gov/transcriptome/Anopheles_sialome/links/cluster-b/anopheline-sialome-cds-pep-larger-orf65-50SimCLU10.txt", 10)</f>
        <v>10</v>
      </c>
      <c r="CC802">
        <f>HYPERLINK("http://exon.niaid.nih.gov/transcriptome/Anopheles_sialome/links/cluster-b/anopheline-sialome-cds-pep-larger-orf65-50SimCLTL10.txt", 19)</f>
        <v>19</v>
      </c>
      <c r="CD802">
        <f>HYPERLINK("http://exon.niaid.nih.gov/transcriptome/Anopheles_sialome/links/cluster-b/anopheline-sialome-cds-pep-larger-orf70-50SimCLU19.txt", 19)</f>
        <v>19</v>
      </c>
      <c r="CE802">
        <f>HYPERLINK("http://exon.niaid.nih.gov/transcriptome/Anopheles_sialome/links/cluster-b/anopheline-sialome-cds-pep-larger-orf70-50SimCLTL19.txt", 17)</f>
        <v>17</v>
      </c>
      <c r="CF802">
        <f>HYPERLINK("http://exon.niaid.nih.gov/transcriptome/Anopheles_sialome/links/cluster-b/anopheline-sialome-cds-pep-larger-orf75-50SimCLU30.txt", 30)</f>
        <v>30</v>
      </c>
      <c r="CG802">
        <f>HYPERLINK("http://exon.niaid.nih.gov/transcriptome/Anopheles_sialome/links/cluster-b/anopheline-sialome-cds-pep-larger-orf75-50SimCLTL30.txt", 12)</f>
        <v>12</v>
      </c>
      <c r="CH802">
        <f>HYPERLINK("http://exon.niaid.nih.gov/transcriptome/Anopheles_sialome/links/cluster-b/anopheline-sialome-cds-pep-larger-orf80-50SimCLU40.txt", 40)</f>
        <v>40</v>
      </c>
      <c r="CI802">
        <f>HYPERLINK("http://exon.niaid.nih.gov/transcriptome/Anopheles_sialome/links/cluster-b/anopheline-sialome-cds-pep-larger-orf80-50SimCLTL40.txt", 6)</f>
        <v>6</v>
      </c>
      <c r="CJ802">
        <f>HYPERLINK("http://exon.niaid.nih.gov/transcriptome/Anopheles_sialome/links/cluster-b/anopheline-sialome-cds-pep-larger-orf85-50SimCLU37.txt", 37)</f>
        <v>37</v>
      </c>
      <c r="CK802">
        <f>HYPERLINK("http://exon.niaid.nih.gov/transcriptome/Anopheles_sialome/links/cluster-b/anopheline-sialome-cds-pep-larger-orf85-50SimCLTL37.txt", 6)</f>
        <v>6</v>
      </c>
      <c r="CL802">
        <f>HYPERLINK("http://exon.niaid.nih.gov/transcriptome/Anopheles_sialome/links/cluster-b/anopheline-sialome-cds-pep-larger-orf90-50SimCLU29.txt", 29)</f>
        <v>29</v>
      </c>
      <c r="CM802">
        <f>HYPERLINK("http://exon.niaid.nih.gov/transcriptome/Anopheles_sialome/links/cluster-b/anopheline-sialome-cds-pep-larger-orf90-50SimCLTL29.txt", 6)</f>
        <v>6</v>
      </c>
      <c r="CN802">
        <f>HYPERLINK("http://exon.niaid.nih.gov/transcriptome/Anopheles_sialome/links/cluster-b/anopheline-sialome-cds-pep-larger-orf95-50SimCLU37.txt", 37)</f>
        <v>37</v>
      </c>
      <c r="CO802">
        <f>HYPERLINK("http://exon.niaid.nih.gov/transcriptome/Anopheles_sialome/links/cluster-b/anopheline-sialome-cds-pep-larger-orf95-50SimCLTL37.txt", 5)</f>
        <v>5</v>
      </c>
    </row>
    <row r="803" spans="1:93">
      <c r="A803" s="2" t="str">
        <f>HYPERLINK("http://exon.niaid.nih.gov/transcriptome/Anopheles_sialome/links/cds/anomel_hyp17-cds.txt","anomel_hyp17")</f>
        <v>anomel_hyp17</v>
      </c>
      <c r="B803">
        <v>234</v>
      </c>
      <c r="C803" t="s">
        <v>4</v>
      </c>
      <c r="D803" t="s">
        <v>4</v>
      </c>
      <c r="E803" t="s">
        <v>5</v>
      </c>
      <c r="F803" t="s">
        <v>1</v>
      </c>
      <c r="G803" t="str">
        <f>HYPERLINK("http://exon.niaid.nih.gov/transcriptome/Anopheles_sialome/links/pep/anomel_hyp17-pep.txt","anomel_hyp17")</f>
        <v>anomel_hyp17</v>
      </c>
      <c r="H803">
        <v>77</v>
      </c>
      <c r="I803">
        <v>1</v>
      </c>
      <c r="J803" s="3" t="str">
        <f>HYPERLINK("http://exon.niaid.nih.gov/transcriptome/Anopheles_sialome/links/Sigp/anomel_hyp17-SigP.txt","SIG")</f>
        <v>SIG</v>
      </c>
      <c r="K803" t="s">
        <v>949</v>
      </c>
      <c r="L803">
        <v>8.1460000000000008</v>
      </c>
      <c r="M803">
        <v>10.19</v>
      </c>
      <c r="N803">
        <v>4.95</v>
      </c>
      <c r="O803">
        <v>10.93</v>
      </c>
      <c r="P803" t="s">
        <v>1445</v>
      </c>
      <c r="Q803" s="3" t="str">
        <f>HYPERLINK("http://exon.niaid.nih.gov/transcriptome/Anopheles_sialome/links/tmhmm/anomel_hyp17-tmhmm.txt","1")</f>
        <v>1</v>
      </c>
      <c r="R803">
        <v>28.6</v>
      </c>
      <c r="S803">
        <v>62.3</v>
      </c>
      <c r="T803">
        <v>9.1</v>
      </c>
      <c r="U803" t="s">
        <v>128</v>
      </c>
      <c r="V803">
        <v>48</v>
      </c>
      <c r="W803" s="3" t="str">
        <f>HYPERLINK("http://exon.niaid.nih.gov/transcriptome/Anopheles_sialome/links/netoglyc/anomel_hyp17-netoglyc.txt","2")</f>
        <v>2</v>
      </c>
      <c r="X803">
        <v>14.3</v>
      </c>
      <c r="Y803">
        <v>15.6</v>
      </c>
      <c r="Z803">
        <v>6.5</v>
      </c>
      <c r="AA803" t="s">
        <v>654</v>
      </c>
      <c r="AB803" t="s">
        <v>128</v>
      </c>
      <c r="AC803" s="2" t="str">
        <f>HYPERLINK("http://exon.niaid.nih.gov/transcriptome/Anopheles_sialome/links/DIPTERA/anomel_hyp17-DIPTERA.txt","hypothetical protein 17")</f>
        <v>hypothetical protein 17</v>
      </c>
      <c r="AD803" t="str">
        <f>HYPERLINK("http://www.ncbi.nlm.nih.gov/sutils/blink.cgi?pid=18389915","6E-035")</f>
        <v>6E-035</v>
      </c>
      <c r="AE803" t="str">
        <f t="shared" si="263"/>
        <v>gi|18389915</v>
      </c>
      <c r="AF803">
        <v>92</v>
      </c>
      <c r="AG803">
        <v>94</v>
      </c>
      <c r="AH803">
        <v>85</v>
      </c>
      <c r="AI803" t="s">
        <v>2254</v>
      </c>
      <c r="AJ803" s="2" t="str">
        <f>HYPERLINK("http://exon.niaid.nih.gov/transcriptome/Anopheles_sialome/links/CULICOMORPHA/anomel_hyp17-CULICOMORPHA.txt","hypothetical protein 17")</f>
        <v>hypothetical protein 17</v>
      </c>
      <c r="AK803" t="str">
        <f>HYPERLINK("http://www.ncbi.nlm.nih.gov/sutils/blink.cgi?pid=18389915","1E-035")</f>
        <v>1E-035</v>
      </c>
      <c r="AL803" t="str">
        <f>HYPERLINK("http://www.ncbi.nlm.nih.gov/protein/18389915","gi|18389915")</f>
        <v>gi|18389915</v>
      </c>
      <c r="AM803">
        <v>92</v>
      </c>
      <c r="AN803">
        <v>94</v>
      </c>
      <c r="AO803">
        <v>85</v>
      </c>
      <c r="AP803" t="s">
        <v>2254</v>
      </c>
      <c r="AQ803" s="2" t="str">
        <f>HYPERLINK("http://exon.niaid.nih.gov/transcriptome/Anopheles_sialome/links/NR-LIGHT/anomel_hyp17-NR-LIGHT.txt","AGAP000151-PA")</f>
        <v>AGAP000151-PA</v>
      </c>
      <c r="AR803" t="str">
        <f>HYPERLINK("http://www.ncbi.nlm.nih.gov/sutils/blink.cgi?pid=347963266","2E-034")</f>
        <v>2E-034</v>
      </c>
      <c r="AS803" t="str">
        <f t="shared" si="264"/>
        <v>gi|347963266</v>
      </c>
      <c r="AT803">
        <v>92</v>
      </c>
      <c r="AU803">
        <v>94</v>
      </c>
      <c r="AV803">
        <v>100</v>
      </c>
      <c r="AW803" t="s">
        <v>2285</v>
      </c>
      <c r="AX803" s="2" t="str">
        <f>HYPERLINK("http://exon.niaid.nih.gov/transcriptome/Anopheles_sialome/links/CDD/anomel_hyp17-CDD.txt","PRK10983")</f>
        <v>PRK10983</v>
      </c>
      <c r="AY803" t="str">
        <f>HYPERLINK("http://www.ncbi.nlm.nih.gov/Structure/cdd/cddsrv.cgi?uid=PRK10983&amp;version=v4.0","6.9")</f>
        <v>6.9</v>
      </c>
      <c r="AZ803" t="s">
        <v>2710</v>
      </c>
      <c r="BA803" s="2" t="str">
        <f>HYPERLINK("http://exon.niaid.nih.gov/transcriptome/Anopheles_sialome/links/KOG/anomel_hyp17-KOG.txt","RFX family transcription factor")</f>
        <v>RFX family transcription factor</v>
      </c>
      <c r="BB803" t="str">
        <f>HYPERLINK("http://www.ncbi.nlm.nih.gov/Structure/cdd/cddsrv.cgi?uid=KOG3712","1.4")</f>
        <v>1.4</v>
      </c>
      <c r="BC803" t="s">
        <v>2262</v>
      </c>
      <c r="BD803" t="str">
        <f>HYPERLINK("http://exon.niaid.nih.gov/transcriptome/Anopheles_sialome/links/KOG/anomel_hyp17-KOG.txt","KOG3712")</f>
        <v>KOG3712</v>
      </c>
      <c r="BE803" t="str">
        <f>HYPERLINK("http://exon.niaid.nih.gov/transcriptome/Anopheles_sialome/links/PFAM/anomel_hyp17-PFAM.txt","Dynein_heavy")</f>
        <v>Dynein_heavy</v>
      </c>
      <c r="BF803" t="str">
        <f>HYPERLINK("http://pfam.sanger.ac.uk/family?acc=PF03028","3.3")</f>
        <v>3.3</v>
      </c>
      <c r="BG803" s="2" t="str">
        <f>HYPERLINK("http://exon.niaid.nih.gov/transcriptome/Anopheles_sialome/links/SMART/anomel_hyp17-SMART.txt","CarD_TRCF")</f>
        <v>CarD_TRCF</v>
      </c>
      <c r="BH803" t="str">
        <f>HYPERLINK("http://smart.embl-heidelberg.de/smart/do_annotation.pl?DOMAIN=CarD_TRCF&amp;BLAST=DUMMY","0.28")</f>
        <v>0.28</v>
      </c>
      <c r="BI803" t="s">
        <v>128</v>
      </c>
      <c r="BJ803" s="2" t="s">
        <v>128</v>
      </c>
      <c r="BK803" t="s">
        <v>1444</v>
      </c>
      <c r="BL803">
        <f>HYPERLINK("http://exon.niaid.nih.gov/transcriptome/Anopheles_sialome/links/cluster-b/anopheline-sialome-cds-pep-larger-orf25-50SimCLU1.txt", 1)</f>
        <v>1</v>
      </c>
      <c r="BM803">
        <f>HYPERLINK("http://exon.niaid.nih.gov/transcriptome/Anopheles_sialome/links/cluster-b/anopheline-sialome-cds-pep-larger-orf25-50SimCLTL1.txt", 165)</f>
        <v>165</v>
      </c>
      <c r="BN803">
        <f>HYPERLINK("http://exon.niaid.nih.gov/transcriptome/Anopheles_sialome/links/cluster-b/anopheline-sialome-cds-pep-larger-orf30-50SimCLU1.txt", 1)</f>
        <v>1</v>
      </c>
      <c r="BO803">
        <f>HYPERLINK("http://exon.niaid.nih.gov/transcriptome/Anopheles_sialome/links/cluster-b/anopheline-sialome-cds-pep-larger-orf30-50SimCLTL1.txt", 165)</f>
        <v>165</v>
      </c>
      <c r="BP803">
        <f>HYPERLINK("http://exon.niaid.nih.gov/transcriptome/Anopheles_sialome/links/cluster-b/anopheline-sialome-cds-pep-larger-orf35-50SimCLU4.txt", 4)</f>
        <v>4</v>
      </c>
      <c r="BQ803">
        <f>HYPERLINK("http://exon.niaid.nih.gov/transcriptome/Anopheles_sialome/links/cluster-b/anopheline-sialome-cds-pep-larger-orf35-50SimCLTL4.txt", 76)</f>
        <v>76</v>
      </c>
      <c r="BR803">
        <f>HYPERLINK("http://exon.niaid.nih.gov/transcriptome/Anopheles_sialome/links/cluster-b/anopheline-sialome-cds-pep-larger-orf40-50SimCLU11.txt", 11)</f>
        <v>11</v>
      </c>
      <c r="BS803">
        <f>HYPERLINK("http://exon.niaid.nih.gov/transcriptome/Anopheles_sialome/links/cluster-b/anopheline-sialome-cds-pep-larger-orf40-50SimCLTL11.txt", 21)</f>
        <v>21</v>
      </c>
      <c r="BT803">
        <f>HYPERLINK("http://exon.niaid.nih.gov/transcriptome/Anopheles_sialome/links/cluster-b/anopheline-sialome-cds-pep-larger-orf45-50SimCLU11.txt", 11)</f>
        <v>11</v>
      </c>
      <c r="BU803">
        <f>HYPERLINK("http://exon.niaid.nih.gov/transcriptome/Anopheles_sialome/links/cluster-b/anopheline-sialome-cds-pep-larger-orf45-50SimCLTL11.txt", 21)</f>
        <v>21</v>
      </c>
      <c r="BV803">
        <f>HYPERLINK("http://exon.niaid.nih.gov/transcriptome/Anopheles_sialome/links/cluster-b/anopheline-sialome-cds-pep-larger-orf50-50SimCLU11.txt", 11)</f>
        <v>11</v>
      </c>
      <c r="BW803">
        <f>HYPERLINK("http://exon.niaid.nih.gov/transcriptome/Anopheles_sialome/links/cluster-b/anopheline-sialome-cds-pep-larger-orf50-50SimCLTL11.txt", 21)</f>
        <v>21</v>
      </c>
      <c r="BX803">
        <f>HYPERLINK("http://exon.niaid.nih.gov/transcriptome/Anopheles_sialome/links/cluster-b/anopheline-sialome-cds-pep-larger-orf55-50SimCLU12.txt", 12)</f>
        <v>12</v>
      </c>
      <c r="BY803">
        <f>HYPERLINK("http://exon.niaid.nih.gov/transcriptome/Anopheles_sialome/links/cluster-b/anopheline-sialome-cds-pep-larger-orf55-50SimCLTL12.txt", 21)</f>
        <v>21</v>
      </c>
      <c r="BZ803">
        <f>HYPERLINK("http://exon.niaid.nih.gov/transcriptome/Anopheles_sialome/links/cluster-b/anopheline-sialome-cds-pep-larger-orf60-50SimCLU10.txt", 10)</f>
        <v>10</v>
      </c>
      <c r="CA803">
        <f>HYPERLINK("http://exon.niaid.nih.gov/transcriptome/Anopheles_sialome/links/cluster-b/anopheline-sialome-cds-pep-larger-orf60-50SimCLTL10.txt", 21)</f>
        <v>21</v>
      </c>
      <c r="CB803">
        <f>HYPERLINK("http://exon.niaid.nih.gov/transcriptome/Anopheles_sialome/links/cluster-b/anopheline-sialome-cds-pep-larger-orf65-50SimCLU10.txt", 10)</f>
        <v>10</v>
      </c>
      <c r="CC803">
        <f>HYPERLINK("http://exon.niaid.nih.gov/transcriptome/Anopheles_sialome/links/cluster-b/anopheline-sialome-cds-pep-larger-orf65-50SimCLTL10.txt", 19)</f>
        <v>19</v>
      </c>
      <c r="CD803">
        <f>HYPERLINK("http://exon.niaid.nih.gov/transcriptome/Anopheles_sialome/links/cluster-b/anopheline-sialome-cds-pep-larger-orf70-50SimCLU19.txt", 19)</f>
        <v>19</v>
      </c>
      <c r="CE803">
        <f>HYPERLINK("http://exon.niaid.nih.gov/transcriptome/Anopheles_sialome/links/cluster-b/anopheline-sialome-cds-pep-larger-orf70-50SimCLTL19.txt", 17)</f>
        <v>17</v>
      </c>
      <c r="CF803">
        <f>HYPERLINK("http://exon.niaid.nih.gov/transcriptome/Anopheles_sialome/links/cluster-b/anopheline-sialome-cds-pep-larger-orf75-50SimCLU30.txt", 30)</f>
        <v>30</v>
      </c>
      <c r="CG803">
        <f>HYPERLINK("http://exon.niaid.nih.gov/transcriptome/Anopheles_sialome/links/cluster-b/anopheline-sialome-cds-pep-larger-orf75-50SimCLTL30.txt", 12)</f>
        <v>12</v>
      </c>
      <c r="CH803">
        <f>HYPERLINK("http://exon.niaid.nih.gov/transcriptome/Anopheles_sialome/links/cluster-b/anopheline-sialome-cds-pep-larger-orf80-50SimCLU40.txt", 40)</f>
        <v>40</v>
      </c>
      <c r="CI803">
        <f>HYPERLINK("http://exon.niaid.nih.gov/transcriptome/Anopheles_sialome/links/cluster-b/anopheline-sialome-cds-pep-larger-orf80-50SimCLTL40.txt", 6)</f>
        <v>6</v>
      </c>
      <c r="CJ803">
        <f>HYPERLINK("http://exon.niaid.nih.gov/transcriptome/Anopheles_sialome/links/cluster-b/anopheline-sialome-cds-pep-larger-orf85-50SimCLU37.txt", 37)</f>
        <v>37</v>
      </c>
      <c r="CK803">
        <f>HYPERLINK("http://exon.niaid.nih.gov/transcriptome/Anopheles_sialome/links/cluster-b/anopheline-sialome-cds-pep-larger-orf85-50SimCLTL37.txt", 6)</f>
        <v>6</v>
      </c>
      <c r="CL803">
        <f>HYPERLINK("http://exon.niaid.nih.gov/transcriptome/Anopheles_sialome/links/cluster-b/anopheline-sialome-cds-pep-larger-orf90-50SimCLU29.txt", 29)</f>
        <v>29</v>
      </c>
      <c r="CM803">
        <f>HYPERLINK("http://exon.niaid.nih.gov/transcriptome/Anopheles_sialome/links/cluster-b/anopheline-sialome-cds-pep-larger-orf90-50SimCLTL29.txt", 6)</f>
        <v>6</v>
      </c>
      <c r="CN803">
        <v>300</v>
      </c>
      <c r="CO803">
        <v>1</v>
      </c>
    </row>
    <row r="804" spans="1:93">
      <c r="A804" s="14" t="s">
        <v>3148</v>
      </c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  <c r="AW804" s="13"/>
      <c r="AX804" s="13"/>
      <c r="AY804" s="13"/>
      <c r="AZ804" s="13"/>
      <c r="BA804" s="13"/>
      <c r="BB804" s="13"/>
      <c r="BC804" s="13"/>
      <c r="BD804" s="13"/>
      <c r="BE804" s="13"/>
      <c r="BF804" s="13"/>
      <c r="BG804" s="13"/>
      <c r="BH804" s="13"/>
      <c r="BI804" s="13"/>
      <c r="BJ804" s="13"/>
      <c r="BK804" s="13"/>
      <c r="BL804" s="13"/>
      <c r="BM804" s="13"/>
      <c r="BN804" s="13"/>
      <c r="BO804" s="13"/>
      <c r="BP804" s="13"/>
      <c r="BQ804" s="13"/>
      <c r="BR804" s="13"/>
      <c r="BS804" s="13"/>
      <c r="BT804" s="13"/>
      <c r="BU804" s="13"/>
      <c r="BV804" s="13"/>
      <c r="BW804" s="13"/>
      <c r="BX804" s="13"/>
      <c r="BY804" s="13"/>
      <c r="BZ804" s="13"/>
      <c r="CA804" s="13"/>
      <c r="CB804" s="13"/>
      <c r="CC804" s="13"/>
      <c r="CD804" s="13"/>
      <c r="CE804" s="13"/>
      <c r="CF804" s="13"/>
      <c r="CG804" s="13"/>
      <c r="CH804" s="13"/>
      <c r="CI804" s="13"/>
      <c r="CJ804" s="13"/>
      <c r="CK804" s="13"/>
      <c r="CL804" s="13"/>
      <c r="CM804" s="13"/>
      <c r="CN804" s="13"/>
      <c r="CO804" s="13"/>
    </row>
    <row r="805" spans="1:93">
      <c r="A805" s="5" t="s">
        <v>3182</v>
      </c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</row>
    <row r="806" spans="1:93">
      <c r="A806" s="2" t="str">
        <f>HYPERLINK("http://exon.niaid.nih.gov/transcriptome/Anopheles_sialome/links/cds/anoga_SG2-cds.txt","anoga_SG2")</f>
        <v>anoga_SG2</v>
      </c>
      <c r="B806">
        <v>345</v>
      </c>
      <c r="C806" t="s">
        <v>510</v>
      </c>
      <c r="D806" t="s">
        <v>4</v>
      </c>
      <c r="E806" t="s">
        <v>5</v>
      </c>
      <c r="F806" t="s">
        <v>1</v>
      </c>
      <c r="G806" t="str">
        <f>HYPERLINK("http://exon.niaid.nih.gov/transcriptome/Anopheles_sialome/links/pep/anoga_SG2-pep.txt","anoga_SG2")</f>
        <v>anoga_SG2</v>
      </c>
      <c r="H806">
        <v>114</v>
      </c>
      <c r="I806">
        <v>0</v>
      </c>
      <c r="J806" s="3" t="str">
        <f>HYPERLINK("http://exon.niaid.nih.gov/transcriptome/Anopheles_sialome/links/Sigp/anoga_SG2-SigP.txt","SIG")</f>
        <v>SIG</v>
      </c>
      <c r="K806" t="s">
        <v>692</v>
      </c>
      <c r="L806">
        <v>11.845000000000001</v>
      </c>
      <c r="M806">
        <v>4.03</v>
      </c>
      <c r="N806">
        <v>9.7720000000000002</v>
      </c>
      <c r="O806">
        <v>3.49</v>
      </c>
      <c r="P806" t="s">
        <v>1946</v>
      </c>
      <c r="Q806" s="3" t="str">
        <f>HYPERLINK("http://exon.niaid.nih.gov/transcriptome/Anopheles_sialome/links/tmhmm/anoga_SG2-tmhmm.txt","1")</f>
        <v>1</v>
      </c>
      <c r="R806">
        <v>19.3</v>
      </c>
      <c r="S806">
        <v>69.3</v>
      </c>
      <c r="T806">
        <v>11.4</v>
      </c>
      <c r="U806" t="s">
        <v>128</v>
      </c>
      <c r="V806">
        <v>79</v>
      </c>
      <c r="W806" s="3" t="str">
        <f>HYPERLINK("http://exon.niaid.nih.gov/transcriptome/Anopheles_sialome/links/netoglyc/anoga_SG2-netoglyc.txt","0")</f>
        <v>0</v>
      </c>
      <c r="X806">
        <v>19.3</v>
      </c>
      <c r="Y806">
        <v>17.5</v>
      </c>
      <c r="Z806">
        <v>7</v>
      </c>
      <c r="AA806">
        <v>2.6</v>
      </c>
      <c r="AB806" t="s">
        <v>128</v>
      </c>
      <c r="AC806" s="2" t="str">
        <f>HYPERLINK("http://exon.niaid.nih.gov/transcriptome/Anopheles_sialome/links/DIPTERA/anoga_SG2-DIPTERA.txt","AGAP006506-PA")</f>
        <v>AGAP006506-PA</v>
      </c>
      <c r="AD806" t="str">
        <f>HYPERLINK("http://www.ncbi.nlm.nih.gov/sutils/blink.cgi?pid=30176083","4E-062")</f>
        <v>4E-062</v>
      </c>
      <c r="AE806" t="str">
        <f>HYPERLINK("http://www.ncbi.nlm.nih.gov/protein/30176083","gi|30176083")</f>
        <v>gi|30176083</v>
      </c>
      <c r="AF806">
        <v>100</v>
      </c>
      <c r="AG806">
        <v>100</v>
      </c>
      <c r="AH806">
        <v>100</v>
      </c>
      <c r="AI806" t="s">
        <v>2285</v>
      </c>
      <c r="AJ806" s="2" t="str">
        <f>HYPERLINK("http://exon.niaid.nih.gov/transcriptome/Anopheles_sialome/links/CULICOMORPHA/anoga_SG2-CULICOMORPHA.txt","AGAP006506-PA")</f>
        <v>AGAP006506-PA</v>
      </c>
      <c r="AK806" t="str">
        <f>HYPERLINK("http://www.ncbi.nlm.nih.gov/sutils/blink.cgi?pid=30176083","7E-063")</f>
        <v>7E-063</v>
      </c>
      <c r="AL806" t="str">
        <f>HYPERLINK("http://www.ncbi.nlm.nih.gov/protein/30176083","gi|30176083")</f>
        <v>gi|30176083</v>
      </c>
      <c r="AM806">
        <v>100</v>
      </c>
      <c r="AN806">
        <v>100</v>
      </c>
      <c r="AO806">
        <v>100</v>
      </c>
      <c r="AP806" t="s">
        <v>2285</v>
      </c>
      <c r="AQ806" s="2" t="str">
        <f>HYPERLINK("http://exon.niaid.nih.gov/transcriptome/Anopheles_sialome/links/NR-LIGHT/anoga_SG2-NR-LIGHT.txt","AGAP006506-PA")</f>
        <v>AGAP006506-PA</v>
      </c>
      <c r="AR806" t="str">
        <f>HYPERLINK("http://www.ncbi.nlm.nih.gov/sutils/blink.cgi?pid=31217934","1E-061")</f>
        <v>1E-061</v>
      </c>
      <c r="AS806" t="str">
        <f>HYPERLINK("http://www.ncbi.nlm.nih.gov/protein/31217934","gi|31217934")</f>
        <v>gi|31217934</v>
      </c>
      <c r="AT806">
        <v>100</v>
      </c>
      <c r="AU806">
        <v>100</v>
      </c>
      <c r="AV806">
        <v>100</v>
      </c>
      <c r="AW806" t="s">
        <v>2285</v>
      </c>
      <c r="AX806" s="2" t="str">
        <f>HYPERLINK("http://exon.niaid.nih.gov/transcriptome/Anopheles_sialome/links/CDD/anoga_SG2-CDD.txt","CAT")</f>
        <v>CAT</v>
      </c>
      <c r="AY806" t="str">
        <f>HYPERLINK("http://www.ncbi.nlm.nih.gov/Structure/cdd/cddsrv.cgi?uid=pfam00302&amp;version=v4.0","0.091")</f>
        <v>0.091</v>
      </c>
      <c r="AZ806" t="s">
        <v>2985</v>
      </c>
      <c r="BA806" s="2" t="str">
        <f>HYPERLINK("http://exon.niaid.nih.gov/transcriptome/Anopheles_sialome/links/KOG/anoga_SG2-KOG.txt","c-Mpl binding protein, contains La domain")</f>
        <v>c-Mpl binding protein, contains La domain</v>
      </c>
      <c r="BB806" t="str">
        <f>HYPERLINK("http://www.ncbi.nlm.nih.gov/Structure/cdd/cddsrv.cgi?uid=KOG2591","0.12")</f>
        <v>0.12</v>
      </c>
      <c r="BC806" t="s">
        <v>2292</v>
      </c>
      <c r="BD806" t="str">
        <f>HYPERLINK("http://exon.niaid.nih.gov/transcriptome/Anopheles_sialome/links/KOG/anoga_SG2-KOG.txt","KOG2591")</f>
        <v>KOG2591</v>
      </c>
      <c r="BE806" t="str">
        <f>HYPERLINK("http://exon.niaid.nih.gov/transcriptome/Anopheles_sialome/links/PFAM/anoga_SG2-PFAM.txt","CAT")</f>
        <v>CAT</v>
      </c>
      <c r="BF806" t="str">
        <f>HYPERLINK("http://pfam.sanger.ac.uk/family?acc=PF00302","0.021")</f>
        <v>0.021</v>
      </c>
      <c r="BG806" s="2" t="str">
        <f>HYPERLINK("http://exon.niaid.nih.gov/transcriptome/Anopheles_sialome/links/SMART/anoga_SG2-SMART.txt","TLDc")</f>
        <v>TLDc</v>
      </c>
      <c r="BH806" t="str">
        <f>HYPERLINK("http://smart.embl-heidelberg.de/smart/do_annotation.pl?DOMAIN=TLDc&amp;BLAST=DUMMY","1.4")</f>
        <v>1.4</v>
      </c>
      <c r="BI806" t="str">
        <f>HYPERLINK("http://exon.niaid.nih.gov/transcriptome/Anopheles_sialome/links/TICK-BLOCKS/anoga_SG2-TICK-BLOCKS.txt","SG2_superfamily |")</f>
        <v>SG2_superfamily |</v>
      </c>
      <c r="BJ806" s="2" t="s">
        <v>2986</v>
      </c>
      <c r="BK806" t="s">
        <v>1945</v>
      </c>
      <c r="BL806">
        <f>HYPERLINK("http://exon.niaid.nih.gov/transcriptome/Anopheles_sialome/links/cluster-b/anopheline-sialome-cds-pep-larger-orf25-50SimCLU1.txt", 1)</f>
        <v>1</v>
      </c>
      <c r="BM806">
        <f>HYPERLINK("http://exon.niaid.nih.gov/transcriptome/Anopheles_sialome/links/cluster-b/anopheline-sialome-cds-pep-larger-orf25-50SimCLTL1.txt", 165)</f>
        <v>165</v>
      </c>
      <c r="BN806">
        <f>HYPERLINK("http://exon.niaid.nih.gov/transcriptome/Anopheles_sialome/links/cluster-b/anopheline-sialome-cds-pep-larger-orf30-50SimCLU1.txt", 1)</f>
        <v>1</v>
      </c>
      <c r="BO806">
        <f>HYPERLINK("http://exon.niaid.nih.gov/transcriptome/Anopheles_sialome/links/cluster-b/anopheline-sialome-cds-pep-larger-orf30-50SimCLTL1.txt", 165)</f>
        <v>165</v>
      </c>
      <c r="BP806">
        <f>HYPERLINK("http://exon.niaid.nih.gov/transcriptome/Anopheles_sialome/links/cluster-b/anopheline-sialome-cds-pep-larger-orf35-50SimCLU10.txt", 10)</f>
        <v>10</v>
      </c>
      <c r="BQ806">
        <f>HYPERLINK("http://exon.niaid.nih.gov/transcriptome/Anopheles_sialome/links/cluster-b/anopheline-sialome-cds-pep-larger-orf35-50SimCLTL10.txt", 28)</f>
        <v>28</v>
      </c>
      <c r="BR806">
        <f>HYPERLINK("http://exon.niaid.nih.gov/transcriptome/Anopheles_sialome/links/cluster-b/anopheline-sialome-cds-pep-larger-orf40-50SimCLU10.txt", 10)</f>
        <v>10</v>
      </c>
      <c r="BS806">
        <f>HYPERLINK("http://exon.niaid.nih.gov/transcriptome/Anopheles_sialome/links/cluster-b/anopheline-sialome-cds-pep-larger-orf40-50SimCLTL10.txt", 28)</f>
        <v>28</v>
      </c>
      <c r="BT806">
        <f>HYPERLINK("http://exon.niaid.nih.gov/transcriptome/Anopheles_sialome/links/cluster-b/anopheline-sialome-cds-pep-larger-orf45-50SimCLU9.txt", 9)</f>
        <v>9</v>
      </c>
      <c r="BU806">
        <f>HYPERLINK("http://exon.niaid.nih.gov/transcriptome/Anopheles_sialome/links/cluster-b/anopheline-sialome-cds-pep-larger-orf45-50SimCLTL9.txt", 28)</f>
        <v>28</v>
      </c>
      <c r="BV806">
        <f>HYPERLINK("http://exon.niaid.nih.gov/transcriptome/Anopheles_sialome/links/cluster-b/anopheline-sialome-cds-pep-larger-orf50-50SimCLU10.txt", 10)</f>
        <v>10</v>
      </c>
      <c r="BW806">
        <f>HYPERLINK("http://exon.niaid.nih.gov/transcriptome/Anopheles_sialome/links/cluster-b/anopheline-sialome-cds-pep-larger-orf50-50SimCLTL10.txt", 26)</f>
        <v>26</v>
      </c>
      <c r="BX806">
        <f>HYPERLINK("http://exon.niaid.nih.gov/transcriptome/Anopheles_sialome/links/cluster-b/anopheline-sialome-cds-pep-larger-orf55-50SimCLU11.txt", 11)</f>
        <v>11</v>
      </c>
      <c r="BY806">
        <f>HYPERLINK("http://exon.niaid.nih.gov/transcriptome/Anopheles_sialome/links/cluster-b/anopheline-sialome-cds-pep-larger-orf55-50SimCLTL11.txt", 26)</f>
        <v>26</v>
      </c>
      <c r="BZ806">
        <f>HYPERLINK("http://exon.niaid.nih.gov/transcriptome/Anopheles_sialome/links/cluster-b/anopheline-sialome-cds-pep-larger-orf60-50SimCLU29.txt", 29)</f>
        <v>29</v>
      </c>
      <c r="CA806">
        <f>HYPERLINK("http://exon.niaid.nih.gov/transcriptome/Anopheles_sialome/links/cluster-b/anopheline-sialome-cds-pep-larger-orf60-50SimCLTL29.txt", 15)</f>
        <v>15</v>
      </c>
      <c r="CB806">
        <f>HYPERLINK("http://exon.niaid.nih.gov/transcriptome/Anopheles_sialome/links/cluster-b/anopheline-sialome-cds-pep-larger-orf65-50SimCLU35.txt", 35)</f>
        <v>35</v>
      </c>
      <c r="CC806">
        <f>HYPERLINK("http://exon.niaid.nih.gov/transcriptome/Anopheles_sialome/links/cluster-b/anopheline-sialome-cds-pep-larger-orf65-50SimCLTL35.txt", 13)</f>
        <v>13</v>
      </c>
      <c r="CD806">
        <f>HYPERLINK("http://exon.niaid.nih.gov/transcriptome/Anopheles_sialome/links/cluster-b/anopheline-sialome-cds-pep-larger-orf70-50SimCLU36.txt", 36)</f>
        <v>36</v>
      </c>
      <c r="CE806">
        <f>HYPERLINK("http://exon.niaid.nih.gov/transcriptome/Anopheles_sialome/links/cluster-b/anopheline-sialome-cds-pep-larger-orf70-50SimCLTL36.txt", 13)</f>
        <v>13</v>
      </c>
      <c r="CF806">
        <f>HYPERLINK("http://exon.niaid.nih.gov/transcriptome/Anopheles_sialome/links/cluster-b/anopheline-sialome-cds-pep-larger-orf75-50SimCLU26.txt", 26)</f>
        <v>26</v>
      </c>
      <c r="CG806">
        <f>HYPERLINK("http://exon.niaid.nih.gov/transcriptome/Anopheles_sialome/links/cluster-b/anopheline-sialome-cds-pep-larger-orf75-50SimCLTL26.txt", 13)</f>
        <v>13</v>
      </c>
      <c r="CH806">
        <f>HYPERLINK("http://exon.niaid.nih.gov/transcriptome/Anopheles_sialome/links/cluster-b/anopheline-sialome-cds-pep-larger-orf80-50SimCLU28.txt", 28)</f>
        <v>28</v>
      </c>
      <c r="CI806">
        <f>HYPERLINK("http://exon.niaid.nih.gov/transcriptome/Anopheles_sialome/links/cluster-b/anopheline-sialome-cds-pep-larger-orf80-50SimCLTL28.txt", 8)</f>
        <v>8</v>
      </c>
      <c r="CJ806">
        <f>HYPERLINK("http://exon.niaid.nih.gov/transcriptome/Anopheles_sialome/links/cluster-b/anopheline-sialome-cds-pep-larger-orf85-50SimCLU20.txt", 20)</f>
        <v>20</v>
      </c>
      <c r="CK806">
        <f>HYPERLINK("http://exon.niaid.nih.gov/transcriptome/Anopheles_sialome/links/cluster-b/anopheline-sialome-cds-pep-larger-orf85-50SimCLTL20.txt", 8)</f>
        <v>8</v>
      </c>
      <c r="CL806">
        <f>HYPERLINK("http://exon.niaid.nih.gov/transcriptome/Anopheles_sialome/links/cluster-b/anopheline-sialome-cds-pep-larger-orf90-50SimCLU35.txt", 35)</f>
        <v>35</v>
      </c>
      <c r="CM806">
        <f>HYPERLINK("http://exon.niaid.nih.gov/transcriptome/Anopheles_sialome/links/cluster-b/anopheline-sialome-cds-pep-larger-orf90-50SimCLTL35.txt", 6)</f>
        <v>6</v>
      </c>
      <c r="CN806">
        <f>HYPERLINK("http://exon.niaid.nih.gov/transcriptome/Anopheles_sialome/links/cluster-b/anopheline-sialome-cds-pep-larger-orf95-50SimCLU49.txt", 49)</f>
        <v>49</v>
      </c>
      <c r="CO806">
        <f>HYPERLINK("http://exon.niaid.nih.gov/transcriptome/Anopheles_sialome/links/cluster-b/anopheline-sialome-cds-pep-larger-orf95-50SimCLTL49.txt", 4)</f>
        <v>4</v>
      </c>
    </row>
    <row r="807" spans="1:93">
      <c r="A807" s="2" t="str">
        <f>HYPERLINK("http://exon.niaid.nih.gov/transcriptome/Anopheles_sialome/links/cds/anocol_SG2-cds.txt","anocol_SG2")</f>
        <v>anocol_SG2</v>
      </c>
      <c r="B807">
        <v>345</v>
      </c>
      <c r="C807" t="s">
        <v>511</v>
      </c>
      <c r="D807" t="s">
        <v>4</v>
      </c>
      <c r="E807" t="s">
        <v>5</v>
      </c>
      <c r="F807" t="s">
        <v>1</v>
      </c>
      <c r="G807" t="str">
        <f>HYPERLINK("http://exon.niaid.nih.gov/transcriptome/Anopheles_sialome/links/pep/anocol_SG2-pep.txt","anocol_SG2")</f>
        <v>anocol_SG2</v>
      </c>
      <c r="H807">
        <v>114</v>
      </c>
      <c r="I807">
        <v>0</v>
      </c>
      <c r="J807" s="3" t="str">
        <f>HYPERLINK("http://exon.niaid.nih.gov/transcriptome/Anopheles_sialome/links/Sigp/anocol_SG2-SigP.txt","SIG")</f>
        <v>SIG</v>
      </c>
      <c r="K807" t="s">
        <v>692</v>
      </c>
      <c r="L807">
        <v>11.750999999999999</v>
      </c>
      <c r="M807">
        <v>4.03</v>
      </c>
      <c r="N807">
        <v>9.7210000000000001</v>
      </c>
      <c r="O807">
        <v>3.49</v>
      </c>
      <c r="P807" t="s">
        <v>1948</v>
      </c>
      <c r="Q807" s="3" t="str">
        <f>HYPERLINK("http://exon.niaid.nih.gov/transcriptome/Anopheles_sialome/links/tmhmm/anocol_SG2-tmhmm.txt","1")</f>
        <v>1</v>
      </c>
      <c r="R807">
        <v>19.3</v>
      </c>
      <c r="S807">
        <v>76.3</v>
      </c>
      <c r="T807">
        <v>4.4000000000000004</v>
      </c>
      <c r="U807" t="s">
        <v>128</v>
      </c>
      <c r="V807">
        <v>87</v>
      </c>
      <c r="W807" s="3" t="str">
        <f>HYPERLINK("http://exon.niaid.nih.gov/transcriptome/Anopheles_sialome/links/netoglyc/anocol_SG2-netoglyc.txt","0")</f>
        <v>0</v>
      </c>
      <c r="X807">
        <v>16.7</v>
      </c>
      <c r="Y807">
        <v>18.399999999999999</v>
      </c>
      <c r="Z807">
        <v>7</v>
      </c>
      <c r="AA807">
        <v>2.6</v>
      </c>
      <c r="AB807" t="s">
        <v>128</v>
      </c>
      <c r="AC807" s="2" t="str">
        <f>HYPERLINK("http://exon.niaid.nih.gov/transcriptome/Anopheles_sialome/links/DIPTERA/anocol_SG2-DIPTERA.txt","SG2 protein")</f>
        <v>SG2 protein</v>
      </c>
      <c r="AD807" t="str">
        <f>HYPERLINK("http://www.ncbi.nlm.nih.gov/sutils/blink.cgi?pid=4210617","3E-062")</f>
        <v>3E-062</v>
      </c>
      <c r="AE807" t="str">
        <f t="shared" ref="AE807:AE813" si="265">HYPERLINK("http://www.ncbi.nlm.nih.gov/protein/4210617","gi|4210617")</f>
        <v>gi|4210617</v>
      </c>
      <c r="AF807">
        <v>100</v>
      </c>
      <c r="AG807">
        <v>100</v>
      </c>
      <c r="AH807">
        <v>100</v>
      </c>
      <c r="AI807" t="s">
        <v>2254</v>
      </c>
      <c r="AJ807" s="2" t="str">
        <f>HYPERLINK("http://exon.niaid.nih.gov/transcriptome/Anopheles_sialome/links/CULICOMORPHA/anocol_SG2-CULICOMORPHA.txt","SG2 protein")</f>
        <v>SG2 protein</v>
      </c>
      <c r="AK807" t="str">
        <f>HYPERLINK("http://www.ncbi.nlm.nih.gov/sutils/blink.cgi?pid=4210617","4E-063")</f>
        <v>4E-063</v>
      </c>
      <c r="AL807" t="str">
        <f t="shared" ref="AL807:AL813" si="266">HYPERLINK("http://www.ncbi.nlm.nih.gov/protein/4210617","gi|4210617")</f>
        <v>gi|4210617</v>
      </c>
      <c r="AM807">
        <v>100</v>
      </c>
      <c r="AN807">
        <v>100</v>
      </c>
      <c r="AO807">
        <v>100</v>
      </c>
      <c r="AP807" t="s">
        <v>2254</v>
      </c>
      <c r="AQ807" s="2" t="str">
        <f>HYPERLINK("http://exon.niaid.nih.gov/transcriptome/Anopheles_sialome/links/NR-LIGHT/anocol_SG2-NR-LIGHT.txt","SG2 protein")</f>
        <v>SG2 protein</v>
      </c>
      <c r="AR807" t="str">
        <f>HYPERLINK("http://www.ncbi.nlm.nih.gov/sutils/blink.cgi?pid=4210617","7E-062")</f>
        <v>7E-062</v>
      </c>
      <c r="AS807" t="str">
        <f t="shared" ref="AS807:AS813" si="267">HYPERLINK("http://www.ncbi.nlm.nih.gov/protein/4210617","gi|4210617")</f>
        <v>gi|4210617</v>
      </c>
      <c r="AT807">
        <v>100</v>
      </c>
      <c r="AU807">
        <v>100</v>
      </c>
      <c r="AV807">
        <v>100</v>
      </c>
      <c r="AW807" t="s">
        <v>2254</v>
      </c>
      <c r="AX807" s="2" t="str">
        <f>HYPERLINK("http://exon.niaid.nih.gov/transcriptome/Anopheles_sialome/links/CDD/anocol_SG2-CDD.txt","CAT")</f>
        <v>CAT</v>
      </c>
      <c r="AY807" t="str">
        <f>HYPERLINK("http://www.ncbi.nlm.nih.gov/Structure/cdd/cddsrv.cgi?uid=pfam00302&amp;version=v4.0","0.067")</f>
        <v>0.067</v>
      </c>
      <c r="AZ807" t="s">
        <v>2987</v>
      </c>
      <c r="BA807" s="2" t="str">
        <f>HYPERLINK("http://exon.niaid.nih.gov/transcriptome/Anopheles_sialome/links/KOG/anocol_SG2-KOG.txt","c-Mpl binding protein, contains La domain")</f>
        <v>c-Mpl binding protein, contains La domain</v>
      </c>
      <c r="BB807" t="str">
        <f>HYPERLINK("http://www.ncbi.nlm.nih.gov/Structure/cdd/cddsrv.cgi?uid=KOG2591","0.59")</f>
        <v>0.59</v>
      </c>
      <c r="BC807" t="s">
        <v>2292</v>
      </c>
      <c r="BD807" t="str">
        <f>HYPERLINK("http://exon.niaid.nih.gov/transcriptome/Anopheles_sialome/links/KOG/anocol_SG2-KOG.txt","KOG2591")</f>
        <v>KOG2591</v>
      </c>
      <c r="BE807" t="str">
        <f>HYPERLINK("http://exon.niaid.nih.gov/transcriptome/Anopheles_sialome/links/PFAM/anocol_SG2-PFAM.txt","CAT")</f>
        <v>CAT</v>
      </c>
      <c r="BF807" t="str">
        <f>HYPERLINK("http://pfam.sanger.ac.uk/family?acc=PF00302","0.015")</f>
        <v>0.015</v>
      </c>
      <c r="BG807" s="2" t="str">
        <f>HYPERLINK("http://exon.niaid.nih.gov/transcriptome/Anopheles_sialome/links/SMART/anocol_SG2-SMART.txt","TLDc")</f>
        <v>TLDc</v>
      </c>
      <c r="BH807" t="str">
        <f>HYPERLINK("http://smart.embl-heidelberg.de/smart/do_annotation.pl?DOMAIN=TLDc&amp;BLAST=DUMMY","1.2")</f>
        <v>1.2</v>
      </c>
      <c r="BI807" t="str">
        <f>HYPERLINK("http://exon.niaid.nih.gov/transcriptome/Anopheles_sialome/links/TICK-BLOCKS/anocol_SG2-TICK-BLOCKS.txt","SG2_superfamily |")</f>
        <v>SG2_superfamily |</v>
      </c>
      <c r="BJ807" s="2" t="s">
        <v>2986</v>
      </c>
      <c r="BK807" t="s">
        <v>1947</v>
      </c>
      <c r="BL807">
        <f>HYPERLINK("http://exon.niaid.nih.gov/transcriptome/Anopheles_sialome/links/cluster-b/anopheline-sialome-cds-pep-larger-orf25-50SimCLU1.txt", 1)</f>
        <v>1</v>
      </c>
      <c r="BM807">
        <f>HYPERLINK("http://exon.niaid.nih.gov/transcriptome/Anopheles_sialome/links/cluster-b/anopheline-sialome-cds-pep-larger-orf25-50SimCLTL1.txt", 165)</f>
        <v>165</v>
      </c>
      <c r="BN807">
        <f>HYPERLINK("http://exon.niaid.nih.gov/transcriptome/Anopheles_sialome/links/cluster-b/anopheline-sialome-cds-pep-larger-orf30-50SimCLU1.txt", 1)</f>
        <v>1</v>
      </c>
      <c r="BO807">
        <f>HYPERLINK("http://exon.niaid.nih.gov/transcriptome/Anopheles_sialome/links/cluster-b/anopheline-sialome-cds-pep-larger-orf30-50SimCLTL1.txt", 165)</f>
        <v>165</v>
      </c>
      <c r="BP807">
        <f>HYPERLINK("http://exon.niaid.nih.gov/transcriptome/Anopheles_sialome/links/cluster-b/anopheline-sialome-cds-pep-larger-orf35-50SimCLU10.txt", 10)</f>
        <v>10</v>
      </c>
      <c r="BQ807">
        <f>HYPERLINK("http://exon.niaid.nih.gov/transcriptome/Anopheles_sialome/links/cluster-b/anopheline-sialome-cds-pep-larger-orf35-50SimCLTL10.txt", 28)</f>
        <v>28</v>
      </c>
      <c r="BR807">
        <f>HYPERLINK("http://exon.niaid.nih.gov/transcriptome/Anopheles_sialome/links/cluster-b/anopheline-sialome-cds-pep-larger-orf40-50SimCLU10.txt", 10)</f>
        <v>10</v>
      </c>
      <c r="BS807">
        <f>HYPERLINK("http://exon.niaid.nih.gov/transcriptome/Anopheles_sialome/links/cluster-b/anopheline-sialome-cds-pep-larger-orf40-50SimCLTL10.txt", 28)</f>
        <v>28</v>
      </c>
      <c r="BT807">
        <f>HYPERLINK("http://exon.niaid.nih.gov/transcriptome/Anopheles_sialome/links/cluster-b/anopheline-sialome-cds-pep-larger-orf45-50SimCLU9.txt", 9)</f>
        <v>9</v>
      </c>
      <c r="BU807">
        <f>HYPERLINK("http://exon.niaid.nih.gov/transcriptome/Anopheles_sialome/links/cluster-b/anopheline-sialome-cds-pep-larger-orf45-50SimCLTL9.txt", 28)</f>
        <v>28</v>
      </c>
      <c r="BV807">
        <f>HYPERLINK("http://exon.niaid.nih.gov/transcriptome/Anopheles_sialome/links/cluster-b/anopheline-sialome-cds-pep-larger-orf50-50SimCLU10.txt", 10)</f>
        <v>10</v>
      </c>
      <c r="BW807">
        <f>HYPERLINK("http://exon.niaid.nih.gov/transcriptome/Anopheles_sialome/links/cluster-b/anopheline-sialome-cds-pep-larger-orf50-50SimCLTL10.txt", 26)</f>
        <v>26</v>
      </c>
      <c r="BX807">
        <f>HYPERLINK("http://exon.niaid.nih.gov/transcriptome/Anopheles_sialome/links/cluster-b/anopheline-sialome-cds-pep-larger-orf55-50SimCLU11.txt", 11)</f>
        <v>11</v>
      </c>
      <c r="BY807">
        <f>HYPERLINK("http://exon.niaid.nih.gov/transcriptome/Anopheles_sialome/links/cluster-b/anopheline-sialome-cds-pep-larger-orf55-50SimCLTL11.txt", 26)</f>
        <v>26</v>
      </c>
      <c r="BZ807">
        <f>HYPERLINK("http://exon.niaid.nih.gov/transcriptome/Anopheles_sialome/links/cluster-b/anopheline-sialome-cds-pep-larger-orf60-50SimCLU29.txt", 29)</f>
        <v>29</v>
      </c>
      <c r="CA807">
        <f>HYPERLINK("http://exon.niaid.nih.gov/transcriptome/Anopheles_sialome/links/cluster-b/anopheline-sialome-cds-pep-larger-orf60-50SimCLTL29.txt", 15)</f>
        <v>15</v>
      </c>
      <c r="CB807">
        <f>HYPERLINK("http://exon.niaid.nih.gov/transcriptome/Anopheles_sialome/links/cluster-b/anopheline-sialome-cds-pep-larger-orf65-50SimCLU35.txt", 35)</f>
        <v>35</v>
      </c>
      <c r="CC807">
        <f>HYPERLINK("http://exon.niaid.nih.gov/transcriptome/Anopheles_sialome/links/cluster-b/anopheline-sialome-cds-pep-larger-orf65-50SimCLTL35.txt", 13)</f>
        <v>13</v>
      </c>
      <c r="CD807">
        <f>HYPERLINK("http://exon.niaid.nih.gov/transcriptome/Anopheles_sialome/links/cluster-b/anopheline-sialome-cds-pep-larger-orf70-50SimCLU36.txt", 36)</f>
        <v>36</v>
      </c>
      <c r="CE807">
        <f>HYPERLINK("http://exon.niaid.nih.gov/transcriptome/Anopheles_sialome/links/cluster-b/anopheline-sialome-cds-pep-larger-orf70-50SimCLTL36.txt", 13)</f>
        <v>13</v>
      </c>
      <c r="CF807">
        <f>HYPERLINK("http://exon.niaid.nih.gov/transcriptome/Anopheles_sialome/links/cluster-b/anopheline-sialome-cds-pep-larger-orf75-50SimCLU26.txt", 26)</f>
        <v>26</v>
      </c>
      <c r="CG807">
        <f>HYPERLINK("http://exon.niaid.nih.gov/transcriptome/Anopheles_sialome/links/cluster-b/anopheline-sialome-cds-pep-larger-orf75-50SimCLTL26.txt", 13)</f>
        <v>13</v>
      </c>
      <c r="CH807">
        <f>HYPERLINK("http://exon.niaid.nih.gov/transcriptome/Anopheles_sialome/links/cluster-b/anopheline-sialome-cds-pep-larger-orf80-50SimCLU28.txt", 28)</f>
        <v>28</v>
      </c>
      <c r="CI807">
        <f>HYPERLINK("http://exon.niaid.nih.gov/transcriptome/Anopheles_sialome/links/cluster-b/anopheline-sialome-cds-pep-larger-orf80-50SimCLTL28.txt", 8)</f>
        <v>8</v>
      </c>
      <c r="CJ807">
        <f>HYPERLINK("http://exon.niaid.nih.gov/transcriptome/Anopheles_sialome/links/cluster-b/anopheline-sialome-cds-pep-larger-orf85-50SimCLU20.txt", 20)</f>
        <v>20</v>
      </c>
      <c r="CK807">
        <f>HYPERLINK("http://exon.niaid.nih.gov/transcriptome/Anopheles_sialome/links/cluster-b/anopheline-sialome-cds-pep-larger-orf85-50SimCLTL20.txt", 8)</f>
        <v>8</v>
      </c>
      <c r="CL807">
        <f>HYPERLINK("http://exon.niaid.nih.gov/transcriptome/Anopheles_sialome/links/cluster-b/anopheline-sialome-cds-pep-larger-orf90-50SimCLU35.txt", 35)</f>
        <v>35</v>
      </c>
      <c r="CM807">
        <f>HYPERLINK("http://exon.niaid.nih.gov/transcriptome/Anopheles_sialome/links/cluster-b/anopheline-sialome-cds-pep-larger-orf90-50SimCLTL35.txt", 6)</f>
        <v>6</v>
      </c>
      <c r="CN807">
        <f>HYPERLINK("http://exon.niaid.nih.gov/transcriptome/Anopheles_sialome/links/cluster-b/anopheline-sialome-cds-pep-larger-orf95-50SimCLU49.txt", 49)</f>
        <v>49</v>
      </c>
      <c r="CO807">
        <f>HYPERLINK("http://exon.niaid.nih.gov/transcriptome/Anopheles_sialome/links/cluster-b/anopheline-sialome-cds-pep-larger-orf95-50SimCLTL49.txt", 4)</f>
        <v>4</v>
      </c>
    </row>
    <row r="808" spans="1:93">
      <c r="A808" s="2" t="str">
        <f>HYPERLINK("http://exon.niaid.nih.gov/transcriptome/Anopheles_sialome/links/cds/anoara_SG2-cds.txt","anoara_SG2")</f>
        <v>anoara_SG2</v>
      </c>
      <c r="B808">
        <v>345</v>
      </c>
      <c r="C808" t="s">
        <v>512</v>
      </c>
      <c r="D808" t="s">
        <v>4</v>
      </c>
      <c r="E808" t="s">
        <v>5</v>
      </c>
      <c r="F808" t="s">
        <v>1</v>
      </c>
      <c r="G808" t="str">
        <f>HYPERLINK("http://exon.niaid.nih.gov/transcriptome/Anopheles_sialome/links/pep/anoara_SG2-pep.txt","anoara_SG2")</f>
        <v>anoara_SG2</v>
      </c>
      <c r="H808">
        <v>114</v>
      </c>
      <c r="I808">
        <v>0</v>
      </c>
      <c r="J808" s="3" t="str">
        <f>HYPERLINK("http://exon.niaid.nih.gov/transcriptome/Anopheles_sialome/links/Sigp/anoara_SG2-SigP.txt","SIG")</f>
        <v>SIG</v>
      </c>
      <c r="K808" t="s">
        <v>692</v>
      </c>
      <c r="L808">
        <v>11.737</v>
      </c>
      <c r="M808">
        <v>4.03</v>
      </c>
      <c r="N808">
        <v>9.7070000000000007</v>
      </c>
      <c r="O808">
        <v>3.49</v>
      </c>
      <c r="P808" t="s">
        <v>1950</v>
      </c>
      <c r="Q808" s="3" t="str">
        <f>HYPERLINK("http://exon.niaid.nih.gov/transcriptome/Anopheles_sialome/links/tmhmm/anoara_SG2-tmhmm.txt","1")</f>
        <v>1</v>
      </c>
      <c r="R808">
        <v>19.3</v>
      </c>
      <c r="S808">
        <v>76.3</v>
      </c>
      <c r="T808">
        <v>4.4000000000000004</v>
      </c>
      <c r="U808" t="s">
        <v>128</v>
      </c>
      <c r="V808">
        <v>87</v>
      </c>
      <c r="W808" s="3" t="str">
        <f>HYPERLINK("http://exon.niaid.nih.gov/transcriptome/Anopheles_sialome/links/netoglyc/anoara_SG2-netoglyc.txt","0")</f>
        <v>0</v>
      </c>
      <c r="X808">
        <v>16.7</v>
      </c>
      <c r="Y808">
        <v>18.399999999999999</v>
      </c>
      <c r="Z808">
        <v>7</v>
      </c>
      <c r="AA808">
        <v>2.6</v>
      </c>
      <c r="AB808" t="s">
        <v>128</v>
      </c>
      <c r="AC808" s="2" t="str">
        <f>HYPERLINK("http://exon.niaid.nih.gov/transcriptome/Anopheles_sialome/links/DIPTERA/anoara_SG2-DIPTERA.txt","SG2 protein")</f>
        <v>SG2 protein</v>
      </c>
      <c r="AD808" t="str">
        <f>HYPERLINK("http://www.ncbi.nlm.nih.gov/sutils/blink.cgi?pid=4210617","1E-060")</f>
        <v>1E-060</v>
      </c>
      <c r="AE808" t="str">
        <f t="shared" si="265"/>
        <v>gi|4210617</v>
      </c>
      <c r="AF808">
        <v>97</v>
      </c>
      <c r="AG808">
        <v>98</v>
      </c>
      <c r="AH808">
        <v>100</v>
      </c>
      <c r="AI808" t="s">
        <v>2254</v>
      </c>
      <c r="AJ808" s="2" t="str">
        <f>HYPERLINK("http://exon.niaid.nih.gov/transcriptome/Anopheles_sialome/links/CULICOMORPHA/anoara_SG2-CULICOMORPHA.txt","SG2 protein")</f>
        <v>SG2 protein</v>
      </c>
      <c r="AK808" t="str">
        <f>HYPERLINK("http://www.ncbi.nlm.nih.gov/sutils/blink.cgi?pid=4210617","2E-061")</f>
        <v>2E-061</v>
      </c>
      <c r="AL808" t="str">
        <f t="shared" si="266"/>
        <v>gi|4210617</v>
      </c>
      <c r="AM808">
        <v>97</v>
      </c>
      <c r="AN808">
        <v>98</v>
      </c>
      <c r="AO808">
        <v>100</v>
      </c>
      <c r="AP808" t="s">
        <v>2254</v>
      </c>
      <c r="AQ808" s="2" t="str">
        <f>HYPERLINK("http://exon.niaid.nih.gov/transcriptome/Anopheles_sialome/links/NR-LIGHT/anoara_SG2-NR-LIGHT.txt","SG2 protein")</f>
        <v>SG2 protein</v>
      </c>
      <c r="AR808" t="str">
        <f>HYPERLINK("http://www.ncbi.nlm.nih.gov/sutils/blink.cgi?pid=4210617","3E-060")</f>
        <v>3E-060</v>
      </c>
      <c r="AS808" t="str">
        <f t="shared" si="267"/>
        <v>gi|4210617</v>
      </c>
      <c r="AT808">
        <v>97</v>
      </c>
      <c r="AU808">
        <v>98</v>
      </c>
      <c r="AV808">
        <v>100</v>
      </c>
      <c r="AW808" t="s">
        <v>2254</v>
      </c>
      <c r="AX808" s="2" t="str">
        <f>HYPERLINK("http://exon.niaid.nih.gov/transcriptome/Anopheles_sialome/links/CDD/anoara_SG2-CDD.txt","CAT")</f>
        <v>CAT</v>
      </c>
      <c r="AY808" t="str">
        <f>HYPERLINK("http://www.ncbi.nlm.nih.gov/Structure/cdd/cddsrv.cgi?uid=pfam00302&amp;version=v4.0","0.064")</f>
        <v>0.064</v>
      </c>
      <c r="AZ808" t="s">
        <v>2988</v>
      </c>
      <c r="BA808" s="2" t="str">
        <f>HYPERLINK("http://exon.niaid.nih.gov/transcriptome/Anopheles_sialome/links/KOG/anoara_SG2-KOG.txt","c-Mpl binding protein, contains La domain")</f>
        <v>c-Mpl binding protein, contains La domain</v>
      </c>
      <c r="BB808" t="str">
        <f>HYPERLINK("http://www.ncbi.nlm.nih.gov/Structure/cdd/cddsrv.cgi?uid=KOG2591","0.45")</f>
        <v>0.45</v>
      </c>
      <c r="BC808" t="s">
        <v>2292</v>
      </c>
      <c r="BD808" t="str">
        <f>HYPERLINK("http://exon.niaid.nih.gov/transcriptome/Anopheles_sialome/links/KOG/anoara_SG2-KOG.txt","KOG2591")</f>
        <v>KOG2591</v>
      </c>
      <c r="BE808" t="str">
        <f>HYPERLINK("http://exon.niaid.nih.gov/transcriptome/Anopheles_sialome/links/PFAM/anoara_SG2-PFAM.txt","CAT")</f>
        <v>CAT</v>
      </c>
      <c r="BF808" t="str">
        <f>HYPERLINK("http://pfam.sanger.ac.uk/family?acc=PF00302","0.014")</f>
        <v>0.014</v>
      </c>
      <c r="BG808" s="2" t="str">
        <f>HYPERLINK("http://exon.niaid.nih.gov/transcriptome/Anopheles_sialome/links/SMART/anoara_SG2-SMART.txt","TLDc")</f>
        <v>TLDc</v>
      </c>
      <c r="BH808" t="str">
        <f>HYPERLINK("http://smart.embl-heidelberg.de/smart/do_annotation.pl?DOMAIN=TLDc&amp;BLAST=DUMMY","1.2")</f>
        <v>1.2</v>
      </c>
      <c r="BI808" t="str">
        <f>HYPERLINK("http://exon.niaid.nih.gov/transcriptome/Anopheles_sialome/links/TICK-BLOCKS/anoara_SG2-TICK-BLOCKS.txt","SG2_superfamily |")</f>
        <v>SG2_superfamily |</v>
      </c>
      <c r="BJ808" s="2" t="s">
        <v>2986</v>
      </c>
      <c r="BK808" t="s">
        <v>1949</v>
      </c>
      <c r="BL808">
        <f>HYPERLINK("http://exon.niaid.nih.gov/transcriptome/Anopheles_sialome/links/cluster-b/anopheline-sialome-cds-pep-larger-orf25-50SimCLU1.txt", 1)</f>
        <v>1</v>
      </c>
      <c r="BM808">
        <f>HYPERLINK("http://exon.niaid.nih.gov/transcriptome/Anopheles_sialome/links/cluster-b/anopheline-sialome-cds-pep-larger-orf25-50SimCLTL1.txt", 165)</f>
        <v>165</v>
      </c>
      <c r="BN808">
        <f>HYPERLINK("http://exon.niaid.nih.gov/transcriptome/Anopheles_sialome/links/cluster-b/anopheline-sialome-cds-pep-larger-orf30-50SimCLU1.txt", 1)</f>
        <v>1</v>
      </c>
      <c r="BO808">
        <f>HYPERLINK("http://exon.niaid.nih.gov/transcriptome/Anopheles_sialome/links/cluster-b/anopheline-sialome-cds-pep-larger-orf30-50SimCLTL1.txt", 165)</f>
        <v>165</v>
      </c>
      <c r="BP808">
        <f>HYPERLINK("http://exon.niaid.nih.gov/transcriptome/Anopheles_sialome/links/cluster-b/anopheline-sialome-cds-pep-larger-orf35-50SimCLU10.txt", 10)</f>
        <v>10</v>
      </c>
      <c r="BQ808">
        <f>HYPERLINK("http://exon.niaid.nih.gov/transcriptome/Anopheles_sialome/links/cluster-b/anopheline-sialome-cds-pep-larger-orf35-50SimCLTL10.txt", 28)</f>
        <v>28</v>
      </c>
      <c r="BR808">
        <f>HYPERLINK("http://exon.niaid.nih.gov/transcriptome/Anopheles_sialome/links/cluster-b/anopheline-sialome-cds-pep-larger-orf40-50SimCLU10.txt", 10)</f>
        <v>10</v>
      </c>
      <c r="BS808">
        <f>HYPERLINK("http://exon.niaid.nih.gov/transcriptome/Anopheles_sialome/links/cluster-b/anopheline-sialome-cds-pep-larger-orf40-50SimCLTL10.txt", 28)</f>
        <v>28</v>
      </c>
      <c r="BT808">
        <f>HYPERLINK("http://exon.niaid.nih.gov/transcriptome/Anopheles_sialome/links/cluster-b/anopheline-sialome-cds-pep-larger-orf45-50SimCLU9.txt", 9)</f>
        <v>9</v>
      </c>
      <c r="BU808">
        <f>HYPERLINK("http://exon.niaid.nih.gov/transcriptome/Anopheles_sialome/links/cluster-b/anopheline-sialome-cds-pep-larger-orf45-50SimCLTL9.txt", 28)</f>
        <v>28</v>
      </c>
      <c r="BV808">
        <f>HYPERLINK("http://exon.niaid.nih.gov/transcriptome/Anopheles_sialome/links/cluster-b/anopheline-sialome-cds-pep-larger-orf50-50SimCLU10.txt", 10)</f>
        <v>10</v>
      </c>
      <c r="BW808">
        <f>HYPERLINK("http://exon.niaid.nih.gov/transcriptome/Anopheles_sialome/links/cluster-b/anopheline-sialome-cds-pep-larger-orf50-50SimCLTL10.txt", 26)</f>
        <v>26</v>
      </c>
      <c r="BX808">
        <f>HYPERLINK("http://exon.niaid.nih.gov/transcriptome/Anopheles_sialome/links/cluster-b/anopheline-sialome-cds-pep-larger-orf55-50SimCLU11.txt", 11)</f>
        <v>11</v>
      </c>
      <c r="BY808">
        <f>HYPERLINK("http://exon.niaid.nih.gov/transcriptome/Anopheles_sialome/links/cluster-b/anopheline-sialome-cds-pep-larger-orf55-50SimCLTL11.txt", 26)</f>
        <v>26</v>
      </c>
      <c r="BZ808">
        <f>HYPERLINK("http://exon.niaid.nih.gov/transcriptome/Anopheles_sialome/links/cluster-b/anopheline-sialome-cds-pep-larger-orf60-50SimCLU29.txt", 29)</f>
        <v>29</v>
      </c>
      <c r="CA808">
        <f>HYPERLINK("http://exon.niaid.nih.gov/transcriptome/Anopheles_sialome/links/cluster-b/anopheline-sialome-cds-pep-larger-orf60-50SimCLTL29.txt", 15)</f>
        <v>15</v>
      </c>
      <c r="CB808">
        <f>HYPERLINK("http://exon.niaid.nih.gov/transcriptome/Anopheles_sialome/links/cluster-b/anopheline-sialome-cds-pep-larger-orf65-50SimCLU35.txt", 35)</f>
        <v>35</v>
      </c>
      <c r="CC808">
        <f>HYPERLINK("http://exon.niaid.nih.gov/transcriptome/Anopheles_sialome/links/cluster-b/anopheline-sialome-cds-pep-larger-orf65-50SimCLTL35.txt", 13)</f>
        <v>13</v>
      </c>
      <c r="CD808">
        <f>HYPERLINK("http://exon.niaid.nih.gov/transcriptome/Anopheles_sialome/links/cluster-b/anopheline-sialome-cds-pep-larger-orf70-50SimCLU36.txt", 36)</f>
        <v>36</v>
      </c>
      <c r="CE808">
        <f>HYPERLINK("http://exon.niaid.nih.gov/transcriptome/Anopheles_sialome/links/cluster-b/anopheline-sialome-cds-pep-larger-orf70-50SimCLTL36.txt", 13)</f>
        <v>13</v>
      </c>
      <c r="CF808">
        <f>HYPERLINK("http://exon.niaid.nih.gov/transcriptome/Anopheles_sialome/links/cluster-b/anopheline-sialome-cds-pep-larger-orf75-50SimCLU26.txt", 26)</f>
        <v>26</v>
      </c>
      <c r="CG808">
        <f>HYPERLINK("http://exon.niaid.nih.gov/transcriptome/Anopheles_sialome/links/cluster-b/anopheline-sialome-cds-pep-larger-orf75-50SimCLTL26.txt", 13)</f>
        <v>13</v>
      </c>
      <c r="CH808">
        <f>HYPERLINK("http://exon.niaid.nih.gov/transcriptome/Anopheles_sialome/links/cluster-b/anopheline-sialome-cds-pep-larger-orf80-50SimCLU28.txt", 28)</f>
        <v>28</v>
      </c>
      <c r="CI808">
        <f>HYPERLINK("http://exon.niaid.nih.gov/transcriptome/Anopheles_sialome/links/cluster-b/anopheline-sialome-cds-pep-larger-orf80-50SimCLTL28.txt", 8)</f>
        <v>8</v>
      </c>
      <c r="CJ808">
        <f>HYPERLINK("http://exon.niaid.nih.gov/transcriptome/Anopheles_sialome/links/cluster-b/anopheline-sialome-cds-pep-larger-orf85-50SimCLU20.txt", 20)</f>
        <v>20</v>
      </c>
      <c r="CK808">
        <f>HYPERLINK("http://exon.niaid.nih.gov/transcriptome/Anopheles_sialome/links/cluster-b/anopheline-sialome-cds-pep-larger-orf85-50SimCLTL20.txt", 8)</f>
        <v>8</v>
      </c>
      <c r="CL808">
        <f>HYPERLINK("http://exon.niaid.nih.gov/transcriptome/Anopheles_sialome/links/cluster-b/anopheline-sialome-cds-pep-larger-orf90-50SimCLU35.txt", 35)</f>
        <v>35</v>
      </c>
      <c r="CM808">
        <f>HYPERLINK("http://exon.niaid.nih.gov/transcriptome/Anopheles_sialome/links/cluster-b/anopheline-sialome-cds-pep-larger-orf90-50SimCLTL35.txt", 6)</f>
        <v>6</v>
      </c>
      <c r="CN808">
        <f>HYPERLINK("http://exon.niaid.nih.gov/transcriptome/Anopheles_sialome/links/cluster-b/anopheline-sialome-cds-pep-larger-orf95-50SimCLU49.txt", 49)</f>
        <v>49</v>
      </c>
      <c r="CO808">
        <f>HYPERLINK("http://exon.niaid.nih.gov/transcriptome/Anopheles_sialome/links/cluster-b/anopheline-sialome-cds-pep-larger-orf95-50SimCLTL49.txt", 4)</f>
        <v>4</v>
      </c>
    </row>
    <row r="809" spans="1:93">
      <c r="A809" s="2" t="str">
        <f>HYPERLINK("http://exon.niaid.nih.gov/transcriptome/Anopheles_sialome/links/cds/anoqua_SG2-cds.txt","anoqua_SG2")</f>
        <v>anoqua_SG2</v>
      </c>
      <c r="B809">
        <v>345</v>
      </c>
      <c r="C809" t="s">
        <v>513</v>
      </c>
      <c r="D809" t="s">
        <v>4</v>
      </c>
      <c r="E809" t="s">
        <v>5</v>
      </c>
      <c r="F809" t="s">
        <v>1</v>
      </c>
      <c r="G809" t="str">
        <f>HYPERLINK("http://exon.niaid.nih.gov/transcriptome/Anopheles_sialome/links/pep/anoqua_SG2-pep.txt","anoqua_SG2")</f>
        <v>anoqua_SG2</v>
      </c>
      <c r="H809">
        <v>114</v>
      </c>
      <c r="I809">
        <v>0</v>
      </c>
      <c r="J809" s="3" t="str">
        <f>HYPERLINK("http://exon.niaid.nih.gov/transcriptome/Anopheles_sialome/links/Sigp/anoqua_SG2-SigP.txt","SIG")</f>
        <v>SIG</v>
      </c>
      <c r="K809" t="s">
        <v>692</v>
      </c>
      <c r="L809">
        <v>11.643000000000001</v>
      </c>
      <c r="M809">
        <v>4.03</v>
      </c>
      <c r="N809">
        <v>9.657</v>
      </c>
      <c r="O809">
        <v>3.49</v>
      </c>
      <c r="P809" t="s">
        <v>1952</v>
      </c>
      <c r="Q809" s="3" t="str">
        <f>HYPERLINK("http://exon.niaid.nih.gov/transcriptome/Anopheles_sialome/links/tmhmm/anoqua_SG2-tmhmm.txt","1")</f>
        <v>1</v>
      </c>
      <c r="R809">
        <v>19.3</v>
      </c>
      <c r="S809">
        <v>76.3</v>
      </c>
      <c r="T809">
        <v>4.4000000000000004</v>
      </c>
      <c r="U809" t="s">
        <v>128</v>
      </c>
      <c r="V809">
        <v>87</v>
      </c>
      <c r="W809" s="3" t="str">
        <f>HYPERLINK("http://exon.niaid.nih.gov/transcriptome/Anopheles_sialome/links/netoglyc/anoqua_SG2-netoglyc.txt","0")</f>
        <v>0</v>
      </c>
      <c r="X809">
        <v>16.7</v>
      </c>
      <c r="Y809">
        <v>18.399999999999999</v>
      </c>
      <c r="Z809">
        <v>7</v>
      </c>
      <c r="AA809">
        <v>2.6</v>
      </c>
      <c r="AB809" t="s">
        <v>128</v>
      </c>
      <c r="AC809" s="2" t="str">
        <f>HYPERLINK("http://exon.niaid.nih.gov/transcriptome/Anopheles_sialome/links/DIPTERA/anoqua_SG2-DIPTERA.txt","SG2 protein")</f>
        <v>SG2 protein</v>
      </c>
      <c r="AD809" t="str">
        <f>HYPERLINK("http://www.ncbi.nlm.nih.gov/sutils/blink.cgi?pid=4210617","6E-058")</f>
        <v>6E-058</v>
      </c>
      <c r="AE809" t="str">
        <f t="shared" si="265"/>
        <v>gi|4210617</v>
      </c>
      <c r="AF809">
        <v>92</v>
      </c>
      <c r="AG809">
        <v>94</v>
      </c>
      <c r="AH809">
        <v>100</v>
      </c>
      <c r="AI809" t="s">
        <v>2254</v>
      </c>
      <c r="AJ809" s="2" t="str">
        <f>HYPERLINK("http://exon.niaid.nih.gov/transcriptome/Anopheles_sialome/links/CULICOMORPHA/anoqua_SG2-CULICOMORPHA.txt","SG2 protein")</f>
        <v>SG2 protein</v>
      </c>
      <c r="AK809" t="str">
        <f>HYPERLINK("http://www.ncbi.nlm.nih.gov/sutils/blink.cgi?pid=4210617","1E-058")</f>
        <v>1E-058</v>
      </c>
      <c r="AL809" t="str">
        <f t="shared" si="266"/>
        <v>gi|4210617</v>
      </c>
      <c r="AM809">
        <v>92</v>
      </c>
      <c r="AN809">
        <v>94</v>
      </c>
      <c r="AO809">
        <v>100</v>
      </c>
      <c r="AP809" t="s">
        <v>2254</v>
      </c>
      <c r="AQ809" s="2" t="str">
        <f>HYPERLINK("http://exon.niaid.nih.gov/transcriptome/Anopheles_sialome/links/NR-LIGHT/anoqua_SG2-NR-LIGHT.txt","SG2 protein")</f>
        <v>SG2 protein</v>
      </c>
      <c r="AR809" t="str">
        <f>HYPERLINK("http://www.ncbi.nlm.nih.gov/sutils/blink.cgi?pid=4210617","2E-057")</f>
        <v>2E-057</v>
      </c>
      <c r="AS809" t="str">
        <f t="shared" si="267"/>
        <v>gi|4210617</v>
      </c>
      <c r="AT809">
        <v>92</v>
      </c>
      <c r="AU809">
        <v>94</v>
      </c>
      <c r="AV809">
        <v>100</v>
      </c>
      <c r="AW809" t="s">
        <v>2254</v>
      </c>
      <c r="AX809" s="2" t="str">
        <f>HYPERLINK("http://exon.niaid.nih.gov/transcriptome/Anopheles_sialome/links/CDD/anoqua_SG2-CDD.txt","PLN03150")</f>
        <v>PLN03150</v>
      </c>
      <c r="AY809" t="str">
        <f>HYPERLINK("http://www.ncbi.nlm.nih.gov/Structure/cdd/cddsrv.cgi?uid=PLN03150&amp;version=v4.0","0.096")</f>
        <v>0.096</v>
      </c>
      <c r="AZ809" t="s">
        <v>2989</v>
      </c>
      <c r="BA809" s="2" t="str">
        <f>HYPERLINK("http://exon.niaid.nih.gov/transcriptome/Anopheles_sialome/links/KOG/anoqua_SG2-KOG.txt","Synaptic vesicle protein rabphilin-3A")</f>
        <v>Synaptic vesicle protein rabphilin-3A</v>
      </c>
      <c r="BB809" t="str">
        <f>HYPERLINK("http://www.ncbi.nlm.nih.gov/Structure/cdd/cddsrv.cgi?uid=KOG1013","0.35")</f>
        <v>0.35</v>
      </c>
      <c r="BC809" t="s">
        <v>2487</v>
      </c>
      <c r="BD809" t="str">
        <f>HYPERLINK("http://exon.niaid.nih.gov/transcriptome/Anopheles_sialome/links/KOG/anoqua_SG2-KOG.txt","KOG1013")</f>
        <v>KOG1013</v>
      </c>
      <c r="BE809" t="str">
        <f>HYPERLINK("http://exon.niaid.nih.gov/transcriptome/Anopheles_sialome/links/PFAM/anoqua_SG2-PFAM.txt","CAT")</f>
        <v>CAT</v>
      </c>
      <c r="BF809" t="str">
        <f>HYPERLINK("http://pfam.sanger.ac.uk/family?acc=PF00302","0.034")</f>
        <v>0.034</v>
      </c>
      <c r="BG809" s="2" t="str">
        <f>HYPERLINK("http://exon.niaid.nih.gov/transcriptome/Anopheles_sialome/links/SMART/anoqua_SG2-SMART.txt","MHC_II_alpha")</f>
        <v>MHC_II_alpha</v>
      </c>
      <c r="BH809" t="str">
        <f>HYPERLINK("http://smart.embl-heidelberg.de/smart/do_annotation.pl?DOMAIN=MHC_II_alpha&amp;BLAST=DUMMY","1.7")</f>
        <v>1.7</v>
      </c>
      <c r="BI809" t="str">
        <f>HYPERLINK("http://exon.niaid.nih.gov/transcriptome/Anopheles_sialome/links/TICK-BLOCKS/anoqua_SG2-TICK-BLOCKS.txt","SG2_superfamily |")</f>
        <v>SG2_superfamily |</v>
      </c>
      <c r="BJ809" s="2" t="s">
        <v>2986</v>
      </c>
      <c r="BK809" t="s">
        <v>1951</v>
      </c>
      <c r="BL809">
        <f>HYPERLINK("http://exon.niaid.nih.gov/transcriptome/Anopheles_sialome/links/cluster-b/anopheline-sialome-cds-pep-larger-orf25-50SimCLU1.txt", 1)</f>
        <v>1</v>
      </c>
      <c r="BM809">
        <f>HYPERLINK("http://exon.niaid.nih.gov/transcriptome/Anopheles_sialome/links/cluster-b/anopheline-sialome-cds-pep-larger-orf25-50SimCLTL1.txt", 165)</f>
        <v>165</v>
      </c>
      <c r="BN809">
        <f>HYPERLINK("http://exon.niaid.nih.gov/transcriptome/Anopheles_sialome/links/cluster-b/anopheline-sialome-cds-pep-larger-orf30-50SimCLU1.txt", 1)</f>
        <v>1</v>
      </c>
      <c r="BO809">
        <f>HYPERLINK("http://exon.niaid.nih.gov/transcriptome/Anopheles_sialome/links/cluster-b/anopheline-sialome-cds-pep-larger-orf30-50SimCLTL1.txt", 165)</f>
        <v>165</v>
      </c>
      <c r="BP809">
        <f>HYPERLINK("http://exon.niaid.nih.gov/transcriptome/Anopheles_sialome/links/cluster-b/anopheline-sialome-cds-pep-larger-orf35-50SimCLU10.txt", 10)</f>
        <v>10</v>
      </c>
      <c r="BQ809">
        <f>HYPERLINK("http://exon.niaid.nih.gov/transcriptome/Anopheles_sialome/links/cluster-b/anopheline-sialome-cds-pep-larger-orf35-50SimCLTL10.txt", 28)</f>
        <v>28</v>
      </c>
      <c r="BR809">
        <f>HYPERLINK("http://exon.niaid.nih.gov/transcriptome/Anopheles_sialome/links/cluster-b/anopheline-sialome-cds-pep-larger-orf40-50SimCLU10.txt", 10)</f>
        <v>10</v>
      </c>
      <c r="BS809">
        <f>HYPERLINK("http://exon.niaid.nih.gov/transcriptome/Anopheles_sialome/links/cluster-b/anopheline-sialome-cds-pep-larger-orf40-50SimCLTL10.txt", 28)</f>
        <v>28</v>
      </c>
      <c r="BT809">
        <f>HYPERLINK("http://exon.niaid.nih.gov/transcriptome/Anopheles_sialome/links/cluster-b/anopheline-sialome-cds-pep-larger-orf45-50SimCLU9.txt", 9)</f>
        <v>9</v>
      </c>
      <c r="BU809">
        <f>HYPERLINK("http://exon.niaid.nih.gov/transcriptome/Anopheles_sialome/links/cluster-b/anopheline-sialome-cds-pep-larger-orf45-50SimCLTL9.txt", 28)</f>
        <v>28</v>
      </c>
      <c r="BV809">
        <f>HYPERLINK("http://exon.niaid.nih.gov/transcriptome/Anopheles_sialome/links/cluster-b/anopheline-sialome-cds-pep-larger-orf50-50SimCLU10.txt", 10)</f>
        <v>10</v>
      </c>
      <c r="BW809">
        <f>HYPERLINK("http://exon.niaid.nih.gov/transcriptome/Anopheles_sialome/links/cluster-b/anopheline-sialome-cds-pep-larger-orf50-50SimCLTL10.txt", 26)</f>
        <v>26</v>
      </c>
      <c r="BX809">
        <f>HYPERLINK("http://exon.niaid.nih.gov/transcriptome/Anopheles_sialome/links/cluster-b/anopheline-sialome-cds-pep-larger-orf55-50SimCLU11.txt", 11)</f>
        <v>11</v>
      </c>
      <c r="BY809">
        <f>HYPERLINK("http://exon.niaid.nih.gov/transcriptome/Anopheles_sialome/links/cluster-b/anopheline-sialome-cds-pep-larger-orf55-50SimCLTL11.txt", 26)</f>
        <v>26</v>
      </c>
      <c r="BZ809">
        <f>HYPERLINK("http://exon.niaid.nih.gov/transcriptome/Anopheles_sialome/links/cluster-b/anopheline-sialome-cds-pep-larger-orf60-50SimCLU29.txt", 29)</f>
        <v>29</v>
      </c>
      <c r="CA809">
        <f>HYPERLINK("http://exon.niaid.nih.gov/transcriptome/Anopheles_sialome/links/cluster-b/anopheline-sialome-cds-pep-larger-orf60-50SimCLTL29.txt", 15)</f>
        <v>15</v>
      </c>
      <c r="CB809">
        <f>HYPERLINK("http://exon.niaid.nih.gov/transcriptome/Anopheles_sialome/links/cluster-b/anopheline-sialome-cds-pep-larger-orf65-50SimCLU35.txt", 35)</f>
        <v>35</v>
      </c>
      <c r="CC809">
        <f>HYPERLINK("http://exon.niaid.nih.gov/transcriptome/Anopheles_sialome/links/cluster-b/anopheline-sialome-cds-pep-larger-orf65-50SimCLTL35.txt", 13)</f>
        <v>13</v>
      </c>
      <c r="CD809">
        <f>HYPERLINK("http://exon.niaid.nih.gov/transcriptome/Anopheles_sialome/links/cluster-b/anopheline-sialome-cds-pep-larger-orf70-50SimCLU36.txt", 36)</f>
        <v>36</v>
      </c>
      <c r="CE809">
        <f>HYPERLINK("http://exon.niaid.nih.gov/transcriptome/Anopheles_sialome/links/cluster-b/anopheline-sialome-cds-pep-larger-orf70-50SimCLTL36.txt", 13)</f>
        <v>13</v>
      </c>
      <c r="CF809">
        <f>HYPERLINK("http://exon.niaid.nih.gov/transcriptome/Anopheles_sialome/links/cluster-b/anopheline-sialome-cds-pep-larger-orf75-50SimCLU26.txt", 26)</f>
        <v>26</v>
      </c>
      <c r="CG809">
        <f>HYPERLINK("http://exon.niaid.nih.gov/transcriptome/Anopheles_sialome/links/cluster-b/anopheline-sialome-cds-pep-larger-orf75-50SimCLTL26.txt", 13)</f>
        <v>13</v>
      </c>
      <c r="CH809">
        <f>HYPERLINK("http://exon.niaid.nih.gov/transcriptome/Anopheles_sialome/links/cluster-b/anopheline-sialome-cds-pep-larger-orf80-50SimCLU28.txt", 28)</f>
        <v>28</v>
      </c>
      <c r="CI809">
        <f>HYPERLINK("http://exon.niaid.nih.gov/transcriptome/Anopheles_sialome/links/cluster-b/anopheline-sialome-cds-pep-larger-orf80-50SimCLTL28.txt", 8)</f>
        <v>8</v>
      </c>
      <c r="CJ809">
        <f>HYPERLINK("http://exon.niaid.nih.gov/transcriptome/Anopheles_sialome/links/cluster-b/anopheline-sialome-cds-pep-larger-orf85-50SimCLU20.txt", 20)</f>
        <v>20</v>
      </c>
      <c r="CK809">
        <f>HYPERLINK("http://exon.niaid.nih.gov/transcriptome/Anopheles_sialome/links/cluster-b/anopheline-sialome-cds-pep-larger-orf85-50SimCLTL20.txt", 8)</f>
        <v>8</v>
      </c>
      <c r="CL809">
        <f>HYPERLINK("http://exon.niaid.nih.gov/transcriptome/Anopheles_sialome/links/cluster-b/anopheline-sialome-cds-pep-larger-orf90-50SimCLU35.txt", 35)</f>
        <v>35</v>
      </c>
      <c r="CM809">
        <f>HYPERLINK("http://exon.niaid.nih.gov/transcriptome/Anopheles_sialome/links/cluster-b/anopheline-sialome-cds-pep-larger-orf90-50SimCLTL35.txt", 6)</f>
        <v>6</v>
      </c>
      <c r="CN809">
        <f>HYPERLINK("http://exon.niaid.nih.gov/transcriptome/Anopheles_sialome/links/cluster-b/anopheline-sialome-cds-pep-larger-orf95-50SimCLU68.txt", 68)</f>
        <v>68</v>
      </c>
      <c r="CO809">
        <f>HYPERLINK("http://exon.niaid.nih.gov/transcriptome/Anopheles_sialome/links/cluster-b/anopheline-sialome-cds-pep-larger-orf95-50SimCLTL68.txt", 2)</f>
        <v>2</v>
      </c>
    </row>
    <row r="810" spans="1:93">
      <c r="A810" s="2" t="str">
        <f>HYPERLINK("http://exon.niaid.nih.gov/transcriptome/Anopheles_sialome/links/cds/anomer_SG2-cds.txt","anomer_SG2")</f>
        <v>anomer_SG2</v>
      </c>
      <c r="B810">
        <v>336</v>
      </c>
      <c r="C810" t="s">
        <v>514</v>
      </c>
      <c r="D810" t="s">
        <v>7</v>
      </c>
      <c r="E810" t="s">
        <v>5</v>
      </c>
      <c r="F810" t="s">
        <v>1</v>
      </c>
      <c r="G810" t="str">
        <f>HYPERLINK("http://exon.niaid.nih.gov/transcriptome/Anopheles_sialome/links/pep/anomer_SG2-pep.txt","anomer_SG2")</f>
        <v>anomer_SG2</v>
      </c>
      <c r="H810">
        <v>111</v>
      </c>
      <c r="I810">
        <v>0</v>
      </c>
      <c r="J810" s="3" t="str">
        <f>HYPERLINK("http://exon.niaid.nih.gov/transcriptome/Anopheles_sialome/links/Sigp/anomer_SG2-SigP.txt","SIG")</f>
        <v>SIG</v>
      </c>
      <c r="K810" t="s">
        <v>919</v>
      </c>
      <c r="L810">
        <v>11.298</v>
      </c>
      <c r="M810">
        <v>3.49</v>
      </c>
      <c r="N810">
        <v>9.6150000000000002</v>
      </c>
      <c r="O810">
        <v>3.49</v>
      </c>
      <c r="P810" t="s">
        <v>1954</v>
      </c>
      <c r="Q810" s="3" t="str">
        <f>HYPERLINK("http://exon.niaid.nih.gov/transcriptome/Anopheles_sialome/links/tmhmm/anomer_SG2-tmhmm.txt","1")</f>
        <v>1</v>
      </c>
      <c r="R810">
        <v>19.8</v>
      </c>
      <c r="S810">
        <v>9</v>
      </c>
      <c r="T810">
        <v>71.2</v>
      </c>
      <c r="U810" t="s">
        <v>128</v>
      </c>
      <c r="V810">
        <v>79</v>
      </c>
      <c r="W810" s="3" t="str">
        <f>HYPERLINK("http://exon.niaid.nih.gov/transcriptome/Anopheles_sialome/links/netoglyc/anomer_SG2-netoglyc.txt","0")</f>
        <v>0</v>
      </c>
      <c r="X810">
        <v>15.3</v>
      </c>
      <c r="Y810">
        <v>18.899999999999999</v>
      </c>
      <c r="Z810">
        <v>7.2</v>
      </c>
      <c r="AA810">
        <v>2.7</v>
      </c>
      <c r="AB810" t="s">
        <v>128</v>
      </c>
      <c r="AC810" s="2" t="str">
        <f>HYPERLINK("http://exon.niaid.nih.gov/transcriptome/Anopheles_sialome/links/DIPTERA/anomer_SG2-DIPTERA.txt","SG2 protein")</f>
        <v>SG2 protein</v>
      </c>
      <c r="AD810" t="str">
        <f>HYPERLINK("http://www.ncbi.nlm.nih.gov/sutils/blink.cgi?pid=4210617","3E-056")</f>
        <v>3E-056</v>
      </c>
      <c r="AE810" t="str">
        <f t="shared" si="265"/>
        <v>gi|4210617</v>
      </c>
      <c r="AF810">
        <v>91</v>
      </c>
      <c r="AG810">
        <v>95</v>
      </c>
      <c r="AH810">
        <v>97</v>
      </c>
      <c r="AI810" t="s">
        <v>2254</v>
      </c>
      <c r="AJ810" s="2" t="str">
        <f>HYPERLINK("http://exon.niaid.nih.gov/transcriptome/Anopheles_sialome/links/CULICOMORPHA/anomer_SG2-CULICOMORPHA.txt","SG2 protein")</f>
        <v>SG2 protein</v>
      </c>
      <c r="AK810" t="str">
        <f>HYPERLINK("http://www.ncbi.nlm.nih.gov/sutils/blink.cgi?pid=4210617","5E-057")</f>
        <v>5E-057</v>
      </c>
      <c r="AL810" t="str">
        <f t="shared" si="266"/>
        <v>gi|4210617</v>
      </c>
      <c r="AM810">
        <v>91</v>
      </c>
      <c r="AN810">
        <v>95</v>
      </c>
      <c r="AO810">
        <v>97</v>
      </c>
      <c r="AP810" t="s">
        <v>2254</v>
      </c>
      <c r="AQ810" s="2" t="str">
        <f>HYPERLINK("http://exon.niaid.nih.gov/transcriptome/Anopheles_sialome/links/NR-LIGHT/anomer_SG2-NR-LIGHT.txt","SG2 protein")</f>
        <v>SG2 protein</v>
      </c>
      <c r="AR810" t="str">
        <f>HYPERLINK("http://www.ncbi.nlm.nih.gov/sutils/blink.cgi?pid=4210617","7E-056")</f>
        <v>7E-056</v>
      </c>
      <c r="AS810" t="str">
        <f t="shared" si="267"/>
        <v>gi|4210617</v>
      </c>
      <c r="AT810">
        <v>91</v>
      </c>
      <c r="AU810">
        <v>95</v>
      </c>
      <c r="AV810">
        <v>97</v>
      </c>
      <c r="AW810" t="s">
        <v>2254</v>
      </c>
      <c r="AX810" s="2" t="str">
        <f>HYPERLINK("http://exon.niaid.nih.gov/transcriptome/Anopheles_sialome/links/CDD/anomer_SG2-CDD.txt","PLN03150")</f>
        <v>PLN03150</v>
      </c>
      <c r="AY810" t="str">
        <f>HYPERLINK("http://www.ncbi.nlm.nih.gov/Structure/cdd/cddsrv.cgi?uid=PLN03150&amp;version=v4.0","0.24")</f>
        <v>0.24</v>
      </c>
      <c r="AZ810" t="s">
        <v>2990</v>
      </c>
      <c r="BA810" s="2" t="str">
        <f>HYPERLINK("http://exon.niaid.nih.gov/transcriptome/Anopheles_sialome/links/KOG/anomer_SG2-KOG.txt","Synaptic vesicle protein rabphilin-3A")</f>
        <v>Synaptic vesicle protein rabphilin-3A</v>
      </c>
      <c r="BB810" t="str">
        <f>HYPERLINK("http://www.ncbi.nlm.nih.gov/Structure/cdd/cddsrv.cgi?uid=KOG1013","0.25")</f>
        <v>0.25</v>
      </c>
      <c r="BC810" t="s">
        <v>2487</v>
      </c>
      <c r="BD810" t="str">
        <f>HYPERLINK("http://exon.niaid.nih.gov/transcriptome/Anopheles_sialome/links/KOG/anomer_SG2-KOG.txt","KOG1013")</f>
        <v>KOG1013</v>
      </c>
      <c r="BE810" t="str">
        <f>HYPERLINK("http://exon.niaid.nih.gov/transcriptome/Anopheles_sialome/links/PFAM/anomer_SG2-PFAM.txt","CAT")</f>
        <v>CAT</v>
      </c>
      <c r="BF810" t="str">
        <f>HYPERLINK("http://pfam.sanger.ac.uk/family?acc=PF00302","0.063")</f>
        <v>0.063</v>
      </c>
      <c r="BG810" s="2" t="str">
        <f>HYPERLINK("http://exon.niaid.nih.gov/transcriptome/Anopheles_sialome/links/SMART/anomer_SG2-SMART.txt","Glyco_18")</f>
        <v>Glyco_18</v>
      </c>
      <c r="BH810" t="str">
        <f>HYPERLINK("http://smart.embl-heidelberg.de/smart/do_annotation.pl?DOMAIN=Glyco_18&amp;BLAST=DUMMY","1.5")</f>
        <v>1.5</v>
      </c>
      <c r="BI810" t="str">
        <f>HYPERLINK("http://exon.niaid.nih.gov/transcriptome/Anopheles_sialome/links/TICK-BLOCKS/anomer_SG2-TICK-BLOCKS.txt","SG2_superfamily |")</f>
        <v>SG2_superfamily |</v>
      </c>
      <c r="BJ810" s="2" t="s">
        <v>2986</v>
      </c>
      <c r="BK810" t="s">
        <v>1953</v>
      </c>
      <c r="BL810">
        <f>HYPERLINK("http://exon.niaid.nih.gov/transcriptome/Anopheles_sialome/links/cluster-b/anopheline-sialome-cds-pep-larger-orf25-50SimCLU1.txt", 1)</f>
        <v>1</v>
      </c>
      <c r="BM810">
        <f>HYPERLINK("http://exon.niaid.nih.gov/transcriptome/Anopheles_sialome/links/cluster-b/anopheline-sialome-cds-pep-larger-orf25-50SimCLTL1.txt", 165)</f>
        <v>165</v>
      </c>
      <c r="BN810">
        <f>HYPERLINK("http://exon.niaid.nih.gov/transcriptome/Anopheles_sialome/links/cluster-b/anopheline-sialome-cds-pep-larger-orf30-50SimCLU1.txt", 1)</f>
        <v>1</v>
      </c>
      <c r="BO810">
        <f>HYPERLINK("http://exon.niaid.nih.gov/transcriptome/Anopheles_sialome/links/cluster-b/anopheline-sialome-cds-pep-larger-orf30-50SimCLTL1.txt", 165)</f>
        <v>165</v>
      </c>
      <c r="BP810">
        <f>HYPERLINK("http://exon.niaid.nih.gov/transcriptome/Anopheles_sialome/links/cluster-b/anopheline-sialome-cds-pep-larger-orf35-50SimCLU10.txt", 10)</f>
        <v>10</v>
      </c>
      <c r="BQ810">
        <f>HYPERLINK("http://exon.niaid.nih.gov/transcriptome/Anopheles_sialome/links/cluster-b/anopheline-sialome-cds-pep-larger-orf35-50SimCLTL10.txt", 28)</f>
        <v>28</v>
      </c>
      <c r="BR810">
        <f>HYPERLINK("http://exon.niaid.nih.gov/transcriptome/Anopheles_sialome/links/cluster-b/anopheline-sialome-cds-pep-larger-orf40-50SimCLU10.txt", 10)</f>
        <v>10</v>
      </c>
      <c r="BS810">
        <f>HYPERLINK("http://exon.niaid.nih.gov/transcriptome/Anopheles_sialome/links/cluster-b/anopheline-sialome-cds-pep-larger-orf40-50SimCLTL10.txt", 28)</f>
        <v>28</v>
      </c>
      <c r="BT810">
        <f>HYPERLINK("http://exon.niaid.nih.gov/transcriptome/Anopheles_sialome/links/cluster-b/anopheline-sialome-cds-pep-larger-orf45-50SimCLU9.txt", 9)</f>
        <v>9</v>
      </c>
      <c r="BU810">
        <f>HYPERLINK("http://exon.niaid.nih.gov/transcriptome/Anopheles_sialome/links/cluster-b/anopheline-sialome-cds-pep-larger-orf45-50SimCLTL9.txt", 28)</f>
        <v>28</v>
      </c>
      <c r="BV810">
        <f>HYPERLINK("http://exon.niaid.nih.gov/transcriptome/Anopheles_sialome/links/cluster-b/anopheline-sialome-cds-pep-larger-orf50-50SimCLU10.txt", 10)</f>
        <v>10</v>
      </c>
      <c r="BW810">
        <f>HYPERLINK("http://exon.niaid.nih.gov/transcriptome/Anopheles_sialome/links/cluster-b/anopheline-sialome-cds-pep-larger-orf50-50SimCLTL10.txt", 26)</f>
        <v>26</v>
      </c>
      <c r="BX810">
        <f>HYPERLINK("http://exon.niaid.nih.gov/transcriptome/Anopheles_sialome/links/cluster-b/anopheline-sialome-cds-pep-larger-orf55-50SimCLU11.txt", 11)</f>
        <v>11</v>
      </c>
      <c r="BY810">
        <f>HYPERLINK("http://exon.niaid.nih.gov/transcriptome/Anopheles_sialome/links/cluster-b/anopheline-sialome-cds-pep-larger-orf55-50SimCLTL11.txt", 26)</f>
        <v>26</v>
      </c>
      <c r="BZ810">
        <f>HYPERLINK("http://exon.niaid.nih.gov/transcriptome/Anopheles_sialome/links/cluster-b/anopheline-sialome-cds-pep-larger-orf60-50SimCLU29.txt", 29)</f>
        <v>29</v>
      </c>
      <c r="CA810">
        <f>HYPERLINK("http://exon.niaid.nih.gov/transcriptome/Anopheles_sialome/links/cluster-b/anopheline-sialome-cds-pep-larger-orf60-50SimCLTL29.txt", 15)</f>
        <v>15</v>
      </c>
      <c r="CB810">
        <f>HYPERLINK("http://exon.niaid.nih.gov/transcriptome/Anopheles_sialome/links/cluster-b/anopheline-sialome-cds-pep-larger-orf65-50SimCLU35.txt", 35)</f>
        <v>35</v>
      </c>
      <c r="CC810">
        <f>HYPERLINK("http://exon.niaid.nih.gov/transcriptome/Anopheles_sialome/links/cluster-b/anopheline-sialome-cds-pep-larger-orf65-50SimCLTL35.txt", 13)</f>
        <v>13</v>
      </c>
      <c r="CD810">
        <f>HYPERLINK("http://exon.niaid.nih.gov/transcriptome/Anopheles_sialome/links/cluster-b/anopheline-sialome-cds-pep-larger-orf70-50SimCLU36.txt", 36)</f>
        <v>36</v>
      </c>
      <c r="CE810">
        <f>HYPERLINK("http://exon.niaid.nih.gov/transcriptome/Anopheles_sialome/links/cluster-b/anopheline-sialome-cds-pep-larger-orf70-50SimCLTL36.txt", 13)</f>
        <v>13</v>
      </c>
      <c r="CF810">
        <f>HYPERLINK("http://exon.niaid.nih.gov/transcriptome/Anopheles_sialome/links/cluster-b/anopheline-sialome-cds-pep-larger-orf75-50SimCLU26.txt", 26)</f>
        <v>26</v>
      </c>
      <c r="CG810">
        <f>HYPERLINK("http://exon.niaid.nih.gov/transcriptome/Anopheles_sialome/links/cluster-b/anopheline-sialome-cds-pep-larger-orf75-50SimCLTL26.txt", 13)</f>
        <v>13</v>
      </c>
      <c r="CH810">
        <f>HYPERLINK("http://exon.niaid.nih.gov/transcriptome/Anopheles_sialome/links/cluster-b/anopheline-sialome-cds-pep-larger-orf80-50SimCLU28.txt", 28)</f>
        <v>28</v>
      </c>
      <c r="CI810">
        <f>HYPERLINK("http://exon.niaid.nih.gov/transcriptome/Anopheles_sialome/links/cluster-b/anopheline-sialome-cds-pep-larger-orf80-50SimCLTL28.txt", 8)</f>
        <v>8</v>
      </c>
      <c r="CJ810">
        <f>HYPERLINK("http://exon.niaid.nih.gov/transcriptome/Anopheles_sialome/links/cluster-b/anopheline-sialome-cds-pep-larger-orf85-50SimCLU20.txt", 20)</f>
        <v>20</v>
      </c>
      <c r="CK810">
        <f>HYPERLINK("http://exon.niaid.nih.gov/transcriptome/Anopheles_sialome/links/cluster-b/anopheline-sialome-cds-pep-larger-orf85-50SimCLTL20.txt", 8)</f>
        <v>8</v>
      </c>
      <c r="CL810">
        <f>HYPERLINK("http://exon.niaid.nih.gov/transcriptome/Anopheles_sialome/links/cluster-b/anopheline-sialome-cds-pep-larger-orf90-50SimCLU35.txt", 35)</f>
        <v>35</v>
      </c>
      <c r="CM810">
        <f>HYPERLINK("http://exon.niaid.nih.gov/transcriptome/Anopheles_sialome/links/cluster-b/anopheline-sialome-cds-pep-larger-orf90-50SimCLTL35.txt", 6)</f>
        <v>6</v>
      </c>
      <c r="CN810">
        <f>HYPERLINK("http://exon.niaid.nih.gov/transcriptome/Anopheles_sialome/links/cluster-b/anopheline-sialome-cds-pep-larger-orf95-50SimCLU68.txt", 68)</f>
        <v>68</v>
      </c>
      <c r="CO810">
        <f>HYPERLINK("http://exon.niaid.nih.gov/transcriptome/Anopheles_sialome/links/cluster-b/anopheline-sialome-cds-pep-larger-orf95-50SimCLTL68.txt", 2)</f>
        <v>2</v>
      </c>
    </row>
    <row r="811" spans="1:93">
      <c r="A811" s="2" t="str">
        <f>HYPERLINK("http://exon.niaid.nih.gov/transcriptome/Anopheles_sialome/links/cds/anomel_SG2-cds.txt","anomel_SG2")</f>
        <v>anomel_SG2</v>
      </c>
      <c r="B811">
        <v>345</v>
      </c>
      <c r="C811" t="s">
        <v>515</v>
      </c>
      <c r="D811" t="s">
        <v>4</v>
      </c>
      <c r="E811" t="s">
        <v>5</v>
      </c>
      <c r="F811" t="s">
        <v>1</v>
      </c>
      <c r="G811" t="str">
        <f>HYPERLINK("http://exon.niaid.nih.gov/transcriptome/Anopheles_sialome/links/pep/anomel_SG2-pep.txt","anomel_SG2")</f>
        <v>anomel_SG2</v>
      </c>
      <c r="H811">
        <v>114</v>
      </c>
      <c r="I811">
        <v>0</v>
      </c>
      <c r="J811" s="3" t="str">
        <f>HYPERLINK("http://exon.niaid.nih.gov/transcriptome/Anopheles_sialome/links/Sigp/anomel_SG2-SigP.txt","SIG")</f>
        <v>SIG</v>
      </c>
      <c r="K811" t="s">
        <v>692</v>
      </c>
      <c r="L811">
        <v>11.766999999999999</v>
      </c>
      <c r="M811">
        <v>4.03</v>
      </c>
      <c r="N811">
        <v>9.7070000000000007</v>
      </c>
      <c r="O811">
        <v>3.49</v>
      </c>
      <c r="P811" t="s">
        <v>1956</v>
      </c>
      <c r="Q811" s="3" t="str">
        <f>HYPERLINK("http://exon.niaid.nih.gov/transcriptome/Anopheles_sialome/links/tmhmm/anomel_SG2-tmhmm.txt","1")</f>
        <v>1</v>
      </c>
      <c r="R811">
        <v>19.3</v>
      </c>
      <c r="S811">
        <v>76.3</v>
      </c>
      <c r="T811">
        <v>4.4000000000000004</v>
      </c>
      <c r="U811" t="s">
        <v>128</v>
      </c>
      <c r="V811">
        <v>87</v>
      </c>
      <c r="W811" s="3" t="str">
        <f>HYPERLINK("http://exon.niaid.nih.gov/transcriptome/Anopheles_sialome/links/netoglyc/anomel_SG2-netoglyc.txt","0")</f>
        <v>0</v>
      </c>
      <c r="X811">
        <v>17.5</v>
      </c>
      <c r="Y811">
        <v>17.5</v>
      </c>
      <c r="Z811">
        <v>7</v>
      </c>
      <c r="AA811">
        <v>2.6</v>
      </c>
      <c r="AB811" t="s">
        <v>128</v>
      </c>
      <c r="AC811" s="2" t="str">
        <f>HYPERLINK("http://exon.niaid.nih.gov/transcriptome/Anopheles_sialome/links/DIPTERA/anomel_SG2-DIPTERA.txt","SG2 protein")</f>
        <v>SG2 protein</v>
      </c>
      <c r="AD811" t="str">
        <f>HYPERLINK("http://www.ncbi.nlm.nih.gov/sutils/blink.cgi?pid=4210617","3E-059")</f>
        <v>3E-059</v>
      </c>
      <c r="AE811" t="str">
        <f t="shared" si="265"/>
        <v>gi|4210617</v>
      </c>
      <c r="AF811">
        <v>94</v>
      </c>
      <c r="AG811">
        <v>96</v>
      </c>
      <c r="AH811">
        <v>100</v>
      </c>
      <c r="AI811" t="s">
        <v>2254</v>
      </c>
      <c r="AJ811" s="2" t="str">
        <f>HYPERLINK("http://exon.niaid.nih.gov/transcriptome/Anopheles_sialome/links/CULICOMORPHA/anomel_SG2-CULICOMORPHA.txt","SG2 protein")</f>
        <v>SG2 protein</v>
      </c>
      <c r="AK811" t="str">
        <f>HYPERLINK("http://www.ncbi.nlm.nih.gov/sutils/blink.cgi?pid=4210617","6E-060")</f>
        <v>6E-060</v>
      </c>
      <c r="AL811" t="str">
        <f t="shared" si="266"/>
        <v>gi|4210617</v>
      </c>
      <c r="AM811">
        <v>94</v>
      </c>
      <c r="AN811">
        <v>96</v>
      </c>
      <c r="AO811">
        <v>100</v>
      </c>
      <c r="AP811" t="s">
        <v>2254</v>
      </c>
      <c r="AQ811" s="2" t="str">
        <f>HYPERLINK("http://exon.niaid.nih.gov/transcriptome/Anopheles_sialome/links/NR-LIGHT/anomel_SG2-NR-LIGHT.txt","SG2 protein")</f>
        <v>SG2 protein</v>
      </c>
      <c r="AR811" t="str">
        <f>HYPERLINK("http://www.ncbi.nlm.nih.gov/sutils/blink.cgi?pid=4210617","1E-058")</f>
        <v>1E-058</v>
      </c>
      <c r="AS811" t="str">
        <f t="shared" si="267"/>
        <v>gi|4210617</v>
      </c>
      <c r="AT811">
        <v>94</v>
      </c>
      <c r="AU811">
        <v>96</v>
      </c>
      <c r="AV811">
        <v>100</v>
      </c>
      <c r="AW811" t="s">
        <v>2254</v>
      </c>
      <c r="AX811" s="2" t="str">
        <f>HYPERLINK("http://exon.niaid.nih.gov/transcriptome/Anopheles_sialome/links/CDD/anomel_SG2-CDD.txt","CAT")</f>
        <v>CAT</v>
      </c>
      <c r="AY811" t="str">
        <f>HYPERLINK("http://www.ncbi.nlm.nih.gov/Structure/cdd/cddsrv.cgi?uid=pfam00302&amp;version=v4.0","0.027")</f>
        <v>0.027</v>
      </c>
      <c r="AZ811" t="s">
        <v>2991</v>
      </c>
      <c r="BA811" s="2" t="str">
        <f>HYPERLINK("http://exon.niaid.nih.gov/transcriptome/Anopheles_sialome/links/KOG/anomel_SG2-KOG.txt","Deoxyribodipyrimidine photolyase/cryptochrome")</f>
        <v>Deoxyribodipyrimidine photolyase/cryptochrome</v>
      </c>
      <c r="BB811" t="str">
        <f>HYPERLINK("http://www.ncbi.nlm.nih.gov/Structure/cdd/cddsrv.cgi?uid=KOG0133","0.61")</f>
        <v>0.61</v>
      </c>
      <c r="BC811" t="s">
        <v>2992</v>
      </c>
      <c r="BD811" t="str">
        <f>HYPERLINK("http://exon.niaid.nih.gov/transcriptome/Anopheles_sialome/links/KOG/anomel_SG2-KOG.txt","KOG0133")</f>
        <v>KOG0133</v>
      </c>
      <c r="BE811" t="str">
        <f>HYPERLINK("http://exon.niaid.nih.gov/transcriptome/Anopheles_sialome/links/PFAM/anomel_SG2-PFAM.txt","CAT")</f>
        <v>CAT</v>
      </c>
      <c r="BF811" t="str">
        <f>HYPERLINK("http://pfam.sanger.ac.uk/family?acc=PF00302","0.006")</f>
        <v>0.006</v>
      </c>
      <c r="BG811" s="2" t="str">
        <f>HYPERLINK("http://exon.niaid.nih.gov/transcriptome/Anopheles_sialome/links/SMART/anomel_SG2-SMART.txt","TLDc")</f>
        <v>TLDc</v>
      </c>
      <c r="BH811" t="str">
        <f>HYPERLINK("http://smart.embl-heidelberg.de/smart/do_annotation.pl?DOMAIN=TLDc&amp;BLAST=DUMMY","0.95")</f>
        <v>0.95</v>
      </c>
      <c r="BI811" t="str">
        <f>HYPERLINK("http://exon.niaid.nih.gov/transcriptome/Anopheles_sialome/links/TICK-BLOCKS/anomel_SG2-TICK-BLOCKS.txt","SG2_superfamily |")</f>
        <v>SG2_superfamily |</v>
      </c>
      <c r="BJ811" s="2" t="s">
        <v>2986</v>
      </c>
      <c r="BK811" t="s">
        <v>1955</v>
      </c>
      <c r="BL811">
        <f>HYPERLINK("http://exon.niaid.nih.gov/transcriptome/Anopheles_sialome/links/cluster-b/anopheline-sialome-cds-pep-larger-orf25-50SimCLU1.txt", 1)</f>
        <v>1</v>
      </c>
      <c r="BM811">
        <f>HYPERLINK("http://exon.niaid.nih.gov/transcriptome/Anopheles_sialome/links/cluster-b/anopheline-sialome-cds-pep-larger-orf25-50SimCLTL1.txt", 165)</f>
        <v>165</v>
      </c>
      <c r="BN811">
        <f>HYPERLINK("http://exon.niaid.nih.gov/transcriptome/Anopheles_sialome/links/cluster-b/anopheline-sialome-cds-pep-larger-orf30-50SimCLU1.txt", 1)</f>
        <v>1</v>
      </c>
      <c r="BO811">
        <f>HYPERLINK("http://exon.niaid.nih.gov/transcriptome/Anopheles_sialome/links/cluster-b/anopheline-sialome-cds-pep-larger-orf30-50SimCLTL1.txt", 165)</f>
        <v>165</v>
      </c>
      <c r="BP811">
        <f>HYPERLINK("http://exon.niaid.nih.gov/transcriptome/Anopheles_sialome/links/cluster-b/anopheline-sialome-cds-pep-larger-orf35-50SimCLU10.txt", 10)</f>
        <v>10</v>
      </c>
      <c r="BQ811">
        <f>HYPERLINK("http://exon.niaid.nih.gov/transcriptome/Anopheles_sialome/links/cluster-b/anopheline-sialome-cds-pep-larger-orf35-50SimCLTL10.txt", 28)</f>
        <v>28</v>
      </c>
      <c r="BR811">
        <f>HYPERLINK("http://exon.niaid.nih.gov/transcriptome/Anopheles_sialome/links/cluster-b/anopheline-sialome-cds-pep-larger-orf40-50SimCLU10.txt", 10)</f>
        <v>10</v>
      </c>
      <c r="BS811">
        <f>HYPERLINK("http://exon.niaid.nih.gov/transcriptome/Anopheles_sialome/links/cluster-b/anopheline-sialome-cds-pep-larger-orf40-50SimCLTL10.txt", 28)</f>
        <v>28</v>
      </c>
      <c r="BT811">
        <f>HYPERLINK("http://exon.niaid.nih.gov/transcriptome/Anopheles_sialome/links/cluster-b/anopheline-sialome-cds-pep-larger-orf45-50SimCLU9.txt", 9)</f>
        <v>9</v>
      </c>
      <c r="BU811">
        <f>HYPERLINK("http://exon.niaid.nih.gov/transcriptome/Anopheles_sialome/links/cluster-b/anopheline-sialome-cds-pep-larger-orf45-50SimCLTL9.txt", 28)</f>
        <v>28</v>
      </c>
      <c r="BV811">
        <f>HYPERLINK("http://exon.niaid.nih.gov/transcriptome/Anopheles_sialome/links/cluster-b/anopheline-sialome-cds-pep-larger-orf50-50SimCLU10.txt", 10)</f>
        <v>10</v>
      </c>
      <c r="BW811">
        <f>HYPERLINK("http://exon.niaid.nih.gov/transcriptome/Anopheles_sialome/links/cluster-b/anopheline-sialome-cds-pep-larger-orf50-50SimCLTL10.txt", 26)</f>
        <v>26</v>
      </c>
      <c r="BX811">
        <f>HYPERLINK("http://exon.niaid.nih.gov/transcriptome/Anopheles_sialome/links/cluster-b/anopheline-sialome-cds-pep-larger-orf55-50SimCLU11.txt", 11)</f>
        <v>11</v>
      </c>
      <c r="BY811">
        <f>HYPERLINK("http://exon.niaid.nih.gov/transcriptome/Anopheles_sialome/links/cluster-b/anopheline-sialome-cds-pep-larger-orf55-50SimCLTL11.txt", 26)</f>
        <v>26</v>
      </c>
      <c r="BZ811">
        <f>HYPERLINK("http://exon.niaid.nih.gov/transcriptome/Anopheles_sialome/links/cluster-b/anopheline-sialome-cds-pep-larger-orf60-50SimCLU29.txt", 29)</f>
        <v>29</v>
      </c>
      <c r="CA811">
        <f>HYPERLINK("http://exon.niaid.nih.gov/transcriptome/Anopheles_sialome/links/cluster-b/anopheline-sialome-cds-pep-larger-orf60-50SimCLTL29.txt", 15)</f>
        <v>15</v>
      </c>
      <c r="CB811">
        <f>HYPERLINK("http://exon.niaid.nih.gov/transcriptome/Anopheles_sialome/links/cluster-b/anopheline-sialome-cds-pep-larger-orf65-50SimCLU35.txt", 35)</f>
        <v>35</v>
      </c>
      <c r="CC811">
        <f>HYPERLINK("http://exon.niaid.nih.gov/transcriptome/Anopheles_sialome/links/cluster-b/anopheline-sialome-cds-pep-larger-orf65-50SimCLTL35.txt", 13)</f>
        <v>13</v>
      </c>
      <c r="CD811">
        <f>HYPERLINK("http://exon.niaid.nih.gov/transcriptome/Anopheles_sialome/links/cluster-b/anopheline-sialome-cds-pep-larger-orf70-50SimCLU36.txt", 36)</f>
        <v>36</v>
      </c>
      <c r="CE811">
        <f>HYPERLINK("http://exon.niaid.nih.gov/transcriptome/Anopheles_sialome/links/cluster-b/anopheline-sialome-cds-pep-larger-orf70-50SimCLTL36.txt", 13)</f>
        <v>13</v>
      </c>
      <c r="CF811">
        <f>HYPERLINK("http://exon.niaid.nih.gov/transcriptome/Anopheles_sialome/links/cluster-b/anopheline-sialome-cds-pep-larger-orf75-50SimCLU26.txt", 26)</f>
        <v>26</v>
      </c>
      <c r="CG811">
        <f>HYPERLINK("http://exon.niaid.nih.gov/transcriptome/Anopheles_sialome/links/cluster-b/anopheline-sialome-cds-pep-larger-orf75-50SimCLTL26.txt", 13)</f>
        <v>13</v>
      </c>
      <c r="CH811">
        <f>HYPERLINK("http://exon.niaid.nih.gov/transcriptome/Anopheles_sialome/links/cluster-b/anopheline-sialome-cds-pep-larger-orf80-50SimCLU28.txt", 28)</f>
        <v>28</v>
      </c>
      <c r="CI811">
        <f>HYPERLINK("http://exon.niaid.nih.gov/transcriptome/Anopheles_sialome/links/cluster-b/anopheline-sialome-cds-pep-larger-orf80-50SimCLTL28.txt", 8)</f>
        <v>8</v>
      </c>
      <c r="CJ811">
        <f>HYPERLINK("http://exon.niaid.nih.gov/transcriptome/Anopheles_sialome/links/cluster-b/anopheline-sialome-cds-pep-larger-orf85-50SimCLU20.txt", 20)</f>
        <v>20</v>
      </c>
      <c r="CK811">
        <f>HYPERLINK("http://exon.niaid.nih.gov/transcriptome/Anopheles_sialome/links/cluster-b/anopheline-sialome-cds-pep-larger-orf85-50SimCLTL20.txt", 8)</f>
        <v>8</v>
      </c>
      <c r="CL811">
        <f>HYPERLINK("http://exon.niaid.nih.gov/transcriptome/Anopheles_sialome/links/cluster-b/anopheline-sialome-cds-pep-larger-orf90-50SimCLU35.txt", 35)</f>
        <v>35</v>
      </c>
      <c r="CM811">
        <f>HYPERLINK("http://exon.niaid.nih.gov/transcriptome/Anopheles_sialome/links/cluster-b/anopheline-sialome-cds-pep-larger-orf90-50SimCLTL35.txt", 6)</f>
        <v>6</v>
      </c>
      <c r="CN811">
        <f>HYPERLINK("http://exon.niaid.nih.gov/transcriptome/Anopheles_sialome/links/cluster-b/anopheline-sialome-cds-pep-larger-orf95-50SimCLU49.txt", 49)</f>
        <v>49</v>
      </c>
      <c r="CO811">
        <f>HYPERLINK("http://exon.niaid.nih.gov/transcriptome/Anopheles_sialome/links/cluster-b/anopheline-sialome-cds-pep-larger-orf95-50SimCLTL49.txt", 4)</f>
        <v>4</v>
      </c>
    </row>
    <row r="812" spans="1:93">
      <c r="A812" s="2" t="str">
        <f>HYPERLINK("http://exon.niaid.nih.gov/transcriptome/Anopheles_sialome/links/cds/anochris_SG2-cds.txt","anochris_SG2")</f>
        <v>anochris_SG2</v>
      </c>
      <c r="B812">
        <v>336</v>
      </c>
      <c r="C812" t="s">
        <v>4</v>
      </c>
      <c r="D812" s="8" t="s">
        <v>3178</v>
      </c>
      <c r="E812" t="s">
        <v>5</v>
      </c>
      <c r="F812" t="s">
        <v>1</v>
      </c>
      <c r="G812" t="str">
        <f>HYPERLINK("http://exon.niaid.nih.gov/transcriptome/Anopheles_sialome/links/pep/anochris_SG2-pep.txt","anochris_SG2")</f>
        <v>anochris_SG2</v>
      </c>
      <c r="H812">
        <v>111</v>
      </c>
      <c r="I812">
        <v>0</v>
      </c>
      <c r="J812" s="3" t="str">
        <f>HYPERLINK("http://exon.niaid.nih.gov/transcriptome/Anopheles_sialome/links/Sigp/anochris_SG2-SigP.txt","SIG")</f>
        <v>SIG</v>
      </c>
      <c r="K812" t="s">
        <v>718</v>
      </c>
      <c r="L812">
        <v>11.574</v>
      </c>
      <c r="M812">
        <v>4.03</v>
      </c>
      <c r="N812">
        <v>9.8420000000000005</v>
      </c>
      <c r="O812">
        <v>3.49</v>
      </c>
      <c r="P812" t="s">
        <v>1958</v>
      </c>
      <c r="Q812" s="3" t="str">
        <f>HYPERLINK("http://exon.niaid.nih.gov/transcriptome/Anopheles_sialome/links/tmhmm/anochris_SG2-tmhmm.txt","1")</f>
        <v>1</v>
      </c>
      <c r="R812">
        <v>19.8</v>
      </c>
      <c r="S812">
        <v>3.6</v>
      </c>
      <c r="T812">
        <v>76.599999999999994</v>
      </c>
      <c r="U812" t="s">
        <v>128</v>
      </c>
      <c r="V812">
        <v>85</v>
      </c>
      <c r="W812" s="3" t="str">
        <f>HYPERLINK("http://exon.niaid.nih.gov/transcriptome/Anopheles_sialome/links/netoglyc/anochris_SG2-netoglyc.txt","0")</f>
        <v>0</v>
      </c>
      <c r="X812">
        <v>18</v>
      </c>
      <c r="Y812">
        <v>16.2</v>
      </c>
      <c r="Z812">
        <v>8.1</v>
      </c>
      <c r="AA812">
        <v>2.7</v>
      </c>
      <c r="AB812" t="s">
        <v>128</v>
      </c>
      <c r="AC812" s="2" t="str">
        <f>HYPERLINK("http://exon.niaid.nih.gov/transcriptome/Anopheles_sialome/links/DIPTERA/anochris_SG2-DIPTERA.txt","SG2 protein")</f>
        <v>SG2 protein</v>
      </c>
      <c r="AD812" t="str">
        <f>HYPERLINK("http://www.ncbi.nlm.nih.gov/sutils/blink.cgi?pid=4210617","2E-049")</f>
        <v>2E-049</v>
      </c>
      <c r="AE812" t="str">
        <f t="shared" si="265"/>
        <v>gi|4210617</v>
      </c>
      <c r="AF812">
        <v>83</v>
      </c>
      <c r="AG812">
        <v>88</v>
      </c>
      <c r="AH812">
        <v>100</v>
      </c>
      <c r="AI812" t="s">
        <v>2254</v>
      </c>
      <c r="AJ812" s="2" t="str">
        <f>HYPERLINK("http://exon.niaid.nih.gov/transcriptome/Anopheles_sialome/links/CULICOMORPHA/anochris_SG2-CULICOMORPHA.txt","SG2 protein")</f>
        <v>SG2 protein</v>
      </c>
      <c r="AK812" t="str">
        <f>HYPERLINK("http://www.ncbi.nlm.nih.gov/sutils/blink.cgi?pid=4210617","4E-050")</f>
        <v>4E-050</v>
      </c>
      <c r="AL812" t="str">
        <f t="shared" si="266"/>
        <v>gi|4210617</v>
      </c>
      <c r="AM812">
        <v>83</v>
      </c>
      <c r="AN812">
        <v>88</v>
      </c>
      <c r="AO812">
        <v>100</v>
      </c>
      <c r="AP812" t="s">
        <v>2254</v>
      </c>
      <c r="AQ812" s="2" t="str">
        <f>HYPERLINK("http://exon.niaid.nih.gov/transcriptome/Anopheles_sialome/links/NR-LIGHT/anochris_SG2-NR-LIGHT.txt","SG2 protein")</f>
        <v>SG2 protein</v>
      </c>
      <c r="AR812" t="str">
        <f>HYPERLINK("http://www.ncbi.nlm.nih.gov/sutils/blink.cgi?pid=4210617","7E-049")</f>
        <v>7E-049</v>
      </c>
      <c r="AS812" t="str">
        <f t="shared" si="267"/>
        <v>gi|4210617</v>
      </c>
      <c r="AT812">
        <v>83</v>
      </c>
      <c r="AU812">
        <v>88</v>
      </c>
      <c r="AV812">
        <v>100</v>
      </c>
      <c r="AW812" t="s">
        <v>2254</v>
      </c>
      <c r="AX812" s="2" t="str">
        <f>HYPERLINK("http://exon.niaid.nih.gov/transcriptome/Anopheles_sialome/links/CDD/anochris_SG2-CDD.txt","PRK15492")</f>
        <v>PRK15492</v>
      </c>
      <c r="AY812" t="str">
        <f>HYPERLINK("http://www.ncbi.nlm.nih.gov/Structure/cdd/cddsrv.cgi?uid=PRK15492&amp;version=v4.0","0.15")</f>
        <v>0.15</v>
      </c>
      <c r="AZ812" t="s">
        <v>2993</v>
      </c>
      <c r="BA812" s="2" t="str">
        <f>HYPERLINK("http://exon.niaid.nih.gov/transcriptome/Anopheles_sialome/links/KOG/anochris_SG2-KOG.txt","Uncharacterized conserved protein")</f>
        <v>Uncharacterized conserved protein</v>
      </c>
      <c r="BB812" t="str">
        <f>HYPERLINK("http://www.ncbi.nlm.nih.gov/Structure/cdd/cddsrv.cgi?uid=KOG2235","0.11")</f>
        <v>0.11</v>
      </c>
      <c r="BC812" t="s">
        <v>2304</v>
      </c>
      <c r="BD812" t="str">
        <f>HYPERLINK("http://exon.niaid.nih.gov/transcriptome/Anopheles_sialome/links/KOG/anochris_SG2-KOG.txt","KOG2235")</f>
        <v>KOG2235</v>
      </c>
      <c r="BE812" t="str">
        <f>HYPERLINK("http://exon.niaid.nih.gov/transcriptome/Anopheles_sialome/links/PFAM/anochris_SG2-PFAM.txt","CAT")</f>
        <v>CAT</v>
      </c>
      <c r="BF812" t="str">
        <f>HYPERLINK("http://pfam.sanger.ac.uk/family?acc=PF00302","0.34")</f>
        <v>0.34</v>
      </c>
      <c r="BG812" s="2" t="str">
        <f>HYPERLINK("http://exon.niaid.nih.gov/transcriptome/Anopheles_sialome/links/SMART/anochris_SG2-SMART.txt","Cache_2")</f>
        <v>Cache_2</v>
      </c>
      <c r="BH812" t="str">
        <f>HYPERLINK("http://smart.embl-heidelberg.de/smart/do_annotation.pl?DOMAIN=Cache_2&amp;BLAST=DUMMY","0.31")</f>
        <v>0.31</v>
      </c>
      <c r="BI812" t="s">
        <v>128</v>
      </c>
      <c r="BJ812" s="2" t="s">
        <v>128</v>
      </c>
      <c r="BK812" t="s">
        <v>1957</v>
      </c>
      <c r="BL812">
        <f>HYPERLINK("http://exon.niaid.nih.gov/transcriptome/Anopheles_sialome/links/cluster-b/anopheline-sialome-cds-pep-larger-orf25-50SimCLU1.txt", 1)</f>
        <v>1</v>
      </c>
      <c r="BM812">
        <f>HYPERLINK("http://exon.niaid.nih.gov/transcriptome/Anopheles_sialome/links/cluster-b/anopheline-sialome-cds-pep-larger-orf25-50SimCLTL1.txt", 165)</f>
        <v>165</v>
      </c>
      <c r="BN812">
        <f>HYPERLINK("http://exon.niaid.nih.gov/transcriptome/Anopheles_sialome/links/cluster-b/anopheline-sialome-cds-pep-larger-orf30-50SimCLU1.txt", 1)</f>
        <v>1</v>
      </c>
      <c r="BO812">
        <f>HYPERLINK("http://exon.niaid.nih.gov/transcriptome/Anopheles_sialome/links/cluster-b/anopheline-sialome-cds-pep-larger-orf30-50SimCLTL1.txt", 165)</f>
        <v>165</v>
      </c>
      <c r="BP812">
        <f>HYPERLINK("http://exon.niaid.nih.gov/transcriptome/Anopheles_sialome/links/cluster-b/anopheline-sialome-cds-pep-larger-orf35-50SimCLU10.txt", 10)</f>
        <v>10</v>
      </c>
      <c r="BQ812">
        <f>HYPERLINK("http://exon.niaid.nih.gov/transcriptome/Anopheles_sialome/links/cluster-b/anopheline-sialome-cds-pep-larger-orf35-50SimCLTL10.txt", 28)</f>
        <v>28</v>
      </c>
      <c r="BR812">
        <f>HYPERLINK("http://exon.niaid.nih.gov/transcriptome/Anopheles_sialome/links/cluster-b/anopheline-sialome-cds-pep-larger-orf40-50SimCLU10.txt", 10)</f>
        <v>10</v>
      </c>
      <c r="BS812">
        <f>HYPERLINK("http://exon.niaid.nih.gov/transcriptome/Anopheles_sialome/links/cluster-b/anopheline-sialome-cds-pep-larger-orf40-50SimCLTL10.txt", 28)</f>
        <v>28</v>
      </c>
      <c r="BT812">
        <f>HYPERLINK("http://exon.niaid.nih.gov/transcriptome/Anopheles_sialome/links/cluster-b/anopheline-sialome-cds-pep-larger-orf45-50SimCLU9.txt", 9)</f>
        <v>9</v>
      </c>
      <c r="BU812">
        <f>HYPERLINK("http://exon.niaid.nih.gov/transcriptome/Anopheles_sialome/links/cluster-b/anopheline-sialome-cds-pep-larger-orf45-50SimCLTL9.txt", 28)</f>
        <v>28</v>
      </c>
      <c r="BV812">
        <f>HYPERLINK("http://exon.niaid.nih.gov/transcriptome/Anopheles_sialome/links/cluster-b/anopheline-sialome-cds-pep-larger-orf50-50SimCLU10.txt", 10)</f>
        <v>10</v>
      </c>
      <c r="BW812">
        <f>HYPERLINK("http://exon.niaid.nih.gov/transcriptome/Anopheles_sialome/links/cluster-b/anopheline-sialome-cds-pep-larger-orf50-50SimCLTL10.txt", 26)</f>
        <v>26</v>
      </c>
      <c r="BX812">
        <f>HYPERLINK("http://exon.niaid.nih.gov/transcriptome/Anopheles_sialome/links/cluster-b/anopheline-sialome-cds-pep-larger-orf55-50SimCLU11.txt", 11)</f>
        <v>11</v>
      </c>
      <c r="BY812">
        <f>HYPERLINK("http://exon.niaid.nih.gov/transcriptome/Anopheles_sialome/links/cluster-b/anopheline-sialome-cds-pep-larger-orf55-50SimCLTL11.txt", 26)</f>
        <v>26</v>
      </c>
      <c r="BZ812">
        <f>HYPERLINK("http://exon.niaid.nih.gov/transcriptome/Anopheles_sialome/links/cluster-b/anopheline-sialome-cds-pep-larger-orf60-50SimCLU29.txt", 29)</f>
        <v>29</v>
      </c>
      <c r="CA812">
        <f>HYPERLINK("http://exon.niaid.nih.gov/transcriptome/Anopheles_sialome/links/cluster-b/anopheline-sialome-cds-pep-larger-orf60-50SimCLTL29.txt", 15)</f>
        <v>15</v>
      </c>
      <c r="CB812">
        <f>HYPERLINK("http://exon.niaid.nih.gov/transcriptome/Anopheles_sialome/links/cluster-b/anopheline-sialome-cds-pep-larger-orf65-50SimCLU35.txt", 35)</f>
        <v>35</v>
      </c>
      <c r="CC812">
        <f>HYPERLINK("http://exon.niaid.nih.gov/transcriptome/Anopheles_sialome/links/cluster-b/anopheline-sialome-cds-pep-larger-orf65-50SimCLTL35.txt", 13)</f>
        <v>13</v>
      </c>
      <c r="CD812">
        <f>HYPERLINK("http://exon.niaid.nih.gov/transcriptome/Anopheles_sialome/links/cluster-b/anopheline-sialome-cds-pep-larger-orf70-50SimCLU36.txt", 36)</f>
        <v>36</v>
      </c>
      <c r="CE812">
        <f>HYPERLINK("http://exon.niaid.nih.gov/transcriptome/Anopheles_sialome/links/cluster-b/anopheline-sialome-cds-pep-larger-orf70-50SimCLTL36.txt", 13)</f>
        <v>13</v>
      </c>
      <c r="CF812">
        <f>HYPERLINK("http://exon.niaid.nih.gov/transcriptome/Anopheles_sialome/links/cluster-b/anopheline-sialome-cds-pep-larger-orf75-50SimCLU26.txt", 26)</f>
        <v>26</v>
      </c>
      <c r="CG812">
        <f>HYPERLINK("http://exon.niaid.nih.gov/transcriptome/Anopheles_sialome/links/cluster-b/anopheline-sialome-cds-pep-larger-orf75-50SimCLTL26.txt", 13)</f>
        <v>13</v>
      </c>
      <c r="CH812">
        <f>HYPERLINK("http://exon.niaid.nih.gov/transcriptome/Anopheles_sialome/links/cluster-b/anopheline-sialome-cds-pep-larger-orf80-50SimCLU28.txt", 28)</f>
        <v>28</v>
      </c>
      <c r="CI812">
        <f>HYPERLINK("http://exon.niaid.nih.gov/transcriptome/Anopheles_sialome/links/cluster-b/anopheline-sialome-cds-pep-larger-orf80-50SimCLTL28.txt", 8)</f>
        <v>8</v>
      </c>
      <c r="CJ812">
        <f>HYPERLINK("http://exon.niaid.nih.gov/transcriptome/Anopheles_sialome/links/cluster-b/anopheline-sialome-cds-pep-larger-orf85-50SimCLU20.txt", 20)</f>
        <v>20</v>
      </c>
      <c r="CK812">
        <f>HYPERLINK("http://exon.niaid.nih.gov/transcriptome/Anopheles_sialome/links/cluster-b/anopheline-sialome-cds-pep-larger-orf85-50SimCLTL20.txt", 8)</f>
        <v>8</v>
      </c>
      <c r="CL812">
        <v>389</v>
      </c>
      <c r="CM812">
        <v>1</v>
      </c>
      <c r="CN812">
        <v>468</v>
      </c>
      <c r="CO812">
        <v>1</v>
      </c>
    </row>
    <row r="813" spans="1:93">
      <c r="A813" s="2" t="str">
        <f>HYPERLINK("http://exon.niaid.nih.gov/transcriptome/Anopheles_sialome/links/cds/anoepi_SG2-cds.txt","anoepi_SG2")</f>
        <v>anoepi_SG2</v>
      </c>
      <c r="B813">
        <v>339</v>
      </c>
      <c r="C813" t="s">
        <v>516</v>
      </c>
      <c r="D813" t="s">
        <v>7</v>
      </c>
      <c r="E813" t="s">
        <v>5</v>
      </c>
      <c r="F813" t="s">
        <v>1</v>
      </c>
      <c r="G813" t="str">
        <f>HYPERLINK("http://exon.niaid.nih.gov/transcriptome/Anopheles_sialome/links/pep/anoepi_SG2-pep.txt","anoepi_SG2")</f>
        <v>anoepi_SG2</v>
      </c>
      <c r="H813">
        <v>112</v>
      </c>
      <c r="I813">
        <v>0</v>
      </c>
      <c r="J813" s="3" t="str">
        <f>HYPERLINK("http://exon.niaid.nih.gov/transcriptome/Anopheles_sialome/links/Sigp/anoepi_SG2-SigP.txt","SIG")</f>
        <v>SIG</v>
      </c>
      <c r="K813" t="s">
        <v>652</v>
      </c>
      <c r="L813">
        <v>11.589</v>
      </c>
      <c r="M813">
        <v>4.22</v>
      </c>
      <c r="N813">
        <v>9.6890000000000001</v>
      </c>
      <c r="O813">
        <v>4.22</v>
      </c>
      <c r="P813" t="s">
        <v>1960</v>
      </c>
      <c r="Q813" s="3" t="str">
        <f>HYPERLINK("http://exon.niaid.nih.gov/transcriptome/Anopheles_sialome/links/tmhmm/anoepi_SG2-tmhmm.txt","1")</f>
        <v>1</v>
      </c>
      <c r="R813">
        <v>19.600000000000001</v>
      </c>
      <c r="S813">
        <v>78.599999999999994</v>
      </c>
      <c r="T813">
        <v>1.8</v>
      </c>
      <c r="U813" t="s">
        <v>128</v>
      </c>
      <c r="V813">
        <v>88</v>
      </c>
      <c r="W813" s="3" t="str">
        <f>HYPERLINK("http://exon.niaid.nih.gov/transcriptome/Anopheles_sialome/links/netoglyc/anoepi_SG2-netoglyc.txt","0")</f>
        <v>0</v>
      </c>
      <c r="X813">
        <v>17.899999999999999</v>
      </c>
      <c r="Y813">
        <v>17</v>
      </c>
      <c r="Z813">
        <v>8</v>
      </c>
      <c r="AA813">
        <v>2.7</v>
      </c>
      <c r="AB813" t="s">
        <v>128</v>
      </c>
      <c r="AC813" s="2" t="str">
        <f>HYPERLINK("http://exon.niaid.nih.gov/transcriptome/Anopheles_sialome/links/DIPTERA/anoepi_SG2-DIPTERA.txt","SG2 protein")</f>
        <v>SG2 protein</v>
      </c>
      <c r="AD813" t="str">
        <f>HYPERLINK("http://www.ncbi.nlm.nih.gov/sutils/blink.cgi?pid=4210617","4E-043")</f>
        <v>4E-043</v>
      </c>
      <c r="AE813" t="str">
        <f t="shared" si="265"/>
        <v>gi|4210617</v>
      </c>
      <c r="AF813">
        <v>75</v>
      </c>
      <c r="AG813">
        <v>85</v>
      </c>
      <c r="AH813">
        <v>101</v>
      </c>
      <c r="AI813" t="s">
        <v>2254</v>
      </c>
      <c r="AJ813" s="2" t="str">
        <f>HYPERLINK("http://exon.niaid.nih.gov/transcriptome/Anopheles_sialome/links/CULICOMORPHA/anoepi_SG2-CULICOMORPHA.txt","SG2 protein")</f>
        <v>SG2 protein</v>
      </c>
      <c r="AK813" t="str">
        <f>HYPERLINK("http://www.ncbi.nlm.nih.gov/sutils/blink.cgi?pid=4210617","7E-044")</f>
        <v>7E-044</v>
      </c>
      <c r="AL813" t="str">
        <f t="shared" si="266"/>
        <v>gi|4210617</v>
      </c>
      <c r="AM813">
        <v>75</v>
      </c>
      <c r="AN813">
        <v>85</v>
      </c>
      <c r="AO813">
        <v>101</v>
      </c>
      <c r="AP813" t="s">
        <v>2254</v>
      </c>
      <c r="AQ813" s="2" t="str">
        <f>HYPERLINK("http://exon.niaid.nih.gov/transcriptome/Anopheles_sialome/links/NR-LIGHT/anoepi_SG2-NR-LIGHT.txt","SG2 protein")</f>
        <v>SG2 protein</v>
      </c>
      <c r="AR813" t="str">
        <f>HYPERLINK("http://www.ncbi.nlm.nih.gov/sutils/blink.cgi?pid=4210617","1E-042")</f>
        <v>1E-042</v>
      </c>
      <c r="AS813" t="str">
        <f t="shared" si="267"/>
        <v>gi|4210617</v>
      </c>
      <c r="AT813">
        <v>75</v>
      </c>
      <c r="AU813">
        <v>85</v>
      </c>
      <c r="AV813">
        <v>101</v>
      </c>
      <c r="AW813" t="s">
        <v>2254</v>
      </c>
      <c r="AX813" s="2" t="str">
        <f>HYPERLINK("http://exon.niaid.nih.gov/transcriptome/Anopheles_sialome/links/CDD/anoepi_SG2-CDD.txt","COG3637")</f>
        <v>COG3637</v>
      </c>
      <c r="AY813" t="str">
        <f>HYPERLINK("http://www.ncbi.nlm.nih.gov/Structure/cdd/cddsrv.cgi?uid=COG3637&amp;version=v4.0","0.77")</f>
        <v>0.77</v>
      </c>
      <c r="AZ813" t="s">
        <v>2994</v>
      </c>
      <c r="BA813" s="2" t="str">
        <f>HYPERLINK("http://exon.niaid.nih.gov/transcriptome/Anopheles_sialome/links/KOG/anoepi_SG2-KOG.txt","Steroid hormone nuclear receptor")</f>
        <v>Steroid hormone nuclear receptor</v>
      </c>
      <c r="BB813" t="str">
        <f>HYPERLINK("http://www.ncbi.nlm.nih.gov/Structure/cdd/cddsrv.cgi?uid=KOG4216","1.0")</f>
        <v>1.0</v>
      </c>
      <c r="BC813" t="s">
        <v>2262</v>
      </c>
      <c r="BD813" t="str">
        <f>HYPERLINK("http://exon.niaid.nih.gov/transcriptome/Anopheles_sialome/links/KOG/anoepi_SG2-KOG.txt","KOG4216")</f>
        <v>KOG4216</v>
      </c>
      <c r="BE813" t="str">
        <f>HYPERLINK("http://exon.niaid.nih.gov/transcriptome/Anopheles_sialome/links/PFAM/anoepi_SG2-PFAM.txt","TRI5")</f>
        <v>TRI5</v>
      </c>
      <c r="BF813" t="str">
        <f>HYPERLINK("http://pfam.sanger.ac.uk/family?acc=PF06330","0.21")</f>
        <v>0.21</v>
      </c>
      <c r="BG813" s="2" t="str">
        <f>HYPERLINK("http://exon.niaid.nih.gov/transcriptome/Anopheles_sialome/links/SMART/anoepi_SG2-SMART.txt","Col_cuticle_N")</f>
        <v>Col_cuticle_N</v>
      </c>
      <c r="BH813" t="str">
        <f>HYPERLINK("http://smart.embl-heidelberg.de/smart/do_annotation.pl?DOMAIN=Col_cuticle_N&amp;BLAST=DUMMY","0.042")</f>
        <v>0.042</v>
      </c>
      <c r="BI813" t="s">
        <v>128</v>
      </c>
      <c r="BJ813" s="2" t="s">
        <v>128</v>
      </c>
      <c r="BK813" t="s">
        <v>1959</v>
      </c>
      <c r="BL813">
        <f>HYPERLINK("http://exon.niaid.nih.gov/transcriptome/Anopheles_sialome/links/cluster-b/anopheline-sialome-cds-pep-larger-orf25-50SimCLU1.txt", 1)</f>
        <v>1</v>
      </c>
      <c r="BM813">
        <f>HYPERLINK("http://exon.niaid.nih.gov/transcriptome/Anopheles_sialome/links/cluster-b/anopheline-sialome-cds-pep-larger-orf25-50SimCLTL1.txt", 165)</f>
        <v>165</v>
      </c>
      <c r="BN813">
        <f>HYPERLINK("http://exon.niaid.nih.gov/transcriptome/Anopheles_sialome/links/cluster-b/anopheline-sialome-cds-pep-larger-orf30-50SimCLU1.txt", 1)</f>
        <v>1</v>
      </c>
      <c r="BO813">
        <f>HYPERLINK("http://exon.niaid.nih.gov/transcriptome/Anopheles_sialome/links/cluster-b/anopheline-sialome-cds-pep-larger-orf30-50SimCLTL1.txt", 165)</f>
        <v>165</v>
      </c>
      <c r="BP813">
        <f>HYPERLINK("http://exon.niaid.nih.gov/transcriptome/Anopheles_sialome/links/cluster-b/anopheline-sialome-cds-pep-larger-orf35-50SimCLU10.txt", 10)</f>
        <v>10</v>
      </c>
      <c r="BQ813">
        <f>HYPERLINK("http://exon.niaid.nih.gov/transcriptome/Anopheles_sialome/links/cluster-b/anopheline-sialome-cds-pep-larger-orf35-50SimCLTL10.txt", 28)</f>
        <v>28</v>
      </c>
      <c r="BR813">
        <f>HYPERLINK("http://exon.niaid.nih.gov/transcriptome/Anopheles_sialome/links/cluster-b/anopheline-sialome-cds-pep-larger-orf40-50SimCLU10.txt", 10)</f>
        <v>10</v>
      </c>
      <c r="BS813">
        <f>HYPERLINK("http://exon.niaid.nih.gov/transcriptome/Anopheles_sialome/links/cluster-b/anopheline-sialome-cds-pep-larger-orf40-50SimCLTL10.txt", 28)</f>
        <v>28</v>
      </c>
      <c r="BT813">
        <f>HYPERLINK("http://exon.niaid.nih.gov/transcriptome/Anopheles_sialome/links/cluster-b/anopheline-sialome-cds-pep-larger-orf45-50SimCLU9.txt", 9)</f>
        <v>9</v>
      </c>
      <c r="BU813">
        <f>HYPERLINK("http://exon.niaid.nih.gov/transcriptome/Anopheles_sialome/links/cluster-b/anopheline-sialome-cds-pep-larger-orf45-50SimCLTL9.txt", 28)</f>
        <v>28</v>
      </c>
      <c r="BV813">
        <f>HYPERLINK("http://exon.niaid.nih.gov/transcriptome/Anopheles_sialome/links/cluster-b/anopheline-sialome-cds-pep-larger-orf50-50SimCLU10.txt", 10)</f>
        <v>10</v>
      </c>
      <c r="BW813">
        <f>HYPERLINK("http://exon.niaid.nih.gov/transcriptome/Anopheles_sialome/links/cluster-b/anopheline-sialome-cds-pep-larger-orf50-50SimCLTL10.txt", 26)</f>
        <v>26</v>
      </c>
      <c r="BX813">
        <f>HYPERLINK("http://exon.niaid.nih.gov/transcriptome/Anopheles_sialome/links/cluster-b/anopheline-sialome-cds-pep-larger-orf55-50SimCLU11.txt", 11)</f>
        <v>11</v>
      </c>
      <c r="BY813">
        <f>HYPERLINK("http://exon.niaid.nih.gov/transcriptome/Anopheles_sialome/links/cluster-b/anopheline-sialome-cds-pep-larger-orf55-50SimCLTL11.txt", 26)</f>
        <v>26</v>
      </c>
      <c r="BZ813">
        <f>HYPERLINK("http://exon.niaid.nih.gov/transcriptome/Anopheles_sialome/links/cluster-b/anopheline-sialome-cds-pep-larger-orf60-50SimCLU29.txt", 29)</f>
        <v>29</v>
      </c>
      <c r="CA813">
        <f>HYPERLINK("http://exon.niaid.nih.gov/transcriptome/Anopheles_sialome/links/cluster-b/anopheline-sialome-cds-pep-larger-orf60-50SimCLTL29.txt", 15)</f>
        <v>15</v>
      </c>
      <c r="CB813">
        <f>HYPERLINK("http://exon.niaid.nih.gov/transcriptome/Anopheles_sialome/links/cluster-b/anopheline-sialome-cds-pep-larger-orf65-50SimCLU35.txt", 35)</f>
        <v>35</v>
      </c>
      <c r="CC813">
        <f>HYPERLINK("http://exon.niaid.nih.gov/transcriptome/Anopheles_sialome/links/cluster-b/anopheline-sialome-cds-pep-larger-orf65-50SimCLTL35.txt", 13)</f>
        <v>13</v>
      </c>
      <c r="CD813">
        <f>HYPERLINK("http://exon.niaid.nih.gov/transcriptome/Anopheles_sialome/links/cluster-b/anopheline-sialome-cds-pep-larger-orf70-50SimCLU36.txt", 36)</f>
        <v>36</v>
      </c>
      <c r="CE813">
        <f>HYPERLINK("http://exon.niaid.nih.gov/transcriptome/Anopheles_sialome/links/cluster-b/anopheline-sialome-cds-pep-larger-orf70-50SimCLTL36.txt", 13)</f>
        <v>13</v>
      </c>
      <c r="CF813">
        <f>HYPERLINK("http://exon.niaid.nih.gov/transcriptome/Anopheles_sialome/links/cluster-b/anopheline-sialome-cds-pep-larger-orf75-50SimCLU26.txt", 26)</f>
        <v>26</v>
      </c>
      <c r="CG813">
        <f>HYPERLINK("http://exon.niaid.nih.gov/transcriptome/Anopheles_sialome/links/cluster-b/anopheline-sialome-cds-pep-larger-orf75-50SimCLTL26.txt", 13)</f>
        <v>13</v>
      </c>
      <c r="CH813">
        <f>HYPERLINK("http://exon.niaid.nih.gov/transcriptome/Anopheles_sialome/links/cluster-b/anopheline-sialome-cds-pep-larger-orf80-50SimCLU28.txt", 28)</f>
        <v>28</v>
      </c>
      <c r="CI813">
        <f>HYPERLINK("http://exon.niaid.nih.gov/transcriptome/Anopheles_sialome/links/cluster-b/anopheline-sialome-cds-pep-larger-orf80-50SimCLTL28.txt", 8)</f>
        <v>8</v>
      </c>
      <c r="CJ813">
        <f>HYPERLINK("http://exon.niaid.nih.gov/transcriptome/Anopheles_sialome/links/cluster-b/anopheline-sialome-cds-pep-larger-orf85-50SimCLU20.txt", 20)</f>
        <v>20</v>
      </c>
      <c r="CK813">
        <f>HYPERLINK("http://exon.niaid.nih.gov/transcriptome/Anopheles_sialome/links/cluster-b/anopheline-sialome-cds-pep-larger-orf85-50SimCLTL20.txt", 8)</f>
        <v>8</v>
      </c>
      <c r="CL813">
        <v>390</v>
      </c>
      <c r="CM813">
        <v>1</v>
      </c>
      <c r="CN813">
        <v>469</v>
      </c>
      <c r="CO813">
        <v>1</v>
      </c>
    </row>
    <row r="814" spans="1:93">
      <c r="A814" s="2" t="str">
        <f>HYPERLINK("http://exon.niaid.nih.gov/transcriptome/Anopheles_sialome/links/cds/anofun_SG2-cds.txt","anofun_SG2")</f>
        <v>anofun_SG2</v>
      </c>
      <c r="B814">
        <v>336</v>
      </c>
      <c r="C814" t="s">
        <v>517</v>
      </c>
      <c r="D814" t="s">
        <v>7</v>
      </c>
      <c r="E814" t="s">
        <v>5</v>
      </c>
      <c r="F814" t="s">
        <v>1</v>
      </c>
      <c r="G814" t="str">
        <f>HYPERLINK("http://exon.niaid.nih.gov/transcriptome/Anopheles_sialome/links/pep/anofun_SG2-pep.txt","anofun_SG2")</f>
        <v>anofun_SG2</v>
      </c>
      <c r="H814">
        <v>111</v>
      </c>
      <c r="I814">
        <v>0</v>
      </c>
      <c r="J814" s="3" t="str">
        <f>HYPERLINK("http://exon.niaid.nih.gov/transcriptome/Anopheles_sialome/links/Sigp/anofun_SG2-SigP.txt","SIG")</f>
        <v>SIG</v>
      </c>
      <c r="K814" t="s">
        <v>692</v>
      </c>
      <c r="L814">
        <v>11.46</v>
      </c>
      <c r="M814">
        <v>4.13</v>
      </c>
      <c r="N814">
        <v>9.423</v>
      </c>
      <c r="O814">
        <v>3.77</v>
      </c>
      <c r="P814" t="s">
        <v>1962</v>
      </c>
      <c r="Q814" s="3" t="str">
        <f>HYPERLINK("http://exon.niaid.nih.gov/transcriptome/Anopheles_sialome/links/tmhmm/anofun_SG2-tmhmm.txt","1")</f>
        <v>1</v>
      </c>
      <c r="R814">
        <v>19.8</v>
      </c>
      <c r="S814">
        <v>75.7</v>
      </c>
      <c r="T814">
        <v>4.5</v>
      </c>
      <c r="U814" t="s">
        <v>128</v>
      </c>
      <c r="V814">
        <v>84</v>
      </c>
      <c r="W814" s="3" t="str">
        <f>HYPERLINK("http://exon.niaid.nih.gov/transcriptome/Anopheles_sialome/links/netoglyc/anofun_SG2-netoglyc.txt","0")</f>
        <v>0</v>
      </c>
      <c r="X814">
        <v>15.3</v>
      </c>
      <c r="Y814">
        <v>18</v>
      </c>
      <c r="Z814">
        <v>6.3</v>
      </c>
      <c r="AA814">
        <v>2.7</v>
      </c>
      <c r="AB814" t="s">
        <v>128</v>
      </c>
      <c r="AC814" s="2" t="str">
        <f>HYPERLINK("http://exon.niaid.nih.gov/transcriptome/Anopheles_sialome/links/DIPTERA/anofun_SG2-DIPTERA.txt","sg2 salivary protein")</f>
        <v>sg2 salivary protein</v>
      </c>
      <c r="AD814" t="str">
        <f>HYPERLINK("http://www.ncbi.nlm.nih.gov/sutils/blink.cgi?pid=114864560","2E-057")</f>
        <v>2E-057</v>
      </c>
      <c r="AE814" t="str">
        <f>HYPERLINK("http://www.ncbi.nlm.nih.gov/protein/114864560","gi|114864560")</f>
        <v>gi|114864560</v>
      </c>
      <c r="AF814">
        <v>96</v>
      </c>
      <c r="AG814">
        <v>97</v>
      </c>
      <c r="AH814">
        <v>100</v>
      </c>
      <c r="AI814" t="s">
        <v>2266</v>
      </c>
      <c r="AJ814" s="2" t="str">
        <f>HYPERLINK("http://exon.niaid.nih.gov/transcriptome/Anopheles_sialome/links/CULICOMORPHA/anofun_SG2-CULICOMORPHA.txt","sg2 salivary protein")</f>
        <v>sg2 salivary protein</v>
      </c>
      <c r="AK814" t="str">
        <f>HYPERLINK("http://www.ncbi.nlm.nih.gov/sutils/blink.cgi?pid=114864560","3E-058")</f>
        <v>3E-058</v>
      </c>
      <c r="AL814" t="str">
        <f>HYPERLINK("http://www.ncbi.nlm.nih.gov/protein/114864560","gi|114864560")</f>
        <v>gi|114864560</v>
      </c>
      <c r="AM814">
        <v>96</v>
      </c>
      <c r="AN814">
        <v>97</v>
      </c>
      <c r="AO814">
        <v>100</v>
      </c>
      <c r="AP814" t="s">
        <v>2266</v>
      </c>
      <c r="AQ814" s="2" t="str">
        <f>HYPERLINK("http://exon.niaid.nih.gov/transcriptome/Anopheles_sialome/links/NR-LIGHT/anofun_SG2-NR-LIGHT.txt","sg2 salivary protein")</f>
        <v>sg2 salivary protein</v>
      </c>
      <c r="AR814" t="str">
        <f>HYPERLINK("http://www.ncbi.nlm.nih.gov/sutils/blink.cgi?pid=114864560","5E-057")</f>
        <v>5E-057</v>
      </c>
      <c r="AS814" t="str">
        <f>HYPERLINK("http://www.ncbi.nlm.nih.gov/protein/114864560","gi|114864560")</f>
        <v>gi|114864560</v>
      </c>
      <c r="AT814">
        <v>96</v>
      </c>
      <c r="AU814">
        <v>97</v>
      </c>
      <c r="AV814">
        <v>100</v>
      </c>
      <c r="AW814" t="s">
        <v>2266</v>
      </c>
      <c r="AX814" s="2" t="str">
        <f>HYPERLINK("http://exon.niaid.nih.gov/transcriptome/Anopheles_sialome/links/CDD/anofun_SG2-CDD.txt","argD")</f>
        <v>argD</v>
      </c>
      <c r="AY814" t="str">
        <f>HYPERLINK("http://www.ncbi.nlm.nih.gov/Structure/cdd/cddsrv.cgi?uid=PRK01278&amp;version=v4.0","0.50")</f>
        <v>0.50</v>
      </c>
      <c r="AZ814" t="s">
        <v>2995</v>
      </c>
      <c r="BA814" s="2" t="str">
        <f>HYPERLINK("http://exon.niaid.nih.gov/transcriptome/Anopheles_sialome/links/KOG/anofun_SG2-KOG.txt","Vigilin")</f>
        <v>Vigilin</v>
      </c>
      <c r="BB814" t="str">
        <f>HYPERLINK("http://www.ncbi.nlm.nih.gov/Structure/cdd/cddsrv.cgi?uid=KOG2208","0.21")</f>
        <v>0.21</v>
      </c>
      <c r="BC814" t="s">
        <v>2298</v>
      </c>
      <c r="BD814" t="str">
        <f>HYPERLINK("http://exon.niaid.nih.gov/transcriptome/Anopheles_sialome/links/KOG/anofun_SG2-KOG.txt","KOG2208")</f>
        <v>KOG2208</v>
      </c>
      <c r="BE814" t="str">
        <f>HYPERLINK("http://exon.niaid.nih.gov/transcriptome/Anopheles_sialome/links/PFAM/anofun_SG2-PFAM.txt","RBDV_coat")</f>
        <v>RBDV_coat</v>
      </c>
      <c r="BF814" t="str">
        <f>HYPERLINK("http://pfam.sanger.ac.uk/family?acc=PF06593","0.46")</f>
        <v>0.46</v>
      </c>
      <c r="BG814" s="2" t="str">
        <f>HYPERLINK("http://exon.niaid.nih.gov/transcriptome/Anopheles_sialome/links/SMART/anofun_SG2-SMART.txt","Glyco_18")</f>
        <v>Glyco_18</v>
      </c>
      <c r="BH814" t="str">
        <f>HYPERLINK("http://smart.embl-heidelberg.de/smart/do_annotation.pl?DOMAIN=Glyco_18&amp;BLAST=DUMMY","0.64")</f>
        <v>0.64</v>
      </c>
      <c r="BI814" t="str">
        <f>HYPERLINK("http://exon.niaid.nih.gov/transcriptome/Anopheles_sialome/links/TICK-BLOCKS/anofun_SG2-TICK-BLOCKS.txt","SG2_superfamily |")</f>
        <v>SG2_superfamily |</v>
      </c>
      <c r="BJ814" s="2" t="s">
        <v>2986</v>
      </c>
      <c r="BK814" t="s">
        <v>1961</v>
      </c>
      <c r="BL814">
        <f>HYPERLINK("http://exon.niaid.nih.gov/transcriptome/Anopheles_sialome/links/cluster-b/anopheline-sialome-cds-pep-larger-orf25-50SimCLU1.txt", 1)</f>
        <v>1</v>
      </c>
      <c r="BM814">
        <f>HYPERLINK("http://exon.niaid.nih.gov/transcriptome/Anopheles_sialome/links/cluster-b/anopheline-sialome-cds-pep-larger-orf25-50SimCLTL1.txt", 165)</f>
        <v>165</v>
      </c>
      <c r="BN814">
        <f>HYPERLINK("http://exon.niaid.nih.gov/transcriptome/Anopheles_sialome/links/cluster-b/anopheline-sialome-cds-pep-larger-orf30-50SimCLU1.txt", 1)</f>
        <v>1</v>
      </c>
      <c r="BO814">
        <f>HYPERLINK("http://exon.niaid.nih.gov/transcriptome/Anopheles_sialome/links/cluster-b/anopheline-sialome-cds-pep-larger-orf30-50SimCLTL1.txt", 165)</f>
        <v>165</v>
      </c>
      <c r="BP814">
        <f>HYPERLINK("http://exon.niaid.nih.gov/transcriptome/Anopheles_sialome/links/cluster-b/anopheline-sialome-cds-pep-larger-orf35-50SimCLU10.txt", 10)</f>
        <v>10</v>
      </c>
      <c r="BQ814">
        <f>HYPERLINK("http://exon.niaid.nih.gov/transcriptome/Anopheles_sialome/links/cluster-b/anopheline-sialome-cds-pep-larger-orf35-50SimCLTL10.txt", 28)</f>
        <v>28</v>
      </c>
      <c r="BR814">
        <f>HYPERLINK("http://exon.niaid.nih.gov/transcriptome/Anopheles_sialome/links/cluster-b/anopheline-sialome-cds-pep-larger-orf40-50SimCLU10.txt", 10)</f>
        <v>10</v>
      </c>
      <c r="BS814">
        <f>HYPERLINK("http://exon.niaid.nih.gov/transcriptome/Anopheles_sialome/links/cluster-b/anopheline-sialome-cds-pep-larger-orf40-50SimCLTL10.txt", 28)</f>
        <v>28</v>
      </c>
      <c r="BT814">
        <f>HYPERLINK("http://exon.niaid.nih.gov/transcriptome/Anopheles_sialome/links/cluster-b/anopheline-sialome-cds-pep-larger-orf45-50SimCLU9.txt", 9)</f>
        <v>9</v>
      </c>
      <c r="BU814">
        <f>HYPERLINK("http://exon.niaid.nih.gov/transcriptome/Anopheles_sialome/links/cluster-b/anopheline-sialome-cds-pep-larger-orf45-50SimCLTL9.txt", 28)</f>
        <v>28</v>
      </c>
      <c r="BV814">
        <f>HYPERLINK("http://exon.niaid.nih.gov/transcriptome/Anopheles_sialome/links/cluster-b/anopheline-sialome-cds-pep-larger-orf50-50SimCLU10.txt", 10)</f>
        <v>10</v>
      </c>
      <c r="BW814">
        <f>HYPERLINK("http://exon.niaid.nih.gov/transcriptome/Anopheles_sialome/links/cluster-b/anopheline-sialome-cds-pep-larger-orf50-50SimCLTL10.txt", 26)</f>
        <v>26</v>
      </c>
      <c r="BX814">
        <f>HYPERLINK("http://exon.niaid.nih.gov/transcriptome/Anopheles_sialome/links/cluster-b/anopheline-sialome-cds-pep-larger-orf55-50SimCLU11.txt", 11)</f>
        <v>11</v>
      </c>
      <c r="BY814">
        <f>HYPERLINK("http://exon.niaid.nih.gov/transcriptome/Anopheles_sialome/links/cluster-b/anopheline-sialome-cds-pep-larger-orf55-50SimCLTL11.txt", 26)</f>
        <v>26</v>
      </c>
      <c r="BZ814">
        <f>HYPERLINK("http://exon.niaid.nih.gov/transcriptome/Anopheles_sialome/links/cluster-b/anopheline-sialome-cds-pep-larger-orf60-50SimCLU29.txt", 29)</f>
        <v>29</v>
      </c>
      <c r="CA814">
        <f>HYPERLINK("http://exon.niaid.nih.gov/transcriptome/Anopheles_sialome/links/cluster-b/anopheline-sialome-cds-pep-larger-orf60-50SimCLTL29.txt", 15)</f>
        <v>15</v>
      </c>
      <c r="CB814">
        <f>HYPERLINK("http://exon.niaid.nih.gov/transcriptome/Anopheles_sialome/links/cluster-b/anopheline-sialome-cds-pep-larger-orf65-50SimCLU35.txt", 35)</f>
        <v>35</v>
      </c>
      <c r="CC814">
        <f>HYPERLINK("http://exon.niaid.nih.gov/transcriptome/Anopheles_sialome/links/cluster-b/anopheline-sialome-cds-pep-larger-orf65-50SimCLTL35.txt", 13)</f>
        <v>13</v>
      </c>
      <c r="CD814">
        <f>HYPERLINK("http://exon.niaid.nih.gov/transcriptome/Anopheles_sialome/links/cluster-b/anopheline-sialome-cds-pep-larger-orf70-50SimCLU36.txt", 36)</f>
        <v>36</v>
      </c>
      <c r="CE814">
        <f>HYPERLINK("http://exon.niaid.nih.gov/transcriptome/Anopheles_sialome/links/cluster-b/anopheline-sialome-cds-pep-larger-orf70-50SimCLTL36.txt", 13)</f>
        <v>13</v>
      </c>
      <c r="CF814">
        <f>HYPERLINK("http://exon.niaid.nih.gov/transcriptome/Anopheles_sialome/links/cluster-b/anopheline-sialome-cds-pep-larger-orf75-50SimCLU26.txt", 26)</f>
        <v>26</v>
      </c>
      <c r="CG814">
        <f>HYPERLINK("http://exon.niaid.nih.gov/transcriptome/Anopheles_sialome/links/cluster-b/anopheline-sialome-cds-pep-larger-orf75-50SimCLTL26.txt", 13)</f>
        <v>13</v>
      </c>
      <c r="CH814">
        <f>HYPERLINK("http://exon.niaid.nih.gov/transcriptome/Anopheles_sialome/links/cluster-b/anopheline-sialome-cds-pep-larger-orf80-50SimCLU49.txt", 49)</f>
        <v>49</v>
      </c>
      <c r="CI814">
        <f>HYPERLINK("http://exon.niaid.nih.gov/transcriptome/Anopheles_sialome/links/cluster-b/anopheline-sialome-cds-pep-larger-orf80-50SimCLTL49.txt", 5)</f>
        <v>5</v>
      </c>
      <c r="CJ814">
        <f>HYPERLINK("http://exon.niaid.nih.gov/transcriptome/Anopheles_sialome/links/cluster-b/anopheline-sialome-cds-pep-larger-orf85-50SimCLU50.txt", 50)</f>
        <v>50</v>
      </c>
      <c r="CK814">
        <f>HYPERLINK("http://exon.niaid.nih.gov/transcriptome/Anopheles_sialome/links/cluster-b/anopheline-sialome-cds-pep-larger-orf85-50SimCLTL50.txt", 5)</f>
        <v>5</v>
      </c>
      <c r="CL814">
        <v>391</v>
      </c>
      <c r="CM814">
        <v>1</v>
      </c>
      <c r="CN814">
        <v>470</v>
      </c>
      <c r="CO814">
        <v>1</v>
      </c>
    </row>
    <row r="815" spans="1:93">
      <c r="A815" s="2" t="str">
        <f>HYPERLINK("http://exon.niaid.nih.gov/transcriptome/Anopheles_sialome/links/cds/anomin_SG2-cds.txt","anomin_SG2")</f>
        <v>anomin_SG2</v>
      </c>
      <c r="B815">
        <v>342</v>
      </c>
      <c r="C815" t="s">
        <v>518</v>
      </c>
      <c r="D815" t="s">
        <v>7</v>
      </c>
      <c r="E815" t="s">
        <v>5</v>
      </c>
      <c r="F815" t="s">
        <v>1</v>
      </c>
      <c r="G815" t="str">
        <f>HYPERLINK("http://exon.niaid.nih.gov/transcriptome/Anopheles_sialome/links/pep/anomin_SG2-pep.txt","anomin_SG2")</f>
        <v>anomin_SG2</v>
      </c>
      <c r="H815">
        <v>113</v>
      </c>
      <c r="I815">
        <v>0</v>
      </c>
      <c r="J815" s="3" t="str">
        <f>HYPERLINK("http://exon.niaid.nih.gov/transcriptome/Anopheles_sialome/links/Sigp/anomin_SG2-SigP.txt","SIG")</f>
        <v>SIG</v>
      </c>
      <c r="K815" t="s">
        <v>692</v>
      </c>
      <c r="L815">
        <v>11.523</v>
      </c>
      <c r="M815">
        <v>4.22</v>
      </c>
      <c r="N815">
        <v>9.5709999999999997</v>
      </c>
      <c r="O815">
        <v>4.22</v>
      </c>
      <c r="P815" t="s">
        <v>1964</v>
      </c>
      <c r="Q815" s="3" t="str">
        <f>HYPERLINK("http://exon.niaid.nih.gov/transcriptome/Anopheles_sialome/links/tmhmm/anomin_SG2-tmhmm.txt","1")</f>
        <v>1</v>
      </c>
      <c r="R815">
        <v>19.5</v>
      </c>
      <c r="S815">
        <v>76.099999999999994</v>
      </c>
      <c r="T815">
        <v>4.4000000000000004</v>
      </c>
      <c r="U815" t="s">
        <v>128</v>
      </c>
      <c r="V815">
        <v>86</v>
      </c>
      <c r="W815" s="3" t="str">
        <f>HYPERLINK("http://exon.niaid.nih.gov/transcriptome/Anopheles_sialome/links/netoglyc/anomin_SG2-netoglyc.txt","1")</f>
        <v>1</v>
      </c>
      <c r="X815">
        <v>15</v>
      </c>
      <c r="Y815">
        <v>19.5</v>
      </c>
      <c r="Z815">
        <v>8</v>
      </c>
      <c r="AA815" t="s">
        <v>654</v>
      </c>
      <c r="AB815" t="s">
        <v>128</v>
      </c>
      <c r="AC815" s="2" t="str">
        <f>HYPERLINK("http://exon.niaid.nih.gov/transcriptome/Anopheles_sialome/links/DIPTERA/anomin_SG2-DIPTERA.txt","sg2 salivary protein")</f>
        <v>sg2 salivary protein</v>
      </c>
      <c r="AD815" t="str">
        <f>HYPERLINK("http://www.ncbi.nlm.nih.gov/sutils/blink.cgi?pid=114864560","8E-050")</f>
        <v>8E-050</v>
      </c>
      <c r="AE815" t="str">
        <f>HYPERLINK("http://www.ncbi.nlm.nih.gov/protein/114864560","gi|114864560")</f>
        <v>gi|114864560</v>
      </c>
      <c r="AF815">
        <v>84</v>
      </c>
      <c r="AG815">
        <v>88</v>
      </c>
      <c r="AH815">
        <v>99</v>
      </c>
      <c r="AI815" t="s">
        <v>2266</v>
      </c>
      <c r="AJ815" s="2" t="str">
        <f>HYPERLINK("http://exon.niaid.nih.gov/transcriptome/Anopheles_sialome/links/CULICOMORPHA/anomin_SG2-CULICOMORPHA.txt","sg2 salivary protein")</f>
        <v>sg2 salivary protein</v>
      </c>
      <c r="AK815" t="str">
        <f>HYPERLINK("http://www.ncbi.nlm.nih.gov/sutils/blink.cgi?pid=114864560","1E-050")</f>
        <v>1E-050</v>
      </c>
      <c r="AL815" t="str">
        <f>HYPERLINK("http://www.ncbi.nlm.nih.gov/protein/114864560","gi|114864560")</f>
        <v>gi|114864560</v>
      </c>
      <c r="AM815">
        <v>84</v>
      </c>
      <c r="AN815">
        <v>88</v>
      </c>
      <c r="AO815">
        <v>99</v>
      </c>
      <c r="AP815" t="s">
        <v>2266</v>
      </c>
      <c r="AQ815" s="2" t="str">
        <f>HYPERLINK("http://exon.niaid.nih.gov/transcriptome/Anopheles_sialome/links/NR-LIGHT/anomin_SG2-NR-LIGHT.txt","sg2 salivary protein")</f>
        <v>sg2 salivary protein</v>
      </c>
      <c r="AR815" t="str">
        <f>HYPERLINK("http://www.ncbi.nlm.nih.gov/sutils/blink.cgi?pid=114864560","2E-049")</f>
        <v>2E-049</v>
      </c>
      <c r="AS815" t="str">
        <f>HYPERLINK("http://www.ncbi.nlm.nih.gov/protein/114864560","gi|114864560")</f>
        <v>gi|114864560</v>
      </c>
      <c r="AT815">
        <v>84</v>
      </c>
      <c r="AU815">
        <v>88</v>
      </c>
      <c r="AV815">
        <v>99</v>
      </c>
      <c r="AW815" t="s">
        <v>2266</v>
      </c>
      <c r="AX815" s="2" t="str">
        <f>HYPERLINK("http://exon.niaid.nih.gov/transcriptome/Anopheles_sialome/links/CDD/anomin_SG2-CDD.txt","PRK05613")</f>
        <v>PRK05613</v>
      </c>
      <c r="AY815" t="str">
        <f>HYPERLINK("http://www.ncbi.nlm.nih.gov/Structure/cdd/cddsrv.cgi?uid=PRK05613&amp;version=v4.0","0.51")</f>
        <v>0.51</v>
      </c>
      <c r="AZ815" t="s">
        <v>2996</v>
      </c>
      <c r="BA815" s="2" t="str">
        <f>HYPERLINK("http://exon.niaid.nih.gov/transcriptome/Anopheles_sialome/links/KOG/anomin_SG2-KOG.txt","Transcription factor E2F/dimerization partner (TDP)-like proteins")</f>
        <v>Transcription factor E2F/dimerization partner (TDP)-like proteins</v>
      </c>
      <c r="BB815" t="str">
        <f>HYPERLINK("http://www.ncbi.nlm.nih.gov/Structure/cdd/cddsrv.cgi?uid=KOG2578","1.2")</f>
        <v>1.2</v>
      </c>
      <c r="BC815" t="s">
        <v>2262</v>
      </c>
      <c r="BD815" t="str">
        <f>HYPERLINK("http://exon.niaid.nih.gov/transcriptome/Anopheles_sialome/links/KOG/anomin_SG2-KOG.txt","KOG2578")</f>
        <v>KOG2578</v>
      </c>
      <c r="BE815" t="str">
        <f>HYPERLINK("http://exon.niaid.nih.gov/transcriptome/Anopheles_sialome/links/PFAM/anomin_SG2-PFAM.txt","BAR_2")</f>
        <v>BAR_2</v>
      </c>
      <c r="BF815" t="str">
        <f>HYPERLINK("http://pfam.sanger.ac.uk/family?acc=PF10455","0.55")</f>
        <v>0.55</v>
      </c>
      <c r="BG815" s="2" t="str">
        <f>HYPERLINK("http://exon.niaid.nih.gov/transcriptome/Anopheles_sialome/links/SMART/anomin_SG2-SMART.txt","MHC_II_alpha")</f>
        <v>MHC_II_alpha</v>
      </c>
      <c r="BH815" t="str">
        <f>HYPERLINK("http://smart.embl-heidelberg.de/smart/do_annotation.pl?DOMAIN=MHC_II_alpha&amp;BLAST=DUMMY","0.73")</f>
        <v>0.73</v>
      </c>
      <c r="BI815" t="str">
        <f>HYPERLINK("http://exon.niaid.nih.gov/transcriptome/Anopheles_sialome/links/TICK-BLOCKS/anomin_SG2-TICK-BLOCKS.txt","SG2_superfamily |")</f>
        <v>SG2_superfamily |</v>
      </c>
      <c r="BJ815" s="2" t="s">
        <v>2986</v>
      </c>
      <c r="BK815" t="s">
        <v>1963</v>
      </c>
      <c r="BL815">
        <f>HYPERLINK("http://exon.niaid.nih.gov/transcriptome/Anopheles_sialome/links/cluster-b/anopheline-sialome-cds-pep-larger-orf25-50SimCLU1.txt", 1)</f>
        <v>1</v>
      </c>
      <c r="BM815">
        <f>HYPERLINK("http://exon.niaid.nih.gov/transcriptome/Anopheles_sialome/links/cluster-b/anopheline-sialome-cds-pep-larger-orf25-50SimCLTL1.txt", 165)</f>
        <v>165</v>
      </c>
      <c r="BN815">
        <f>HYPERLINK("http://exon.niaid.nih.gov/transcriptome/Anopheles_sialome/links/cluster-b/anopheline-sialome-cds-pep-larger-orf30-50SimCLU1.txt", 1)</f>
        <v>1</v>
      </c>
      <c r="BO815">
        <f>HYPERLINK("http://exon.niaid.nih.gov/transcriptome/Anopheles_sialome/links/cluster-b/anopheline-sialome-cds-pep-larger-orf30-50SimCLTL1.txt", 165)</f>
        <v>165</v>
      </c>
      <c r="BP815">
        <f>HYPERLINK("http://exon.niaid.nih.gov/transcriptome/Anopheles_sialome/links/cluster-b/anopheline-sialome-cds-pep-larger-orf35-50SimCLU10.txt", 10)</f>
        <v>10</v>
      </c>
      <c r="BQ815">
        <f>HYPERLINK("http://exon.niaid.nih.gov/transcriptome/Anopheles_sialome/links/cluster-b/anopheline-sialome-cds-pep-larger-orf35-50SimCLTL10.txt", 28)</f>
        <v>28</v>
      </c>
      <c r="BR815">
        <f>HYPERLINK("http://exon.niaid.nih.gov/transcriptome/Anopheles_sialome/links/cluster-b/anopheline-sialome-cds-pep-larger-orf40-50SimCLU10.txt", 10)</f>
        <v>10</v>
      </c>
      <c r="BS815">
        <f>HYPERLINK("http://exon.niaid.nih.gov/transcriptome/Anopheles_sialome/links/cluster-b/anopheline-sialome-cds-pep-larger-orf40-50SimCLTL10.txt", 28)</f>
        <v>28</v>
      </c>
      <c r="BT815">
        <f>HYPERLINK("http://exon.niaid.nih.gov/transcriptome/Anopheles_sialome/links/cluster-b/anopheline-sialome-cds-pep-larger-orf45-50SimCLU9.txt", 9)</f>
        <v>9</v>
      </c>
      <c r="BU815">
        <f>HYPERLINK("http://exon.niaid.nih.gov/transcriptome/Anopheles_sialome/links/cluster-b/anopheline-sialome-cds-pep-larger-orf45-50SimCLTL9.txt", 28)</f>
        <v>28</v>
      </c>
      <c r="BV815">
        <f>HYPERLINK("http://exon.niaid.nih.gov/transcriptome/Anopheles_sialome/links/cluster-b/anopheline-sialome-cds-pep-larger-orf50-50SimCLU10.txt", 10)</f>
        <v>10</v>
      </c>
      <c r="BW815">
        <f>HYPERLINK("http://exon.niaid.nih.gov/transcriptome/Anopheles_sialome/links/cluster-b/anopheline-sialome-cds-pep-larger-orf50-50SimCLTL10.txt", 26)</f>
        <v>26</v>
      </c>
      <c r="BX815">
        <f>HYPERLINK("http://exon.niaid.nih.gov/transcriptome/Anopheles_sialome/links/cluster-b/anopheline-sialome-cds-pep-larger-orf55-50SimCLU11.txt", 11)</f>
        <v>11</v>
      </c>
      <c r="BY815">
        <f>HYPERLINK("http://exon.niaid.nih.gov/transcriptome/Anopheles_sialome/links/cluster-b/anopheline-sialome-cds-pep-larger-orf55-50SimCLTL11.txt", 26)</f>
        <v>26</v>
      </c>
      <c r="BZ815">
        <f>HYPERLINK("http://exon.niaid.nih.gov/transcriptome/Anopheles_sialome/links/cluster-b/anopheline-sialome-cds-pep-larger-orf60-50SimCLU29.txt", 29)</f>
        <v>29</v>
      </c>
      <c r="CA815">
        <f>HYPERLINK("http://exon.niaid.nih.gov/transcriptome/Anopheles_sialome/links/cluster-b/anopheline-sialome-cds-pep-larger-orf60-50SimCLTL29.txt", 15)</f>
        <v>15</v>
      </c>
      <c r="CB815">
        <f>HYPERLINK("http://exon.niaid.nih.gov/transcriptome/Anopheles_sialome/links/cluster-b/anopheline-sialome-cds-pep-larger-orf65-50SimCLU35.txt", 35)</f>
        <v>35</v>
      </c>
      <c r="CC815">
        <f>HYPERLINK("http://exon.niaid.nih.gov/transcriptome/Anopheles_sialome/links/cluster-b/anopheline-sialome-cds-pep-larger-orf65-50SimCLTL35.txt", 13)</f>
        <v>13</v>
      </c>
      <c r="CD815">
        <f>HYPERLINK("http://exon.niaid.nih.gov/transcriptome/Anopheles_sialome/links/cluster-b/anopheline-sialome-cds-pep-larger-orf70-50SimCLU36.txt", 36)</f>
        <v>36</v>
      </c>
      <c r="CE815">
        <f>HYPERLINK("http://exon.niaid.nih.gov/transcriptome/Anopheles_sialome/links/cluster-b/anopheline-sialome-cds-pep-larger-orf70-50SimCLTL36.txt", 13)</f>
        <v>13</v>
      </c>
      <c r="CF815">
        <f>HYPERLINK("http://exon.niaid.nih.gov/transcriptome/Anopheles_sialome/links/cluster-b/anopheline-sialome-cds-pep-larger-orf75-50SimCLU26.txt", 26)</f>
        <v>26</v>
      </c>
      <c r="CG815">
        <f>HYPERLINK("http://exon.niaid.nih.gov/transcriptome/Anopheles_sialome/links/cluster-b/anopheline-sialome-cds-pep-larger-orf75-50SimCLTL26.txt", 13)</f>
        <v>13</v>
      </c>
      <c r="CH815">
        <f>HYPERLINK("http://exon.niaid.nih.gov/transcriptome/Anopheles_sialome/links/cluster-b/anopheline-sialome-cds-pep-larger-orf80-50SimCLU49.txt", 49)</f>
        <v>49</v>
      </c>
      <c r="CI815">
        <f>HYPERLINK("http://exon.niaid.nih.gov/transcriptome/Anopheles_sialome/links/cluster-b/anopheline-sialome-cds-pep-larger-orf80-50SimCLTL49.txt", 5)</f>
        <v>5</v>
      </c>
      <c r="CJ815">
        <f>HYPERLINK("http://exon.niaid.nih.gov/transcriptome/Anopheles_sialome/links/cluster-b/anopheline-sialome-cds-pep-larger-orf85-50SimCLU50.txt", 50)</f>
        <v>50</v>
      </c>
      <c r="CK815">
        <f>HYPERLINK("http://exon.niaid.nih.gov/transcriptome/Anopheles_sialome/links/cluster-b/anopheline-sialome-cds-pep-larger-orf85-50SimCLTL50.txt", 5)</f>
        <v>5</v>
      </c>
      <c r="CL815">
        <f>HYPERLINK("http://exon.niaid.nih.gov/transcriptome/Anopheles_sialome/links/cluster-b/anopheline-sialome-cds-pep-larger-orf90-50SimCLU86.txt", 86)</f>
        <v>86</v>
      </c>
      <c r="CM815">
        <f>HYPERLINK("http://exon.niaid.nih.gov/transcriptome/Anopheles_sialome/links/cluster-b/anopheline-sialome-cds-pep-larger-orf90-50SimCLTL86.txt", 2)</f>
        <v>2</v>
      </c>
      <c r="CN815">
        <v>471</v>
      </c>
      <c r="CO815">
        <v>1</v>
      </c>
    </row>
    <row r="816" spans="1:93">
      <c r="A816" s="2" t="str">
        <f>HYPERLINK("http://exon.niaid.nih.gov/transcriptome/Anopheles_sialome/links/cds/anocul_SG2-cds.txt","anocul_SG2")</f>
        <v>anocul_SG2</v>
      </c>
      <c r="B816">
        <v>345</v>
      </c>
      <c r="C816" t="s">
        <v>519</v>
      </c>
      <c r="D816" t="s">
        <v>7</v>
      </c>
      <c r="E816" t="s">
        <v>5</v>
      </c>
      <c r="F816" t="s">
        <v>1</v>
      </c>
      <c r="G816" t="str">
        <f>HYPERLINK("http://exon.niaid.nih.gov/transcriptome/Anopheles_sialome/links/pep/anocul_SG2-pep.txt","anocul_SG2")</f>
        <v>anocul_SG2</v>
      </c>
      <c r="H816">
        <v>114</v>
      </c>
      <c r="I816">
        <v>0</v>
      </c>
      <c r="J816" s="3" t="str">
        <f>HYPERLINK("http://exon.niaid.nih.gov/transcriptome/Anopheles_sialome/links/Sigp/anocul_SG2-SigP.txt","SIG")</f>
        <v>SIG</v>
      </c>
      <c r="K816" t="s">
        <v>692</v>
      </c>
      <c r="L816">
        <v>11.629</v>
      </c>
      <c r="M816">
        <v>5.28</v>
      </c>
      <c r="N816">
        <v>9.5980000000000008</v>
      </c>
      <c r="O816">
        <v>4.41</v>
      </c>
      <c r="P816" t="s">
        <v>1966</v>
      </c>
      <c r="Q816" s="3" t="str">
        <f>HYPERLINK("http://exon.niaid.nih.gov/transcriptome/Anopheles_sialome/links/tmhmm/anocul_SG2-tmhmm.txt","1")</f>
        <v>1</v>
      </c>
      <c r="R816">
        <v>19.3</v>
      </c>
      <c r="S816">
        <v>74.599999999999994</v>
      </c>
      <c r="T816">
        <v>6.1</v>
      </c>
      <c r="U816" t="s">
        <v>128</v>
      </c>
      <c r="V816">
        <v>85</v>
      </c>
      <c r="W816" s="3" t="str">
        <f>HYPERLINK("http://exon.niaid.nih.gov/transcriptome/Anopheles_sialome/links/netoglyc/anocul_SG2-netoglyc.txt","0")</f>
        <v>0</v>
      </c>
      <c r="X816">
        <v>19.3</v>
      </c>
      <c r="Y816">
        <v>18.399999999999999</v>
      </c>
      <c r="Z816">
        <v>7</v>
      </c>
      <c r="AA816">
        <v>2.6</v>
      </c>
      <c r="AB816" t="s">
        <v>128</v>
      </c>
      <c r="AC816" s="2" t="str">
        <f>HYPERLINK("http://exon.niaid.nih.gov/transcriptome/Anopheles_sialome/links/DIPTERA/anocul_SG2-DIPTERA.txt","sg2 salivary protein")</f>
        <v>sg2 salivary protein</v>
      </c>
      <c r="AD816" t="str">
        <f>HYPERLINK("http://www.ncbi.nlm.nih.gov/sutils/blink.cgi?pid=114864560","1E-044")</f>
        <v>1E-044</v>
      </c>
      <c r="AE816" t="str">
        <f>HYPERLINK("http://www.ncbi.nlm.nih.gov/protein/114864560","gi|114864560")</f>
        <v>gi|114864560</v>
      </c>
      <c r="AF816">
        <v>78</v>
      </c>
      <c r="AG816">
        <v>85</v>
      </c>
      <c r="AH816">
        <v>102</v>
      </c>
      <c r="AI816" t="s">
        <v>2266</v>
      </c>
      <c r="AJ816" s="2" t="str">
        <f>HYPERLINK("http://exon.niaid.nih.gov/transcriptome/Anopheles_sialome/links/CULICOMORPHA/anocul_SG2-CULICOMORPHA.txt","sg2 salivary protein")</f>
        <v>sg2 salivary protein</v>
      </c>
      <c r="AK816" t="str">
        <f>HYPERLINK("http://www.ncbi.nlm.nih.gov/sutils/blink.cgi?pid=114864560","2E-045")</f>
        <v>2E-045</v>
      </c>
      <c r="AL816" t="str">
        <f>HYPERLINK("http://www.ncbi.nlm.nih.gov/protein/114864560","gi|114864560")</f>
        <v>gi|114864560</v>
      </c>
      <c r="AM816">
        <v>78</v>
      </c>
      <c r="AN816">
        <v>85</v>
      </c>
      <c r="AO816">
        <v>102</v>
      </c>
      <c r="AP816" t="s">
        <v>2266</v>
      </c>
      <c r="AQ816" s="2" t="str">
        <f>HYPERLINK("http://exon.niaid.nih.gov/transcriptome/Anopheles_sialome/links/NR-LIGHT/anocul_SG2-NR-LIGHT.txt","sg2 salivary protein")</f>
        <v>sg2 salivary protein</v>
      </c>
      <c r="AR816" t="str">
        <f>HYPERLINK("http://www.ncbi.nlm.nih.gov/sutils/blink.cgi?pid=114864560","3E-044")</f>
        <v>3E-044</v>
      </c>
      <c r="AS816" t="str">
        <f>HYPERLINK("http://www.ncbi.nlm.nih.gov/protein/114864560","gi|114864560")</f>
        <v>gi|114864560</v>
      </c>
      <c r="AT816">
        <v>78</v>
      </c>
      <c r="AU816">
        <v>85</v>
      </c>
      <c r="AV816">
        <v>102</v>
      </c>
      <c r="AW816" t="s">
        <v>2266</v>
      </c>
      <c r="AX816" s="2" t="str">
        <f>HYPERLINK("http://exon.niaid.nih.gov/transcriptome/Anopheles_sialome/links/CDD/anocul_SG2-CDD.txt","PRK11360")</f>
        <v>PRK11360</v>
      </c>
      <c r="AY816" t="str">
        <f>HYPERLINK("http://www.ncbi.nlm.nih.gov/Structure/cdd/cddsrv.cgi?uid=PRK11360&amp;version=v4.0","2.2")</f>
        <v>2.2</v>
      </c>
      <c r="AZ816" t="s">
        <v>2997</v>
      </c>
      <c r="BA816" s="2" t="str">
        <f>HYPERLINK("http://exon.niaid.nih.gov/transcriptome/Anopheles_sialome/links/KOG/anocul_SG2-KOG.txt","Amino acid transporters")</f>
        <v>Amino acid transporters</v>
      </c>
      <c r="BB816" t="str">
        <f>HYPERLINK("http://www.ncbi.nlm.nih.gov/Structure/cdd/cddsrv.cgi?uid=KOG1288","1.00")</f>
        <v>1.00</v>
      </c>
      <c r="BC816" t="s">
        <v>2287</v>
      </c>
      <c r="BD816" t="str">
        <f>HYPERLINK("http://exon.niaid.nih.gov/transcriptome/Anopheles_sialome/links/KOG/anocul_SG2-KOG.txt","KOG1288")</f>
        <v>KOG1288</v>
      </c>
      <c r="BE816" t="str">
        <f>HYPERLINK("http://exon.niaid.nih.gov/transcriptome/Anopheles_sialome/links/PFAM/anocul_SG2-PFAM.txt","DNA_pol_phi")</f>
        <v>DNA_pol_phi</v>
      </c>
      <c r="BF816" t="str">
        <f>HYPERLINK("http://pfam.sanger.ac.uk/family?acc=PF04931","0.39")</f>
        <v>0.39</v>
      </c>
      <c r="BG816" s="2" t="str">
        <f>HYPERLINK("http://exon.niaid.nih.gov/transcriptome/Anopheles_sialome/links/SMART/anocul_SG2-SMART.txt","DYNc")</f>
        <v>DYNc</v>
      </c>
      <c r="BH816" t="str">
        <f>HYPERLINK("http://smart.embl-heidelberg.de/smart/do_annotation.pl?DOMAIN=DYNc&amp;BLAST=DUMMY","1.1")</f>
        <v>1.1</v>
      </c>
      <c r="BI816" t="s">
        <v>128</v>
      </c>
      <c r="BJ816" s="2" t="s">
        <v>128</v>
      </c>
      <c r="BK816" t="s">
        <v>1965</v>
      </c>
      <c r="BL816">
        <f>HYPERLINK("http://exon.niaid.nih.gov/transcriptome/Anopheles_sialome/links/cluster-b/anopheline-sialome-cds-pep-larger-orf25-50SimCLU1.txt", 1)</f>
        <v>1</v>
      </c>
      <c r="BM816">
        <f>HYPERLINK("http://exon.niaid.nih.gov/transcriptome/Anopheles_sialome/links/cluster-b/anopheline-sialome-cds-pep-larger-orf25-50SimCLTL1.txt", 165)</f>
        <v>165</v>
      </c>
      <c r="BN816">
        <f>HYPERLINK("http://exon.niaid.nih.gov/transcriptome/Anopheles_sialome/links/cluster-b/anopheline-sialome-cds-pep-larger-orf30-50SimCLU1.txt", 1)</f>
        <v>1</v>
      </c>
      <c r="BO816">
        <f>HYPERLINK("http://exon.niaid.nih.gov/transcriptome/Anopheles_sialome/links/cluster-b/anopheline-sialome-cds-pep-larger-orf30-50SimCLTL1.txt", 165)</f>
        <v>165</v>
      </c>
      <c r="BP816">
        <f>HYPERLINK("http://exon.niaid.nih.gov/transcriptome/Anopheles_sialome/links/cluster-b/anopheline-sialome-cds-pep-larger-orf35-50SimCLU10.txt", 10)</f>
        <v>10</v>
      </c>
      <c r="BQ816">
        <f>HYPERLINK("http://exon.niaid.nih.gov/transcriptome/Anopheles_sialome/links/cluster-b/anopheline-sialome-cds-pep-larger-orf35-50SimCLTL10.txt", 28)</f>
        <v>28</v>
      </c>
      <c r="BR816">
        <f>HYPERLINK("http://exon.niaid.nih.gov/transcriptome/Anopheles_sialome/links/cluster-b/anopheline-sialome-cds-pep-larger-orf40-50SimCLU10.txt", 10)</f>
        <v>10</v>
      </c>
      <c r="BS816">
        <f>HYPERLINK("http://exon.niaid.nih.gov/transcriptome/Anopheles_sialome/links/cluster-b/anopheline-sialome-cds-pep-larger-orf40-50SimCLTL10.txt", 28)</f>
        <v>28</v>
      </c>
      <c r="BT816">
        <f>HYPERLINK("http://exon.niaid.nih.gov/transcriptome/Anopheles_sialome/links/cluster-b/anopheline-sialome-cds-pep-larger-orf45-50SimCLU9.txt", 9)</f>
        <v>9</v>
      </c>
      <c r="BU816">
        <f>HYPERLINK("http://exon.niaid.nih.gov/transcriptome/Anopheles_sialome/links/cluster-b/anopheline-sialome-cds-pep-larger-orf45-50SimCLTL9.txt", 28)</f>
        <v>28</v>
      </c>
      <c r="BV816">
        <f>HYPERLINK("http://exon.niaid.nih.gov/transcriptome/Anopheles_sialome/links/cluster-b/anopheline-sialome-cds-pep-larger-orf50-50SimCLU10.txt", 10)</f>
        <v>10</v>
      </c>
      <c r="BW816">
        <f>HYPERLINK("http://exon.niaid.nih.gov/transcriptome/Anopheles_sialome/links/cluster-b/anopheline-sialome-cds-pep-larger-orf50-50SimCLTL10.txt", 26)</f>
        <v>26</v>
      </c>
      <c r="BX816">
        <f>HYPERLINK("http://exon.niaid.nih.gov/transcriptome/Anopheles_sialome/links/cluster-b/anopheline-sialome-cds-pep-larger-orf55-50SimCLU11.txt", 11)</f>
        <v>11</v>
      </c>
      <c r="BY816">
        <f>HYPERLINK("http://exon.niaid.nih.gov/transcriptome/Anopheles_sialome/links/cluster-b/anopheline-sialome-cds-pep-larger-orf55-50SimCLTL11.txt", 26)</f>
        <v>26</v>
      </c>
      <c r="BZ816">
        <f>HYPERLINK("http://exon.niaid.nih.gov/transcriptome/Anopheles_sialome/links/cluster-b/anopheline-sialome-cds-pep-larger-orf60-50SimCLU29.txt", 29)</f>
        <v>29</v>
      </c>
      <c r="CA816">
        <f>HYPERLINK("http://exon.niaid.nih.gov/transcriptome/Anopheles_sialome/links/cluster-b/anopheline-sialome-cds-pep-larger-orf60-50SimCLTL29.txt", 15)</f>
        <v>15</v>
      </c>
      <c r="CB816">
        <f>HYPERLINK("http://exon.niaid.nih.gov/transcriptome/Anopheles_sialome/links/cluster-b/anopheline-sialome-cds-pep-larger-orf65-50SimCLU35.txt", 35)</f>
        <v>35</v>
      </c>
      <c r="CC816">
        <f>HYPERLINK("http://exon.niaid.nih.gov/transcriptome/Anopheles_sialome/links/cluster-b/anopheline-sialome-cds-pep-larger-orf65-50SimCLTL35.txt", 13)</f>
        <v>13</v>
      </c>
      <c r="CD816">
        <f>HYPERLINK("http://exon.niaid.nih.gov/transcriptome/Anopheles_sialome/links/cluster-b/anopheline-sialome-cds-pep-larger-orf70-50SimCLU36.txt", 36)</f>
        <v>36</v>
      </c>
      <c r="CE816">
        <f>HYPERLINK("http://exon.niaid.nih.gov/transcriptome/Anopheles_sialome/links/cluster-b/anopheline-sialome-cds-pep-larger-orf70-50SimCLTL36.txt", 13)</f>
        <v>13</v>
      </c>
      <c r="CF816">
        <f>HYPERLINK("http://exon.niaid.nih.gov/transcriptome/Anopheles_sialome/links/cluster-b/anopheline-sialome-cds-pep-larger-orf75-50SimCLU26.txt", 26)</f>
        <v>26</v>
      </c>
      <c r="CG816">
        <f>HYPERLINK("http://exon.niaid.nih.gov/transcriptome/Anopheles_sialome/links/cluster-b/anopheline-sialome-cds-pep-larger-orf75-50SimCLTL26.txt", 13)</f>
        <v>13</v>
      </c>
      <c r="CH816">
        <f>HYPERLINK("http://exon.niaid.nih.gov/transcriptome/Anopheles_sialome/links/cluster-b/anopheline-sialome-cds-pep-larger-orf80-50SimCLU49.txt", 49)</f>
        <v>49</v>
      </c>
      <c r="CI816">
        <f>HYPERLINK("http://exon.niaid.nih.gov/transcriptome/Anopheles_sialome/links/cluster-b/anopheline-sialome-cds-pep-larger-orf80-50SimCLTL49.txt", 5)</f>
        <v>5</v>
      </c>
      <c r="CJ816">
        <f>HYPERLINK("http://exon.niaid.nih.gov/transcriptome/Anopheles_sialome/links/cluster-b/anopheline-sialome-cds-pep-larger-orf85-50SimCLU50.txt", 50)</f>
        <v>50</v>
      </c>
      <c r="CK816">
        <f>HYPERLINK("http://exon.niaid.nih.gov/transcriptome/Anopheles_sialome/links/cluster-b/anopheline-sialome-cds-pep-larger-orf85-50SimCLTL50.txt", 5)</f>
        <v>5</v>
      </c>
      <c r="CL816">
        <f>HYPERLINK("http://exon.niaid.nih.gov/transcriptome/Anopheles_sialome/links/cluster-b/anopheline-sialome-cds-pep-larger-orf90-50SimCLU86.txt", 86)</f>
        <v>86</v>
      </c>
      <c r="CM816">
        <f>HYPERLINK("http://exon.niaid.nih.gov/transcriptome/Anopheles_sialome/links/cluster-b/anopheline-sialome-cds-pep-larger-orf90-50SimCLTL86.txt", 2)</f>
        <v>2</v>
      </c>
      <c r="CN816">
        <v>472</v>
      </c>
      <c r="CO816">
        <v>1</v>
      </c>
    </row>
    <row r="817" spans="1:93">
      <c r="A817" s="2" t="str">
        <f>HYPERLINK("http://exon.niaid.nih.gov/transcriptome/Anopheles_sialome/links/cds/anoste_SG2-cds.txt","anoste_SG2")</f>
        <v>anoste_SG2</v>
      </c>
      <c r="B817">
        <v>351</v>
      </c>
      <c r="C817" t="s">
        <v>520</v>
      </c>
      <c r="D817" t="s">
        <v>4</v>
      </c>
      <c r="E817" t="s">
        <v>5</v>
      </c>
      <c r="F817" t="s">
        <v>1</v>
      </c>
      <c r="G817" t="str">
        <f>HYPERLINK("http://exon.niaid.nih.gov/transcriptome/Anopheles_sialome/links/pep/anoste_SG2-pep.txt","anoste_SG2")</f>
        <v>anoste_SG2</v>
      </c>
      <c r="H817">
        <v>116</v>
      </c>
      <c r="I817">
        <v>0</v>
      </c>
      <c r="J817" s="3" t="str">
        <f>HYPERLINK("http://exon.niaid.nih.gov/transcriptome/Anopheles_sialome/links/Sigp/anoste_SG2-SigP.txt","SIG")</f>
        <v>SIG</v>
      </c>
      <c r="K817" t="s">
        <v>692</v>
      </c>
      <c r="L817">
        <v>11.680999999999999</v>
      </c>
      <c r="M817">
        <v>5.28</v>
      </c>
      <c r="N817">
        <v>9.6750000000000007</v>
      </c>
      <c r="O817">
        <v>4.41</v>
      </c>
      <c r="P817" t="s">
        <v>1968</v>
      </c>
      <c r="Q817" s="3" t="str">
        <f>HYPERLINK("http://exon.niaid.nih.gov/transcriptome/Anopheles_sialome/links/tmhmm/anoste_SG2-tmhmm.txt","1")</f>
        <v>1</v>
      </c>
      <c r="R817">
        <v>19</v>
      </c>
      <c r="S817">
        <v>75</v>
      </c>
      <c r="T817">
        <v>6</v>
      </c>
      <c r="U817" t="s">
        <v>128</v>
      </c>
      <c r="V817">
        <v>87</v>
      </c>
      <c r="W817" s="3" t="str">
        <f>HYPERLINK("http://exon.niaid.nih.gov/transcriptome/Anopheles_sialome/links/netoglyc/anoste_SG2-netoglyc.txt","1")</f>
        <v>1</v>
      </c>
      <c r="X817">
        <v>13.8</v>
      </c>
      <c r="Y817">
        <v>22.4</v>
      </c>
      <c r="Z817">
        <v>9.5</v>
      </c>
      <c r="AA817">
        <v>2.6</v>
      </c>
      <c r="AB817" t="s">
        <v>128</v>
      </c>
      <c r="AC817" s="2" t="str">
        <f>HYPERLINK("http://exon.niaid.nih.gov/transcriptome/Anopheles_sialome/links/DIPTERA/anoste_SG2-DIPTERA.txt","putative salivary protein SG2B")</f>
        <v>putative salivary protein SG2B</v>
      </c>
      <c r="AD817" t="str">
        <f>HYPERLINK("http://www.ncbi.nlm.nih.gov/sutils/blink.cgi?pid=27372907","2E-065")</f>
        <v>2E-065</v>
      </c>
      <c r="AE817" t="str">
        <f>HYPERLINK("http://www.ncbi.nlm.nih.gov/protein/27372907","gi|27372907")</f>
        <v>gi|27372907</v>
      </c>
      <c r="AF817">
        <v>100</v>
      </c>
      <c r="AG817">
        <v>100</v>
      </c>
      <c r="AH817">
        <v>100</v>
      </c>
      <c r="AI817" t="s">
        <v>2271</v>
      </c>
      <c r="AJ817" s="2" t="str">
        <f>HYPERLINK("http://exon.niaid.nih.gov/transcriptome/Anopheles_sialome/links/CULICOMORPHA/anoste_SG2-CULICOMORPHA.txt","putative salivary protein SG2B")</f>
        <v>putative salivary protein SG2B</v>
      </c>
      <c r="AK817" t="str">
        <f>HYPERLINK("http://www.ncbi.nlm.nih.gov/sutils/blink.cgi?pid=27372907","4E-066")</f>
        <v>4E-066</v>
      </c>
      <c r="AL817" t="str">
        <f>HYPERLINK("http://www.ncbi.nlm.nih.gov/protein/27372907","gi|27372907")</f>
        <v>gi|27372907</v>
      </c>
      <c r="AM817">
        <v>100</v>
      </c>
      <c r="AN817">
        <v>100</v>
      </c>
      <c r="AO817">
        <v>100</v>
      </c>
      <c r="AP817" t="s">
        <v>2271</v>
      </c>
      <c r="AQ817" s="2" t="str">
        <f>HYPERLINK("http://exon.niaid.nih.gov/transcriptome/Anopheles_sialome/links/NR-LIGHT/anoste_SG2-NR-LIGHT.txt","putative salivary protein SG2B")</f>
        <v>putative salivary protein SG2B</v>
      </c>
      <c r="AR817" t="str">
        <f>HYPERLINK("http://www.ncbi.nlm.nih.gov/sutils/blink.cgi?pid=27372907","7E-065")</f>
        <v>7E-065</v>
      </c>
      <c r="AS817" t="str">
        <f>HYPERLINK("http://www.ncbi.nlm.nih.gov/protein/27372907","gi|27372907")</f>
        <v>gi|27372907</v>
      </c>
      <c r="AT817">
        <v>100</v>
      </c>
      <c r="AU817">
        <v>100</v>
      </c>
      <c r="AV817">
        <v>100</v>
      </c>
      <c r="AW817" t="s">
        <v>2271</v>
      </c>
      <c r="AX817" s="2" t="str">
        <f>HYPERLINK("http://exon.niaid.nih.gov/transcriptome/Anopheles_sialome/links/CDD/anoste_SG2-CDD.txt","COG4907")</f>
        <v>COG4907</v>
      </c>
      <c r="AY817" t="str">
        <f>HYPERLINK("http://www.ncbi.nlm.nih.gov/Structure/cdd/cddsrv.cgi?uid=COG4907&amp;version=v4.0","0.030")</f>
        <v>0.030</v>
      </c>
      <c r="AZ817" t="s">
        <v>2998</v>
      </c>
      <c r="BA817" s="2" t="str">
        <f>HYPERLINK("http://exon.niaid.nih.gov/transcriptome/Anopheles_sialome/links/KOG/anoste_SG2-KOG.txt","Nuclear pore complex, p54 component (sc Nup57)")</f>
        <v>Nuclear pore complex, p54 component (sc Nup57)</v>
      </c>
      <c r="BB817" t="str">
        <f>HYPERLINK("http://www.ncbi.nlm.nih.gov/Structure/cdd/cddsrv.cgi?uid=KOG3091","0.040")</f>
        <v>0.040</v>
      </c>
      <c r="BC817" t="s">
        <v>2451</v>
      </c>
      <c r="BD817" t="str">
        <f>HYPERLINK("http://exon.niaid.nih.gov/transcriptome/Anopheles_sialome/links/KOG/anoste_SG2-KOG.txt","KOG3091")</f>
        <v>KOG3091</v>
      </c>
      <c r="BE817" t="str">
        <f>HYPERLINK("http://exon.niaid.nih.gov/transcriptome/Anopheles_sialome/links/PFAM/anoste_SG2-PFAM.txt","DUF1517")</f>
        <v>DUF1517</v>
      </c>
      <c r="BF817" t="str">
        <f>HYPERLINK("http://pfam.sanger.ac.uk/family?acc=PF07466","0.26")</f>
        <v>0.26</v>
      </c>
      <c r="BG817" s="2" t="str">
        <f>HYPERLINK("http://exon.niaid.nih.gov/transcriptome/Anopheles_sialome/links/SMART/anoste_SG2-SMART.txt","PGRP")</f>
        <v>PGRP</v>
      </c>
      <c r="BH817" t="str">
        <f>HYPERLINK("http://smart.embl-heidelberg.de/smart/do_annotation.pl?DOMAIN=PGRP&amp;BLAST=DUMMY","0.99")</f>
        <v>0.99</v>
      </c>
      <c r="BI817" t="str">
        <f>HYPERLINK("http://exon.niaid.nih.gov/transcriptome/Anopheles_sialome/links/TICK-BLOCKS/anoste_SG2-TICK-BLOCKS.txt","SG2_superfamily |")</f>
        <v>SG2_superfamily |</v>
      </c>
      <c r="BJ817" s="2" t="s">
        <v>2986</v>
      </c>
      <c r="BK817" t="s">
        <v>1967</v>
      </c>
      <c r="BL817">
        <f>HYPERLINK("http://exon.niaid.nih.gov/transcriptome/Anopheles_sialome/links/cluster-b/anopheline-sialome-cds-pep-larger-orf25-50SimCLU1.txt", 1)</f>
        <v>1</v>
      </c>
      <c r="BM817">
        <f>HYPERLINK("http://exon.niaid.nih.gov/transcriptome/Anopheles_sialome/links/cluster-b/anopheline-sialome-cds-pep-larger-orf25-50SimCLTL1.txt", 165)</f>
        <v>165</v>
      </c>
      <c r="BN817">
        <f>HYPERLINK("http://exon.niaid.nih.gov/transcriptome/Anopheles_sialome/links/cluster-b/anopheline-sialome-cds-pep-larger-orf30-50SimCLU1.txt", 1)</f>
        <v>1</v>
      </c>
      <c r="BO817">
        <f>HYPERLINK("http://exon.niaid.nih.gov/transcriptome/Anopheles_sialome/links/cluster-b/anopheline-sialome-cds-pep-larger-orf30-50SimCLTL1.txt", 165)</f>
        <v>165</v>
      </c>
      <c r="BP817">
        <f>HYPERLINK("http://exon.niaid.nih.gov/transcriptome/Anopheles_sialome/links/cluster-b/anopheline-sialome-cds-pep-larger-orf35-50SimCLU10.txt", 10)</f>
        <v>10</v>
      </c>
      <c r="BQ817">
        <f>HYPERLINK("http://exon.niaid.nih.gov/transcriptome/Anopheles_sialome/links/cluster-b/anopheline-sialome-cds-pep-larger-orf35-50SimCLTL10.txt", 28)</f>
        <v>28</v>
      </c>
      <c r="BR817">
        <f>HYPERLINK("http://exon.niaid.nih.gov/transcriptome/Anopheles_sialome/links/cluster-b/anopheline-sialome-cds-pep-larger-orf40-50SimCLU10.txt", 10)</f>
        <v>10</v>
      </c>
      <c r="BS817">
        <f>HYPERLINK("http://exon.niaid.nih.gov/transcriptome/Anopheles_sialome/links/cluster-b/anopheline-sialome-cds-pep-larger-orf40-50SimCLTL10.txt", 28)</f>
        <v>28</v>
      </c>
      <c r="BT817">
        <f>HYPERLINK("http://exon.niaid.nih.gov/transcriptome/Anopheles_sialome/links/cluster-b/anopheline-sialome-cds-pep-larger-orf45-50SimCLU9.txt", 9)</f>
        <v>9</v>
      </c>
      <c r="BU817">
        <f>HYPERLINK("http://exon.niaid.nih.gov/transcriptome/Anopheles_sialome/links/cluster-b/anopheline-sialome-cds-pep-larger-orf45-50SimCLTL9.txt", 28)</f>
        <v>28</v>
      </c>
      <c r="BV817">
        <f>HYPERLINK("http://exon.niaid.nih.gov/transcriptome/Anopheles_sialome/links/cluster-b/anopheline-sialome-cds-pep-larger-orf50-50SimCLU10.txt", 10)</f>
        <v>10</v>
      </c>
      <c r="BW817">
        <f>HYPERLINK("http://exon.niaid.nih.gov/transcriptome/Anopheles_sialome/links/cluster-b/anopheline-sialome-cds-pep-larger-orf50-50SimCLTL10.txt", 26)</f>
        <v>26</v>
      </c>
      <c r="BX817">
        <f>HYPERLINK("http://exon.niaid.nih.gov/transcriptome/Anopheles_sialome/links/cluster-b/anopheline-sialome-cds-pep-larger-orf55-50SimCLU11.txt", 11)</f>
        <v>11</v>
      </c>
      <c r="BY817">
        <f>HYPERLINK("http://exon.niaid.nih.gov/transcriptome/Anopheles_sialome/links/cluster-b/anopheline-sialome-cds-pep-larger-orf55-50SimCLTL11.txt", 26)</f>
        <v>26</v>
      </c>
      <c r="BZ817">
        <f>HYPERLINK("http://exon.niaid.nih.gov/transcriptome/Anopheles_sialome/links/cluster-b/anopheline-sialome-cds-pep-larger-orf60-50SimCLU29.txt", 29)</f>
        <v>29</v>
      </c>
      <c r="CA817">
        <f>HYPERLINK("http://exon.niaid.nih.gov/transcriptome/Anopheles_sialome/links/cluster-b/anopheline-sialome-cds-pep-larger-orf60-50SimCLTL29.txt", 15)</f>
        <v>15</v>
      </c>
      <c r="CB817">
        <f>HYPERLINK("http://exon.niaid.nih.gov/transcriptome/Anopheles_sialome/links/cluster-b/anopheline-sialome-cds-pep-larger-orf65-50SimCLU35.txt", 35)</f>
        <v>35</v>
      </c>
      <c r="CC817">
        <f>HYPERLINK("http://exon.niaid.nih.gov/transcriptome/Anopheles_sialome/links/cluster-b/anopheline-sialome-cds-pep-larger-orf65-50SimCLTL35.txt", 13)</f>
        <v>13</v>
      </c>
      <c r="CD817">
        <f>HYPERLINK("http://exon.niaid.nih.gov/transcriptome/Anopheles_sialome/links/cluster-b/anopheline-sialome-cds-pep-larger-orf70-50SimCLU36.txt", 36)</f>
        <v>36</v>
      </c>
      <c r="CE817">
        <f>HYPERLINK("http://exon.niaid.nih.gov/transcriptome/Anopheles_sialome/links/cluster-b/anopheline-sialome-cds-pep-larger-orf70-50SimCLTL36.txt", 13)</f>
        <v>13</v>
      </c>
      <c r="CF817">
        <f>HYPERLINK("http://exon.niaid.nih.gov/transcriptome/Anopheles_sialome/links/cluster-b/anopheline-sialome-cds-pep-larger-orf75-50SimCLU26.txt", 26)</f>
        <v>26</v>
      </c>
      <c r="CG817">
        <f>HYPERLINK("http://exon.niaid.nih.gov/transcriptome/Anopheles_sialome/links/cluster-b/anopheline-sialome-cds-pep-larger-orf75-50SimCLTL26.txt", 13)</f>
        <v>13</v>
      </c>
      <c r="CH817">
        <f>HYPERLINK("http://exon.niaid.nih.gov/transcriptome/Anopheles_sialome/links/cluster-b/anopheline-sialome-cds-pep-larger-orf80-50SimCLU49.txt", 49)</f>
        <v>49</v>
      </c>
      <c r="CI817">
        <f>HYPERLINK("http://exon.niaid.nih.gov/transcriptome/Anopheles_sialome/links/cluster-b/anopheline-sialome-cds-pep-larger-orf80-50SimCLTL49.txt", 5)</f>
        <v>5</v>
      </c>
      <c r="CJ817">
        <f>HYPERLINK("http://exon.niaid.nih.gov/transcriptome/Anopheles_sialome/links/cluster-b/anopheline-sialome-cds-pep-larger-orf85-50SimCLU50.txt", 50)</f>
        <v>50</v>
      </c>
      <c r="CK817">
        <f>HYPERLINK("http://exon.niaid.nih.gov/transcriptome/Anopheles_sialome/links/cluster-b/anopheline-sialome-cds-pep-larger-orf85-50SimCLTL50.txt", 5)</f>
        <v>5</v>
      </c>
      <c r="CL817">
        <f>HYPERLINK("http://exon.niaid.nih.gov/transcriptome/Anopheles_sialome/links/cluster-b/anopheline-sialome-cds-pep-larger-orf90-50SimCLU87.txt", 87)</f>
        <v>87</v>
      </c>
      <c r="CM817">
        <f>HYPERLINK("http://exon.niaid.nih.gov/transcriptome/Anopheles_sialome/links/cluster-b/anopheline-sialome-cds-pep-larger-orf90-50SimCLTL87.txt", 2)</f>
        <v>2</v>
      </c>
      <c r="CN817">
        <v>473</v>
      </c>
      <c r="CO817">
        <v>1</v>
      </c>
    </row>
    <row r="818" spans="1:93">
      <c r="A818" s="2" t="str">
        <f>HYPERLINK("http://exon.niaid.nih.gov/transcriptome/Anopheles_sialome/links/cds/anomac_SG2-cds.txt","anomac_SG2")</f>
        <v>anomac_SG2</v>
      </c>
      <c r="B818">
        <v>351</v>
      </c>
      <c r="C818" t="s">
        <v>521</v>
      </c>
      <c r="D818" t="s">
        <v>4</v>
      </c>
      <c r="E818" t="s">
        <v>5</v>
      </c>
      <c r="F818" t="s">
        <v>1</v>
      </c>
      <c r="G818" t="str">
        <f>HYPERLINK("http://exon.niaid.nih.gov/transcriptome/Anopheles_sialome/links/pep/anomac_SG2-pep.txt","anomac_SG2")</f>
        <v>anomac_SG2</v>
      </c>
      <c r="H818">
        <v>116</v>
      </c>
      <c r="I818">
        <v>0</v>
      </c>
      <c r="J818" s="3" t="str">
        <f>HYPERLINK("http://exon.niaid.nih.gov/transcriptome/Anopheles_sialome/links/Sigp/anomac_SG2-SigP.txt","SIG")</f>
        <v>SIG</v>
      </c>
      <c r="K818" t="s">
        <v>692</v>
      </c>
      <c r="L818">
        <v>11.602</v>
      </c>
      <c r="M818">
        <v>4.13</v>
      </c>
      <c r="N818">
        <v>9.6539999999999999</v>
      </c>
      <c r="O818">
        <v>3.77</v>
      </c>
      <c r="P818" t="s">
        <v>1970</v>
      </c>
      <c r="Q818" s="3" t="str">
        <f>HYPERLINK("http://exon.niaid.nih.gov/transcriptome/Anopheles_sialome/links/tmhmm/anomac_SG2-tmhmm.txt","1")</f>
        <v>1</v>
      </c>
      <c r="R818">
        <v>19</v>
      </c>
      <c r="S818">
        <v>75</v>
      </c>
      <c r="T818">
        <v>6</v>
      </c>
      <c r="U818" t="s">
        <v>128</v>
      </c>
      <c r="V818">
        <v>87</v>
      </c>
      <c r="W818" s="3" t="str">
        <f>HYPERLINK("http://exon.niaid.nih.gov/transcriptome/Anopheles_sialome/links/netoglyc/anomac_SG2-netoglyc.txt","0")</f>
        <v>0</v>
      </c>
      <c r="X818">
        <v>12.1</v>
      </c>
      <c r="Y818">
        <v>20.7</v>
      </c>
      <c r="Z818">
        <v>9.5</v>
      </c>
      <c r="AA818">
        <v>2.6</v>
      </c>
      <c r="AB818" t="s">
        <v>128</v>
      </c>
      <c r="AC818" s="2" t="str">
        <f>HYPERLINK("http://exon.niaid.nih.gov/transcriptome/Anopheles_sialome/links/DIPTERA/anomac_SG2-DIPTERA.txt","putative salivary protein SG2B")</f>
        <v>putative salivary protein SG2B</v>
      </c>
      <c r="AD818" t="str">
        <f>HYPERLINK("http://www.ncbi.nlm.nih.gov/sutils/blink.cgi?pid=27372907","3E-052")</f>
        <v>3E-052</v>
      </c>
      <c r="AE818" t="str">
        <f>HYPERLINK("http://www.ncbi.nlm.nih.gov/protein/27372907","gi|27372907")</f>
        <v>gi|27372907</v>
      </c>
      <c r="AF818">
        <v>85</v>
      </c>
      <c r="AG818">
        <v>89</v>
      </c>
      <c r="AH818">
        <v>102</v>
      </c>
      <c r="AI818" t="s">
        <v>2271</v>
      </c>
      <c r="AJ818" s="2" t="str">
        <f>HYPERLINK("http://exon.niaid.nih.gov/transcriptome/Anopheles_sialome/links/CULICOMORPHA/anomac_SG2-CULICOMORPHA.txt","putative salivary protein SG2B")</f>
        <v>putative salivary protein SG2B</v>
      </c>
      <c r="AK818" t="str">
        <f>HYPERLINK("http://www.ncbi.nlm.nih.gov/sutils/blink.cgi?pid=27372907","5E-053")</f>
        <v>5E-053</v>
      </c>
      <c r="AL818" t="str">
        <f>HYPERLINK("http://www.ncbi.nlm.nih.gov/protein/27372907","gi|27372907")</f>
        <v>gi|27372907</v>
      </c>
      <c r="AM818">
        <v>85</v>
      </c>
      <c r="AN818">
        <v>89</v>
      </c>
      <c r="AO818">
        <v>102</v>
      </c>
      <c r="AP818" t="s">
        <v>2271</v>
      </c>
      <c r="AQ818" s="2" t="str">
        <f>HYPERLINK("http://exon.niaid.nih.gov/transcriptome/Anopheles_sialome/links/NR-LIGHT/anomac_SG2-NR-LIGHT.txt","putative salivary protein SG2B")</f>
        <v>putative salivary protein SG2B</v>
      </c>
      <c r="AR818" t="str">
        <f>HYPERLINK("http://www.ncbi.nlm.nih.gov/sutils/blink.cgi?pid=27372907","9E-052")</f>
        <v>9E-052</v>
      </c>
      <c r="AS818" t="str">
        <f>HYPERLINK("http://www.ncbi.nlm.nih.gov/protein/27372907","gi|27372907")</f>
        <v>gi|27372907</v>
      </c>
      <c r="AT818">
        <v>85</v>
      </c>
      <c r="AU818">
        <v>89</v>
      </c>
      <c r="AV818">
        <v>102</v>
      </c>
      <c r="AW818" t="s">
        <v>2271</v>
      </c>
      <c r="AX818" s="2" t="str">
        <f>HYPERLINK("http://exon.niaid.nih.gov/transcriptome/Anopheles_sialome/links/CDD/anomac_SG2-CDD.txt","DUF3251")</f>
        <v>DUF3251</v>
      </c>
      <c r="AY818" t="str">
        <f>HYPERLINK("http://www.ncbi.nlm.nih.gov/Structure/cdd/cddsrv.cgi?uid=pfam11622&amp;version=v4.0","0.29")</f>
        <v>0.29</v>
      </c>
      <c r="AZ818" t="s">
        <v>2999</v>
      </c>
      <c r="BA818" s="2" t="str">
        <f>HYPERLINK("http://exon.niaid.nih.gov/transcriptome/Anopheles_sialome/links/KOG/anomac_SG2-KOG.txt","Nuclear pore complex, p54 component (sc Nup57)")</f>
        <v>Nuclear pore complex, p54 component (sc Nup57)</v>
      </c>
      <c r="BB818" t="str">
        <f>HYPERLINK("http://www.ncbi.nlm.nih.gov/Structure/cdd/cddsrv.cgi?uid=KOG3091","0.017")</f>
        <v>0.017</v>
      </c>
      <c r="BC818" t="s">
        <v>2451</v>
      </c>
      <c r="BD818" t="str">
        <f>HYPERLINK("http://exon.niaid.nih.gov/transcriptome/Anopheles_sialome/links/KOG/anomac_SG2-KOG.txt","KOG3091")</f>
        <v>KOG3091</v>
      </c>
      <c r="BE818" t="str">
        <f>HYPERLINK("http://exon.niaid.nih.gov/transcriptome/Anopheles_sialome/links/PFAM/anomac_SG2-PFAM.txt","DUF3251")</f>
        <v>DUF3251</v>
      </c>
      <c r="BF818" t="str">
        <f>HYPERLINK("http://pfam.sanger.ac.uk/family?acc=PF11622","0.064")</f>
        <v>0.064</v>
      </c>
      <c r="BG818" s="2" t="str">
        <f>HYPERLINK("http://exon.niaid.nih.gov/transcriptome/Anopheles_sialome/links/SMART/anomac_SG2-SMART.txt","Glyco_18")</f>
        <v>Glyco_18</v>
      </c>
      <c r="BH818" t="str">
        <f>HYPERLINK("http://smart.embl-heidelberg.de/smart/do_annotation.pl?DOMAIN=Glyco_18&amp;BLAST=DUMMY","0.98")</f>
        <v>0.98</v>
      </c>
      <c r="BI818" t="str">
        <f>HYPERLINK("http://exon.niaid.nih.gov/transcriptome/Anopheles_sialome/links/TICK-BLOCKS/anomac_SG2-TICK-BLOCKS.txt","SG2_superfamily |")</f>
        <v>SG2_superfamily |</v>
      </c>
      <c r="BJ818" s="2" t="s">
        <v>2986</v>
      </c>
      <c r="BK818" t="s">
        <v>1969</v>
      </c>
      <c r="BL818">
        <f>HYPERLINK("http://exon.niaid.nih.gov/transcriptome/Anopheles_sialome/links/cluster-b/anopheline-sialome-cds-pep-larger-orf25-50SimCLU1.txt", 1)</f>
        <v>1</v>
      </c>
      <c r="BM818">
        <f>HYPERLINK("http://exon.niaid.nih.gov/transcriptome/Anopheles_sialome/links/cluster-b/anopheline-sialome-cds-pep-larger-orf25-50SimCLTL1.txt", 165)</f>
        <v>165</v>
      </c>
      <c r="BN818">
        <f>HYPERLINK("http://exon.niaid.nih.gov/transcriptome/Anopheles_sialome/links/cluster-b/anopheline-sialome-cds-pep-larger-orf30-50SimCLU1.txt", 1)</f>
        <v>1</v>
      </c>
      <c r="BO818">
        <f>HYPERLINK("http://exon.niaid.nih.gov/transcriptome/Anopheles_sialome/links/cluster-b/anopheline-sialome-cds-pep-larger-orf30-50SimCLTL1.txt", 165)</f>
        <v>165</v>
      </c>
      <c r="BP818">
        <f>HYPERLINK("http://exon.niaid.nih.gov/transcriptome/Anopheles_sialome/links/cluster-b/anopheline-sialome-cds-pep-larger-orf35-50SimCLU10.txt", 10)</f>
        <v>10</v>
      </c>
      <c r="BQ818">
        <f>HYPERLINK("http://exon.niaid.nih.gov/transcriptome/Anopheles_sialome/links/cluster-b/anopheline-sialome-cds-pep-larger-orf35-50SimCLTL10.txt", 28)</f>
        <v>28</v>
      </c>
      <c r="BR818">
        <f>HYPERLINK("http://exon.niaid.nih.gov/transcriptome/Anopheles_sialome/links/cluster-b/anopheline-sialome-cds-pep-larger-orf40-50SimCLU10.txt", 10)</f>
        <v>10</v>
      </c>
      <c r="BS818">
        <f>HYPERLINK("http://exon.niaid.nih.gov/transcriptome/Anopheles_sialome/links/cluster-b/anopheline-sialome-cds-pep-larger-orf40-50SimCLTL10.txt", 28)</f>
        <v>28</v>
      </c>
      <c r="BT818">
        <f>HYPERLINK("http://exon.niaid.nih.gov/transcriptome/Anopheles_sialome/links/cluster-b/anopheline-sialome-cds-pep-larger-orf45-50SimCLU9.txt", 9)</f>
        <v>9</v>
      </c>
      <c r="BU818">
        <f>HYPERLINK("http://exon.niaid.nih.gov/transcriptome/Anopheles_sialome/links/cluster-b/anopheline-sialome-cds-pep-larger-orf45-50SimCLTL9.txt", 28)</f>
        <v>28</v>
      </c>
      <c r="BV818">
        <f>HYPERLINK("http://exon.niaid.nih.gov/transcriptome/Anopheles_sialome/links/cluster-b/anopheline-sialome-cds-pep-larger-orf50-50SimCLU10.txt", 10)</f>
        <v>10</v>
      </c>
      <c r="BW818">
        <f>HYPERLINK("http://exon.niaid.nih.gov/transcriptome/Anopheles_sialome/links/cluster-b/anopheline-sialome-cds-pep-larger-orf50-50SimCLTL10.txt", 26)</f>
        <v>26</v>
      </c>
      <c r="BX818">
        <f>HYPERLINK("http://exon.niaid.nih.gov/transcriptome/Anopheles_sialome/links/cluster-b/anopheline-sialome-cds-pep-larger-orf55-50SimCLU11.txt", 11)</f>
        <v>11</v>
      </c>
      <c r="BY818">
        <f>HYPERLINK("http://exon.niaid.nih.gov/transcriptome/Anopheles_sialome/links/cluster-b/anopheline-sialome-cds-pep-larger-orf55-50SimCLTL11.txt", 26)</f>
        <v>26</v>
      </c>
      <c r="BZ818">
        <f>HYPERLINK("http://exon.niaid.nih.gov/transcriptome/Anopheles_sialome/links/cluster-b/anopheline-sialome-cds-pep-larger-orf60-50SimCLU29.txt", 29)</f>
        <v>29</v>
      </c>
      <c r="CA818">
        <f>HYPERLINK("http://exon.niaid.nih.gov/transcriptome/Anopheles_sialome/links/cluster-b/anopheline-sialome-cds-pep-larger-orf60-50SimCLTL29.txt", 15)</f>
        <v>15</v>
      </c>
      <c r="CB818">
        <f>HYPERLINK("http://exon.niaid.nih.gov/transcriptome/Anopheles_sialome/links/cluster-b/anopheline-sialome-cds-pep-larger-orf65-50SimCLU35.txt", 35)</f>
        <v>35</v>
      </c>
      <c r="CC818">
        <f>HYPERLINK("http://exon.niaid.nih.gov/transcriptome/Anopheles_sialome/links/cluster-b/anopheline-sialome-cds-pep-larger-orf65-50SimCLTL35.txt", 13)</f>
        <v>13</v>
      </c>
      <c r="CD818">
        <f>HYPERLINK("http://exon.niaid.nih.gov/transcriptome/Anopheles_sialome/links/cluster-b/anopheline-sialome-cds-pep-larger-orf70-50SimCLU36.txt", 36)</f>
        <v>36</v>
      </c>
      <c r="CE818">
        <f>HYPERLINK("http://exon.niaid.nih.gov/transcriptome/Anopheles_sialome/links/cluster-b/anopheline-sialome-cds-pep-larger-orf70-50SimCLTL36.txt", 13)</f>
        <v>13</v>
      </c>
      <c r="CF818">
        <f>HYPERLINK("http://exon.niaid.nih.gov/transcriptome/Anopheles_sialome/links/cluster-b/anopheline-sialome-cds-pep-larger-orf75-50SimCLU26.txt", 26)</f>
        <v>26</v>
      </c>
      <c r="CG818">
        <f>HYPERLINK("http://exon.niaid.nih.gov/transcriptome/Anopheles_sialome/links/cluster-b/anopheline-sialome-cds-pep-larger-orf75-50SimCLTL26.txt", 13)</f>
        <v>13</v>
      </c>
      <c r="CH818">
        <f>HYPERLINK("http://exon.niaid.nih.gov/transcriptome/Anopheles_sialome/links/cluster-b/anopheline-sialome-cds-pep-larger-orf80-50SimCLU49.txt", 49)</f>
        <v>49</v>
      </c>
      <c r="CI818">
        <f>HYPERLINK("http://exon.niaid.nih.gov/transcriptome/Anopheles_sialome/links/cluster-b/anopheline-sialome-cds-pep-larger-orf80-50SimCLTL49.txt", 5)</f>
        <v>5</v>
      </c>
      <c r="CJ818">
        <f>HYPERLINK("http://exon.niaid.nih.gov/transcriptome/Anopheles_sialome/links/cluster-b/anopheline-sialome-cds-pep-larger-orf85-50SimCLU50.txt", 50)</f>
        <v>50</v>
      </c>
      <c r="CK818">
        <f>HYPERLINK("http://exon.niaid.nih.gov/transcriptome/Anopheles_sialome/links/cluster-b/anopheline-sialome-cds-pep-larger-orf85-50SimCLTL50.txt", 5)</f>
        <v>5</v>
      </c>
      <c r="CL818">
        <f>HYPERLINK("http://exon.niaid.nih.gov/transcriptome/Anopheles_sialome/links/cluster-b/anopheline-sialome-cds-pep-larger-orf90-50SimCLU87.txt", 87)</f>
        <v>87</v>
      </c>
      <c r="CM818">
        <f>HYPERLINK("http://exon.niaid.nih.gov/transcriptome/Anopheles_sialome/links/cluster-b/anopheline-sialome-cds-pep-larger-orf90-50SimCLTL87.txt", 2)</f>
        <v>2</v>
      </c>
      <c r="CN818">
        <v>474</v>
      </c>
      <c r="CO818">
        <v>1</v>
      </c>
    </row>
    <row r="819" spans="1:93">
      <c r="A819" s="2" t="str">
        <f>HYPERLINK("http://exon.niaid.nih.gov/transcriptome/Anopheles_sialome/links/cds/anofar_SG2-cds.txt","anofar_SG2")</f>
        <v>anofar_SG2</v>
      </c>
      <c r="B819">
        <v>522</v>
      </c>
      <c r="C819" t="s">
        <v>522</v>
      </c>
      <c r="D819" t="s">
        <v>4</v>
      </c>
      <c r="E819" t="s">
        <v>5</v>
      </c>
      <c r="F819" t="s">
        <v>1</v>
      </c>
      <c r="G819" t="str">
        <f>HYPERLINK("http://exon.niaid.nih.gov/transcriptome/Anopheles_sialome/links/pep/anofar_SG2-pep.txt","anofar_SG2")</f>
        <v>anofar_SG2</v>
      </c>
      <c r="H819">
        <v>173</v>
      </c>
      <c r="I819">
        <v>0</v>
      </c>
      <c r="J819" s="3" t="str">
        <f>HYPERLINK("http://exon.niaid.nih.gov/transcriptome/Anopheles_sialome/links/Sigp/anofar_SG2-SigP.txt","SIG")</f>
        <v>SIG</v>
      </c>
      <c r="K819" t="s">
        <v>925</v>
      </c>
      <c r="L819">
        <v>17.422999999999998</v>
      </c>
      <c r="M819">
        <v>4.58</v>
      </c>
      <c r="N819">
        <v>15.676</v>
      </c>
      <c r="O819">
        <v>4.1399999999999997</v>
      </c>
      <c r="P819" t="s">
        <v>1972</v>
      </c>
      <c r="Q819" s="3" t="str">
        <f>HYPERLINK("http://exon.niaid.nih.gov/transcriptome/Anopheles_sialome/links/tmhmm/anofar_SG2-tmhmm.txt","1")</f>
        <v>1</v>
      </c>
      <c r="R819">
        <v>12.7</v>
      </c>
      <c r="S819">
        <v>83.2</v>
      </c>
      <c r="T819">
        <v>4</v>
      </c>
      <c r="U819" t="s">
        <v>128</v>
      </c>
      <c r="V819">
        <v>144</v>
      </c>
      <c r="W819" s="3" t="str">
        <f>HYPERLINK("http://exon.niaid.nih.gov/transcriptome/Anopheles_sialome/links/netoglyc/anofar_SG2-netoglyc.txt","0")</f>
        <v>0</v>
      </c>
      <c r="X819">
        <v>17.3</v>
      </c>
      <c r="Y819">
        <v>13.3</v>
      </c>
      <c r="Z819">
        <v>12.7</v>
      </c>
      <c r="AA819">
        <v>1.7</v>
      </c>
      <c r="AB819" t="s">
        <v>128</v>
      </c>
      <c r="AC819" s="2" t="str">
        <f>HYPERLINK("http://exon.niaid.nih.gov/transcriptome/Anopheles_sialome/links/DIPTERA/anofar_SG2-DIPTERA.txt","putative salivary protein SG2B")</f>
        <v>putative salivary protein SG2B</v>
      </c>
      <c r="AD819" t="str">
        <f>HYPERLINK("http://www.ncbi.nlm.nih.gov/sutils/blink.cgi?pid=27372907","1E-018")</f>
        <v>1E-018</v>
      </c>
      <c r="AE819" t="str">
        <f>HYPERLINK("http://www.ncbi.nlm.nih.gov/protein/27372907","gi|27372907")</f>
        <v>gi|27372907</v>
      </c>
      <c r="AF819">
        <v>39</v>
      </c>
      <c r="AG819">
        <v>48</v>
      </c>
      <c r="AH819">
        <v>153</v>
      </c>
      <c r="AI819" t="s">
        <v>2271</v>
      </c>
      <c r="AJ819" s="2" t="str">
        <f>HYPERLINK("http://exon.niaid.nih.gov/transcriptome/Anopheles_sialome/links/CULICOMORPHA/anofar_SG2-CULICOMORPHA.txt","putative salivary protein SG2B")</f>
        <v>putative salivary protein SG2B</v>
      </c>
      <c r="AK819" t="str">
        <f>HYPERLINK("http://www.ncbi.nlm.nih.gov/sutils/blink.cgi?pid=27372907","2E-019")</f>
        <v>2E-019</v>
      </c>
      <c r="AL819" t="str">
        <f>HYPERLINK("http://www.ncbi.nlm.nih.gov/protein/27372907","gi|27372907")</f>
        <v>gi|27372907</v>
      </c>
      <c r="AM819">
        <v>39</v>
      </c>
      <c r="AN819">
        <v>48</v>
      </c>
      <c r="AO819">
        <v>153</v>
      </c>
      <c r="AP819" t="s">
        <v>2271</v>
      </c>
      <c r="AQ819" s="2" t="str">
        <f>HYPERLINK("http://exon.niaid.nih.gov/transcriptome/Anopheles_sialome/links/NR-LIGHT/anofar_SG2-NR-LIGHT.txt","putative salivary protein SG2B")</f>
        <v>putative salivary protein SG2B</v>
      </c>
      <c r="AR819" t="str">
        <f>HYPERLINK("http://www.ncbi.nlm.nih.gov/sutils/blink.cgi?pid=27372907","3E-018")</f>
        <v>3E-018</v>
      </c>
      <c r="AS819" t="str">
        <f>HYPERLINK("http://www.ncbi.nlm.nih.gov/protein/27372907","gi|27372907")</f>
        <v>gi|27372907</v>
      </c>
      <c r="AT819">
        <v>39</v>
      </c>
      <c r="AU819">
        <v>48</v>
      </c>
      <c r="AV819">
        <v>153</v>
      </c>
      <c r="AW819" t="s">
        <v>2271</v>
      </c>
      <c r="AX819" s="2" t="str">
        <f>HYPERLINK("http://exon.niaid.nih.gov/transcriptome/Anopheles_sialome/links/CDD/anofar_SG2-CDD.txt","ActA")</f>
        <v>ActA</v>
      </c>
      <c r="AY819" t="str">
        <f>HYPERLINK("http://www.ncbi.nlm.nih.gov/Structure/cdd/cddsrv.cgi?uid=pfam05058&amp;version=v4.0","0.48")</f>
        <v>0.48</v>
      </c>
      <c r="AZ819" t="s">
        <v>3000</v>
      </c>
      <c r="BA819" s="2" t="str">
        <f>HYPERLINK("http://exon.niaid.nih.gov/transcriptome/Anopheles_sialome/links/KOG/anofar_SG2-KOG.txt","CCCH-type Zn-finger protein")</f>
        <v>CCCH-type Zn-finger protein</v>
      </c>
      <c r="BB819" t="str">
        <f>HYPERLINK("http://www.ncbi.nlm.nih.gov/Structure/cdd/cddsrv.cgi?uid=KOG1595","0.056")</f>
        <v>0.056</v>
      </c>
      <c r="BC819" t="s">
        <v>2310</v>
      </c>
      <c r="BD819" t="str">
        <f>HYPERLINK("http://exon.niaid.nih.gov/transcriptome/Anopheles_sialome/links/KOG/anofar_SG2-KOG.txt","KOG1595")</f>
        <v>KOG1595</v>
      </c>
      <c r="BE819" t="str">
        <f>HYPERLINK("http://exon.niaid.nih.gov/transcriptome/Anopheles_sialome/links/PFAM/anofar_SG2-PFAM.txt","ActA")</f>
        <v>ActA</v>
      </c>
      <c r="BF819" t="str">
        <f>HYPERLINK("http://pfam.sanger.ac.uk/family?acc=PF05058","0.10")</f>
        <v>0.10</v>
      </c>
      <c r="BG819" s="2" t="str">
        <f>HYPERLINK("http://exon.niaid.nih.gov/transcriptome/Anopheles_sialome/links/SMART/anofar_SG2-SMART.txt","FRG")</f>
        <v>FRG</v>
      </c>
      <c r="BH819" t="str">
        <f>HYPERLINK("http://smart.embl-heidelberg.de/smart/do_annotation.pl?DOMAIN=FRG&amp;BLAST=DUMMY","1.3")</f>
        <v>1.3</v>
      </c>
      <c r="BI819" t="s">
        <v>128</v>
      </c>
      <c r="BJ819" s="2" t="s">
        <v>128</v>
      </c>
      <c r="BK819" t="s">
        <v>1971</v>
      </c>
      <c r="BL819">
        <f>HYPERLINK("http://exon.niaid.nih.gov/transcriptome/Anopheles_sialome/links/cluster-b/anopheline-sialome-cds-pep-larger-orf25-50SimCLU1.txt", 1)</f>
        <v>1</v>
      </c>
      <c r="BM819">
        <f>HYPERLINK("http://exon.niaid.nih.gov/transcriptome/Anopheles_sialome/links/cluster-b/anopheline-sialome-cds-pep-larger-orf25-50SimCLTL1.txt", 165)</f>
        <v>165</v>
      </c>
      <c r="BN819">
        <f>HYPERLINK("http://exon.niaid.nih.gov/transcriptome/Anopheles_sialome/links/cluster-b/anopheline-sialome-cds-pep-larger-orf30-50SimCLU1.txt", 1)</f>
        <v>1</v>
      </c>
      <c r="BO819">
        <f>HYPERLINK("http://exon.niaid.nih.gov/transcriptome/Anopheles_sialome/links/cluster-b/anopheline-sialome-cds-pep-larger-orf30-50SimCLTL1.txt", 165)</f>
        <v>165</v>
      </c>
      <c r="BP819">
        <f>HYPERLINK("http://exon.niaid.nih.gov/transcriptome/Anopheles_sialome/links/cluster-b/anopheline-sialome-cds-pep-larger-orf35-50SimCLU10.txt", 10)</f>
        <v>10</v>
      </c>
      <c r="BQ819">
        <f>HYPERLINK("http://exon.niaid.nih.gov/transcriptome/Anopheles_sialome/links/cluster-b/anopheline-sialome-cds-pep-larger-orf35-50SimCLTL10.txt", 28)</f>
        <v>28</v>
      </c>
      <c r="BR819">
        <f>HYPERLINK("http://exon.niaid.nih.gov/transcriptome/Anopheles_sialome/links/cluster-b/anopheline-sialome-cds-pep-larger-orf40-50SimCLU10.txt", 10)</f>
        <v>10</v>
      </c>
      <c r="BS819">
        <f>HYPERLINK("http://exon.niaid.nih.gov/transcriptome/Anopheles_sialome/links/cluster-b/anopheline-sialome-cds-pep-larger-orf40-50SimCLTL10.txt", 28)</f>
        <v>28</v>
      </c>
      <c r="BT819">
        <f>HYPERLINK("http://exon.niaid.nih.gov/transcriptome/Anopheles_sialome/links/cluster-b/anopheline-sialome-cds-pep-larger-orf45-50SimCLU9.txt", 9)</f>
        <v>9</v>
      </c>
      <c r="BU819">
        <f>HYPERLINK("http://exon.niaid.nih.gov/transcriptome/Anopheles_sialome/links/cluster-b/anopheline-sialome-cds-pep-larger-orf45-50SimCLTL9.txt", 28)</f>
        <v>28</v>
      </c>
      <c r="BV819">
        <f>HYPERLINK("http://exon.niaid.nih.gov/transcriptome/Anopheles_sialome/links/cluster-b/anopheline-sialome-cds-pep-larger-orf50-50SimCLU32.txt", 32)</f>
        <v>32</v>
      </c>
      <c r="BW819">
        <f>HYPERLINK("http://exon.niaid.nih.gov/transcriptome/Anopheles_sialome/links/cluster-b/anopheline-sialome-cds-pep-larger-orf50-50SimCLTL32.txt", 2)</f>
        <v>2</v>
      </c>
      <c r="BX819">
        <f>HYPERLINK("http://exon.niaid.nih.gov/transcriptome/Anopheles_sialome/links/cluster-b/anopheline-sialome-cds-pep-larger-orf55-50SimCLU37.txt", 37)</f>
        <v>37</v>
      </c>
      <c r="BY819">
        <f>HYPERLINK("http://exon.niaid.nih.gov/transcriptome/Anopheles_sialome/links/cluster-b/anopheline-sialome-cds-pep-larger-orf55-50SimCLTL37.txt", 2)</f>
        <v>2</v>
      </c>
      <c r="BZ819">
        <f>HYPERLINK("http://exon.niaid.nih.gov/transcriptome/Anopheles_sialome/links/cluster-b/anopheline-sialome-cds-pep-larger-orf60-50SimCLU51.txt", 51)</f>
        <v>51</v>
      </c>
      <c r="CA819">
        <f>HYPERLINK("http://exon.niaid.nih.gov/transcriptome/Anopheles_sialome/links/cluster-b/anopheline-sialome-cds-pep-larger-orf60-50SimCLTL51.txt", 2)</f>
        <v>2</v>
      </c>
      <c r="CB819">
        <f>HYPERLINK("http://exon.niaid.nih.gov/transcriptome/Anopheles_sialome/links/cluster-b/anopheline-sialome-cds-pep-larger-orf65-50SimCLU60.txt", 60)</f>
        <v>60</v>
      </c>
      <c r="CC819">
        <f>HYPERLINK("http://exon.niaid.nih.gov/transcriptome/Anopheles_sialome/links/cluster-b/anopheline-sialome-cds-pep-larger-orf65-50SimCLTL60.txt", 2)</f>
        <v>2</v>
      </c>
      <c r="CD819">
        <f>HYPERLINK("http://exon.niaid.nih.gov/transcriptome/Anopheles_sialome/links/cluster-b/anopheline-sialome-cds-pep-larger-orf70-50SimCLU66.txt", 66)</f>
        <v>66</v>
      </c>
      <c r="CE819">
        <f>HYPERLINK("http://exon.niaid.nih.gov/transcriptome/Anopheles_sialome/links/cluster-b/anopheline-sialome-cds-pep-larger-orf70-50SimCLTL66.txt", 2)</f>
        <v>2</v>
      </c>
      <c r="CF819">
        <v>162</v>
      </c>
      <c r="CG819">
        <v>1</v>
      </c>
      <c r="CH819">
        <v>227</v>
      </c>
      <c r="CI819">
        <v>1</v>
      </c>
      <c r="CJ819">
        <v>306</v>
      </c>
      <c r="CK819">
        <v>1</v>
      </c>
      <c r="CL819">
        <v>392</v>
      </c>
      <c r="CM819">
        <v>1</v>
      </c>
      <c r="CN819">
        <v>475</v>
      </c>
      <c r="CO819">
        <v>1</v>
      </c>
    </row>
    <row r="820" spans="1:93">
      <c r="A820" s="2" t="str">
        <f>HYPERLINK("http://exon.niaid.nih.gov/transcriptome/Anopheles_sialome/links/cds/anodir_SG2-cds.txt","anodir_SG2")</f>
        <v>anodir_SG2</v>
      </c>
      <c r="B820">
        <v>579</v>
      </c>
      <c r="C820" t="s">
        <v>523</v>
      </c>
      <c r="D820" t="s">
        <v>7</v>
      </c>
      <c r="E820" t="s">
        <v>5</v>
      </c>
      <c r="F820" t="s">
        <v>1</v>
      </c>
      <c r="G820" t="str">
        <f>HYPERLINK("http://exon.niaid.nih.gov/transcriptome/Anopheles_sialome/links/pep/anodir_SG2-pep.txt","anodir_SG2")</f>
        <v>anodir_SG2</v>
      </c>
      <c r="H820">
        <v>192</v>
      </c>
      <c r="I820">
        <v>0</v>
      </c>
      <c r="J820" s="3" t="str">
        <f>HYPERLINK("http://exon.niaid.nih.gov/transcriptome/Anopheles_sialome/links/Sigp/anodir_SG2-SigP.txt","SIG")</f>
        <v>SIG</v>
      </c>
      <c r="K820" t="s">
        <v>925</v>
      </c>
      <c r="L820">
        <v>19.321999999999999</v>
      </c>
      <c r="M820">
        <v>3.71</v>
      </c>
      <c r="N820">
        <v>17.541</v>
      </c>
      <c r="O820">
        <v>3.28</v>
      </c>
      <c r="P820" t="s">
        <v>1974</v>
      </c>
      <c r="Q820" s="3">
        <v>0</v>
      </c>
      <c r="R820" t="s">
        <v>128</v>
      </c>
      <c r="S820" t="s">
        <v>128</v>
      </c>
      <c r="T820" t="s">
        <v>128</v>
      </c>
      <c r="U820" t="s">
        <v>128</v>
      </c>
      <c r="V820" t="s">
        <v>128</v>
      </c>
      <c r="W820" s="3" t="str">
        <f>HYPERLINK("http://exon.niaid.nih.gov/transcriptome/Anopheles_sialome/links/netoglyc/anodir_SG2-netoglyc.txt","3")</f>
        <v>3</v>
      </c>
      <c r="X820">
        <v>20.3</v>
      </c>
      <c r="Y820">
        <v>12</v>
      </c>
      <c r="Z820">
        <v>12</v>
      </c>
      <c r="AA820" t="s">
        <v>654</v>
      </c>
      <c r="AB820" t="s">
        <v>128</v>
      </c>
      <c r="AC820" s="2" t="str">
        <f>HYPERLINK("http://exon.niaid.nih.gov/transcriptome/Anopheles_sialome/links/DIPTERA/anodir_SG2-DIPTERA.txt","putative salivary protein SG2B")</f>
        <v>putative salivary protein SG2B</v>
      </c>
      <c r="AD820" t="str">
        <f>HYPERLINK("http://www.ncbi.nlm.nih.gov/sutils/blink.cgi?pid=27372907","3E-016")</f>
        <v>3E-016</v>
      </c>
      <c r="AE820" t="str">
        <f>HYPERLINK("http://www.ncbi.nlm.nih.gov/protein/27372907","gi|27372907")</f>
        <v>gi|27372907</v>
      </c>
      <c r="AF820">
        <v>49</v>
      </c>
      <c r="AG820">
        <v>63</v>
      </c>
      <c r="AH820">
        <v>94</v>
      </c>
      <c r="AI820" t="s">
        <v>2271</v>
      </c>
      <c r="AJ820" s="2" t="str">
        <f>HYPERLINK("http://exon.niaid.nih.gov/transcriptome/Anopheles_sialome/links/CULICOMORPHA/anodir_SG2-CULICOMORPHA.txt","putative salivary protein SG2B")</f>
        <v>putative salivary protein SG2B</v>
      </c>
      <c r="AK820" t="str">
        <f>HYPERLINK("http://www.ncbi.nlm.nih.gov/sutils/blink.cgi?pid=27372907","5E-017")</f>
        <v>5E-017</v>
      </c>
      <c r="AL820" t="str">
        <f>HYPERLINK("http://www.ncbi.nlm.nih.gov/protein/27372907","gi|27372907")</f>
        <v>gi|27372907</v>
      </c>
      <c r="AM820">
        <v>49</v>
      </c>
      <c r="AN820">
        <v>63</v>
      </c>
      <c r="AO820">
        <v>94</v>
      </c>
      <c r="AP820" t="s">
        <v>2271</v>
      </c>
      <c r="AQ820" s="2" t="str">
        <f>HYPERLINK("http://exon.niaid.nih.gov/transcriptome/Anopheles_sialome/links/NR-LIGHT/anodir_SG2-NR-LIGHT.txt","putative salivary protein SG2B")</f>
        <v>putative salivary protein SG2B</v>
      </c>
      <c r="AR820" t="str">
        <f>HYPERLINK("http://www.ncbi.nlm.nih.gov/sutils/blink.cgi?pid=27372907","7E-016")</f>
        <v>7E-016</v>
      </c>
      <c r="AS820" t="str">
        <f>HYPERLINK("http://www.ncbi.nlm.nih.gov/protein/27372907","gi|27372907")</f>
        <v>gi|27372907</v>
      </c>
      <c r="AT820">
        <v>49</v>
      </c>
      <c r="AU820">
        <v>63</v>
      </c>
      <c r="AV820">
        <v>94</v>
      </c>
      <c r="AW820" t="s">
        <v>2271</v>
      </c>
      <c r="AX820" s="2" t="str">
        <f>HYPERLINK("http://exon.niaid.nih.gov/transcriptome/Anopheles_sialome/links/CDD/anodir_SG2-CDD.txt","PRK06828")</f>
        <v>PRK06828</v>
      </c>
      <c r="AY820" t="str">
        <f>HYPERLINK("http://www.ncbi.nlm.nih.gov/Structure/cdd/cddsrv.cgi?uid=PRK06828&amp;version=v4.0","0.28")</f>
        <v>0.28</v>
      </c>
      <c r="AZ820" t="s">
        <v>3001</v>
      </c>
      <c r="BA820" s="2" t="str">
        <f>HYPERLINK("http://exon.niaid.nih.gov/transcriptome/Anopheles_sialome/links/KOG/anodir_SG2-KOG.txt","Endocytic adaptor protein intersectin")</f>
        <v>Endocytic adaptor protein intersectin</v>
      </c>
      <c r="BB820" t="str">
        <f>HYPERLINK("http://www.ncbi.nlm.nih.gov/Structure/cdd/cddsrv.cgi?uid=KOG1029","0.23")</f>
        <v>0.23</v>
      </c>
      <c r="BC820" t="s">
        <v>2909</v>
      </c>
      <c r="BD820" t="str">
        <f>HYPERLINK("http://exon.niaid.nih.gov/transcriptome/Anopheles_sialome/links/KOG/anodir_SG2-KOG.txt","KOG1029")</f>
        <v>KOG1029</v>
      </c>
      <c r="BE820" t="str">
        <f>HYPERLINK("http://exon.niaid.nih.gov/transcriptome/Anopheles_sialome/links/PFAM/anodir_SG2-PFAM.txt","MCD")</f>
        <v>MCD</v>
      </c>
      <c r="BF820" t="str">
        <f>HYPERLINK("http://pfam.sanger.ac.uk/family?acc=PF05292","0.17")</f>
        <v>0.17</v>
      </c>
      <c r="BG820" s="2" t="str">
        <f>HYPERLINK("http://exon.niaid.nih.gov/transcriptome/Anopheles_sialome/links/SMART/anodir_SG2-SMART.txt","CHASE2")</f>
        <v>CHASE2</v>
      </c>
      <c r="BH820" t="str">
        <f>HYPERLINK("http://smart.embl-heidelberg.de/smart/do_annotation.pl?DOMAIN=CHASE2&amp;BLAST=DUMMY","0.20")</f>
        <v>0.20</v>
      </c>
      <c r="BI820" t="s">
        <v>128</v>
      </c>
      <c r="BJ820" s="2" t="s">
        <v>128</v>
      </c>
      <c r="BK820" t="s">
        <v>1973</v>
      </c>
      <c r="BL820">
        <f>HYPERLINK("http://exon.niaid.nih.gov/transcriptome/Anopheles_sialome/links/cluster-b/anopheline-sialome-cds-pep-larger-orf25-50SimCLU1.txt", 1)</f>
        <v>1</v>
      </c>
      <c r="BM820">
        <f>HYPERLINK("http://exon.niaid.nih.gov/transcriptome/Anopheles_sialome/links/cluster-b/anopheline-sialome-cds-pep-larger-orf25-50SimCLTL1.txt", 165)</f>
        <v>165</v>
      </c>
      <c r="BN820">
        <f>HYPERLINK("http://exon.niaid.nih.gov/transcriptome/Anopheles_sialome/links/cluster-b/anopheline-sialome-cds-pep-larger-orf30-50SimCLU1.txt", 1)</f>
        <v>1</v>
      </c>
      <c r="BO820">
        <f>HYPERLINK("http://exon.niaid.nih.gov/transcriptome/Anopheles_sialome/links/cluster-b/anopheline-sialome-cds-pep-larger-orf30-50SimCLTL1.txt", 165)</f>
        <v>165</v>
      </c>
      <c r="BP820">
        <f>HYPERLINK("http://exon.niaid.nih.gov/transcriptome/Anopheles_sialome/links/cluster-b/anopheline-sialome-cds-pep-larger-orf35-50SimCLU10.txt", 10)</f>
        <v>10</v>
      </c>
      <c r="BQ820">
        <f>HYPERLINK("http://exon.niaid.nih.gov/transcriptome/Anopheles_sialome/links/cluster-b/anopheline-sialome-cds-pep-larger-orf35-50SimCLTL10.txt", 28)</f>
        <v>28</v>
      </c>
      <c r="BR820">
        <f>HYPERLINK("http://exon.niaid.nih.gov/transcriptome/Anopheles_sialome/links/cluster-b/anopheline-sialome-cds-pep-larger-orf40-50SimCLU10.txt", 10)</f>
        <v>10</v>
      </c>
      <c r="BS820">
        <f>HYPERLINK("http://exon.niaid.nih.gov/transcriptome/Anopheles_sialome/links/cluster-b/anopheline-sialome-cds-pep-larger-orf40-50SimCLTL10.txt", 28)</f>
        <v>28</v>
      </c>
      <c r="BT820">
        <f>HYPERLINK("http://exon.niaid.nih.gov/transcriptome/Anopheles_sialome/links/cluster-b/anopheline-sialome-cds-pep-larger-orf45-50SimCLU9.txt", 9)</f>
        <v>9</v>
      </c>
      <c r="BU820">
        <f>HYPERLINK("http://exon.niaid.nih.gov/transcriptome/Anopheles_sialome/links/cluster-b/anopheline-sialome-cds-pep-larger-orf45-50SimCLTL9.txt", 28)</f>
        <v>28</v>
      </c>
      <c r="BV820">
        <f>HYPERLINK("http://exon.niaid.nih.gov/transcriptome/Anopheles_sialome/links/cluster-b/anopheline-sialome-cds-pep-larger-orf50-50SimCLU32.txt", 32)</f>
        <v>32</v>
      </c>
      <c r="BW820">
        <f>HYPERLINK("http://exon.niaid.nih.gov/transcriptome/Anopheles_sialome/links/cluster-b/anopheline-sialome-cds-pep-larger-orf50-50SimCLTL32.txt", 2)</f>
        <v>2</v>
      </c>
      <c r="BX820">
        <f>HYPERLINK("http://exon.niaid.nih.gov/transcriptome/Anopheles_sialome/links/cluster-b/anopheline-sialome-cds-pep-larger-orf55-50SimCLU37.txt", 37)</f>
        <v>37</v>
      </c>
      <c r="BY820">
        <f>HYPERLINK("http://exon.niaid.nih.gov/transcriptome/Anopheles_sialome/links/cluster-b/anopheline-sialome-cds-pep-larger-orf55-50SimCLTL37.txt", 2)</f>
        <v>2</v>
      </c>
      <c r="BZ820">
        <f>HYPERLINK("http://exon.niaid.nih.gov/transcriptome/Anopheles_sialome/links/cluster-b/anopheline-sialome-cds-pep-larger-orf60-50SimCLU51.txt", 51)</f>
        <v>51</v>
      </c>
      <c r="CA820">
        <f>HYPERLINK("http://exon.niaid.nih.gov/transcriptome/Anopheles_sialome/links/cluster-b/anopheline-sialome-cds-pep-larger-orf60-50SimCLTL51.txt", 2)</f>
        <v>2</v>
      </c>
      <c r="CB820">
        <f>HYPERLINK("http://exon.niaid.nih.gov/transcriptome/Anopheles_sialome/links/cluster-b/anopheline-sialome-cds-pep-larger-orf65-50SimCLU60.txt", 60)</f>
        <v>60</v>
      </c>
      <c r="CC820">
        <f>HYPERLINK("http://exon.niaid.nih.gov/transcriptome/Anopheles_sialome/links/cluster-b/anopheline-sialome-cds-pep-larger-orf65-50SimCLTL60.txt", 2)</f>
        <v>2</v>
      </c>
      <c r="CD820">
        <f>HYPERLINK("http://exon.niaid.nih.gov/transcriptome/Anopheles_sialome/links/cluster-b/anopheline-sialome-cds-pep-larger-orf70-50SimCLU66.txt", 66)</f>
        <v>66</v>
      </c>
      <c r="CE820">
        <f>HYPERLINK("http://exon.niaid.nih.gov/transcriptome/Anopheles_sialome/links/cluster-b/anopheline-sialome-cds-pep-larger-orf70-50SimCLTL66.txt", 2)</f>
        <v>2</v>
      </c>
      <c r="CF820">
        <v>163</v>
      </c>
      <c r="CG820">
        <v>1</v>
      </c>
      <c r="CH820">
        <v>228</v>
      </c>
      <c r="CI820">
        <v>1</v>
      </c>
      <c r="CJ820">
        <v>307</v>
      </c>
      <c r="CK820">
        <v>1</v>
      </c>
      <c r="CL820">
        <v>393</v>
      </c>
      <c r="CM820">
        <v>1</v>
      </c>
      <c r="CN820">
        <v>476</v>
      </c>
      <c r="CO820">
        <v>1</v>
      </c>
    </row>
    <row r="821" spans="1:93">
      <c r="A821" s="2" t="str">
        <f>HYPERLINK("http://exon.niaid.nih.gov/transcriptome/Anopheles_sialome/links/cds/anoatro_SG2-cds.txt","anoatro_SG2")</f>
        <v>anoatro_SG2</v>
      </c>
      <c r="B821">
        <v>321</v>
      </c>
      <c r="C821" t="s">
        <v>524</v>
      </c>
      <c r="D821" t="s">
        <v>7</v>
      </c>
      <c r="E821" t="s">
        <v>5</v>
      </c>
      <c r="F821" t="s">
        <v>1</v>
      </c>
      <c r="G821" t="str">
        <f>HYPERLINK("http://exon.niaid.nih.gov/transcriptome/Anopheles_sialome/links/pep/anoatro_SG2-pep.txt","anoatro_SG2")</f>
        <v>anoatro_SG2</v>
      </c>
      <c r="H821">
        <v>106</v>
      </c>
      <c r="I821">
        <v>0</v>
      </c>
      <c r="J821" s="3" t="str">
        <f>HYPERLINK("http://exon.niaid.nih.gov/transcriptome/Anopheles_sialome/links/Sigp/anoatro_SG2-SigP.txt","SIG")</f>
        <v>SIG</v>
      </c>
      <c r="K821" t="s">
        <v>919</v>
      </c>
      <c r="L821">
        <v>10.682</v>
      </c>
      <c r="M821">
        <v>7.81</v>
      </c>
      <c r="N821">
        <v>8.9320000000000004</v>
      </c>
      <c r="O821">
        <v>6.07</v>
      </c>
      <c r="P821" t="s">
        <v>1976</v>
      </c>
      <c r="Q821" s="3">
        <v>0</v>
      </c>
      <c r="R821" t="s">
        <v>128</v>
      </c>
      <c r="S821" t="s">
        <v>128</v>
      </c>
      <c r="T821" t="s">
        <v>128</v>
      </c>
      <c r="U821" t="s">
        <v>128</v>
      </c>
      <c r="V821" t="s">
        <v>128</v>
      </c>
      <c r="W821" s="3" t="str">
        <f>HYPERLINK("http://exon.niaid.nih.gov/transcriptome/Anopheles_sialome/links/netoglyc/anoatro_SG2-netoglyc.txt","1")</f>
        <v>1</v>
      </c>
      <c r="X821">
        <v>14.2</v>
      </c>
      <c r="Y821">
        <v>21.7</v>
      </c>
      <c r="Z821">
        <v>10.4</v>
      </c>
      <c r="AA821" t="s">
        <v>654</v>
      </c>
      <c r="AB821" t="s">
        <v>128</v>
      </c>
      <c r="AC821" s="2" t="str">
        <f>HYPERLINK("http://exon.niaid.nih.gov/transcriptome/Anopheles_sialome/links/DIPTERA/anoatro_SG2-DIPTERA.txt","AGAP006506-PA-like protein")</f>
        <v>AGAP006506-PA-like protein</v>
      </c>
      <c r="AD821" t="str">
        <f>HYPERLINK("http://www.ncbi.nlm.nih.gov/sutils/blink.cgi?pid=668457838","2E-040")</f>
        <v>2E-040</v>
      </c>
      <c r="AE821" t="str">
        <f>HYPERLINK("http://www.ncbi.nlm.nih.gov/protein/668457838","gi|668457838")</f>
        <v>gi|668457838</v>
      </c>
      <c r="AF821">
        <v>72</v>
      </c>
      <c r="AG821">
        <v>80</v>
      </c>
      <c r="AH821">
        <v>102</v>
      </c>
      <c r="AI821" t="s">
        <v>2277</v>
      </c>
      <c r="AJ821" s="2" t="str">
        <f>HYPERLINK("http://exon.niaid.nih.gov/transcriptome/Anopheles_sialome/links/CULICOMORPHA/anoatro_SG2-CULICOMORPHA.txt","AGAP006506-PA-like protein")</f>
        <v>AGAP006506-PA-like protein</v>
      </c>
      <c r="AK821" t="str">
        <f>HYPERLINK("http://www.ncbi.nlm.nih.gov/sutils/blink.cgi?pid=668457838","4E-041")</f>
        <v>4E-041</v>
      </c>
      <c r="AL821" t="str">
        <f>HYPERLINK("http://www.ncbi.nlm.nih.gov/protein/668457838","gi|668457838")</f>
        <v>gi|668457838</v>
      </c>
      <c r="AM821">
        <v>72</v>
      </c>
      <c r="AN821">
        <v>80</v>
      </c>
      <c r="AO821">
        <v>102</v>
      </c>
      <c r="AP821" t="s">
        <v>2277</v>
      </c>
      <c r="AQ821" s="2" t="str">
        <f>HYPERLINK("http://exon.niaid.nih.gov/transcriptome/Anopheles_sialome/links/NR-LIGHT/anoatro_SG2-NR-LIGHT.txt","AGAP006506-PA-like protein")</f>
        <v>AGAP006506-PA-like protein</v>
      </c>
      <c r="AR821" t="str">
        <f>HYPERLINK("http://www.ncbi.nlm.nih.gov/sutils/blink.cgi?pid=668457838","6E-040")</f>
        <v>6E-040</v>
      </c>
      <c r="AS821" t="str">
        <f>HYPERLINK("http://www.ncbi.nlm.nih.gov/protein/668457838","gi|668457838")</f>
        <v>gi|668457838</v>
      </c>
      <c r="AT821">
        <v>72</v>
      </c>
      <c r="AU821">
        <v>80</v>
      </c>
      <c r="AV821">
        <v>102</v>
      </c>
      <c r="AW821" t="s">
        <v>2277</v>
      </c>
      <c r="AX821" s="2" t="str">
        <f>HYPERLINK("http://exon.niaid.nih.gov/transcriptome/Anopheles_sialome/links/CDD/anoatro_SG2-CDD.txt","Ggt")</f>
        <v>Ggt</v>
      </c>
      <c r="AY821" t="str">
        <f>HYPERLINK("http://www.ncbi.nlm.nih.gov/Structure/cdd/cddsrv.cgi?uid=COG0405&amp;version=v4.0","0.034")</f>
        <v>0.034</v>
      </c>
      <c r="AZ821" t="s">
        <v>3002</v>
      </c>
      <c r="BA821" s="2" t="str">
        <f>HYPERLINK("http://exon.niaid.nih.gov/transcriptome/Anopheles_sialome/links/KOG/anoatro_SG2-KOG.txt","GTP-binding protein DRG1 (ODN superfamily)")</f>
        <v>GTP-binding protein DRG1 (ODN superfamily)</v>
      </c>
      <c r="BB821" t="str">
        <f>HYPERLINK("http://www.ncbi.nlm.nih.gov/Structure/cdd/cddsrv.cgi?uid=KOG1487","0.038")</f>
        <v>0.038</v>
      </c>
      <c r="BC821" t="s">
        <v>2292</v>
      </c>
      <c r="BD821" t="str">
        <f>HYPERLINK("http://exon.niaid.nih.gov/transcriptome/Anopheles_sialome/links/KOG/anoatro_SG2-KOG.txt","KOG1487")</f>
        <v>KOG1487</v>
      </c>
      <c r="BE821" t="str">
        <f>HYPERLINK("http://exon.niaid.nih.gov/transcriptome/Anopheles_sialome/links/PFAM/anoatro_SG2-PFAM.txt","G_glu_transpept")</f>
        <v>G_glu_transpept</v>
      </c>
      <c r="BF821" t="str">
        <f>HYPERLINK("http://pfam.sanger.ac.uk/family?acc=PF01019","0.73")</f>
        <v>0.73</v>
      </c>
      <c r="BG821" s="2" t="str">
        <f>HYPERLINK("http://exon.niaid.nih.gov/transcriptome/Anopheles_sialome/links/SMART/anoatro_SG2-SMART.txt","CADG")</f>
        <v>CADG</v>
      </c>
      <c r="BH821" t="str">
        <f>HYPERLINK("http://smart.embl-heidelberg.de/smart/do_annotation.pl?DOMAIN=CADG&amp;BLAST=DUMMY","0.86")</f>
        <v>0.86</v>
      </c>
      <c r="BI821" t="s">
        <v>128</v>
      </c>
      <c r="BJ821" s="2" t="s">
        <v>128</v>
      </c>
      <c r="BK821" t="s">
        <v>1975</v>
      </c>
      <c r="BL821">
        <f>HYPERLINK("http://exon.niaid.nih.gov/transcriptome/Anopheles_sialome/links/cluster-b/anopheline-sialome-cds-pep-larger-orf25-50SimCLU1.txt", 1)</f>
        <v>1</v>
      </c>
      <c r="BM821">
        <f>HYPERLINK("http://exon.niaid.nih.gov/transcriptome/Anopheles_sialome/links/cluster-b/anopheline-sialome-cds-pep-larger-orf25-50SimCLTL1.txt", 165)</f>
        <v>165</v>
      </c>
      <c r="BN821">
        <f>HYPERLINK("http://exon.niaid.nih.gov/transcriptome/Anopheles_sialome/links/cluster-b/anopheline-sialome-cds-pep-larger-orf30-50SimCLU1.txt", 1)</f>
        <v>1</v>
      </c>
      <c r="BO821">
        <f>HYPERLINK("http://exon.niaid.nih.gov/transcriptome/Anopheles_sialome/links/cluster-b/anopheline-sialome-cds-pep-larger-orf30-50SimCLTL1.txt", 165)</f>
        <v>165</v>
      </c>
      <c r="BP821">
        <f>HYPERLINK("http://exon.niaid.nih.gov/transcriptome/Anopheles_sialome/links/cluster-b/anopheline-sialome-cds-pep-larger-orf35-50SimCLU10.txt", 10)</f>
        <v>10</v>
      </c>
      <c r="BQ821">
        <f>HYPERLINK("http://exon.niaid.nih.gov/transcriptome/Anopheles_sialome/links/cluster-b/anopheline-sialome-cds-pep-larger-orf35-50SimCLTL10.txt", 28)</f>
        <v>28</v>
      </c>
      <c r="BR821">
        <f>HYPERLINK("http://exon.niaid.nih.gov/transcriptome/Anopheles_sialome/links/cluster-b/anopheline-sialome-cds-pep-larger-orf40-50SimCLU10.txt", 10)</f>
        <v>10</v>
      </c>
      <c r="BS821">
        <f>HYPERLINK("http://exon.niaid.nih.gov/transcriptome/Anopheles_sialome/links/cluster-b/anopheline-sialome-cds-pep-larger-orf40-50SimCLTL10.txt", 28)</f>
        <v>28</v>
      </c>
      <c r="BT821">
        <f>HYPERLINK("http://exon.niaid.nih.gov/transcriptome/Anopheles_sialome/links/cluster-b/anopheline-sialome-cds-pep-larger-orf45-50SimCLU9.txt", 9)</f>
        <v>9</v>
      </c>
      <c r="BU821">
        <f>HYPERLINK("http://exon.niaid.nih.gov/transcriptome/Anopheles_sialome/links/cluster-b/anopheline-sialome-cds-pep-larger-orf45-50SimCLTL9.txt", 28)</f>
        <v>28</v>
      </c>
      <c r="BV821">
        <f>HYPERLINK("http://exon.niaid.nih.gov/transcriptome/Anopheles_sialome/links/cluster-b/anopheline-sialome-cds-pep-larger-orf50-50SimCLU10.txt", 10)</f>
        <v>10</v>
      </c>
      <c r="BW821">
        <f>HYPERLINK("http://exon.niaid.nih.gov/transcriptome/Anopheles_sialome/links/cluster-b/anopheline-sialome-cds-pep-larger-orf50-50SimCLTL10.txt", 26)</f>
        <v>26</v>
      </c>
      <c r="BX821">
        <f>HYPERLINK("http://exon.niaid.nih.gov/transcriptome/Anopheles_sialome/links/cluster-b/anopheline-sialome-cds-pep-larger-orf55-50SimCLU11.txt", 11)</f>
        <v>11</v>
      </c>
      <c r="BY821">
        <f>HYPERLINK("http://exon.niaid.nih.gov/transcriptome/Anopheles_sialome/links/cluster-b/anopheline-sialome-cds-pep-larger-orf55-50SimCLTL11.txt", 26)</f>
        <v>26</v>
      </c>
      <c r="BZ821">
        <f>HYPERLINK("http://exon.niaid.nih.gov/transcriptome/Anopheles_sialome/links/cluster-b/anopheline-sialome-cds-pep-larger-orf60-50SimCLU29.txt", 29)</f>
        <v>29</v>
      </c>
      <c r="CA821">
        <f>HYPERLINK("http://exon.niaid.nih.gov/transcriptome/Anopheles_sialome/links/cluster-b/anopheline-sialome-cds-pep-larger-orf60-50SimCLTL29.txt", 15)</f>
        <v>15</v>
      </c>
      <c r="CB821">
        <f>HYPERLINK("http://exon.niaid.nih.gov/transcriptome/Anopheles_sialome/links/cluster-b/anopheline-sialome-cds-pep-larger-orf65-50SimCLU61.txt", 61)</f>
        <v>61</v>
      </c>
      <c r="CC821">
        <f>HYPERLINK("http://exon.niaid.nih.gov/transcriptome/Anopheles_sialome/links/cluster-b/anopheline-sialome-cds-pep-larger-orf65-50SimCLTL61.txt", 2)</f>
        <v>2</v>
      </c>
      <c r="CD821">
        <f>HYPERLINK("http://exon.niaid.nih.gov/transcriptome/Anopheles_sialome/links/cluster-b/anopheline-sialome-cds-pep-larger-orf70-50SimCLU67.txt", 67)</f>
        <v>67</v>
      </c>
      <c r="CE821">
        <f>HYPERLINK("http://exon.niaid.nih.gov/transcriptome/Anopheles_sialome/links/cluster-b/anopheline-sialome-cds-pep-larger-orf70-50SimCLTL67.txt", 2)</f>
        <v>2</v>
      </c>
      <c r="CF821">
        <f>HYPERLINK("http://exon.niaid.nih.gov/transcriptome/Anopheles_sialome/links/cluster-b/anopheline-sialome-cds-pep-larger-orf75-50SimCLU83.txt", 83)</f>
        <v>83</v>
      </c>
      <c r="CG821">
        <f>HYPERLINK("http://exon.niaid.nih.gov/transcriptome/Anopheles_sialome/links/cluster-b/anopheline-sialome-cds-pep-larger-orf75-50SimCLTL83.txt", 2)</f>
        <v>2</v>
      </c>
      <c r="CH821">
        <v>229</v>
      </c>
      <c r="CI821">
        <v>1</v>
      </c>
      <c r="CJ821">
        <v>308</v>
      </c>
      <c r="CK821">
        <v>1</v>
      </c>
      <c r="CL821">
        <v>394</v>
      </c>
      <c r="CM821">
        <v>1</v>
      </c>
      <c r="CN821">
        <v>477</v>
      </c>
      <c r="CO821">
        <v>1</v>
      </c>
    </row>
    <row r="822" spans="1:93">
      <c r="A822" s="2" t="str">
        <f>HYPERLINK("http://exon.niaid.nih.gov/transcriptome/Anopheles_sialome/links/cds/anosin_SG2-cds.txt","anosin_SG2")</f>
        <v>anosin_SG2</v>
      </c>
      <c r="B822">
        <v>315</v>
      </c>
      <c r="C822" t="s">
        <v>525</v>
      </c>
      <c r="D822" t="s">
        <v>4</v>
      </c>
      <c r="E822" t="s">
        <v>5</v>
      </c>
      <c r="F822" t="s">
        <v>1</v>
      </c>
      <c r="G822" t="str">
        <f>HYPERLINK("http://exon.niaid.nih.gov/transcriptome/Anopheles_sialome/links/pep/anosin_SG2-pep.txt","anosin_SG2")</f>
        <v>anosin_SG2</v>
      </c>
      <c r="H822">
        <v>104</v>
      </c>
      <c r="I822">
        <v>0</v>
      </c>
      <c r="J822" s="3" t="str">
        <f>HYPERLINK("http://exon.niaid.nih.gov/transcriptome/Anopheles_sialome/links/Sigp/anosin_SG2-SigP.txt","SIG")</f>
        <v>SIG</v>
      </c>
      <c r="K822" t="s">
        <v>919</v>
      </c>
      <c r="L822">
        <v>10.384</v>
      </c>
      <c r="M822">
        <v>7.82</v>
      </c>
      <c r="N822">
        <v>8.5990000000000002</v>
      </c>
      <c r="O822">
        <v>5.84</v>
      </c>
      <c r="P822" t="s">
        <v>1978</v>
      </c>
      <c r="Q822" s="3" t="str">
        <f>HYPERLINK("http://exon.niaid.nih.gov/transcriptome/Anopheles_sialome/links/tmhmm/anosin_SG2-tmhmm.txt","1")</f>
        <v>1</v>
      </c>
      <c r="R822">
        <v>21.2</v>
      </c>
      <c r="S822">
        <v>74</v>
      </c>
      <c r="T822">
        <v>4.8</v>
      </c>
      <c r="U822" t="s">
        <v>128</v>
      </c>
      <c r="V822">
        <v>77</v>
      </c>
      <c r="W822" s="3" t="str">
        <f>HYPERLINK("http://exon.niaid.nih.gov/transcriptome/Anopheles_sialome/links/netoglyc/anosin_SG2-netoglyc.txt","1")</f>
        <v>1</v>
      </c>
      <c r="X822">
        <v>13.5</v>
      </c>
      <c r="Y822">
        <v>19.2</v>
      </c>
      <c r="Z822">
        <v>13.5</v>
      </c>
      <c r="AA822" t="s">
        <v>654</v>
      </c>
      <c r="AB822" t="s">
        <v>128</v>
      </c>
      <c r="AC822" s="2" t="str">
        <f>HYPERLINK("http://exon.niaid.nih.gov/transcriptome/Anopheles_sialome/links/DIPTERA/anosin_SG2-DIPTERA.txt","AGAP006506-PA-like protein")</f>
        <v>AGAP006506-PA-like protein</v>
      </c>
      <c r="AD822" t="str">
        <f>HYPERLINK("http://www.ncbi.nlm.nih.gov/sutils/blink.cgi?pid=668457838","2E-056")</f>
        <v>2E-056</v>
      </c>
      <c r="AE822" t="str">
        <f>HYPERLINK("http://www.ncbi.nlm.nih.gov/protein/668457838","gi|668457838")</f>
        <v>gi|668457838</v>
      </c>
      <c r="AF822">
        <v>99</v>
      </c>
      <c r="AG822">
        <v>99</v>
      </c>
      <c r="AH822">
        <v>100</v>
      </c>
      <c r="AI822" t="s">
        <v>2277</v>
      </c>
      <c r="AJ822" s="2" t="str">
        <f>HYPERLINK("http://exon.niaid.nih.gov/transcriptome/Anopheles_sialome/links/CULICOMORPHA/anosin_SG2-CULICOMORPHA.txt","AGAP006506-PA-like protein")</f>
        <v>AGAP006506-PA-like protein</v>
      </c>
      <c r="AK822" t="str">
        <f>HYPERLINK("http://www.ncbi.nlm.nih.gov/sutils/blink.cgi?pid=668457838","3E-057")</f>
        <v>3E-057</v>
      </c>
      <c r="AL822" t="str">
        <f>HYPERLINK("http://www.ncbi.nlm.nih.gov/protein/668457838","gi|668457838")</f>
        <v>gi|668457838</v>
      </c>
      <c r="AM822">
        <v>99</v>
      </c>
      <c r="AN822">
        <v>99</v>
      </c>
      <c r="AO822">
        <v>100</v>
      </c>
      <c r="AP822" t="s">
        <v>2277</v>
      </c>
      <c r="AQ822" s="2" t="str">
        <f>HYPERLINK("http://exon.niaid.nih.gov/transcriptome/Anopheles_sialome/links/NR-LIGHT/anosin_SG2-NR-LIGHT.txt","AGAP006506-PA-like protein")</f>
        <v>AGAP006506-PA-like protein</v>
      </c>
      <c r="AR822" t="str">
        <f>HYPERLINK("http://www.ncbi.nlm.nih.gov/sutils/blink.cgi?pid=668457838","6E-056")</f>
        <v>6E-056</v>
      </c>
      <c r="AS822" t="str">
        <f>HYPERLINK("http://www.ncbi.nlm.nih.gov/protein/668457838","gi|668457838")</f>
        <v>gi|668457838</v>
      </c>
      <c r="AT822">
        <v>99</v>
      </c>
      <c r="AU822">
        <v>99</v>
      </c>
      <c r="AV822">
        <v>100</v>
      </c>
      <c r="AW822" t="s">
        <v>2277</v>
      </c>
      <c r="AX822" s="2" t="str">
        <f>HYPERLINK("http://exon.niaid.nih.gov/transcriptome/Anopheles_sialome/links/CDD/anosin_SG2-CDD.txt","PLN03192")</f>
        <v>PLN03192</v>
      </c>
      <c r="AY822" t="str">
        <f>HYPERLINK("http://www.ncbi.nlm.nih.gov/Structure/cdd/cddsrv.cgi?uid=PLN03192&amp;version=v4.0","0.28")</f>
        <v>0.28</v>
      </c>
      <c r="AZ822" t="s">
        <v>3003</v>
      </c>
      <c r="BA822" s="2" t="str">
        <f>HYPERLINK("http://exon.niaid.nih.gov/transcriptome/Anopheles_sialome/links/KOG/anosin_SG2-KOG.txt","Predicted ubiquitin-protein ligase of the N-recognin family")</f>
        <v>Predicted ubiquitin-protein ligase of the N-recognin family</v>
      </c>
      <c r="BB822" t="str">
        <f>HYPERLINK("http://www.ncbi.nlm.nih.gov/Structure/cdd/cddsrv.cgi?uid=KOG1139","0.037")</f>
        <v>0.037</v>
      </c>
      <c r="BC822" t="s">
        <v>2296</v>
      </c>
      <c r="BD822" t="str">
        <f>HYPERLINK("http://exon.niaid.nih.gov/transcriptome/Anopheles_sialome/links/KOG/anosin_SG2-KOG.txt","KOG1139")</f>
        <v>KOG1139</v>
      </c>
      <c r="BE822" t="str">
        <f>HYPERLINK("http://exon.niaid.nih.gov/transcriptome/Anopheles_sialome/links/PFAM/anosin_SG2-PFAM.txt","PAP2_3")</f>
        <v>PAP2_3</v>
      </c>
      <c r="BF822" t="str">
        <f>HYPERLINK("http://pfam.sanger.ac.uk/family?acc=PF14378","0.87")</f>
        <v>0.87</v>
      </c>
      <c r="BG822" s="2" t="str">
        <f>HYPERLINK("http://exon.niaid.nih.gov/transcriptome/Anopheles_sialome/links/SMART/anosin_SG2-SMART.txt","FH2")</f>
        <v>FH2</v>
      </c>
      <c r="BH822" t="str">
        <f>HYPERLINK("http://smart.embl-heidelberg.de/smart/do_annotation.pl?DOMAIN=FH2&amp;BLAST=DUMMY","0.92")</f>
        <v>0.92</v>
      </c>
      <c r="BI822" t="s">
        <v>128</v>
      </c>
      <c r="BJ822" s="2" t="s">
        <v>128</v>
      </c>
      <c r="BK822" t="s">
        <v>1977</v>
      </c>
      <c r="BL822">
        <f>HYPERLINK("http://exon.niaid.nih.gov/transcriptome/Anopheles_sialome/links/cluster-b/anopheline-sialome-cds-pep-larger-orf25-50SimCLU1.txt", 1)</f>
        <v>1</v>
      </c>
      <c r="BM822">
        <f>HYPERLINK("http://exon.niaid.nih.gov/transcriptome/Anopheles_sialome/links/cluster-b/anopheline-sialome-cds-pep-larger-orf25-50SimCLTL1.txt", 165)</f>
        <v>165</v>
      </c>
      <c r="BN822">
        <f>HYPERLINK("http://exon.niaid.nih.gov/transcriptome/Anopheles_sialome/links/cluster-b/anopheline-sialome-cds-pep-larger-orf30-50SimCLU1.txt", 1)</f>
        <v>1</v>
      </c>
      <c r="BO822">
        <f>HYPERLINK("http://exon.niaid.nih.gov/transcriptome/Anopheles_sialome/links/cluster-b/anopheline-sialome-cds-pep-larger-orf30-50SimCLTL1.txt", 165)</f>
        <v>165</v>
      </c>
      <c r="BP822">
        <f>HYPERLINK("http://exon.niaid.nih.gov/transcriptome/Anopheles_sialome/links/cluster-b/anopheline-sialome-cds-pep-larger-orf35-50SimCLU10.txt", 10)</f>
        <v>10</v>
      </c>
      <c r="BQ822">
        <f>HYPERLINK("http://exon.niaid.nih.gov/transcriptome/Anopheles_sialome/links/cluster-b/anopheline-sialome-cds-pep-larger-orf35-50SimCLTL10.txt", 28)</f>
        <v>28</v>
      </c>
      <c r="BR822">
        <f>HYPERLINK("http://exon.niaid.nih.gov/transcriptome/Anopheles_sialome/links/cluster-b/anopheline-sialome-cds-pep-larger-orf40-50SimCLU10.txt", 10)</f>
        <v>10</v>
      </c>
      <c r="BS822">
        <f>HYPERLINK("http://exon.niaid.nih.gov/transcriptome/Anopheles_sialome/links/cluster-b/anopheline-sialome-cds-pep-larger-orf40-50SimCLTL10.txt", 28)</f>
        <v>28</v>
      </c>
      <c r="BT822">
        <f>HYPERLINK("http://exon.niaid.nih.gov/transcriptome/Anopheles_sialome/links/cluster-b/anopheline-sialome-cds-pep-larger-orf45-50SimCLU9.txt", 9)</f>
        <v>9</v>
      </c>
      <c r="BU822">
        <f>HYPERLINK("http://exon.niaid.nih.gov/transcriptome/Anopheles_sialome/links/cluster-b/anopheline-sialome-cds-pep-larger-orf45-50SimCLTL9.txt", 28)</f>
        <v>28</v>
      </c>
      <c r="BV822">
        <f>HYPERLINK("http://exon.niaid.nih.gov/transcriptome/Anopheles_sialome/links/cluster-b/anopheline-sialome-cds-pep-larger-orf50-50SimCLU10.txt", 10)</f>
        <v>10</v>
      </c>
      <c r="BW822">
        <f>HYPERLINK("http://exon.niaid.nih.gov/transcriptome/Anopheles_sialome/links/cluster-b/anopheline-sialome-cds-pep-larger-orf50-50SimCLTL10.txt", 26)</f>
        <v>26</v>
      </c>
      <c r="BX822">
        <f>HYPERLINK("http://exon.niaid.nih.gov/transcriptome/Anopheles_sialome/links/cluster-b/anopheline-sialome-cds-pep-larger-orf55-50SimCLU11.txt", 11)</f>
        <v>11</v>
      </c>
      <c r="BY822">
        <f>HYPERLINK("http://exon.niaid.nih.gov/transcriptome/Anopheles_sialome/links/cluster-b/anopheline-sialome-cds-pep-larger-orf55-50SimCLTL11.txt", 26)</f>
        <v>26</v>
      </c>
      <c r="BZ822">
        <f>HYPERLINK("http://exon.niaid.nih.gov/transcriptome/Anopheles_sialome/links/cluster-b/anopheline-sialome-cds-pep-larger-orf60-50SimCLU29.txt", 29)</f>
        <v>29</v>
      </c>
      <c r="CA822">
        <f>HYPERLINK("http://exon.niaid.nih.gov/transcriptome/Anopheles_sialome/links/cluster-b/anopheline-sialome-cds-pep-larger-orf60-50SimCLTL29.txt", 15)</f>
        <v>15</v>
      </c>
      <c r="CB822">
        <f>HYPERLINK("http://exon.niaid.nih.gov/transcriptome/Anopheles_sialome/links/cluster-b/anopheline-sialome-cds-pep-larger-orf65-50SimCLU61.txt", 61)</f>
        <v>61</v>
      </c>
      <c r="CC822">
        <f>HYPERLINK("http://exon.niaid.nih.gov/transcriptome/Anopheles_sialome/links/cluster-b/anopheline-sialome-cds-pep-larger-orf65-50SimCLTL61.txt", 2)</f>
        <v>2</v>
      </c>
      <c r="CD822">
        <f>HYPERLINK("http://exon.niaid.nih.gov/transcriptome/Anopheles_sialome/links/cluster-b/anopheline-sialome-cds-pep-larger-orf70-50SimCLU67.txt", 67)</f>
        <v>67</v>
      </c>
      <c r="CE822">
        <f>HYPERLINK("http://exon.niaid.nih.gov/transcriptome/Anopheles_sialome/links/cluster-b/anopheline-sialome-cds-pep-larger-orf70-50SimCLTL67.txt", 2)</f>
        <v>2</v>
      </c>
      <c r="CF822">
        <f>HYPERLINK("http://exon.niaid.nih.gov/transcriptome/Anopheles_sialome/links/cluster-b/anopheline-sialome-cds-pep-larger-orf75-50SimCLU83.txt", 83)</f>
        <v>83</v>
      </c>
      <c r="CG822">
        <f>HYPERLINK("http://exon.niaid.nih.gov/transcriptome/Anopheles_sialome/links/cluster-b/anopheline-sialome-cds-pep-larger-orf75-50SimCLTL83.txt", 2)</f>
        <v>2</v>
      </c>
      <c r="CH822">
        <v>230</v>
      </c>
      <c r="CI822">
        <v>1</v>
      </c>
      <c r="CJ822">
        <v>309</v>
      </c>
      <c r="CK822">
        <v>1</v>
      </c>
      <c r="CL822">
        <v>395</v>
      </c>
      <c r="CM822">
        <v>1</v>
      </c>
      <c r="CN822">
        <v>478</v>
      </c>
      <c r="CO822">
        <v>1</v>
      </c>
    </row>
    <row r="823" spans="1:93">
      <c r="A823" s="5" t="s">
        <v>3183</v>
      </c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</row>
    <row r="824" spans="1:93">
      <c r="A824" s="2" t="str">
        <f>HYPERLINK("http://exon.niaid.nih.gov/transcriptome/Anopheles_sialome/links/cds/anoga_SG2b-cds.txt","anoga_SG2b")</f>
        <v>anoga_SG2b</v>
      </c>
      <c r="B824">
        <v>522</v>
      </c>
      <c r="C824" t="s">
        <v>526</v>
      </c>
      <c r="D824" t="s">
        <v>7</v>
      </c>
      <c r="E824" t="s">
        <v>5</v>
      </c>
      <c r="F824" t="s">
        <v>1</v>
      </c>
      <c r="G824" t="str">
        <f>HYPERLINK("http://exon.niaid.nih.gov/transcriptome/Anopheles_sialome/links/pep/anoga_SG2b-pep.txt","anoga_SG2b")</f>
        <v>anoga_SG2b</v>
      </c>
      <c r="H824">
        <v>173</v>
      </c>
      <c r="I824">
        <v>0</v>
      </c>
      <c r="J824" s="3" t="str">
        <f>HYPERLINK("http://exon.niaid.nih.gov/transcriptome/Anopheles_sialome/links/Sigp/anoga_SG2b-SigP.txt","SIG")</f>
        <v>SIG</v>
      </c>
      <c r="K824" t="s">
        <v>925</v>
      </c>
      <c r="L824">
        <v>17.672999999999998</v>
      </c>
      <c r="M824">
        <v>8.4</v>
      </c>
      <c r="N824">
        <v>15.661</v>
      </c>
      <c r="O824">
        <v>7.02</v>
      </c>
      <c r="P824" t="s">
        <v>1980</v>
      </c>
      <c r="Q824" s="3">
        <v>0</v>
      </c>
      <c r="R824" t="s">
        <v>128</v>
      </c>
      <c r="S824" t="s">
        <v>128</v>
      </c>
      <c r="T824" t="s">
        <v>128</v>
      </c>
      <c r="U824" t="s">
        <v>128</v>
      </c>
      <c r="V824" t="s">
        <v>128</v>
      </c>
      <c r="W824" s="3" t="str">
        <f>HYPERLINK("http://exon.niaid.nih.gov/transcriptome/Anopheles_sialome/links/netoglyc/anoga_SG2b-netoglyc.txt","1")</f>
        <v>1</v>
      </c>
      <c r="X824">
        <v>12.1</v>
      </c>
      <c r="Y824">
        <v>24.3</v>
      </c>
      <c r="Z824">
        <v>7.5</v>
      </c>
      <c r="AA824" t="s">
        <v>654</v>
      </c>
      <c r="AB824" t="s">
        <v>128</v>
      </c>
      <c r="AC824" s="2" t="str">
        <f>HYPERLINK("http://exon.niaid.nih.gov/transcriptome/Anopheles_sialome/links/DIPTERA/anoga_SG2b-DIPTERA.txt","AGAP006504-PA")</f>
        <v>AGAP006504-PA</v>
      </c>
      <c r="AD824" t="str">
        <f>HYPERLINK("http://www.ncbi.nlm.nih.gov/sutils/blink.cgi?pid=55239274","1E-101")</f>
        <v>1E-101</v>
      </c>
      <c r="AE824" t="str">
        <f>HYPERLINK("http://www.ncbi.nlm.nih.gov/protein/55239274","gi|55239274")</f>
        <v>gi|55239274</v>
      </c>
      <c r="AF824">
        <v>100</v>
      </c>
      <c r="AG824">
        <v>100</v>
      </c>
      <c r="AH824">
        <v>100</v>
      </c>
      <c r="AI824" t="s">
        <v>2285</v>
      </c>
      <c r="AJ824" s="2" t="str">
        <f>HYPERLINK("http://exon.niaid.nih.gov/transcriptome/Anopheles_sialome/links/CULICOMORPHA/anoga_SG2b-CULICOMORPHA.txt","AGAP006504-PA")</f>
        <v>AGAP006504-PA</v>
      </c>
      <c r="AK824" t="str">
        <f>HYPERLINK("http://www.ncbi.nlm.nih.gov/sutils/blink.cgi?pid=55239274","1E-102")</f>
        <v>1E-102</v>
      </c>
      <c r="AL824" t="str">
        <f>HYPERLINK("http://www.ncbi.nlm.nih.gov/protein/55239274","gi|55239274")</f>
        <v>gi|55239274</v>
      </c>
      <c r="AM824">
        <v>100</v>
      </c>
      <c r="AN824">
        <v>100</v>
      </c>
      <c r="AO824">
        <v>100</v>
      </c>
      <c r="AP824" t="s">
        <v>2285</v>
      </c>
      <c r="AQ824" s="2" t="str">
        <f>HYPERLINK("http://exon.niaid.nih.gov/transcriptome/Anopheles_sialome/links/NR-LIGHT/anoga_SG2b-NR-LIGHT.txt","AGAP006504-PA")</f>
        <v>AGAP006504-PA</v>
      </c>
      <c r="AR824" t="str">
        <f>HYPERLINK("http://www.ncbi.nlm.nih.gov/sutils/blink.cgi?pid=58388782","1E-100")</f>
        <v>1E-100</v>
      </c>
      <c r="AS824" t="str">
        <f>HYPERLINK("http://www.ncbi.nlm.nih.gov/protein/58388782","gi|58388782")</f>
        <v>gi|58388782</v>
      </c>
      <c r="AT824">
        <v>100</v>
      </c>
      <c r="AU824">
        <v>100</v>
      </c>
      <c r="AV824">
        <v>100</v>
      </c>
      <c r="AW824" t="s">
        <v>2285</v>
      </c>
      <c r="AX824" s="2" t="str">
        <f>HYPERLINK("http://exon.niaid.nih.gov/transcriptome/Anopheles_sialome/links/CDD/anoga_SG2b-CDD.txt","DUF4175")</f>
        <v>DUF4175</v>
      </c>
      <c r="AY824" t="str">
        <f>HYPERLINK("http://www.ncbi.nlm.nih.gov/Structure/cdd/cddsrv.cgi?uid=pfam13779&amp;version=v4.0","1E-004")</f>
        <v>1E-004</v>
      </c>
      <c r="AZ824" t="s">
        <v>3004</v>
      </c>
      <c r="BA824" s="2" t="str">
        <f>HYPERLINK("http://exon.niaid.nih.gov/transcriptome/Anopheles_sialome/links/KOG/anoga_SG2b-KOG.txt","Vesicle coat complex COPII, subunit SFB3")</f>
        <v>Vesicle coat complex COPII, subunit SFB3</v>
      </c>
      <c r="BB824" t="str">
        <f>HYPERLINK("http://www.ncbi.nlm.nih.gov/Structure/cdd/cddsrv.cgi?uid=KOG1984","2E-004")</f>
        <v>2E-004</v>
      </c>
      <c r="BC824" t="s">
        <v>2487</v>
      </c>
      <c r="BD824" t="str">
        <f>HYPERLINK("http://exon.niaid.nih.gov/transcriptome/Anopheles_sialome/links/KOG/anoga_SG2b-KOG.txt","KOG1984")</f>
        <v>KOG1984</v>
      </c>
      <c r="BE824" t="str">
        <f>HYPERLINK("http://exon.niaid.nih.gov/transcriptome/Anopheles_sialome/links/PFAM/anoga_SG2b-PFAM.txt","DUF4175")</f>
        <v>DUF4175</v>
      </c>
      <c r="BF824" t="str">
        <f>HYPERLINK("http://pfam.sanger.ac.uk/family?acc=PF13779","3E-005")</f>
        <v>3E-005</v>
      </c>
      <c r="BG824" s="2" t="str">
        <f>HYPERLINK("http://exon.niaid.nih.gov/transcriptome/Anopheles_sialome/links/SMART/anoga_SG2b-SMART.txt","PRP")</f>
        <v>PRP</v>
      </c>
      <c r="BH824" t="str">
        <f>HYPERLINK("http://smart.embl-heidelberg.de/smart/do_annotation.pl?DOMAIN=PRP&amp;BLAST=DUMMY","1.4")</f>
        <v>1.4</v>
      </c>
      <c r="BI824" t="str">
        <f>HYPERLINK("http://exon.niaid.nih.gov/transcriptome/Anopheles_sialome/links/TICK-BLOCKS/anoga_SG2b-TICK-BLOCKS.txt","SG2_superfamily |")</f>
        <v>SG2_superfamily |</v>
      </c>
      <c r="BJ824" s="2" t="s">
        <v>2986</v>
      </c>
      <c r="BK824" t="s">
        <v>1979</v>
      </c>
      <c r="BL824">
        <f>HYPERLINK("http://exon.niaid.nih.gov/transcriptome/Anopheles_sialome/links/cluster-b/anopheline-sialome-cds-pep-larger-orf25-50SimCLU1.txt", 1)</f>
        <v>1</v>
      </c>
      <c r="BM824">
        <f>HYPERLINK("http://exon.niaid.nih.gov/transcriptome/Anopheles_sialome/links/cluster-b/anopheline-sialome-cds-pep-larger-orf25-50SimCLTL1.txt", 165)</f>
        <v>165</v>
      </c>
      <c r="BN824">
        <f>HYPERLINK("http://exon.niaid.nih.gov/transcriptome/Anopheles_sialome/links/cluster-b/anopheline-sialome-cds-pep-larger-orf30-50SimCLU1.txt", 1)</f>
        <v>1</v>
      </c>
      <c r="BO824">
        <f>HYPERLINK("http://exon.niaid.nih.gov/transcriptome/Anopheles_sialome/links/cluster-b/anopheline-sialome-cds-pep-larger-orf30-50SimCLTL1.txt", 165)</f>
        <v>165</v>
      </c>
      <c r="BP824">
        <f>HYPERLINK("http://exon.niaid.nih.gov/transcriptome/Anopheles_sialome/links/cluster-b/anopheline-sialome-cds-pep-larger-orf35-50SimCLU10.txt", 10)</f>
        <v>10</v>
      </c>
      <c r="BQ824">
        <f>HYPERLINK("http://exon.niaid.nih.gov/transcriptome/Anopheles_sialome/links/cluster-b/anopheline-sialome-cds-pep-larger-orf35-50SimCLTL10.txt", 28)</f>
        <v>28</v>
      </c>
      <c r="BR824">
        <f>HYPERLINK("http://exon.niaid.nih.gov/transcriptome/Anopheles_sialome/links/cluster-b/anopheline-sialome-cds-pep-larger-orf40-50SimCLU10.txt", 10)</f>
        <v>10</v>
      </c>
      <c r="BS824">
        <f>HYPERLINK("http://exon.niaid.nih.gov/transcriptome/Anopheles_sialome/links/cluster-b/anopheline-sialome-cds-pep-larger-orf40-50SimCLTL10.txt", 28)</f>
        <v>28</v>
      </c>
      <c r="BT824">
        <f>HYPERLINK("http://exon.niaid.nih.gov/transcriptome/Anopheles_sialome/links/cluster-b/anopheline-sialome-cds-pep-larger-orf45-50SimCLU9.txt", 9)</f>
        <v>9</v>
      </c>
      <c r="BU824">
        <f>HYPERLINK("http://exon.niaid.nih.gov/transcriptome/Anopheles_sialome/links/cluster-b/anopheline-sialome-cds-pep-larger-orf45-50SimCLTL9.txt", 28)</f>
        <v>28</v>
      </c>
      <c r="BV824">
        <f>HYPERLINK("http://exon.niaid.nih.gov/transcriptome/Anopheles_sialome/links/cluster-b/anopheline-sialome-cds-pep-larger-orf50-50SimCLU10.txt", 10)</f>
        <v>10</v>
      </c>
      <c r="BW824">
        <f>HYPERLINK("http://exon.niaid.nih.gov/transcriptome/Anopheles_sialome/links/cluster-b/anopheline-sialome-cds-pep-larger-orf50-50SimCLTL10.txt", 26)</f>
        <v>26</v>
      </c>
      <c r="BX824">
        <f>HYPERLINK("http://exon.niaid.nih.gov/transcriptome/Anopheles_sialome/links/cluster-b/anopheline-sialome-cds-pep-larger-orf55-50SimCLU11.txt", 11)</f>
        <v>11</v>
      </c>
      <c r="BY824">
        <f>HYPERLINK("http://exon.niaid.nih.gov/transcriptome/Anopheles_sialome/links/cluster-b/anopheline-sialome-cds-pep-larger-orf55-50SimCLTL11.txt", 26)</f>
        <v>26</v>
      </c>
      <c r="BZ824">
        <f>HYPERLINK("http://exon.niaid.nih.gov/transcriptome/Anopheles_sialome/links/cluster-b/anopheline-sialome-cds-pep-larger-orf60-50SimCLU35.txt", 35)</f>
        <v>35</v>
      </c>
      <c r="CA824">
        <f>HYPERLINK("http://exon.niaid.nih.gov/transcriptome/Anopheles_sialome/links/cluster-b/anopheline-sialome-cds-pep-larger-orf60-50SimCLTL35.txt", 11)</f>
        <v>11</v>
      </c>
      <c r="CB824">
        <f>HYPERLINK("http://exon.niaid.nih.gov/transcriptome/Anopheles_sialome/links/cluster-b/anopheline-sialome-cds-pep-larger-orf65-50SimCLU42.txt", 42)</f>
        <v>42</v>
      </c>
      <c r="CC824">
        <f>HYPERLINK("http://exon.niaid.nih.gov/transcriptome/Anopheles_sialome/links/cluster-b/anopheline-sialome-cds-pep-larger-orf65-50SimCLTL42.txt", 6)</f>
        <v>6</v>
      </c>
      <c r="CD824">
        <f>HYPERLINK("http://exon.niaid.nih.gov/transcriptome/Anopheles_sialome/links/cluster-b/anopheline-sialome-cds-pep-larger-orf70-50SimCLU45.txt", 45)</f>
        <v>45</v>
      </c>
      <c r="CE824">
        <f>HYPERLINK("http://exon.niaid.nih.gov/transcriptome/Anopheles_sialome/links/cluster-b/anopheline-sialome-cds-pep-larger-orf70-50SimCLTL45.txt", 5)</f>
        <v>5</v>
      </c>
      <c r="CF824">
        <f>HYPERLINK("http://exon.niaid.nih.gov/transcriptome/Anopheles_sialome/links/cluster-b/anopheline-sialome-cds-pep-larger-orf75-50SimCLU51.txt", 51)</f>
        <v>51</v>
      </c>
      <c r="CG824">
        <f>HYPERLINK("http://exon.niaid.nih.gov/transcriptome/Anopheles_sialome/links/cluster-b/anopheline-sialome-cds-pep-larger-orf75-50SimCLTL51.txt", 5)</f>
        <v>5</v>
      </c>
      <c r="CH824">
        <f>HYPERLINK("http://exon.niaid.nih.gov/transcriptome/Anopheles_sialome/links/cluster-b/anopheline-sialome-cds-pep-larger-orf80-50SimCLU50.txt", 50)</f>
        <v>50</v>
      </c>
      <c r="CI824">
        <f>HYPERLINK("http://exon.niaid.nih.gov/transcriptome/Anopheles_sialome/links/cluster-b/anopheline-sialome-cds-pep-larger-orf80-50SimCLTL50.txt", 5)</f>
        <v>5</v>
      </c>
      <c r="CJ824">
        <f>HYPERLINK("http://exon.niaid.nih.gov/transcriptome/Anopheles_sialome/links/cluster-b/anopheline-sialome-cds-pep-larger-orf85-50SimCLU51.txt", 51)</f>
        <v>51</v>
      </c>
      <c r="CK824">
        <f>HYPERLINK("http://exon.niaid.nih.gov/transcriptome/Anopheles_sialome/links/cluster-b/anopheline-sialome-cds-pep-larger-orf85-50SimCLTL51.txt", 5)</f>
        <v>5</v>
      </c>
      <c r="CL824">
        <f>HYPERLINK("http://exon.niaid.nih.gov/transcriptome/Anopheles_sialome/links/cluster-b/anopheline-sialome-cds-pep-larger-orf90-50SimCLU49.txt", 49)</f>
        <v>49</v>
      </c>
      <c r="CM824">
        <f>HYPERLINK("http://exon.niaid.nih.gov/transcriptome/Anopheles_sialome/links/cluster-b/anopheline-sialome-cds-pep-larger-orf90-50SimCLTL49.txt", 5)</f>
        <v>5</v>
      </c>
      <c r="CN824">
        <v>479</v>
      </c>
      <c r="CO824">
        <v>1</v>
      </c>
    </row>
    <row r="825" spans="1:93">
      <c r="A825" s="2" t="str">
        <f>HYPERLINK("http://exon.niaid.nih.gov/transcriptome/Anopheles_sialome/links/cds/anoara_SG2b-cds.txt","anoara_SG2b")</f>
        <v>anoara_SG2b</v>
      </c>
      <c r="B825">
        <v>525</v>
      </c>
      <c r="C825" t="s">
        <v>527</v>
      </c>
      <c r="D825" t="s">
        <v>7</v>
      </c>
      <c r="E825" t="s">
        <v>5</v>
      </c>
      <c r="F825" t="s">
        <v>1</v>
      </c>
      <c r="G825" t="str">
        <f>HYPERLINK("http://exon.niaid.nih.gov/transcriptome/Anopheles_sialome/links/pep/anoara_SG2b-pep.txt","anoara_SG2b")</f>
        <v>anoara_SG2b</v>
      </c>
      <c r="H825">
        <v>174</v>
      </c>
      <c r="I825">
        <v>0</v>
      </c>
      <c r="J825" s="3" t="str">
        <f>HYPERLINK("http://exon.niaid.nih.gov/transcriptome/Anopheles_sialome/links/Sigp/anoara_SG2b-SigP.txt","SIG")</f>
        <v>SIG</v>
      </c>
      <c r="K825" t="s">
        <v>925</v>
      </c>
      <c r="L825">
        <v>17.937000000000001</v>
      </c>
      <c r="M825">
        <v>5.73</v>
      </c>
      <c r="N825">
        <v>15.945</v>
      </c>
      <c r="O825">
        <v>5.45</v>
      </c>
      <c r="P825" t="s">
        <v>1982</v>
      </c>
      <c r="Q825" s="3">
        <v>0</v>
      </c>
      <c r="R825" t="s">
        <v>128</v>
      </c>
      <c r="S825" t="s">
        <v>128</v>
      </c>
      <c r="T825" t="s">
        <v>128</v>
      </c>
      <c r="U825" t="s">
        <v>128</v>
      </c>
      <c r="V825" t="s">
        <v>128</v>
      </c>
      <c r="W825" s="3" t="str">
        <f>HYPERLINK("http://exon.niaid.nih.gov/transcriptome/Anopheles_sialome/links/netoglyc/anoara_SG2b-netoglyc.txt","1")</f>
        <v>1</v>
      </c>
      <c r="X825">
        <v>11.5</v>
      </c>
      <c r="Y825">
        <v>23</v>
      </c>
      <c r="Z825">
        <v>7.5</v>
      </c>
      <c r="AA825" t="s">
        <v>654</v>
      </c>
      <c r="AB825" t="s">
        <v>128</v>
      </c>
      <c r="AC825" s="2" t="str">
        <f>HYPERLINK("http://exon.niaid.nih.gov/transcriptome/Anopheles_sialome/links/DIPTERA/anoara_SG2b-DIPTERA.txt","AGAP006504-PA")</f>
        <v>AGAP006504-PA</v>
      </c>
      <c r="AD825" t="str">
        <f>HYPERLINK("http://www.ncbi.nlm.nih.gov/sutils/blink.cgi?pid=55239274","5E-090")</f>
        <v>5E-090</v>
      </c>
      <c r="AE825" t="str">
        <f>HYPERLINK("http://www.ncbi.nlm.nih.gov/protein/55239274","gi|55239274")</f>
        <v>gi|55239274</v>
      </c>
      <c r="AF825">
        <v>90</v>
      </c>
      <c r="AG825">
        <v>92</v>
      </c>
      <c r="AH825">
        <v>101</v>
      </c>
      <c r="AI825" t="s">
        <v>2285</v>
      </c>
      <c r="AJ825" s="2" t="str">
        <f>HYPERLINK("http://exon.niaid.nih.gov/transcriptome/Anopheles_sialome/links/CULICOMORPHA/anoara_SG2b-CULICOMORPHA.txt","AGAP006504-PA")</f>
        <v>AGAP006504-PA</v>
      </c>
      <c r="AK825" t="str">
        <f>HYPERLINK("http://www.ncbi.nlm.nih.gov/sutils/blink.cgi?pid=55239274","9E-091")</f>
        <v>9E-091</v>
      </c>
      <c r="AL825" t="str">
        <f>HYPERLINK("http://www.ncbi.nlm.nih.gov/protein/55239274","gi|55239274")</f>
        <v>gi|55239274</v>
      </c>
      <c r="AM825">
        <v>90</v>
      </c>
      <c r="AN825">
        <v>92</v>
      </c>
      <c r="AO825">
        <v>101</v>
      </c>
      <c r="AP825" t="s">
        <v>2285</v>
      </c>
      <c r="AQ825" s="2" t="str">
        <f>HYPERLINK("http://exon.niaid.nih.gov/transcriptome/Anopheles_sialome/links/NR-LIGHT/anoara_SG2b-NR-LIGHT.txt","AGAP006504-PA")</f>
        <v>AGAP006504-PA</v>
      </c>
      <c r="AR825" t="str">
        <f>HYPERLINK("http://www.ncbi.nlm.nih.gov/sutils/blink.cgi?pid=58388782","1E-089")</f>
        <v>1E-089</v>
      </c>
      <c r="AS825" t="str">
        <f>HYPERLINK("http://www.ncbi.nlm.nih.gov/protein/58388782","gi|58388782")</f>
        <v>gi|58388782</v>
      </c>
      <c r="AT825">
        <v>90</v>
      </c>
      <c r="AU825">
        <v>92</v>
      </c>
      <c r="AV825">
        <v>101</v>
      </c>
      <c r="AW825" t="s">
        <v>2285</v>
      </c>
      <c r="AX825" s="2" t="str">
        <f>HYPERLINK("http://exon.niaid.nih.gov/transcriptome/Anopheles_sialome/links/CDD/anoara_SG2b-CDD.txt","DUF4175")</f>
        <v>DUF4175</v>
      </c>
      <c r="AY825" t="str">
        <f>HYPERLINK("http://www.ncbi.nlm.nih.gov/Structure/cdd/cddsrv.cgi?uid=pfam13779&amp;version=v4.0","1E-004")</f>
        <v>1E-004</v>
      </c>
      <c r="AZ825" t="s">
        <v>3005</v>
      </c>
      <c r="BA825" s="2" t="str">
        <f>HYPERLINK("http://exon.niaid.nih.gov/transcriptome/Anopheles_sialome/links/KOG/anoara_SG2b-KOG.txt","Vesicle coat complex COPII, subunit SFB3")</f>
        <v>Vesicle coat complex COPII, subunit SFB3</v>
      </c>
      <c r="BB825" t="str">
        <f>HYPERLINK("http://www.ncbi.nlm.nih.gov/Structure/cdd/cddsrv.cgi?uid=KOG1984","1E-004")</f>
        <v>1E-004</v>
      </c>
      <c r="BC825" t="s">
        <v>2487</v>
      </c>
      <c r="BD825" t="str">
        <f>HYPERLINK("http://exon.niaid.nih.gov/transcriptome/Anopheles_sialome/links/KOG/anoara_SG2b-KOG.txt","KOG1984")</f>
        <v>KOG1984</v>
      </c>
      <c r="BE825" t="str">
        <f>HYPERLINK("http://exon.niaid.nih.gov/transcriptome/Anopheles_sialome/links/PFAM/anoara_SG2b-PFAM.txt","DUF4175")</f>
        <v>DUF4175</v>
      </c>
      <c r="BF825" t="str">
        <f>HYPERLINK("http://pfam.sanger.ac.uk/family?acc=PF13779","3E-005")</f>
        <v>3E-005</v>
      </c>
      <c r="BG825" s="2" t="str">
        <f>HYPERLINK("http://exon.niaid.nih.gov/transcriptome/Anopheles_sialome/links/SMART/anoara_SG2b-SMART.txt","PRP")</f>
        <v>PRP</v>
      </c>
      <c r="BH825" t="str">
        <f>HYPERLINK("http://smart.embl-heidelberg.de/smart/do_annotation.pl?DOMAIN=PRP&amp;BLAST=DUMMY","4.5")</f>
        <v>4.5</v>
      </c>
      <c r="BI825" t="str">
        <f>HYPERLINK("http://exon.niaid.nih.gov/transcriptome/Anopheles_sialome/links/TICK-BLOCKS/anoara_SG2b-TICK-BLOCKS.txt","SG2_superfamily |")</f>
        <v>SG2_superfamily |</v>
      </c>
      <c r="BJ825" s="2" t="s">
        <v>2986</v>
      </c>
      <c r="BK825" t="s">
        <v>1981</v>
      </c>
      <c r="BL825">
        <f>HYPERLINK("http://exon.niaid.nih.gov/transcriptome/Anopheles_sialome/links/cluster-b/anopheline-sialome-cds-pep-larger-orf25-50SimCLU1.txt", 1)</f>
        <v>1</v>
      </c>
      <c r="BM825">
        <f>HYPERLINK("http://exon.niaid.nih.gov/transcriptome/Anopheles_sialome/links/cluster-b/anopheline-sialome-cds-pep-larger-orf25-50SimCLTL1.txt", 165)</f>
        <v>165</v>
      </c>
      <c r="BN825">
        <f>HYPERLINK("http://exon.niaid.nih.gov/transcriptome/Anopheles_sialome/links/cluster-b/anopheline-sialome-cds-pep-larger-orf30-50SimCLU1.txt", 1)</f>
        <v>1</v>
      </c>
      <c r="BO825">
        <f>HYPERLINK("http://exon.niaid.nih.gov/transcriptome/Anopheles_sialome/links/cluster-b/anopheline-sialome-cds-pep-larger-orf30-50SimCLTL1.txt", 165)</f>
        <v>165</v>
      </c>
      <c r="BP825">
        <f>HYPERLINK("http://exon.niaid.nih.gov/transcriptome/Anopheles_sialome/links/cluster-b/anopheline-sialome-cds-pep-larger-orf35-50SimCLU10.txt", 10)</f>
        <v>10</v>
      </c>
      <c r="BQ825">
        <f>HYPERLINK("http://exon.niaid.nih.gov/transcriptome/Anopheles_sialome/links/cluster-b/anopheline-sialome-cds-pep-larger-orf35-50SimCLTL10.txt", 28)</f>
        <v>28</v>
      </c>
      <c r="BR825">
        <f>HYPERLINK("http://exon.niaid.nih.gov/transcriptome/Anopheles_sialome/links/cluster-b/anopheline-sialome-cds-pep-larger-orf40-50SimCLU10.txt", 10)</f>
        <v>10</v>
      </c>
      <c r="BS825">
        <f>HYPERLINK("http://exon.niaid.nih.gov/transcriptome/Anopheles_sialome/links/cluster-b/anopheline-sialome-cds-pep-larger-orf40-50SimCLTL10.txt", 28)</f>
        <v>28</v>
      </c>
      <c r="BT825">
        <f>HYPERLINK("http://exon.niaid.nih.gov/transcriptome/Anopheles_sialome/links/cluster-b/anopheline-sialome-cds-pep-larger-orf45-50SimCLU9.txt", 9)</f>
        <v>9</v>
      </c>
      <c r="BU825">
        <f>HYPERLINK("http://exon.niaid.nih.gov/transcriptome/Anopheles_sialome/links/cluster-b/anopheline-sialome-cds-pep-larger-orf45-50SimCLTL9.txt", 28)</f>
        <v>28</v>
      </c>
      <c r="BV825">
        <f>HYPERLINK("http://exon.niaid.nih.gov/transcriptome/Anopheles_sialome/links/cluster-b/anopheline-sialome-cds-pep-larger-orf50-50SimCLU10.txt", 10)</f>
        <v>10</v>
      </c>
      <c r="BW825">
        <f>HYPERLINK("http://exon.niaid.nih.gov/transcriptome/Anopheles_sialome/links/cluster-b/anopheline-sialome-cds-pep-larger-orf50-50SimCLTL10.txt", 26)</f>
        <v>26</v>
      </c>
      <c r="BX825">
        <f>HYPERLINK("http://exon.niaid.nih.gov/transcriptome/Anopheles_sialome/links/cluster-b/anopheline-sialome-cds-pep-larger-orf55-50SimCLU11.txt", 11)</f>
        <v>11</v>
      </c>
      <c r="BY825">
        <f>HYPERLINK("http://exon.niaid.nih.gov/transcriptome/Anopheles_sialome/links/cluster-b/anopheline-sialome-cds-pep-larger-orf55-50SimCLTL11.txt", 26)</f>
        <v>26</v>
      </c>
      <c r="BZ825">
        <f>HYPERLINK("http://exon.niaid.nih.gov/transcriptome/Anopheles_sialome/links/cluster-b/anopheline-sialome-cds-pep-larger-orf60-50SimCLU35.txt", 35)</f>
        <v>35</v>
      </c>
      <c r="CA825">
        <f>HYPERLINK("http://exon.niaid.nih.gov/transcriptome/Anopheles_sialome/links/cluster-b/anopheline-sialome-cds-pep-larger-orf60-50SimCLTL35.txt", 11)</f>
        <v>11</v>
      </c>
      <c r="CB825">
        <f>HYPERLINK("http://exon.niaid.nih.gov/transcriptome/Anopheles_sialome/links/cluster-b/anopheline-sialome-cds-pep-larger-orf65-50SimCLU42.txt", 42)</f>
        <v>42</v>
      </c>
      <c r="CC825">
        <f>HYPERLINK("http://exon.niaid.nih.gov/transcriptome/Anopheles_sialome/links/cluster-b/anopheline-sialome-cds-pep-larger-orf65-50SimCLTL42.txt", 6)</f>
        <v>6</v>
      </c>
      <c r="CD825">
        <f>HYPERLINK("http://exon.niaid.nih.gov/transcriptome/Anopheles_sialome/links/cluster-b/anopheline-sialome-cds-pep-larger-orf70-50SimCLU45.txt", 45)</f>
        <v>45</v>
      </c>
      <c r="CE825">
        <f>HYPERLINK("http://exon.niaid.nih.gov/transcriptome/Anopheles_sialome/links/cluster-b/anopheline-sialome-cds-pep-larger-orf70-50SimCLTL45.txt", 5)</f>
        <v>5</v>
      </c>
      <c r="CF825">
        <f>HYPERLINK("http://exon.niaid.nih.gov/transcriptome/Anopheles_sialome/links/cluster-b/anopheline-sialome-cds-pep-larger-orf75-50SimCLU51.txt", 51)</f>
        <v>51</v>
      </c>
      <c r="CG825">
        <f>HYPERLINK("http://exon.niaid.nih.gov/transcriptome/Anopheles_sialome/links/cluster-b/anopheline-sialome-cds-pep-larger-orf75-50SimCLTL51.txt", 5)</f>
        <v>5</v>
      </c>
      <c r="CH825">
        <f>HYPERLINK("http://exon.niaid.nih.gov/transcriptome/Anopheles_sialome/links/cluster-b/anopheline-sialome-cds-pep-larger-orf80-50SimCLU50.txt", 50)</f>
        <v>50</v>
      </c>
      <c r="CI825">
        <f>HYPERLINK("http://exon.niaid.nih.gov/transcriptome/Anopheles_sialome/links/cluster-b/anopheline-sialome-cds-pep-larger-orf80-50SimCLTL50.txt", 5)</f>
        <v>5</v>
      </c>
      <c r="CJ825">
        <f>HYPERLINK("http://exon.niaid.nih.gov/transcriptome/Anopheles_sialome/links/cluster-b/anopheline-sialome-cds-pep-larger-orf85-50SimCLU51.txt", 51)</f>
        <v>51</v>
      </c>
      <c r="CK825">
        <f>HYPERLINK("http://exon.niaid.nih.gov/transcriptome/Anopheles_sialome/links/cluster-b/anopheline-sialome-cds-pep-larger-orf85-50SimCLTL51.txt", 5)</f>
        <v>5</v>
      </c>
      <c r="CL825">
        <f>HYPERLINK("http://exon.niaid.nih.gov/transcriptome/Anopheles_sialome/links/cluster-b/anopheline-sialome-cds-pep-larger-orf90-50SimCLU49.txt", 49)</f>
        <v>49</v>
      </c>
      <c r="CM825">
        <f>HYPERLINK("http://exon.niaid.nih.gov/transcriptome/Anopheles_sialome/links/cluster-b/anopheline-sialome-cds-pep-larger-orf90-50SimCLTL49.txt", 5)</f>
        <v>5</v>
      </c>
      <c r="CN825">
        <v>480</v>
      </c>
      <c r="CO825">
        <v>1</v>
      </c>
    </row>
    <row r="826" spans="1:93">
      <c r="A826" s="2" t="str">
        <f>HYPERLINK("http://exon.niaid.nih.gov/transcriptome/Anopheles_sialome/links/cds/anoqua_SG2b-cds.txt","anoqua_SG2b")</f>
        <v>anoqua_SG2b</v>
      </c>
      <c r="B826">
        <v>522</v>
      </c>
      <c r="C826" t="s">
        <v>528</v>
      </c>
      <c r="D826" t="s">
        <v>7</v>
      </c>
      <c r="E826" t="s">
        <v>5</v>
      </c>
      <c r="F826" t="s">
        <v>1</v>
      </c>
      <c r="G826" t="str">
        <f>HYPERLINK("http://exon.niaid.nih.gov/transcriptome/Anopheles_sialome/links/pep/anoqua_SG2b-pep.txt","anoqua_SG2b")</f>
        <v>anoqua_SG2b</v>
      </c>
      <c r="H826">
        <v>173</v>
      </c>
      <c r="I826">
        <v>0</v>
      </c>
      <c r="J826" s="3" t="str">
        <f>HYPERLINK("http://exon.niaid.nih.gov/transcriptome/Anopheles_sialome/links/Sigp/anoqua_SG2b-SigP.txt","SIG")</f>
        <v>SIG</v>
      </c>
      <c r="K826" t="s">
        <v>925</v>
      </c>
      <c r="L826">
        <v>17.722999999999999</v>
      </c>
      <c r="M826">
        <v>8.4</v>
      </c>
      <c r="N826">
        <v>15.791</v>
      </c>
      <c r="O826">
        <v>7.03</v>
      </c>
      <c r="P826" t="s">
        <v>1984</v>
      </c>
      <c r="Q826" s="3">
        <v>0</v>
      </c>
      <c r="R826" t="s">
        <v>128</v>
      </c>
      <c r="S826" t="s">
        <v>128</v>
      </c>
      <c r="T826" t="s">
        <v>128</v>
      </c>
      <c r="U826" t="s">
        <v>128</v>
      </c>
      <c r="V826" t="s">
        <v>128</v>
      </c>
      <c r="W826" s="3" t="str">
        <f>HYPERLINK("http://exon.niaid.nih.gov/transcriptome/Anopheles_sialome/links/netoglyc/anoqua_SG2b-netoglyc.txt","0")</f>
        <v>0</v>
      </c>
      <c r="X826">
        <v>12.1</v>
      </c>
      <c r="Y826">
        <v>24.9</v>
      </c>
      <c r="Z826">
        <v>6.9</v>
      </c>
      <c r="AA826" t="s">
        <v>654</v>
      </c>
      <c r="AB826" t="s">
        <v>128</v>
      </c>
      <c r="AC826" s="2" t="str">
        <f>HYPERLINK("http://exon.niaid.nih.gov/transcriptome/Anopheles_sialome/links/DIPTERA/anoqua_SG2b-DIPTERA.txt","AGAP006504-PA")</f>
        <v>AGAP006504-PA</v>
      </c>
      <c r="AD826" t="str">
        <f>HYPERLINK("http://www.ncbi.nlm.nih.gov/sutils/blink.cgi?pid=55239274","5E-093")</f>
        <v>5E-093</v>
      </c>
      <c r="AE826" t="str">
        <f>HYPERLINK("http://www.ncbi.nlm.nih.gov/protein/55239274","gi|55239274")</f>
        <v>gi|55239274</v>
      </c>
      <c r="AF826">
        <v>92</v>
      </c>
      <c r="AG826">
        <v>94</v>
      </c>
      <c r="AH826">
        <v>100</v>
      </c>
      <c r="AI826" t="s">
        <v>2285</v>
      </c>
      <c r="AJ826" s="2" t="str">
        <f>HYPERLINK("http://exon.niaid.nih.gov/transcriptome/Anopheles_sialome/links/CULICOMORPHA/anoqua_SG2b-CULICOMORPHA.txt","AGAP006504-PA")</f>
        <v>AGAP006504-PA</v>
      </c>
      <c r="AK826" t="str">
        <f>HYPERLINK("http://www.ncbi.nlm.nih.gov/sutils/blink.cgi?pid=55239274","9E-094")</f>
        <v>9E-094</v>
      </c>
      <c r="AL826" t="str">
        <f>HYPERLINK("http://www.ncbi.nlm.nih.gov/protein/55239274","gi|55239274")</f>
        <v>gi|55239274</v>
      </c>
      <c r="AM826">
        <v>92</v>
      </c>
      <c r="AN826">
        <v>94</v>
      </c>
      <c r="AO826">
        <v>100</v>
      </c>
      <c r="AP826" t="s">
        <v>2285</v>
      </c>
      <c r="AQ826" s="2" t="str">
        <f>HYPERLINK("http://exon.niaid.nih.gov/transcriptome/Anopheles_sialome/links/NR-LIGHT/anoqua_SG2b-NR-LIGHT.txt","AGAP006504-PA")</f>
        <v>AGAP006504-PA</v>
      </c>
      <c r="AR826" t="str">
        <f>HYPERLINK("http://www.ncbi.nlm.nih.gov/sutils/blink.cgi?pid=58388782","1E-092")</f>
        <v>1E-092</v>
      </c>
      <c r="AS826" t="str">
        <f>HYPERLINK("http://www.ncbi.nlm.nih.gov/protein/58388782","gi|58388782")</f>
        <v>gi|58388782</v>
      </c>
      <c r="AT826">
        <v>92</v>
      </c>
      <c r="AU826">
        <v>94</v>
      </c>
      <c r="AV826">
        <v>100</v>
      </c>
      <c r="AW826" t="s">
        <v>2285</v>
      </c>
      <c r="AX826" s="2" t="str">
        <f>HYPERLINK("http://exon.niaid.nih.gov/transcriptome/Anopheles_sialome/links/CDD/anoqua_SG2b-CDD.txt","DUF4175")</f>
        <v>DUF4175</v>
      </c>
      <c r="AY826" t="str">
        <f>HYPERLINK("http://www.ncbi.nlm.nih.gov/Structure/cdd/cddsrv.cgi?uid=pfam13779&amp;version=v4.0","1E-004")</f>
        <v>1E-004</v>
      </c>
      <c r="AZ826" t="s">
        <v>3006</v>
      </c>
      <c r="BA826" s="2" t="str">
        <f>HYPERLINK("http://exon.niaid.nih.gov/transcriptome/Anopheles_sialome/links/KOG/anoqua_SG2b-KOG.txt","Dosage compensation complex, subunit MLE")</f>
        <v>Dosage compensation complex, subunit MLE</v>
      </c>
      <c r="BB826" t="str">
        <f>HYPERLINK("http://www.ncbi.nlm.nih.gov/Structure/cdd/cddsrv.cgi?uid=KOG0921","2E-006")</f>
        <v>2E-006</v>
      </c>
      <c r="BC826" t="s">
        <v>2262</v>
      </c>
      <c r="BD826" t="str">
        <f>HYPERLINK("http://exon.niaid.nih.gov/transcriptome/Anopheles_sialome/links/KOG/anoqua_SG2b-KOG.txt","KOG0921")</f>
        <v>KOG0921</v>
      </c>
      <c r="BE826" t="str">
        <f>HYPERLINK("http://exon.niaid.nih.gov/transcriptome/Anopheles_sialome/links/PFAM/anoqua_SG2b-PFAM.txt","DUF4175")</f>
        <v>DUF4175</v>
      </c>
      <c r="BF826" t="str">
        <f>HYPERLINK("http://pfam.sanger.ac.uk/family?acc=PF13779","2E-005")</f>
        <v>2E-005</v>
      </c>
      <c r="BG826" s="2" t="str">
        <f>HYPERLINK("http://exon.niaid.nih.gov/transcriptome/Anopheles_sialome/links/SMART/anoqua_SG2b-SMART.txt","PRP")</f>
        <v>PRP</v>
      </c>
      <c r="BH826" t="str">
        <f>HYPERLINK("http://smart.embl-heidelberg.de/smart/do_annotation.pl?DOMAIN=PRP&amp;BLAST=DUMMY","1.2")</f>
        <v>1.2</v>
      </c>
      <c r="BI826" t="str">
        <f>HYPERLINK("http://exon.niaid.nih.gov/transcriptome/Anopheles_sialome/links/TICK-BLOCKS/anoqua_SG2b-TICK-BLOCKS.txt","SG2_superfamily |")</f>
        <v>SG2_superfamily |</v>
      </c>
      <c r="BJ826" s="2" t="s">
        <v>2986</v>
      </c>
      <c r="BK826" t="s">
        <v>1983</v>
      </c>
      <c r="BL826">
        <f>HYPERLINK("http://exon.niaid.nih.gov/transcriptome/Anopheles_sialome/links/cluster-b/anopheline-sialome-cds-pep-larger-orf25-50SimCLU1.txt", 1)</f>
        <v>1</v>
      </c>
      <c r="BM826">
        <f>HYPERLINK("http://exon.niaid.nih.gov/transcriptome/Anopheles_sialome/links/cluster-b/anopheline-sialome-cds-pep-larger-orf25-50SimCLTL1.txt", 165)</f>
        <v>165</v>
      </c>
      <c r="BN826">
        <f>HYPERLINK("http://exon.niaid.nih.gov/transcriptome/Anopheles_sialome/links/cluster-b/anopheline-sialome-cds-pep-larger-orf30-50SimCLU1.txt", 1)</f>
        <v>1</v>
      </c>
      <c r="BO826">
        <f>HYPERLINK("http://exon.niaid.nih.gov/transcriptome/Anopheles_sialome/links/cluster-b/anopheline-sialome-cds-pep-larger-orf30-50SimCLTL1.txt", 165)</f>
        <v>165</v>
      </c>
      <c r="BP826">
        <f>HYPERLINK("http://exon.niaid.nih.gov/transcriptome/Anopheles_sialome/links/cluster-b/anopheline-sialome-cds-pep-larger-orf35-50SimCLU10.txt", 10)</f>
        <v>10</v>
      </c>
      <c r="BQ826">
        <f>HYPERLINK("http://exon.niaid.nih.gov/transcriptome/Anopheles_sialome/links/cluster-b/anopheline-sialome-cds-pep-larger-orf35-50SimCLTL10.txt", 28)</f>
        <v>28</v>
      </c>
      <c r="BR826">
        <f>HYPERLINK("http://exon.niaid.nih.gov/transcriptome/Anopheles_sialome/links/cluster-b/anopheline-sialome-cds-pep-larger-orf40-50SimCLU10.txt", 10)</f>
        <v>10</v>
      </c>
      <c r="BS826">
        <f>HYPERLINK("http://exon.niaid.nih.gov/transcriptome/Anopheles_sialome/links/cluster-b/anopheline-sialome-cds-pep-larger-orf40-50SimCLTL10.txt", 28)</f>
        <v>28</v>
      </c>
      <c r="BT826">
        <f>HYPERLINK("http://exon.niaid.nih.gov/transcriptome/Anopheles_sialome/links/cluster-b/anopheline-sialome-cds-pep-larger-orf45-50SimCLU9.txt", 9)</f>
        <v>9</v>
      </c>
      <c r="BU826">
        <f>HYPERLINK("http://exon.niaid.nih.gov/transcriptome/Anopheles_sialome/links/cluster-b/anopheline-sialome-cds-pep-larger-orf45-50SimCLTL9.txt", 28)</f>
        <v>28</v>
      </c>
      <c r="BV826">
        <f>HYPERLINK("http://exon.niaid.nih.gov/transcriptome/Anopheles_sialome/links/cluster-b/anopheline-sialome-cds-pep-larger-orf50-50SimCLU10.txt", 10)</f>
        <v>10</v>
      </c>
      <c r="BW826">
        <f>HYPERLINK("http://exon.niaid.nih.gov/transcriptome/Anopheles_sialome/links/cluster-b/anopheline-sialome-cds-pep-larger-orf50-50SimCLTL10.txt", 26)</f>
        <v>26</v>
      </c>
      <c r="BX826">
        <f>HYPERLINK("http://exon.niaid.nih.gov/transcriptome/Anopheles_sialome/links/cluster-b/anopheline-sialome-cds-pep-larger-orf55-50SimCLU11.txt", 11)</f>
        <v>11</v>
      </c>
      <c r="BY826">
        <f>HYPERLINK("http://exon.niaid.nih.gov/transcriptome/Anopheles_sialome/links/cluster-b/anopheline-sialome-cds-pep-larger-orf55-50SimCLTL11.txt", 26)</f>
        <v>26</v>
      </c>
      <c r="BZ826">
        <f>HYPERLINK("http://exon.niaid.nih.gov/transcriptome/Anopheles_sialome/links/cluster-b/anopheline-sialome-cds-pep-larger-orf60-50SimCLU35.txt", 35)</f>
        <v>35</v>
      </c>
      <c r="CA826">
        <f>HYPERLINK("http://exon.niaid.nih.gov/transcriptome/Anopheles_sialome/links/cluster-b/anopheline-sialome-cds-pep-larger-orf60-50SimCLTL35.txt", 11)</f>
        <v>11</v>
      </c>
      <c r="CB826">
        <f>HYPERLINK("http://exon.niaid.nih.gov/transcriptome/Anopheles_sialome/links/cluster-b/anopheline-sialome-cds-pep-larger-orf65-50SimCLU42.txt", 42)</f>
        <v>42</v>
      </c>
      <c r="CC826">
        <f>HYPERLINK("http://exon.niaid.nih.gov/transcriptome/Anopheles_sialome/links/cluster-b/anopheline-sialome-cds-pep-larger-orf65-50SimCLTL42.txt", 6)</f>
        <v>6</v>
      </c>
      <c r="CD826">
        <f>HYPERLINK("http://exon.niaid.nih.gov/transcriptome/Anopheles_sialome/links/cluster-b/anopheline-sialome-cds-pep-larger-orf70-50SimCLU45.txt", 45)</f>
        <v>45</v>
      </c>
      <c r="CE826">
        <f>HYPERLINK("http://exon.niaid.nih.gov/transcriptome/Anopheles_sialome/links/cluster-b/anopheline-sialome-cds-pep-larger-orf70-50SimCLTL45.txt", 5)</f>
        <v>5</v>
      </c>
      <c r="CF826">
        <f>HYPERLINK("http://exon.niaid.nih.gov/transcriptome/Anopheles_sialome/links/cluster-b/anopheline-sialome-cds-pep-larger-orf75-50SimCLU51.txt", 51)</f>
        <v>51</v>
      </c>
      <c r="CG826">
        <f>HYPERLINK("http://exon.niaid.nih.gov/transcriptome/Anopheles_sialome/links/cluster-b/anopheline-sialome-cds-pep-larger-orf75-50SimCLTL51.txt", 5)</f>
        <v>5</v>
      </c>
      <c r="CH826">
        <f>HYPERLINK("http://exon.niaid.nih.gov/transcriptome/Anopheles_sialome/links/cluster-b/anopheline-sialome-cds-pep-larger-orf80-50SimCLU50.txt", 50)</f>
        <v>50</v>
      </c>
      <c r="CI826">
        <f>HYPERLINK("http://exon.niaid.nih.gov/transcriptome/Anopheles_sialome/links/cluster-b/anopheline-sialome-cds-pep-larger-orf80-50SimCLTL50.txt", 5)</f>
        <v>5</v>
      </c>
      <c r="CJ826">
        <f>HYPERLINK("http://exon.niaid.nih.gov/transcriptome/Anopheles_sialome/links/cluster-b/anopheline-sialome-cds-pep-larger-orf85-50SimCLU51.txt", 51)</f>
        <v>51</v>
      </c>
      <c r="CK826">
        <f>HYPERLINK("http://exon.niaid.nih.gov/transcriptome/Anopheles_sialome/links/cluster-b/anopheline-sialome-cds-pep-larger-orf85-50SimCLTL51.txt", 5)</f>
        <v>5</v>
      </c>
      <c r="CL826">
        <f>HYPERLINK("http://exon.niaid.nih.gov/transcriptome/Anopheles_sialome/links/cluster-b/anopheline-sialome-cds-pep-larger-orf90-50SimCLU49.txt", 49)</f>
        <v>49</v>
      </c>
      <c r="CM826">
        <f>HYPERLINK("http://exon.niaid.nih.gov/transcriptome/Anopheles_sialome/links/cluster-b/anopheline-sialome-cds-pep-larger-orf90-50SimCLTL49.txt", 5)</f>
        <v>5</v>
      </c>
      <c r="CN826">
        <v>481</v>
      </c>
      <c r="CO826">
        <v>1</v>
      </c>
    </row>
    <row r="827" spans="1:93">
      <c r="A827" s="2" t="str">
        <f>HYPERLINK("http://exon.niaid.nih.gov/transcriptome/Anopheles_sialome/links/cds/anomer_SG2b-cds.txt","anomer_SG2b")</f>
        <v>anomer_SG2b</v>
      </c>
      <c r="B827">
        <v>504</v>
      </c>
      <c r="C827" t="s">
        <v>529</v>
      </c>
      <c r="D827" t="s">
        <v>4</v>
      </c>
      <c r="E827" t="s">
        <v>5</v>
      </c>
      <c r="F827" t="s">
        <v>1</v>
      </c>
      <c r="G827" t="str">
        <f>HYPERLINK("http://exon.niaid.nih.gov/transcriptome/Anopheles_sialome/links/pep/anomer_SG2b-pep.txt","anomer_SG2b")</f>
        <v>anomer_SG2b</v>
      </c>
      <c r="H827">
        <v>167</v>
      </c>
      <c r="I827">
        <v>0</v>
      </c>
      <c r="J827" s="3" t="str">
        <f>HYPERLINK("http://exon.niaid.nih.gov/transcriptome/Anopheles_sialome/links/Sigp/anomer_SG2b-SigP.txt","SIG")</f>
        <v>SIG</v>
      </c>
      <c r="K827" t="s">
        <v>925</v>
      </c>
      <c r="L827">
        <v>17.009</v>
      </c>
      <c r="M827">
        <v>9.98</v>
      </c>
      <c r="N827">
        <v>15.106999999999999</v>
      </c>
      <c r="O827">
        <v>8.76</v>
      </c>
      <c r="P827" t="s">
        <v>1986</v>
      </c>
      <c r="Q827" s="3">
        <v>0</v>
      </c>
      <c r="R827" t="s">
        <v>128</v>
      </c>
      <c r="S827" t="s">
        <v>128</v>
      </c>
      <c r="T827" t="s">
        <v>128</v>
      </c>
      <c r="U827" t="s">
        <v>128</v>
      </c>
      <c r="V827" t="s">
        <v>128</v>
      </c>
      <c r="W827" s="3" t="str">
        <f>HYPERLINK("http://exon.niaid.nih.gov/transcriptome/Anopheles_sialome/links/netoglyc/anomer_SG2b-netoglyc.txt","0")</f>
        <v>0</v>
      </c>
      <c r="X827">
        <v>11.4</v>
      </c>
      <c r="Y827">
        <v>24.6</v>
      </c>
      <c r="Z827">
        <v>7.2</v>
      </c>
      <c r="AA827" t="s">
        <v>654</v>
      </c>
      <c r="AB827" t="s">
        <v>128</v>
      </c>
      <c r="AC827" s="2" t="str">
        <f>HYPERLINK("http://exon.niaid.nih.gov/transcriptome/Anopheles_sialome/links/DIPTERA/anomer_SG2b-DIPTERA.txt","gSG2-like protein")</f>
        <v>gSG2-like protein</v>
      </c>
      <c r="AD827" t="str">
        <f>HYPERLINK("http://www.ncbi.nlm.nih.gov/sutils/blink.cgi?pid=13537660","1E-088")</f>
        <v>1E-088</v>
      </c>
      <c r="AE827" t="str">
        <f>HYPERLINK("http://www.ncbi.nlm.nih.gov/protein/13537660","gi|13537660")</f>
        <v>gi|13537660</v>
      </c>
      <c r="AF827">
        <v>92</v>
      </c>
      <c r="AG827">
        <v>95</v>
      </c>
      <c r="AH827">
        <v>99</v>
      </c>
      <c r="AI827" t="s">
        <v>2254</v>
      </c>
      <c r="AJ827" s="2" t="str">
        <f>HYPERLINK("http://exon.niaid.nih.gov/transcriptome/Anopheles_sialome/links/CULICOMORPHA/anomer_SG2b-CULICOMORPHA.txt","gSG2-like protein")</f>
        <v>gSG2-like protein</v>
      </c>
      <c r="AK827" t="str">
        <f>HYPERLINK("http://www.ncbi.nlm.nih.gov/sutils/blink.cgi?pid=13537660","2E-089")</f>
        <v>2E-089</v>
      </c>
      <c r="AL827" t="str">
        <f>HYPERLINK("http://www.ncbi.nlm.nih.gov/protein/13537660","gi|13537660")</f>
        <v>gi|13537660</v>
      </c>
      <c r="AM827">
        <v>92</v>
      </c>
      <c r="AN827">
        <v>95</v>
      </c>
      <c r="AO827">
        <v>99</v>
      </c>
      <c r="AP827" t="s">
        <v>2254</v>
      </c>
      <c r="AQ827" s="2" t="str">
        <f>HYPERLINK("http://exon.niaid.nih.gov/transcriptome/Anopheles_sialome/links/NR-LIGHT/anomer_SG2b-NR-LIGHT.txt","gSG2-like protein")</f>
        <v>gSG2-like protein</v>
      </c>
      <c r="AR827" t="str">
        <f>HYPERLINK("http://www.ncbi.nlm.nih.gov/sutils/blink.cgi?pid=13537660","3E-088")</f>
        <v>3E-088</v>
      </c>
      <c r="AS827" t="str">
        <f>HYPERLINK("http://www.ncbi.nlm.nih.gov/protein/13537660","gi|13537660")</f>
        <v>gi|13537660</v>
      </c>
      <c r="AT827">
        <v>92</v>
      </c>
      <c r="AU827">
        <v>95</v>
      </c>
      <c r="AV827">
        <v>99</v>
      </c>
      <c r="AW827" t="s">
        <v>2254</v>
      </c>
      <c r="AX827" s="2" t="str">
        <f>HYPERLINK("http://exon.niaid.nih.gov/transcriptome/Anopheles_sialome/links/CDD/anomer_SG2b-CDD.txt","DUF4175")</f>
        <v>DUF4175</v>
      </c>
      <c r="AY827" t="str">
        <f>HYPERLINK("http://www.ncbi.nlm.nih.gov/Structure/cdd/cddsrv.cgi?uid=pfam13779&amp;version=v4.0","3E-004")</f>
        <v>3E-004</v>
      </c>
      <c r="AZ827" t="s">
        <v>3007</v>
      </c>
      <c r="BA827" s="2" t="str">
        <f>HYPERLINK("http://exon.niaid.nih.gov/transcriptome/Anopheles_sialome/links/KOG/anomer_SG2b-KOG.txt","5'-3' exonuclease HKE1/RAT1")</f>
        <v>5'-3' exonuclease HKE1/RAT1</v>
      </c>
      <c r="BB827" t="str">
        <f>HYPERLINK("http://www.ncbi.nlm.nih.gov/Structure/cdd/cddsrv.cgi?uid=KOG2044","6E-005")</f>
        <v>6E-005</v>
      </c>
      <c r="BC827" t="s">
        <v>3008</v>
      </c>
      <c r="BD827" t="str">
        <f>HYPERLINK("http://exon.niaid.nih.gov/transcriptome/Anopheles_sialome/links/KOG/anomer_SG2b-KOG.txt","KOG2044")</f>
        <v>KOG2044</v>
      </c>
      <c r="BE827" t="str">
        <f>HYPERLINK("http://exon.niaid.nih.gov/transcriptome/Anopheles_sialome/links/PFAM/anomer_SG2b-PFAM.txt","DUF4175")</f>
        <v>DUF4175</v>
      </c>
      <c r="BF827" t="str">
        <f>HYPERLINK("http://pfam.sanger.ac.uk/family?acc=PF13779","6E-005")</f>
        <v>6E-005</v>
      </c>
      <c r="BG827" s="2" t="str">
        <f>HYPERLINK("http://exon.niaid.nih.gov/transcriptome/Anopheles_sialome/links/SMART/anomer_SG2b-SMART.txt","AP2Ec")</f>
        <v>AP2Ec</v>
      </c>
      <c r="BH827" t="str">
        <f>HYPERLINK("http://smart.embl-heidelberg.de/smart/do_annotation.pl?DOMAIN=AP2Ec&amp;BLAST=DUMMY","2.1")</f>
        <v>2.1</v>
      </c>
      <c r="BI827" t="str">
        <f>HYPERLINK("http://exon.niaid.nih.gov/transcriptome/Anopheles_sialome/links/TICK-BLOCKS/anomer_SG2b-TICK-BLOCKS.txt","SG2_superfamily |")</f>
        <v>SG2_superfamily |</v>
      </c>
      <c r="BJ827" s="2" t="s">
        <v>2986</v>
      </c>
      <c r="BK827" t="s">
        <v>1985</v>
      </c>
      <c r="BL827">
        <f>HYPERLINK("http://exon.niaid.nih.gov/transcriptome/Anopheles_sialome/links/cluster-b/anopheline-sialome-cds-pep-larger-orf25-50SimCLU1.txt", 1)</f>
        <v>1</v>
      </c>
      <c r="BM827">
        <f>HYPERLINK("http://exon.niaid.nih.gov/transcriptome/Anopheles_sialome/links/cluster-b/anopheline-sialome-cds-pep-larger-orf25-50SimCLTL1.txt", 165)</f>
        <v>165</v>
      </c>
      <c r="BN827">
        <f>HYPERLINK("http://exon.niaid.nih.gov/transcriptome/Anopheles_sialome/links/cluster-b/anopheline-sialome-cds-pep-larger-orf30-50SimCLU1.txt", 1)</f>
        <v>1</v>
      </c>
      <c r="BO827">
        <f>HYPERLINK("http://exon.niaid.nih.gov/transcriptome/Anopheles_sialome/links/cluster-b/anopheline-sialome-cds-pep-larger-orf30-50SimCLTL1.txt", 165)</f>
        <v>165</v>
      </c>
      <c r="BP827">
        <f>HYPERLINK("http://exon.niaid.nih.gov/transcriptome/Anopheles_sialome/links/cluster-b/anopheline-sialome-cds-pep-larger-orf35-50SimCLU10.txt", 10)</f>
        <v>10</v>
      </c>
      <c r="BQ827">
        <f>HYPERLINK("http://exon.niaid.nih.gov/transcriptome/Anopheles_sialome/links/cluster-b/anopheline-sialome-cds-pep-larger-orf35-50SimCLTL10.txt", 28)</f>
        <v>28</v>
      </c>
      <c r="BR827">
        <f>HYPERLINK("http://exon.niaid.nih.gov/transcriptome/Anopheles_sialome/links/cluster-b/anopheline-sialome-cds-pep-larger-orf40-50SimCLU10.txt", 10)</f>
        <v>10</v>
      </c>
      <c r="BS827">
        <f>HYPERLINK("http://exon.niaid.nih.gov/transcriptome/Anopheles_sialome/links/cluster-b/anopheline-sialome-cds-pep-larger-orf40-50SimCLTL10.txt", 28)</f>
        <v>28</v>
      </c>
      <c r="BT827">
        <f>HYPERLINK("http://exon.niaid.nih.gov/transcriptome/Anopheles_sialome/links/cluster-b/anopheline-sialome-cds-pep-larger-orf45-50SimCLU9.txt", 9)</f>
        <v>9</v>
      </c>
      <c r="BU827">
        <f>HYPERLINK("http://exon.niaid.nih.gov/transcriptome/Anopheles_sialome/links/cluster-b/anopheline-sialome-cds-pep-larger-orf45-50SimCLTL9.txt", 28)</f>
        <v>28</v>
      </c>
      <c r="BV827">
        <f>HYPERLINK("http://exon.niaid.nih.gov/transcriptome/Anopheles_sialome/links/cluster-b/anopheline-sialome-cds-pep-larger-orf50-50SimCLU10.txt", 10)</f>
        <v>10</v>
      </c>
      <c r="BW827">
        <f>HYPERLINK("http://exon.niaid.nih.gov/transcriptome/Anopheles_sialome/links/cluster-b/anopheline-sialome-cds-pep-larger-orf50-50SimCLTL10.txt", 26)</f>
        <v>26</v>
      </c>
      <c r="BX827">
        <f>HYPERLINK("http://exon.niaid.nih.gov/transcriptome/Anopheles_sialome/links/cluster-b/anopheline-sialome-cds-pep-larger-orf55-50SimCLU11.txt", 11)</f>
        <v>11</v>
      </c>
      <c r="BY827">
        <f>HYPERLINK("http://exon.niaid.nih.gov/transcriptome/Anopheles_sialome/links/cluster-b/anopheline-sialome-cds-pep-larger-orf55-50SimCLTL11.txt", 26)</f>
        <v>26</v>
      </c>
      <c r="BZ827">
        <f>HYPERLINK("http://exon.niaid.nih.gov/transcriptome/Anopheles_sialome/links/cluster-b/anopheline-sialome-cds-pep-larger-orf60-50SimCLU35.txt", 35)</f>
        <v>35</v>
      </c>
      <c r="CA827">
        <f>HYPERLINK("http://exon.niaid.nih.gov/transcriptome/Anopheles_sialome/links/cluster-b/anopheline-sialome-cds-pep-larger-orf60-50SimCLTL35.txt", 11)</f>
        <v>11</v>
      </c>
      <c r="CB827">
        <f>HYPERLINK("http://exon.niaid.nih.gov/transcriptome/Anopheles_sialome/links/cluster-b/anopheline-sialome-cds-pep-larger-orf65-50SimCLU42.txt", 42)</f>
        <v>42</v>
      </c>
      <c r="CC827">
        <f>HYPERLINK("http://exon.niaid.nih.gov/transcriptome/Anopheles_sialome/links/cluster-b/anopheline-sialome-cds-pep-larger-orf65-50SimCLTL42.txt", 6)</f>
        <v>6</v>
      </c>
      <c r="CD827">
        <f>HYPERLINK("http://exon.niaid.nih.gov/transcriptome/Anopheles_sialome/links/cluster-b/anopheline-sialome-cds-pep-larger-orf70-50SimCLU45.txt", 45)</f>
        <v>45</v>
      </c>
      <c r="CE827">
        <f>HYPERLINK("http://exon.niaid.nih.gov/transcriptome/Anopheles_sialome/links/cluster-b/anopheline-sialome-cds-pep-larger-orf70-50SimCLTL45.txt", 5)</f>
        <v>5</v>
      </c>
      <c r="CF827">
        <f>HYPERLINK("http://exon.niaid.nih.gov/transcriptome/Anopheles_sialome/links/cluster-b/anopheline-sialome-cds-pep-larger-orf75-50SimCLU51.txt", 51)</f>
        <v>51</v>
      </c>
      <c r="CG827">
        <f>HYPERLINK("http://exon.niaid.nih.gov/transcriptome/Anopheles_sialome/links/cluster-b/anopheline-sialome-cds-pep-larger-orf75-50SimCLTL51.txt", 5)</f>
        <v>5</v>
      </c>
      <c r="CH827">
        <f>HYPERLINK("http://exon.niaid.nih.gov/transcriptome/Anopheles_sialome/links/cluster-b/anopheline-sialome-cds-pep-larger-orf80-50SimCLU50.txt", 50)</f>
        <v>50</v>
      </c>
      <c r="CI827">
        <f>HYPERLINK("http://exon.niaid.nih.gov/transcriptome/Anopheles_sialome/links/cluster-b/anopheline-sialome-cds-pep-larger-orf80-50SimCLTL50.txt", 5)</f>
        <v>5</v>
      </c>
      <c r="CJ827">
        <f>HYPERLINK("http://exon.niaid.nih.gov/transcriptome/Anopheles_sialome/links/cluster-b/anopheline-sialome-cds-pep-larger-orf85-50SimCLU51.txt", 51)</f>
        <v>51</v>
      </c>
      <c r="CK827">
        <f>HYPERLINK("http://exon.niaid.nih.gov/transcriptome/Anopheles_sialome/links/cluster-b/anopheline-sialome-cds-pep-larger-orf85-50SimCLTL51.txt", 5)</f>
        <v>5</v>
      </c>
      <c r="CL827">
        <f>HYPERLINK("http://exon.niaid.nih.gov/transcriptome/Anopheles_sialome/links/cluster-b/anopheline-sialome-cds-pep-larger-orf90-50SimCLU49.txt", 49)</f>
        <v>49</v>
      </c>
      <c r="CM827">
        <f>HYPERLINK("http://exon.niaid.nih.gov/transcriptome/Anopheles_sialome/links/cluster-b/anopheline-sialome-cds-pep-larger-orf90-50SimCLTL49.txt", 5)</f>
        <v>5</v>
      </c>
      <c r="CN827">
        <v>482</v>
      </c>
      <c r="CO827">
        <v>1</v>
      </c>
    </row>
    <row r="828" spans="1:93">
      <c r="A828" s="2" t="str">
        <f>HYPERLINK("http://exon.niaid.nih.gov/transcriptome/Anopheles_sialome/links/cds/anomel_SG2b-cds.txt","anomel_SG2b")</f>
        <v>anomel_SG2b</v>
      </c>
      <c r="B828">
        <v>510</v>
      </c>
      <c r="C828" t="s">
        <v>530</v>
      </c>
      <c r="D828" t="s">
        <v>4</v>
      </c>
      <c r="E828" t="s">
        <v>5</v>
      </c>
      <c r="F828" t="s">
        <v>1</v>
      </c>
      <c r="G828" t="str">
        <f>HYPERLINK("http://exon.niaid.nih.gov/transcriptome/Anopheles_sialome/links/pep/anomel_SG2b-pep.txt","anomel_SG2b")</f>
        <v>anomel_SG2b</v>
      </c>
      <c r="H828">
        <v>169</v>
      </c>
      <c r="I828">
        <v>0</v>
      </c>
      <c r="J828" s="3" t="str">
        <f>HYPERLINK("http://exon.niaid.nih.gov/transcriptome/Anopheles_sialome/links/Sigp/anomel_SG2b-SigP.txt","SIG")</f>
        <v>SIG</v>
      </c>
      <c r="K828" t="s">
        <v>925</v>
      </c>
      <c r="L828">
        <v>17.454999999999998</v>
      </c>
      <c r="M828">
        <v>7.02</v>
      </c>
      <c r="N828">
        <v>15.464</v>
      </c>
      <c r="O828">
        <v>6.63</v>
      </c>
      <c r="P828" t="s">
        <v>1988</v>
      </c>
      <c r="Q828" s="3">
        <v>0</v>
      </c>
      <c r="R828" t="s">
        <v>128</v>
      </c>
      <c r="S828" t="s">
        <v>128</v>
      </c>
      <c r="T828" t="s">
        <v>128</v>
      </c>
      <c r="U828" t="s">
        <v>128</v>
      </c>
      <c r="V828" t="s">
        <v>128</v>
      </c>
      <c r="W828" s="3" t="str">
        <f>HYPERLINK("http://exon.niaid.nih.gov/transcriptome/Anopheles_sialome/links/netoglyc/anomel_SG2b-netoglyc.txt","1")</f>
        <v>1</v>
      </c>
      <c r="X828">
        <v>12.4</v>
      </c>
      <c r="Y828">
        <v>21.9</v>
      </c>
      <c r="Z828">
        <v>7.1</v>
      </c>
      <c r="AA828" t="s">
        <v>654</v>
      </c>
      <c r="AB828" t="s">
        <v>128</v>
      </c>
      <c r="AC828" s="2" t="str">
        <f>HYPERLINK("http://exon.niaid.nih.gov/transcriptome/Anopheles_sialome/links/DIPTERA/anomel_SG2b-DIPTERA.txt","AGAP006504-PA")</f>
        <v>AGAP006504-PA</v>
      </c>
      <c r="AD828" t="str">
        <f>HYPERLINK("http://www.ncbi.nlm.nih.gov/sutils/blink.cgi?pid=55239274","4E-083")</f>
        <v>4E-083</v>
      </c>
      <c r="AE828" t="str">
        <f>HYPERLINK("http://www.ncbi.nlm.nih.gov/protein/55239274","gi|55239274")</f>
        <v>gi|55239274</v>
      </c>
      <c r="AF828">
        <v>86</v>
      </c>
      <c r="AG828">
        <v>89</v>
      </c>
      <c r="AH828">
        <v>100</v>
      </c>
      <c r="AI828" t="s">
        <v>2285</v>
      </c>
      <c r="AJ828" s="2" t="str">
        <f>HYPERLINK("http://exon.niaid.nih.gov/transcriptome/Anopheles_sialome/links/CULICOMORPHA/anomel_SG2b-CULICOMORPHA.txt","AGAP006504-PA")</f>
        <v>AGAP006504-PA</v>
      </c>
      <c r="AK828" t="str">
        <f>HYPERLINK("http://www.ncbi.nlm.nih.gov/sutils/blink.cgi?pid=55239274","8E-084")</f>
        <v>8E-084</v>
      </c>
      <c r="AL828" t="str">
        <f>HYPERLINK("http://www.ncbi.nlm.nih.gov/protein/55239274","gi|55239274")</f>
        <v>gi|55239274</v>
      </c>
      <c r="AM828">
        <v>86</v>
      </c>
      <c r="AN828">
        <v>89</v>
      </c>
      <c r="AO828">
        <v>100</v>
      </c>
      <c r="AP828" t="s">
        <v>2285</v>
      </c>
      <c r="AQ828" s="2" t="str">
        <f>HYPERLINK("http://exon.niaid.nih.gov/transcriptome/Anopheles_sialome/links/NR-LIGHT/anomel_SG2b-NR-LIGHT.txt","AGAP006504-PA")</f>
        <v>AGAP006504-PA</v>
      </c>
      <c r="AR828" t="str">
        <f>HYPERLINK("http://www.ncbi.nlm.nih.gov/sutils/blink.cgi?pid=58388782","1E-082")</f>
        <v>1E-082</v>
      </c>
      <c r="AS828" t="str">
        <f>HYPERLINK("http://www.ncbi.nlm.nih.gov/protein/58388782","gi|58388782")</f>
        <v>gi|58388782</v>
      </c>
      <c r="AT828">
        <v>86</v>
      </c>
      <c r="AU828">
        <v>89</v>
      </c>
      <c r="AV828">
        <v>100</v>
      </c>
      <c r="AW828" t="s">
        <v>2285</v>
      </c>
      <c r="AX828" s="2" t="str">
        <f>HYPERLINK("http://exon.niaid.nih.gov/transcriptome/Anopheles_sialome/links/CDD/anomel_SG2b-CDD.txt","DUF4175")</f>
        <v>DUF4175</v>
      </c>
      <c r="AY828" t="str">
        <f>HYPERLINK("http://www.ncbi.nlm.nih.gov/Structure/cdd/cddsrv.cgi?uid=pfam13779&amp;version=v4.0","1E-004")</f>
        <v>1E-004</v>
      </c>
      <c r="AZ828" t="s">
        <v>3009</v>
      </c>
      <c r="BA828" s="2" t="str">
        <f>HYPERLINK("http://exon.niaid.nih.gov/transcriptome/Anopheles_sialome/links/KOG/anomel_SG2b-KOG.txt","5'-3' exonuclease HKE1/RAT1")</f>
        <v>5'-3' exonuclease HKE1/RAT1</v>
      </c>
      <c r="BB828" t="str">
        <f>HYPERLINK("http://www.ncbi.nlm.nih.gov/Structure/cdd/cddsrv.cgi?uid=KOG2044","4E-006")</f>
        <v>4E-006</v>
      </c>
      <c r="BC828" t="s">
        <v>3008</v>
      </c>
      <c r="BD828" t="str">
        <f>HYPERLINK("http://exon.niaid.nih.gov/transcriptome/Anopheles_sialome/links/KOG/anomel_SG2b-KOG.txt","KOG2044")</f>
        <v>KOG2044</v>
      </c>
      <c r="BE828" t="str">
        <f>HYPERLINK("http://exon.niaid.nih.gov/transcriptome/Anopheles_sialome/links/PFAM/anomel_SG2b-PFAM.txt","DUF4175")</f>
        <v>DUF4175</v>
      </c>
      <c r="BF828" t="str">
        <f>HYPERLINK("http://pfam.sanger.ac.uk/family?acc=PF13779","3E-005")</f>
        <v>3E-005</v>
      </c>
      <c r="BG828" s="2" t="str">
        <f>HYPERLINK("http://exon.niaid.nih.gov/transcriptome/Anopheles_sialome/links/SMART/anomel_SG2b-SMART.txt","PRP")</f>
        <v>PRP</v>
      </c>
      <c r="BH828" t="str">
        <f>HYPERLINK("http://smart.embl-heidelberg.de/smart/do_annotation.pl?DOMAIN=PRP&amp;BLAST=DUMMY","1.7")</f>
        <v>1.7</v>
      </c>
      <c r="BI828" t="str">
        <f>HYPERLINK("http://exon.niaid.nih.gov/transcriptome/Anopheles_sialome/links/TICK-BLOCKS/anomel_SG2b-TICK-BLOCKS.txt","SG2_superfamily |")</f>
        <v>SG2_superfamily |</v>
      </c>
      <c r="BJ828" s="2" t="s">
        <v>2986</v>
      </c>
      <c r="BK828" t="s">
        <v>1987</v>
      </c>
      <c r="BL828">
        <f>HYPERLINK("http://exon.niaid.nih.gov/transcriptome/Anopheles_sialome/links/cluster-b/anopheline-sialome-cds-pep-larger-orf25-50SimCLU1.txt", 1)</f>
        <v>1</v>
      </c>
      <c r="BM828">
        <f>HYPERLINK("http://exon.niaid.nih.gov/transcriptome/Anopheles_sialome/links/cluster-b/anopheline-sialome-cds-pep-larger-orf25-50SimCLTL1.txt", 165)</f>
        <v>165</v>
      </c>
      <c r="BN828">
        <f>HYPERLINK("http://exon.niaid.nih.gov/transcriptome/Anopheles_sialome/links/cluster-b/anopheline-sialome-cds-pep-larger-orf30-50SimCLU1.txt", 1)</f>
        <v>1</v>
      </c>
      <c r="BO828">
        <f>HYPERLINK("http://exon.niaid.nih.gov/transcriptome/Anopheles_sialome/links/cluster-b/anopheline-sialome-cds-pep-larger-orf30-50SimCLTL1.txt", 165)</f>
        <v>165</v>
      </c>
      <c r="BP828">
        <f>HYPERLINK("http://exon.niaid.nih.gov/transcriptome/Anopheles_sialome/links/cluster-b/anopheline-sialome-cds-pep-larger-orf35-50SimCLU10.txt", 10)</f>
        <v>10</v>
      </c>
      <c r="BQ828">
        <f>HYPERLINK("http://exon.niaid.nih.gov/transcriptome/Anopheles_sialome/links/cluster-b/anopheline-sialome-cds-pep-larger-orf35-50SimCLTL10.txt", 28)</f>
        <v>28</v>
      </c>
      <c r="BR828">
        <f>HYPERLINK("http://exon.niaid.nih.gov/transcriptome/Anopheles_sialome/links/cluster-b/anopheline-sialome-cds-pep-larger-orf40-50SimCLU10.txt", 10)</f>
        <v>10</v>
      </c>
      <c r="BS828">
        <f>HYPERLINK("http://exon.niaid.nih.gov/transcriptome/Anopheles_sialome/links/cluster-b/anopheline-sialome-cds-pep-larger-orf40-50SimCLTL10.txt", 28)</f>
        <v>28</v>
      </c>
      <c r="BT828">
        <f>HYPERLINK("http://exon.niaid.nih.gov/transcriptome/Anopheles_sialome/links/cluster-b/anopheline-sialome-cds-pep-larger-orf45-50SimCLU9.txt", 9)</f>
        <v>9</v>
      </c>
      <c r="BU828">
        <f>HYPERLINK("http://exon.niaid.nih.gov/transcriptome/Anopheles_sialome/links/cluster-b/anopheline-sialome-cds-pep-larger-orf45-50SimCLTL9.txt", 28)</f>
        <v>28</v>
      </c>
      <c r="BV828">
        <f>HYPERLINK("http://exon.niaid.nih.gov/transcriptome/Anopheles_sialome/links/cluster-b/anopheline-sialome-cds-pep-larger-orf50-50SimCLU10.txt", 10)</f>
        <v>10</v>
      </c>
      <c r="BW828">
        <f>HYPERLINK("http://exon.niaid.nih.gov/transcriptome/Anopheles_sialome/links/cluster-b/anopheline-sialome-cds-pep-larger-orf50-50SimCLTL10.txt", 26)</f>
        <v>26</v>
      </c>
      <c r="BX828">
        <f>HYPERLINK("http://exon.niaid.nih.gov/transcriptome/Anopheles_sialome/links/cluster-b/anopheline-sialome-cds-pep-larger-orf55-50SimCLU11.txt", 11)</f>
        <v>11</v>
      </c>
      <c r="BY828">
        <f>HYPERLINK("http://exon.niaid.nih.gov/transcriptome/Anopheles_sialome/links/cluster-b/anopheline-sialome-cds-pep-larger-orf55-50SimCLTL11.txt", 26)</f>
        <v>26</v>
      </c>
      <c r="BZ828">
        <f>HYPERLINK("http://exon.niaid.nih.gov/transcriptome/Anopheles_sialome/links/cluster-b/anopheline-sialome-cds-pep-larger-orf60-50SimCLU35.txt", 35)</f>
        <v>35</v>
      </c>
      <c r="CA828">
        <f>HYPERLINK("http://exon.niaid.nih.gov/transcriptome/Anopheles_sialome/links/cluster-b/anopheline-sialome-cds-pep-larger-orf60-50SimCLTL35.txt", 11)</f>
        <v>11</v>
      </c>
      <c r="CB828">
        <f>HYPERLINK("http://exon.niaid.nih.gov/transcriptome/Anopheles_sialome/links/cluster-b/anopheline-sialome-cds-pep-larger-orf65-50SimCLU42.txt", 42)</f>
        <v>42</v>
      </c>
      <c r="CC828">
        <f>HYPERLINK("http://exon.niaid.nih.gov/transcriptome/Anopheles_sialome/links/cluster-b/anopheline-sialome-cds-pep-larger-orf65-50SimCLTL42.txt", 6)</f>
        <v>6</v>
      </c>
      <c r="CD828">
        <f>HYPERLINK("http://exon.niaid.nih.gov/transcriptome/Anopheles_sialome/links/cluster-b/anopheline-sialome-cds-pep-larger-orf70-50SimCLU45.txt", 45)</f>
        <v>45</v>
      </c>
      <c r="CE828">
        <f>HYPERLINK("http://exon.niaid.nih.gov/transcriptome/Anopheles_sialome/links/cluster-b/anopheline-sialome-cds-pep-larger-orf70-50SimCLTL45.txt", 5)</f>
        <v>5</v>
      </c>
      <c r="CF828">
        <f>HYPERLINK("http://exon.niaid.nih.gov/transcriptome/Anopheles_sialome/links/cluster-b/anopheline-sialome-cds-pep-larger-orf75-50SimCLU51.txt", 51)</f>
        <v>51</v>
      </c>
      <c r="CG828">
        <f>HYPERLINK("http://exon.niaid.nih.gov/transcriptome/Anopheles_sialome/links/cluster-b/anopheline-sialome-cds-pep-larger-orf75-50SimCLTL51.txt", 5)</f>
        <v>5</v>
      </c>
      <c r="CH828">
        <f>HYPERLINK("http://exon.niaid.nih.gov/transcriptome/Anopheles_sialome/links/cluster-b/anopheline-sialome-cds-pep-larger-orf80-50SimCLU50.txt", 50)</f>
        <v>50</v>
      </c>
      <c r="CI828">
        <f>HYPERLINK("http://exon.niaid.nih.gov/transcriptome/Anopheles_sialome/links/cluster-b/anopheline-sialome-cds-pep-larger-orf80-50SimCLTL50.txt", 5)</f>
        <v>5</v>
      </c>
      <c r="CJ828">
        <f>HYPERLINK("http://exon.niaid.nih.gov/transcriptome/Anopheles_sialome/links/cluster-b/anopheline-sialome-cds-pep-larger-orf85-50SimCLU51.txt", 51)</f>
        <v>51</v>
      </c>
      <c r="CK828">
        <f>HYPERLINK("http://exon.niaid.nih.gov/transcriptome/Anopheles_sialome/links/cluster-b/anopheline-sialome-cds-pep-larger-orf85-50SimCLTL51.txt", 5)</f>
        <v>5</v>
      </c>
      <c r="CL828">
        <f>HYPERLINK("http://exon.niaid.nih.gov/transcriptome/Anopheles_sialome/links/cluster-b/anopheline-sialome-cds-pep-larger-orf90-50SimCLU49.txt", 49)</f>
        <v>49</v>
      </c>
      <c r="CM828">
        <f>HYPERLINK("http://exon.niaid.nih.gov/transcriptome/Anopheles_sialome/links/cluster-b/anopheline-sialome-cds-pep-larger-orf90-50SimCLTL49.txt", 5)</f>
        <v>5</v>
      </c>
      <c r="CN828">
        <v>483</v>
      </c>
      <c r="CO828">
        <v>1</v>
      </c>
    </row>
    <row r="829" spans="1:93">
      <c r="A829" s="2" t="str">
        <f>HYPERLINK("http://exon.niaid.nih.gov/transcriptome/Anopheles_sialome/links/cds/anoepi_SG2b-cds.txt","anoepi_SG2b")</f>
        <v>anoepi_SG2b</v>
      </c>
      <c r="B829">
        <v>477</v>
      </c>
      <c r="C829" t="s">
        <v>516</v>
      </c>
      <c r="D829" t="s">
        <v>7</v>
      </c>
      <c r="E829" t="s">
        <v>5</v>
      </c>
      <c r="F829" t="s">
        <v>1</v>
      </c>
      <c r="G829" t="str">
        <f>HYPERLINK("http://exon.niaid.nih.gov/transcriptome/Anopheles_sialome/links/pep/anoepi_SG2b-pep.txt","anoepi_SG2b")</f>
        <v>anoepi_SG2b</v>
      </c>
      <c r="H829">
        <v>158</v>
      </c>
      <c r="I829">
        <v>0</v>
      </c>
      <c r="J829" s="3" t="str">
        <f>HYPERLINK("http://exon.niaid.nih.gov/transcriptome/Anopheles_sialome/links/Sigp/anoepi_SG2b-SigP.txt","SIG")</f>
        <v>SIG</v>
      </c>
      <c r="K829" t="s">
        <v>925</v>
      </c>
      <c r="L829">
        <v>15.737</v>
      </c>
      <c r="M829">
        <v>6.89</v>
      </c>
      <c r="N829">
        <v>13.829000000000001</v>
      </c>
      <c r="O829">
        <v>6.42</v>
      </c>
      <c r="P829" t="s">
        <v>1990</v>
      </c>
      <c r="Q829" s="3">
        <v>0</v>
      </c>
      <c r="R829" t="s">
        <v>128</v>
      </c>
      <c r="S829" t="s">
        <v>128</v>
      </c>
      <c r="T829" t="s">
        <v>128</v>
      </c>
      <c r="U829" t="s">
        <v>128</v>
      </c>
      <c r="V829" t="s">
        <v>128</v>
      </c>
      <c r="W829" s="3" t="str">
        <f>HYPERLINK("http://exon.niaid.nih.gov/transcriptome/Anopheles_sialome/links/netoglyc/anoepi_SG2b-netoglyc.txt","0")</f>
        <v>0</v>
      </c>
      <c r="X829">
        <v>9.5</v>
      </c>
      <c r="Y829">
        <v>24.1</v>
      </c>
      <c r="Z829">
        <v>9.5</v>
      </c>
      <c r="AA829" t="s">
        <v>654</v>
      </c>
      <c r="AB829" t="s">
        <v>128</v>
      </c>
      <c r="AC829" s="2" t="str">
        <f>HYPERLINK("http://exon.niaid.nih.gov/transcriptome/Anopheles_sialome/links/DIPTERA/anoepi_SG2b-DIPTERA.txt","AGAP006504-PA")</f>
        <v>AGAP006504-PA</v>
      </c>
      <c r="AD829" t="str">
        <f>HYPERLINK("http://www.ncbi.nlm.nih.gov/sutils/blink.cgi?pid=55239274","1E-044")</f>
        <v>1E-044</v>
      </c>
      <c r="AE829" t="str">
        <f>HYPERLINK("http://www.ncbi.nlm.nih.gov/protein/55239274","gi|55239274")</f>
        <v>gi|55239274</v>
      </c>
      <c r="AF829">
        <v>56</v>
      </c>
      <c r="AG829">
        <v>61</v>
      </c>
      <c r="AH829">
        <v>101</v>
      </c>
      <c r="AI829" t="s">
        <v>2285</v>
      </c>
      <c r="AJ829" s="2" t="str">
        <f>HYPERLINK("http://exon.niaid.nih.gov/transcriptome/Anopheles_sialome/links/CULICOMORPHA/anoepi_SG2b-CULICOMORPHA.txt","AGAP006504-PA")</f>
        <v>AGAP006504-PA</v>
      </c>
      <c r="AK829" t="str">
        <f>HYPERLINK("http://www.ncbi.nlm.nih.gov/sutils/blink.cgi?pid=55239274","2E-045")</f>
        <v>2E-045</v>
      </c>
      <c r="AL829" t="str">
        <f>HYPERLINK("http://www.ncbi.nlm.nih.gov/protein/55239274","gi|55239274")</f>
        <v>gi|55239274</v>
      </c>
      <c r="AM829">
        <v>56</v>
      </c>
      <c r="AN829">
        <v>61</v>
      </c>
      <c r="AO829">
        <v>101</v>
      </c>
      <c r="AP829" t="s">
        <v>2285</v>
      </c>
      <c r="AQ829" s="2" t="str">
        <f>HYPERLINK("http://exon.niaid.nih.gov/transcriptome/Anopheles_sialome/links/NR-LIGHT/anoepi_SG2b-NR-LIGHT.txt","AGAP006504-PA")</f>
        <v>AGAP006504-PA</v>
      </c>
      <c r="AR829" t="str">
        <f>HYPERLINK("http://www.ncbi.nlm.nih.gov/sutils/blink.cgi?pid=58388782","2E-044")</f>
        <v>2E-044</v>
      </c>
      <c r="AS829" t="str">
        <f>HYPERLINK("http://www.ncbi.nlm.nih.gov/protein/58388782","gi|58388782")</f>
        <v>gi|58388782</v>
      </c>
      <c r="AT829">
        <v>56</v>
      </c>
      <c r="AU829">
        <v>61</v>
      </c>
      <c r="AV829">
        <v>101</v>
      </c>
      <c r="AW829" t="s">
        <v>2285</v>
      </c>
      <c r="AX829" s="2" t="str">
        <f>HYPERLINK("http://exon.niaid.nih.gov/transcriptome/Anopheles_sialome/links/CDD/anoepi_SG2b-CDD.txt","DUF4175")</f>
        <v>DUF4175</v>
      </c>
      <c r="AY829" t="str">
        <f>HYPERLINK("http://www.ncbi.nlm.nih.gov/Structure/cdd/cddsrv.cgi?uid=pfam13779&amp;version=v4.0","0.021")</f>
        <v>0.021</v>
      </c>
      <c r="AZ829" t="s">
        <v>3010</v>
      </c>
      <c r="BA829" s="2" t="str">
        <f>HYPERLINK("http://exon.niaid.nih.gov/transcriptome/Anopheles_sialome/links/KOG/anoepi_SG2b-KOG.txt","Dosage compensation complex, subunit MLE")</f>
        <v>Dosage compensation complex, subunit MLE</v>
      </c>
      <c r="BB829" t="str">
        <f>HYPERLINK("http://www.ncbi.nlm.nih.gov/Structure/cdd/cddsrv.cgi?uid=KOG0921","0.004")</f>
        <v>0.004</v>
      </c>
      <c r="BC829" t="s">
        <v>2262</v>
      </c>
      <c r="BD829" t="str">
        <f>HYPERLINK("http://exon.niaid.nih.gov/transcriptome/Anopheles_sialome/links/KOG/anoepi_SG2b-KOG.txt","KOG0921")</f>
        <v>KOG0921</v>
      </c>
      <c r="BE829" t="str">
        <f>HYPERLINK("http://exon.niaid.nih.gov/transcriptome/Anopheles_sialome/links/PFAM/anoepi_SG2b-PFAM.txt","DUF4175")</f>
        <v>DUF4175</v>
      </c>
      <c r="BF829" t="str">
        <f>HYPERLINK("http://pfam.sanger.ac.uk/family?acc=PF13779","0.005")</f>
        <v>0.005</v>
      </c>
      <c r="BG829" s="2" t="str">
        <f>HYPERLINK("http://exon.niaid.nih.gov/transcriptome/Anopheles_sialome/links/SMART/anoepi_SG2b-SMART.txt","Glyco_18")</f>
        <v>Glyco_18</v>
      </c>
      <c r="BH829" t="str">
        <f>HYPERLINK("http://smart.embl-heidelberg.de/smart/do_annotation.pl?DOMAIN=Glyco_18&amp;BLAST=DUMMY","1.1")</f>
        <v>1.1</v>
      </c>
      <c r="BI829" t="s">
        <v>128</v>
      </c>
      <c r="BJ829" s="2" t="s">
        <v>128</v>
      </c>
      <c r="BK829" t="s">
        <v>1989</v>
      </c>
      <c r="BL829">
        <f>HYPERLINK("http://exon.niaid.nih.gov/transcriptome/Anopheles_sialome/links/cluster-b/anopheline-sialome-cds-pep-larger-orf25-50SimCLU1.txt", 1)</f>
        <v>1</v>
      </c>
      <c r="BM829">
        <f>HYPERLINK("http://exon.niaid.nih.gov/transcriptome/Anopheles_sialome/links/cluster-b/anopheline-sialome-cds-pep-larger-orf25-50SimCLTL1.txt", 165)</f>
        <v>165</v>
      </c>
      <c r="BN829">
        <f>HYPERLINK("http://exon.niaid.nih.gov/transcriptome/Anopheles_sialome/links/cluster-b/anopheline-sialome-cds-pep-larger-orf30-50SimCLU1.txt", 1)</f>
        <v>1</v>
      </c>
      <c r="BO829">
        <f>HYPERLINK("http://exon.niaid.nih.gov/transcriptome/Anopheles_sialome/links/cluster-b/anopheline-sialome-cds-pep-larger-orf30-50SimCLTL1.txt", 165)</f>
        <v>165</v>
      </c>
      <c r="BP829">
        <f>HYPERLINK("http://exon.niaid.nih.gov/transcriptome/Anopheles_sialome/links/cluster-b/anopheline-sialome-cds-pep-larger-orf35-50SimCLU10.txt", 10)</f>
        <v>10</v>
      </c>
      <c r="BQ829">
        <f>HYPERLINK("http://exon.niaid.nih.gov/transcriptome/Anopheles_sialome/links/cluster-b/anopheline-sialome-cds-pep-larger-orf35-50SimCLTL10.txt", 28)</f>
        <v>28</v>
      </c>
      <c r="BR829">
        <f>HYPERLINK("http://exon.niaid.nih.gov/transcriptome/Anopheles_sialome/links/cluster-b/anopheline-sialome-cds-pep-larger-orf40-50SimCLU10.txt", 10)</f>
        <v>10</v>
      </c>
      <c r="BS829">
        <f>HYPERLINK("http://exon.niaid.nih.gov/transcriptome/Anopheles_sialome/links/cluster-b/anopheline-sialome-cds-pep-larger-orf40-50SimCLTL10.txt", 28)</f>
        <v>28</v>
      </c>
      <c r="BT829">
        <f>HYPERLINK("http://exon.niaid.nih.gov/transcriptome/Anopheles_sialome/links/cluster-b/anopheline-sialome-cds-pep-larger-orf45-50SimCLU9.txt", 9)</f>
        <v>9</v>
      </c>
      <c r="BU829">
        <f>HYPERLINK("http://exon.niaid.nih.gov/transcriptome/Anopheles_sialome/links/cluster-b/anopheline-sialome-cds-pep-larger-orf45-50SimCLTL9.txt", 28)</f>
        <v>28</v>
      </c>
      <c r="BV829">
        <f>HYPERLINK("http://exon.niaid.nih.gov/transcriptome/Anopheles_sialome/links/cluster-b/anopheline-sialome-cds-pep-larger-orf50-50SimCLU10.txt", 10)</f>
        <v>10</v>
      </c>
      <c r="BW829">
        <f>HYPERLINK("http://exon.niaid.nih.gov/transcriptome/Anopheles_sialome/links/cluster-b/anopheline-sialome-cds-pep-larger-orf50-50SimCLTL10.txt", 26)</f>
        <v>26</v>
      </c>
      <c r="BX829">
        <f>HYPERLINK("http://exon.niaid.nih.gov/transcriptome/Anopheles_sialome/links/cluster-b/anopheline-sialome-cds-pep-larger-orf55-50SimCLU11.txt", 11)</f>
        <v>11</v>
      </c>
      <c r="BY829">
        <f>HYPERLINK("http://exon.niaid.nih.gov/transcriptome/Anopheles_sialome/links/cluster-b/anopheline-sialome-cds-pep-larger-orf55-50SimCLTL11.txt", 26)</f>
        <v>26</v>
      </c>
      <c r="BZ829">
        <f>HYPERLINK("http://exon.niaid.nih.gov/transcriptome/Anopheles_sialome/links/cluster-b/anopheline-sialome-cds-pep-larger-orf60-50SimCLU35.txt", 35)</f>
        <v>35</v>
      </c>
      <c r="CA829">
        <f>HYPERLINK("http://exon.niaid.nih.gov/transcriptome/Anopheles_sialome/links/cluster-b/anopheline-sialome-cds-pep-larger-orf60-50SimCLTL35.txt", 11)</f>
        <v>11</v>
      </c>
      <c r="CB829">
        <f>HYPERLINK("http://exon.niaid.nih.gov/transcriptome/Anopheles_sialome/links/cluster-b/anopheline-sialome-cds-pep-larger-orf65-50SimCLU42.txt", 42)</f>
        <v>42</v>
      </c>
      <c r="CC829">
        <f>HYPERLINK("http://exon.niaid.nih.gov/transcriptome/Anopheles_sialome/links/cluster-b/anopheline-sialome-cds-pep-larger-orf65-50SimCLTL42.txt", 6)</f>
        <v>6</v>
      </c>
      <c r="CD829">
        <v>114</v>
      </c>
      <c r="CE829">
        <v>1</v>
      </c>
      <c r="CF829">
        <v>164</v>
      </c>
      <c r="CG829">
        <v>1</v>
      </c>
      <c r="CH829">
        <v>231</v>
      </c>
      <c r="CI829">
        <v>1</v>
      </c>
      <c r="CJ829">
        <v>310</v>
      </c>
      <c r="CK829">
        <v>1</v>
      </c>
      <c r="CL829">
        <v>396</v>
      </c>
      <c r="CM829">
        <v>1</v>
      </c>
      <c r="CN829">
        <v>484</v>
      </c>
      <c r="CO829">
        <v>1</v>
      </c>
    </row>
    <row r="830" spans="1:93">
      <c r="A830" s="2" t="str">
        <f>HYPERLINK("http://exon.niaid.nih.gov/transcriptome/Anopheles_sialome/links/cds/anofun_SG2b-cds.txt","anofun_SG2b")</f>
        <v>anofun_SG2b</v>
      </c>
      <c r="B830">
        <v>438</v>
      </c>
      <c r="C830" t="s">
        <v>517</v>
      </c>
      <c r="D830" t="s">
        <v>7</v>
      </c>
      <c r="E830" t="s">
        <v>5</v>
      </c>
      <c r="F830" t="s">
        <v>1</v>
      </c>
      <c r="G830" t="str">
        <f>HYPERLINK("http://exon.niaid.nih.gov/transcriptome/Anopheles_sialome/links/pep/anofun_SG2b-pep.txt","anofun_SG2b")</f>
        <v>anofun_SG2b</v>
      </c>
      <c r="H830">
        <v>145</v>
      </c>
      <c r="I830">
        <v>0</v>
      </c>
      <c r="J830" s="3" t="str">
        <f>HYPERLINK("http://exon.niaid.nih.gov/transcriptome/Anopheles_sialome/links/Sigp/anofun_SG2b-SigP.txt","SIG")</f>
        <v>SIG</v>
      </c>
      <c r="K830" t="s">
        <v>925</v>
      </c>
      <c r="L830">
        <v>14.994</v>
      </c>
      <c r="M830">
        <v>9.69</v>
      </c>
      <c r="N830">
        <v>13.106</v>
      </c>
      <c r="O830">
        <v>8.61</v>
      </c>
      <c r="P830" t="s">
        <v>1992</v>
      </c>
      <c r="Q830" s="3">
        <v>0</v>
      </c>
      <c r="R830" t="s">
        <v>128</v>
      </c>
      <c r="S830" t="s">
        <v>128</v>
      </c>
      <c r="T830" t="s">
        <v>128</v>
      </c>
      <c r="U830" t="s">
        <v>128</v>
      </c>
      <c r="V830" t="s">
        <v>128</v>
      </c>
      <c r="W830" s="3" t="str">
        <f>HYPERLINK("http://exon.niaid.nih.gov/transcriptome/Anopheles_sialome/links/netoglyc/anofun_SG2b-netoglyc.txt","0")</f>
        <v>0</v>
      </c>
      <c r="X830">
        <v>11</v>
      </c>
      <c r="Y830">
        <v>23.4</v>
      </c>
      <c r="Z830">
        <v>8.3000000000000007</v>
      </c>
      <c r="AA830" t="s">
        <v>654</v>
      </c>
      <c r="AB830" t="s">
        <v>128</v>
      </c>
      <c r="AC830" s="2" t="str">
        <f>HYPERLINK("http://exon.niaid.nih.gov/transcriptome/Anopheles_sialome/links/DIPTERA/anofun_SG2b-DIPTERA.txt","sg2a salivary protein")</f>
        <v>sg2a salivary protein</v>
      </c>
      <c r="AD830" t="str">
        <f>HYPERLINK("http://www.ncbi.nlm.nih.gov/sutils/blink.cgi?pid=114864600","5E-082")</f>
        <v>5E-082</v>
      </c>
      <c r="AE830" t="str">
        <f>HYPERLINK("http://www.ncbi.nlm.nih.gov/protein/114864600","gi|114864600")</f>
        <v>gi|114864600</v>
      </c>
      <c r="AF830">
        <v>96</v>
      </c>
      <c r="AG830">
        <v>98</v>
      </c>
      <c r="AH830">
        <v>100</v>
      </c>
      <c r="AI830" t="s">
        <v>2266</v>
      </c>
      <c r="AJ830" s="2" t="str">
        <f>HYPERLINK("http://exon.niaid.nih.gov/transcriptome/Anopheles_sialome/links/CULICOMORPHA/anofun_SG2b-CULICOMORPHA.txt","sg2a salivary protein")</f>
        <v>sg2a salivary protein</v>
      </c>
      <c r="AK830" t="str">
        <f>HYPERLINK("http://www.ncbi.nlm.nih.gov/sutils/blink.cgi?pid=114864600","1E-082")</f>
        <v>1E-082</v>
      </c>
      <c r="AL830" t="str">
        <f>HYPERLINK("http://www.ncbi.nlm.nih.gov/protein/114864600","gi|114864600")</f>
        <v>gi|114864600</v>
      </c>
      <c r="AM830">
        <v>96</v>
      </c>
      <c r="AN830">
        <v>98</v>
      </c>
      <c r="AO830">
        <v>100</v>
      </c>
      <c r="AP830" t="s">
        <v>2266</v>
      </c>
      <c r="AQ830" s="2" t="str">
        <f>HYPERLINK("http://exon.niaid.nih.gov/transcriptome/Anopheles_sialome/links/NR-LIGHT/anofun_SG2b-NR-LIGHT.txt","sg2a salivary protein")</f>
        <v>sg2a salivary protein</v>
      </c>
      <c r="AR830" t="str">
        <f>HYPERLINK("http://www.ncbi.nlm.nih.gov/sutils/blink.cgi?pid=114864600","1E-081")</f>
        <v>1E-081</v>
      </c>
      <c r="AS830" t="str">
        <f>HYPERLINK("http://www.ncbi.nlm.nih.gov/protein/114864600","gi|114864600")</f>
        <v>gi|114864600</v>
      </c>
      <c r="AT830">
        <v>96</v>
      </c>
      <c r="AU830">
        <v>98</v>
      </c>
      <c r="AV830">
        <v>100</v>
      </c>
      <c r="AW830" t="s">
        <v>2266</v>
      </c>
      <c r="AX830" s="2" t="str">
        <f>HYPERLINK("http://exon.niaid.nih.gov/transcriptome/Anopheles_sialome/links/CDD/anofun_SG2b-CDD.txt","DUF4175")</f>
        <v>DUF4175</v>
      </c>
      <c r="AY830" t="str">
        <f>HYPERLINK("http://www.ncbi.nlm.nih.gov/Structure/cdd/cddsrv.cgi?uid=pfam13779&amp;version=v4.0","0.027")</f>
        <v>0.027</v>
      </c>
      <c r="AZ830" t="s">
        <v>3011</v>
      </c>
      <c r="BA830" s="2" t="str">
        <f>HYPERLINK("http://exon.niaid.nih.gov/transcriptome/Anopheles_sialome/links/KOG/anofun_SG2b-KOG.txt","5'-3' exonuclease HKE1/RAT1")</f>
        <v>5'-3' exonuclease HKE1/RAT1</v>
      </c>
      <c r="BB830" t="str">
        <f>HYPERLINK("http://www.ncbi.nlm.nih.gov/Structure/cdd/cddsrv.cgi?uid=KOG2044","9E-005")</f>
        <v>9E-005</v>
      </c>
      <c r="BC830" t="s">
        <v>3008</v>
      </c>
      <c r="BD830" t="str">
        <f>HYPERLINK("http://exon.niaid.nih.gov/transcriptome/Anopheles_sialome/links/KOG/anofun_SG2b-KOG.txt","KOG2044")</f>
        <v>KOG2044</v>
      </c>
      <c r="BE830" t="str">
        <f>HYPERLINK("http://exon.niaid.nih.gov/transcriptome/Anopheles_sialome/links/PFAM/anofun_SG2b-PFAM.txt","DUF4175")</f>
        <v>DUF4175</v>
      </c>
      <c r="BF830" t="str">
        <f>HYPERLINK("http://pfam.sanger.ac.uk/family?acc=PF13779","0.006")</f>
        <v>0.006</v>
      </c>
      <c r="BG830" s="2" t="str">
        <f>HYPERLINK("http://exon.niaid.nih.gov/transcriptome/Anopheles_sialome/links/SMART/anofun_SG2b-SMART.txt","Amelin")</f>
        <v>Amelin</v>
      </c>
      <c r="BH830" t="str">
        <f>HYPERLINK("http://smart.embl-heidelberg.de/smart/do_annotation.pl?DOMAIN=Amelin&amp;BLAST=DUMMY","0.54")</f>
        <v>0.54</v>
      </c>
      <c r="BI830" t="str">
        <f>HYPERLINK("http://exon.niaid.nih.gov/transcriptome/Anopheles_sialome/links/TICK-BLOCKS/anofun_SG2b-TICK-BLOCKS.txt","SG2_superfamily |")</f>
        <v>SG2_superfamily |</v>
      </c>
      <c r="BJ830" s="2" t="s">
        <v>2986</v>
      </c>
      <c r="BK830" t="s">
        <v>1991</v>
      </c>
      <c r="BL830">
        <f>HYPERLINK("http://exon.niaid.nih.gov/transcriptome/Anopheles_sialome/links/cluster-b/anopheline-sialome-cds-pep-larger-orf25-50SimCLU1.txt", 1)</f>
        <v>1</v>
      </c>
      <c r="BM830">
        <f>HYPERLINK("http://exon.niaid.nih.gov/transcriptome/Anopheles_sialome/links/cluster-b/anopheline-sialome-cds-pep-larger-orf25-50SimCLTL1.txt", 165)</f>
        <v>165</v>
      </c>
      <c r="BN830">
        <f>HYPERLINK("http://exon.niaid.nih.gov/transcriptome/Anopheles_sialome/links/cluster-b/anopheline-sialome-cds-pep-larger-orf30-50SimCLU1.txt", 1)</f>
        <v>1</v>
      </c>
      <c r="BO830">
        <f>HYPERLINK("http://exon.niaid.nih.gov/transcriptome/Anopheles_sialome/links/cluster-b/anopheline-sialome-cds-pep-larger-orf30-50SimCLTL1.txt", 165)</f>
        <v>165</v>
      </c>
      <c r="BP830">
        <f>HYPERLINK("http://exon.niaid.nih.gov/transcriptome/Anopheles_sialome/links/cluster-b/anopheline-sialome-cds-pep-larger-orf35-50SimCLU10.txt", 10)</f>
        <v>10</v>
      </c>
      <c r="BQ830">
        <f>HYPERLINK("http://exon.niaid.nih.gov/transcriptome/Anopheles_sialome/links/cluster-b/anopheline-sialome-cds-pep-larger-orf35-50SimCLTL10.txt", 28)</f>
        <v>28</v>
      </c>
      <c r="BR830">
        <f>HYPERLINK("http://exon.niaid.nih.gov/transcriptome/Anopheles_sialome/links/cluster-b/anopheline-sialome-cds-pep-larger-orf40-50SimCLU10.txt", 10)</f>
        <v>10</v>
      </c>
      <c r="BS830">
        <f>HYPERLINK("http://exon.niaid.nih.gov/transcriptome/Anopheles_sialome/links/cluster-b/anopheline-sialome-cds-pep-larger-orf40-50SimCLTL10.txt", 28)</f>
        <v>28</v>
      </c>
      <c r="BT830">
        <f>HYPERLINK("http://exon.niaid.nih.gov/transcriptome/Anopheles_sialome/links/cluster-b/anopheline-sialome-cds-pep-larger-orf45-50SimCLU9.txt", 9)</f>
        <v>9</v>
      </c>
      <c r="BU830">
        <f>HYPERLINK("http://exon.niaid.nih.gov/transcriptome/Anopheles_sialome/links/cluster-b/anopheline-sialome-cds-pep-larger-orf45-50SimCLTL9.txt", 28)</f>
        <v>28</v>
      </c>
      <c r="BV830">
        <f>HYPERLINK("http://exon.niaid.nih.gov/transcriptome/Anopheles_sialome/links/cluster-b/anopheline-sialome-cds-pep-larger-orf50-50SimCLU10.txt", 10)</f>
        <v>10</v>
      </c>
      <c r="BW830">
        <f>HYPERLINK("http://exon.niaid.nih.gov/transcriptome/Anopheles_sialome/links/cluster-b/anopheline-sialome-cds-pep-larger-orf50-50SimCLTL10.txt", 26)</f>
        <v>26</v>
      </c>
      <c r="BX830">
        <f>HYPERLINK("http://exon.niaid.nih.gov/transcriptome/Anopheles_sialome/links/cluster-b/anopheline-sialome-cds-pep-larger-orf55-50SimCLU11.txt", 11)</f>
        <v>11</v>
      </c>
      <c r="BY830">
        <f>HYPERLINK("http://exon.niaid.nih.gov/transcriptome/Anopheles_sialome/links/cluster-b/anopheline-sialome-cds-pep-larger-orf55-50SimCLTL11.txt", 26)</f>
        <v>26</v>
      </c>
      <c r="BZ830">
        <f>HYPERLINK("http://exon.niaid.nih.gov/transcriptome/Anopheles_sialome/links/cluster-b/anopheline-sialome-cds-pep-larger-orf60-50SimCLU35.txt", 35)</f>
        <v>35</v>
      </c>
      <c r="CA830">
        <f>HYPERLINK("http://exon.niaid.nih.gov/transcriptome/Anopheles_sialome/links/cluster-b/anopheline-sialome-cds-pep-larger-orf60-50SimCLTL35.txt", 11)</f>
        <v>11</v>
      </c>
      <c r="CB830">
        <f>HYPERLINK("http://exon.niaid.nih.gov/transcriptome/Anopheles_sialome/links/cluster-b/anopheline-sialome-cds-pep-larger-orf65-50SimCLU43.txt", 43)</f>
        <v>43</v>
      </c>
      <c r="CC830">
        <f>HYPERLINK("http://exon.niaid.nih.gov/transcriptome/Anopheles_sialome/links/cluster-b/anopheline-sialome-cds-pep-larger-orf65-50SimCLTL43.txt", 5)</f>
        <v>5</v>
      </c>
      <c r="CD830">
        <f>HYPERLINK("http://exon.niaid.nih.gov/transcriptome/Anopheles_sialome/links/cluster-b/anopheline-sialome-cds-pep-larger-orf70-50SimCLU68.txt", 68)</f>
        <v>68</v>
      </c>
      <c r="CE830">
        <f>HYPERLINK("http://exon.niaid.nih.gov/transcriptome/Anopheles_sialome/links/cluster-b/anopheline-sialome-cds-pep-larger-orf70-50SimCLTL68.txt", 2)</f>
        <v>2</v>
      </c>
      <c r="CF830">
        <f>HYPERLINK("http://exon.niaid.nih.gov/transcriptome/Anopheles_sialome/links/cluster-b/anopheline-sialome-cds-pep-larger-orf75-50SimCLU84.txt", 84)</f>
        <v>84</v>
      </c>
      <c r="CG830">
        <f>HYPERLINK("http://exon.niaid.nih.gov/transcriptome/Anopheles_sialome/links/cluster-b/anopheline-sialome-cds-pep-larger-orf75-50SimCLTL84.txt", 2)</f>
        <v>2</v>
      </c>
      <c r="CH830">
        <v>232</v>
      </c>
      <c r="CI830">
        <v>1</v>
      </c>
      <c r="CJ830">
        <v>311</v>
      </c>
      <c r="CK830">
        <v>1</v>
      </c>
      <c r="CL830">
        <v>397</v>
      </c>
      <c r="CM830">
        <v>1</v>
      </c>
      <c r="CN830">
        <v>485</v>
      </c>
      <c r="CO830">
        <v>1</v>
      </c>
    </row>
    <row r="831" spans="1:93">
      <c r="A831" s="2" t="str">
        <f>HYPERLINK("http://exon.niaid.nih.gov/transcriptome/Anopheles_sialome/links/cds/anomin_SG2b-cds.txt","anomin_SG2b")</f>
        <v>anomin_SG2b</v>
      </c>
      <c r="B831">
        <v>441</v>
      </c>
      <c r="C831" t="s">
        <v>518</v>
      </c>
      <c r="D831" t="s">
        <v>7</v>
      </c>
      <c r="E831" t="s">
        <v>5</v>
      </c>
      <c r="F831" t="s">
        <v>1</v>
      </c>
      <c r="G831" t="str">
        <f>HYPERLINK("http://exon.niaid.nih.gov/transcriptome/Anopheles_sialome/links/pep/anomin_SG2b-pep.txt","anomin_SG2b")</f>
        <v>anomin_SG2b</v>
      </c>
      <c r="H831">
        <v>146</v>
      </c>
      <c r="I831">
        <v>0</v>
      </c>
      <c r="J831" s="3" t="str">
        <f>HYPERLINK("http://exon.niaid.nih.gov/transcriptome/Anopheles_sialome/links/Sigp/anomin_SG2b-SigP.txt","SIG")</f>
        <v>SIG</v>
      </c>
      <c r="K831" t="s">
        <v>925</v>
      </c>
      <c r="L831">
        <v>14.798999999999999</v>
      </c>
      <c r="M831">
        <v>11</v>
      </c>
      <c r="N831">
        <v>12.877000000000001</v>
      </c>
      <c r="O831">
        <v>10.9</v>
      </c>
      <c r="P831" t="s">
        <v>1355</v>
      </c>
      <c r="Q831" s="3">
        <v>0</v>
      </c>
      <c r="R831" t="s">
        <v>128</v>
      </c>
      <c r="S831" t="s">
        <v>128</v>
      </c>
      <c r="T831" t="s">
        <v>128</v>
      </c>
      <c r="U831" t="s">
        <v>128</v>
      </c>
      <c r="V831" t="s">
        <v>128</v>
      </c>
      <c r="W831" s="3" t="str">
        <f>HYPERLINK("http://exon.niaid.nih.gov/transcriptome/Anopheles_sialome/links/netoglyc/anomin_SG2b-netoglyc.txt","2")</f>
        <v>2</v>
      </c>
      <c r="X831">
        <v>12.3</v>
      </c>
      <c r="Y831">
        <v>26</v>
      </c>
      <c r="Z831">
        <v>8.9</v>
      </c>
      <c r="AA831" t="s">
        <v>654</v>
      </c>
      <c r="AB831" t="s">
        <v>128</v>
      </c>
      <c r="AC831" s="2" t="str">
        <f>HYPERLINK("http://exon.niaid.nih.gov/transcriptome/Anopheles_sialome/links/DIPTERA/anomin_SG2b-DIPTERA.txt","sg2a salivary protein")</f>
        <v>sg2a salivary protein</v>
      </c>
      <c r="AD831" t="str">
        <f>HYPERLINK("http://www.ncbi.nlm.nih.gov/sutils/blink.cgi?pid=114864600","3E-054")</f>
        <v>3E-054</v>
      </c>
      <c r="AE831" t="str">
        <f>HYPERLINK("http://www.ncbi.nlm.nih.gov/protein/114864600","gi|114864600")</f>
        <v>gi|114864600</v>
      </c>
      <c r="AF831">
        <v>70</v>
      </c>
      <c r="AG831">
        <v>74</v>
      </c>
      <c r="AH831">
        <v>106</v>
      </c>
      <c r="AI831" t="s">
        <v>2266</v>
      </c>
      <c r="AJ831" s="2" t="str">
        <f>HYPERLINK("http://exon.niaid.nih.gov/transcriptome/Anopheles_sialome/links/CULICOMORPHA/anomin_SG2b-CULICOMORPHA.txt","sg2a salivary protein")</f>
        <v>sg2a salivary protein</v>
      </c>
      <c r="AK831" t="str">
        <f>HYPERLINK("http://www.ncbi.nlm.nih.gov/sutils/blink.cgi?pid=114864600","7E-055")</f>
        <v>7E-055</v>
      </c>
      <c r="AL831" t="str">
        <f>HYPERLINK("http://www.ncbi.nlm.nih.gov/protein/114864600","gi|114864600")</f>
        <v>gi|114864600</v>
      </c>
      <c r="AM831">
        <v>70</v>
      </c>
      <c r="AN831">
        <v>74</v>
      </c>
      <c r="AO831">
        <v>106</v>
      </c>
      <c r="AP831" t="s">
        <v>2266</v>
      </c>
      <c r="AQ831" s="2" t="str">
        <f>HYPERLINK("http://exon.niaid.nih.gov/transcriptome/Anopheles_sialome/links/NR-LIGHT/anomin_SG2b-NR-LIGHT.txt","sg2a salivary protein")</f>
        <v>sg2a salivary protein</v>
      </c>
      <c r="AR831" t="str">
        <f>HYPERLINK("http://www.ncbi.nlm.nih.gov/sutils/blink.cgi?pid=114864600","9E-054")</f>
        <v>9E-054</v>
      </c>
      <c r="AS831" t="str">
        <f>HYPERLINK("http://www.ncbi.nlm.nih.gov/protein/114864600","gi|114864600")</f>
        <v>gi|114864600</v>
      </c>
      <c r="AT831">
        <v>70</v>
      </c>
      <c r="AU831">
        <v>74</v>
      </c>
      <c r="AV831">
        <v>106</v>
      </c>
      <c r="AW831" t="s">
        <v>2266</v>
      </c>
      <c r="AX831" s="2" t="str">
        <f>HYPERLINK("http://exon.niaid.nih.gov/transcriptome/Anopheles_sialome/links/CDD/anomin_SG2b-CDD.txt","DUF1517")</f>
        <v>DUF1517</v>
      </c>
      <c r="AY831" t="str">
        <f>HYPERLINK("http://www.ncbi.nlm.nih.gov/Structure/cdd/cddsrv.cgi?uid=pfam07466&amp;version=v4.0","0.054")</f>
        <v>0.054</v>
      </c>
      <c r="AZ831" t="s">
        <v>3012</v>
      </c>
      <c r="BA831" s="2" t="str">
        <f>HYPERLINK("http://exon.niaid.nih.gov/transcriptome/Anopheles_sialome/links/KOG/anomin_SG2b-KOG.txt","5'-3' exonuclease HKE1/RAT1")</f>
        <v>5'-3' exonuclease HKE1/RAT1</v>
      </c>
      <c r="BB831" t="str">
        <f>HYPERLINK("http://www.ncbi.nlm.nih.gov/Structure/cdd/cddsrv.cgi?uid=KOG2044","7E-006")</f>
        <v>7E-006</v>
      </c>
      <c r="BC831" t="s">
        <v>3008</v>
      </c>
      <c r="BD831" t="str">
        <f>HYPERLINK("http://exon.niaid.nih.gov/transcriptome/Anopheles_sialome/links/KOG/anomin_SG2b-KOG.txt","KOG2044")</f>
        <v>KOG2044</v>
      </c>
      <c r="BE831" t="str">
        <f>HYPERLINK("http://exon.niaid.nih.gov/transcriptome/Anopheles_sialome/links/PFAM/anomin_SG2b-PFAM.txt","DUF1517")</f>
        <v>DUF1517</v>
      </c>
      <c r="BF831" t="str">
        <f>HYPERLINK("http://pfam.sanger.ac.uk/family?acc=PF07466","0.012")</f>
        <v>0.012</v>
      </c>
      <c r="BG831" s="2" t="str">
        <f>HYPERLINK("http://exon.niaid.nih.gov/transcriptome/Anopheles_sialome/links/SMART/anomin_SG2b-SMART.txt","PRP")</f>
        <v>PRP</v>
      </c>
      <c r="BH831" t="str">
        <f>HYPERLINK("http://smart.embl-heidelberg.de/smart/do_annotation.pl?DOMAIN=PRP&amp;BLAST=DUMMY","1.9")</f>
        <v>1.9</v>
      </c>
      <c r="BI831" t="s">
        <v>128</v>
      </c>
      <c r="BJ831" s="2" t="s">
        <v>128</v>
      </c>
      <c r="BK831" t="s">
        <v>1993</v>
      </c>
      <c r="BL831">
        <f>HYPERLINK("http://exon.niaid.nih.gov/transcriptome/Anopheles_sialome/links/cluster-b/anopheline-sialome-cds-pep-larger-orf25-50SimCLU1.txt", 1)</f>
        <v>1</v>
      </c>
      <c r="BM831">
        <f>HYPERLINK("http://exon.niaid.nih.gov/transcriptome/Anopheles_sialome/links/cluster-b/anopheline-sialome-cds-pep-larger-orf25-50SimCLTL1.txt", 165)</f>
        <v>165</v>
      </c>
      <c r="BN831">
        <f>HYPERLINK("http://exon.niaid.nih.gov/transcriptome/Anopheles_sialome/links/cluster-b/anopheline-sialome-cds-pep-larger-orf30-50SimCLU1.txt", 1)</f>
        <v>1</v>
      </c>
      <c r="BO831">
        <f>HYPERLINK("http://exon.niaid.nih.gov/transcriptome/Anopheles_sialome/links/cluster-b/anopheline-sialome-cds-pep-larger-orf30-50SimCLTL1.txt", 165)</f>
        <v>165</v>
      </c>
      <c r="BP831">
        <f>HYPERLINK("http://exon.niaid.nih.gov/transcriptome/Anopheles_sialome/links/cluster-b/anopheline-sialome-cds-pep-larger-orf35-50SimCLU10.txt", 10)</f>
        <v>10</v>
      </c>
      <c r="BQ831">
        <f>HYPERLINK("http://exon.niaid.nih.gov/transcriptome/Anopheles_sialome/links/cluster-b/anopheline-sialome-cds-pep-larger-orf35-50SimCLTL10.txt", 28)</f>
        <v>28</v>
      </c>
      <c r="BR831">
        <f>HYPERLINK("http://exon.niaid.nih.gov/transcriptome/Anopheles_sialome/links/cluster-b/anopheline-sialome-cds-pep-larger-orf40-50SimCLU10.txt", 10)</f>
        <v>10</v>
      </c>
      <c r="BS831">
        <f>HYPERLINK("http://exon.niaid.nih.gov/transcriptome/Anopheles_sialome/links/cluster-b/anopheline-sialome-cds-pep-larger-orf40-50SimCLTL10.txt", 28)</f>
        <v>28</v>
      </c>
      <c r="BT831">
        <f>HYPERLINK("http://exon.niaid.nih.gov/transcriptome/Anopheles_sialome/links/cluster-b/anopheline-sialome-cds-pep-larger-orf45-50SimCLU9.txt", 9)</f>
        <v>9</v>
      </c>
      <c r="BU831">
        <f>HYPERLINK("http://exon.niaid.nih.gov/transcriptome/Anopheles_sialome/links/cluster-b/anopheline-sialome-cds-pep-larger-orf45-50SimCLTL9.txt", 28)</f>
        <v>28</v>
      </c>
      <c r="BV831">
        <f>HYPERLINK("http://exon.niaid.nih.gov/transcriptome/Anopheles_sialome/links/cluster-b/anopheline-sialome-cds-pep-larger-orf50-50SimCLU10.txt", 10)</f>
        <v>10</v>
      </c>
      <c r="BW831">
        <f>HYPERLINK("http://exon.niaid.nih.gov/transcriptome/Anopheles_sialome/links/cluster-b/anopheline-sialome-cds-pep-larger-orf50-50SimCLTL10.txt", 26)</f>
        <v>26</v>
      </c>
      <c r="BX831">
        <f>HYPERLINK("http://exon.niaid.nih.gov/transcriptome/Anopheles_sialome/links/cluster-b/anopheline-sialome-cds-pep-larger-orf55-50SimCLU11.txt", 11)</f>
        <v>11</v>
      </c>
      <c r="BY831">
        <f>HYPERLINK("http://exon.niaid.nih.gov/transcriptome/Anopheles_sialome/links/cluster-b/anopheline-sialome-cds-pep-larger-orf55-50SimCLTL11.txt", 26)</f>
        <v>26</v>
      </c>
      <c r="BZ831">
        <f>HYPERLINK("http://exon.niaid.nih.gov/transcriptome/Anopheles_sialome/links/cluster-b/anopheline-sialome-cds-pep-larger-orf60-50SimCLU35.txt", 35)</f>
        <v>35</v>
      </c>
      <c r="CA831">
        <f>HYPERLINK("http://exon.niaid.nih.gov/transcriptome/Anopheles_sialome/links/cluster-b/anopheline-sialome-cds-pep-larger-orf60-50SimCLTL35.txt", 11)</f>
        <v>11</v>
      </c>
      <c r="CB831">
        <f>HYPERLINK("http://exon.niaid.nih.gov/transcriptome/Anopheles_sialome/links/cluster-b/anopheline-sialome-cds-pep-larger-orf65-50SimCLU43.txt", 43)</f>
        <v>43</v>
      </c>
      <c r="CC831">
        <f>HYPERLINK("http://exon.niaid.nih.gov/transcriptome/Anopheles_sialome/links/cluster-b/anopheline-sialome-cds-pep-larger-orf65-50SimCLTL43.txt", 5)</f>
        <v>5</v>
      </c>
      <c r="CD831">
        <f>HYPERLINK("http://exon.niaid.nih.gov/transcriptome/Anopheles_sialome/links/cluster-b/anopheline-sialome-cds-pep-larger-orf70-50SimCLU68.txt", 68)</f>
        <v>68</v>
      </c>
      <c r="CE831">
        <f>HYPERLINK("http://exon.niaid.nih.gov/transcriptome/Anopheles_sialome/links/cluster-b/anopheline-sialome-cds-pep-larger-orf70-50SimCLTL68.txt", 2)</f>
        <v>2</v>
      </c>
      <c r="CF831">
        <f>HYPERLINK("http://exon.niaid.nih.gov/transcriptome/Anopheles_sialome/links/cluster-b/anopheline-sialome-cds-pep-larger-orf75-50SimCLU84.txt", 84)</f>
        <v>84</v>
      </c>
      <c r="CG831">
        <f>HYPERLINK("http://exon.niaid.nih.gov/transcriptome/Anopheles_sialome/links/cluster-b/anopheline-sialome-cds-pep-larger-orf75-50SimCLTL84.txt", 2)</f>
        <v>2</v>
      </c>
      <c r="CH831">
        <v>233</v>
      </c>
      <c r="CI831">
        <v>1</v>
      </c>
      <c r="CJ831">
        <v>312</v>
      </c>
      <c r="CK831">
        <v>1</v>
      </c>
      <c r="CL831">
        <v>398</v>
      </c>
      <c r="CM831">
        <v>1</v>
      </c>
      <c r="CN831">
        <v>486</v>
      </c>
      <c r="CO831">
        <v>1</v>
      </c>
    </row>
    <row r="832" spans="1:93">
      <c r="A832" s="2" t="str">
        <f>HYPERLINK("http://exon.niaid.nih.gov/transcriptome/Anopheles_sialome/links/cds/anocul_SG2b-cds.txt","anocul_SG2b")</f>
        <v>anocul_SG2b</v>
      </c>
      <c r="B832">
        <v>354</v>
      </c>
      <c r="C832" t="s">
        <v>519</v>
      </c>
      <c r="D832" t="s">
        <v>7</v>
      </c>
      <c r="E832" t="s">
        <v>5</v>
      </c>
      <c r="F832" t="s">
        <v>1</v>
      </c>
      <c r="G832" t="str">
        <f>HYPERLINK("http://exon.niaid.nih.gov/transcriptome/Anopheles_sialome/links/pep/anocul_SG2b-pep.txt","anocul_SG2b")</f>
        <v>anocul_SG2b</v>
      </c>
      <c r="H832">
        <v>117</v>
      </c>
      <c r="I832">
        <v>0</v>
      </c>
      <c r="J832" s="3" t="str">
        <f>HYPERLINK("http://exon.niaid.nih.gov/transcriptome/Anopheles_sialome/links/Sigp/anocul_SG2b-SigP.txt","SIG")</f>
        <v>SIG</v>
      </c>
      <c r="K832" t="s">
        <v>925</v>
      </c>
      <c r="L832">
        <v>11.965</v>
      </c>
      <c r="M832">
        <v>11.07</v>
      </c>
      <c r="N832">
        <v>10.074999999999999</v>
      </c>
      <c r="O832">
        <v>11</v>
      </c>
      <c r="P832" t="s">
        <v>1995</v>
      </c>
      <c r="Q832" s="3">
        <v>0</v>
      </c>
      <c r="R832" t="s">
        <v>128</v>
      </c>
      <c r="S832" t="s">
        <v>128</v>
      </c>
      <c r="T832" t="s">
        <v>128</v>
      </c>
      <c r="U832" t="s">
        <v>128</v>
      </c>
      <c r="V832" t="s">
        <v>128</v>
      </c>
      <c r="W832" s="3" t="str">
        <f>HYPERLINK("http://exon.niaid.nih.gov/transcriptome/Anopheles_sialome/links/netoglyc/anocul_SG2b-netoglyc.txt","0")</f>
        <v>0</v>
      </c>
      <c r="X832">
        <v>10.3</v>
      </c>
      <c r="Y832">
        <v>23.1</v>
      </c>
      <c r="Z832">
        <v>10.3</v>
      </c>
      <c r="AA832">
        <v>2.6</v>
      </c>
      <c r="AB832" t="s">
        <v>128</v>
      </c>
      <c r="AC832" s="2" t="str">
        <f>HYPERLINK("http://exon.niaid.nih.gov/transcriptome/Anopheles_sialome/links/DIPTERA/anocul_SG2b-DIPTERA.txt","sg2a salivary protein")</f>
        <v>sg2a salivary protein</v>
      </c>
      <c r="AD832" t="str">
        <f>HYPERLINK("http://www.ncbi.nlm.nih.gov/sutils/blink.cgi?pid=114864600","4E-042")</f>
        <v>4E-042</v>
      </c>
      <c r="AE832" t="str">
        <f>HYPERLINK("http://www.ncbi.nlm.nih.gov/protein/114864600","gi|114864600")</f>
        <v>gi|114864600</v>
      </c>
      <c r="AF832">
        <v>60</v>
      </c>
      <c r="AG832">
        <v>66</v>
      </c>
      <c r="AH832">
        <v>100</v>
      </c>
      <c r="AI832" t="s">
        <v>2266</v>
      </c>
      <c r="AJ832" s="2" t="str">
        <f>HYPERLINK("http://exon.niaid.nih.gov/transcriptome/Anopheles_sialome/links/CULICOMORPHA/anocul_SG2b-CULICOMORPHA.txt","sg2a salivary protein")</f>
        <v>sg2a salivary protein</v>
      </c>
      <c r="AK832" t="str">
        <f>HYPERLINK("http://www.ncbi.nlm.nih.gov/sutils/blink.cgi?pid=114864600","6E-043")</f>
        <v>6E-043</v>
      </c>
      <c r="AL832" t="str">
        <f>HYPERLINK("http://www.ncbi.nlm.nih.gov/protein/114864600","gi|114864600")</f>
        <v>gi|114864600</v>
      </c>
      <c r="AM832">
        <v>60</v>
      </c>
      <c r="AN832">
        <v>66</v>
      </c>
      <c r="AO832">
        <v>100</v>
      </c>
      <c r="AP832" t="s">
        <v>2266</v>
      </c>
      <c r="AQ832" s="2" t="str">
        <f>HYPERLINK("http://exon.niaid.nih.gov/transcriptome/Anopheles_sialome/links/NR-LIGHT/anocul_SG2b-NR-LIGHT.txt","sg2a salivary protein")</f>
        <v>sg2a salivary protein</v>
      </c>
      <c r="AR832" t="str">
        <f>HYPERLINK("http://www.ncbi.nlm.nih.gov/sutils/blink.cgi?pid=114864600","1E-041")</f>
        <v>1E-041</v>
      </c>
      <c r="AS832" t="str">
        <f>HYPERLINK("http://www.ncbi.nlm.nih.gov/protein/114864600","gi|114864600")</f>
        <v>gi|114864600</v>
      </c>
      <c r="AT832">
        <v>60</v>
      </c>
      <c r="AU832">
        <v>66</v>
      </c>
      <c r="AV832">
        <v>100</v>
      </c>
      <c r="AW832" t="s">
        <v>2266</v>
      </c>
      <c r="AX832" s="2" t="str">
        <f>HYPERLINK("http://exon.niaid.nih.gov/transcriptome/Anopheles_sialome/links/CDD/anocul_SG2b-CDD.txt","PRK14712")</f>
        <v>PRK14712</v>
      </c>
      <c r="AY832" t="str">
        <f>HYPERLINK("http://www.ncbi.nlm.nih.gov/Structure/cdd/cddsrv.cgi?uid=PRK14712&amp;version=v4.0","0.18")</f>
        <v>0.18</v>
      </c>
      <c r="AZ832" t="s">
        <v>3013</v>
      </c>
      <c r="BA832" s="2" t="str">
        <f>HYPERLINK("http://exon.niaid.nih.gov/transcriptome/Anopheles_sialome/links/KOG/anocul_SG2b-KOG.txt","Dosage compensation complex, subunit MLE")</f>
        <v>Dosage compensation complex, subunit MLE</v>
      </c>
      <c r="BB832" t="str">
        <f>HYPERLINK("http://www.ncbi.nlm.nih.gov/Structure/cdd/cddsrv.cgi?uid=KOG0921","0.011")</f>
        <v>0.011</v>
      </c>
      <c r="BC832" t="s">
        <v>2262</v>
      </c>
      <c r="BD832" t="str">
        <f>HYPERLINK("http://exon.niaid.nih.gov/transcriptome/Anopheles_sialome/links/KOG/anocul_SG2b-KOG.txt","KOG0921")</f>
        <v>KOG0921</v>
      </c>
      <c r="BE832" t="str">
        <f>HYPERLINK("http://exon.niaid.nih.gov/transcriptome/Anopheles_sialome/links/PFAM/anocul_SG2b-PFAM.txt","Fucose_iso_C")</f>
        <v>Fucose_iso_C</v>
      </c>
      <c r="BF832" t="str">
        <f>HYPERLINK("http://pfam.sanger.ac.uk/family?acc=PF02952","1.2")</f>
        <v>1.2</v>
      </c>
      <c r="BG832" s="2" t="str">
        <f>HYPERLINK("http://exon.niaid.nih.gov/transcriptome/Anopheles_sialome/links/SMART/anocul_SG2b-SMART.txt","MoCF_biosynth")</f>
        <v>MoCF_biosynth</v>
      </c>
      <c r="BH832" t="str">
        <f>HYPERLINK("http://smart.embl-heidelberg.de/smart/do_annotation.pl?DOMAIN=MoCF_biosynth&amp;BLAST=DUMMY","2.2")</f>
        <v>2.2</v>
      </c>
      <c r="BI832" t="s">
        <v>128</v>
      </c>
      <c r="BJ832" s="2" t="s">
        <v>128</v>
      </c>
      <c r="BK832" t="s">
        <v>1994</v>
      </c>
      <c r="BL832">
        <f>HYPERLINK("http://exon.niaid.nih.gov/transcriptome/Anopheles_sialome/links/cluster-b/anopheline-sialome-cds-pep-larger-orf25-50SimCLU1.txt", 1)</f>
        <v>1</v>
      </c>
      <c r="BM832">
        <f>HYPERLINK("http://exon.niaid.nih.gov/transcriptome/Anopheles_sialome/links/cluster-b/anopheline-sialome-cds-pep-larger-orf25-50SimCLTL1.txt", 165)</f>
        <v>165</v>
      </c>
      <c r="BN832">
        <f>HYPERLINK("http://exon.niaid.nih.gov/transcriptome/Anopheles_sialome/links/cluster-b/anopheline-sialome-cds-pep-larger-orf30-50SimCLU1.txt", 1)</f>
        <v>1</v>
      </c>
      <c r="BO832">
        <f>HYPERLINK("http://exon.niaid.nih.gov/transcriptome/Anopheles_sialome/links/cluster-b/anopheline-sialome-cds-pep-larger-orf30-50SimCLTL1.txt", 165)</f>
        <v>165</v>
      </c>
      <c r="BP832">
        <f>HYPERLINK("http://exon.niaid.nih.gov/transcriptome/Anopheles_sialome/links/cluster-b/anopheline-sialome-cds-pep-larger-orf35-50SimCLU10.txt", 10)</f>
        <v>10</v>
      </c>
      <c r="BQ832">
        <f>HYPERLINK("http://exon.niaid.nih.gov/transcriptome/Anopheles_sialome/links/cluster-b/anopheline-sialome-cds-pep-larger-orf35-50SimCLTL10.txt", 28)</f>
        <v>28</v>
      </c>
      <c r="BR832">
        <f>HYPERLINK("http://exon.niaid.nih.gov/transcriptome/Anopheles_sialome/links/cluster-b/anopheline-sialome-cds-pep-larger-orf40-50SimCLU10.txt", 10)</f>
        <v>10</v>
      </c>
      <c r="BS832">
        <f>HYPERLINK("http://exon.niaid.nih.gov/transcriptome/Anopheles_sialome/links/cluster-b/anopheline-sialome-cds-pep-larger-orf40-50SimCLTL10.txt", 28)</f>
        <v>28</v>
      </c>
      <c r="BT832">
        <f>HYPERLINK("http://exon.niaid.nih.gov/transcriptome/Anopheles_sialome/links/cluster-b/anopheline-sialome-cds-pep-larger-orf45-50SimCLU9.txt", 9)</f>
        <v>9</v>
      </c>
      <c r="BU832">
        <f>HYPERLINK("http://exon.niaid.nih.gov/transcriptome/Anopheles_sialome/links/cluster-b/anopheline-sialome-cds-pep-larger-orf45-50SimCLTL9.txt", 28)</f>
        <v>28</v>
      </c>
      <c r="BV832">
        <f>HYPERLINK("http://exon.niaid.nih.gov/transcriptome/Anopheles_sialome/links/cluster-b/anopheline-sialome-cds-pep-larger-orf50-50SimCLU10.txt", 10)</f>
        <v>10</v>
      </c>
      <c r="BW832">
        <f>HYPERLINK("http://exon.niaid.nih.gov/transcriptome/Anopheles_sialome/links/cluster-b/anopheline-sialome-cds-pep-larger-orf50-50SimCLTL10.txt", 26)</f>
        <v>26</v>
      </c>
      <c r="BX832">
        <f>HYPERLINK("http://exon.niaid.nih.gov/transcriptome/Anopheles_sialome/links/cluster-b/anopheline-sialome-cds-pep-larger-orf55-50SimCLU11.txt", 11)</f>
        <v>11</v>
      </c>
      <c r="BY832">
        <f>HYPERLINK("http://exon.niaid.nih.gov/transcriptome/Anopheles_sialome/links/cluster-b/anopheline-sialome-cds-pep-larger-orf55-50SimCLTL11.txt", 26)</f>
        <v>26</v>
      </c>
      <c r="BZ832">
        <f>HYPERLINK("http://exon.niaid.nih.gov/transcriptome/Anopheles_sialome/links/cluster-b/anopheline-sialome-cds-pep-larger-orf60-50SimCLU35.txt", 35)</f>
        <v>35</v>
      </c>
      <c r="CA832">
        <f>HYPERLINK("http://exon.niaid.nih.gov/transcriptome/Anopheles_sialome/links/cluster-b/anopheline-sialome-cds-pep-larger-orf60-50SimCLTL35.txt", 11)</f>
        <v>11</v>
      </c>
      <c r="CB832">
        <f>HYPERLINK("http://exon.niaid.nih.gov/transcriptome/Anopheles_sialome/links/cluster-b/anopheline-sialome-cds-pep-larger-orf65-50SimCLU43.txt", 43)</f>
        <v>43</v>
      </c>
      <c r="CC832">
        <f>HYPERLINK("http://exon.niaid.nih.gov/transcriptome/Anopheles_sialome/links/cluster-b/anopheline-sialome-cds-pep-larger-orf65-50SimCLTL43.txt", 5)</f>
        <v>5</v>
      </c>
      <c r="CD832">
        <v>115</v>
      </c>
      <c r="CE832">
        <v>1</v>
      </c>
      <c r="CF832">
        <v>165</v>
      </c>
      <c r="CG832">
        <v>1</v>
      </c>
      <c r="CH832">
        <v>234</v>
      </c>
      <c r="CI832">
        <v>1</v>
      </c>
      <c r="CJ832">
        <v>313</v>
      </c>
      <c r="CK832">
        <v>1</v>
      </c>
      <c r="CL832">
        <v>399</v>
      </c>
      <c r="CM832">
        <v>1</v>
      </c>
      <c r="CN832">
        <v>487</v>
      </c>
      <c r="CO832">
        <v>1</v>
      </c>
    </row>
    <row r="833" spans="1:93">
      <c r="A833" s="2" t="str">
        <f>HYPERLINK("http://exon.niaid.nih.gov/transcriptome/Anopheles_sialome/links/cds/anoste_SG2b-cds.txt","anoste_SG2b")</f>
        <v>anoste_SG2b</v>
      </c>
      <c r="B833">
        <v>390</v>
      </c>
      <c r="C833" t="s">
        <v>4</v>
      </c>
      <c r="D833" s="8" t="s">
        <v>3178</v>
      </c>
      <c r="E833" t="s">
        <v>5</v>
      </c>
      <c r="F833" t="s">
        <v>1</v>
      </c>
      <c r="G833" t="str">
        <f>HYPERLINK("http://exon.niaid.nih.gov/transcriptome/Anopheles_sialome/links/pep/anoste_SG2b-pep.txt","anoste_SG2b")</f>
        <v>anoste_SG2b</v>
      </c>
      <c r="H833">
        <v>129</v>
      </c>
      <c r="I833">
        <v>0</v>
      </c>
      <c r="J833" s="3" t="str">
        <f>HYPERLINK("http://exon.niaid.nih.gov/transcriptome/Anopheles_sialome/links/Sigp/anoste_SG2b-SigP.txt","SIG")</f>
        <v>SIG</v>
      </c>
      <c r="K833" t="s">
        <v>925</v>
      </c>
      <c r="L833">
        <v>13.192</v>
      </c>
      <c r="M833">
        <v>11</v>
      </c>
      <c r="N833">
        <v>11.263999999999999</v>
      </c>
      <c r="O833">
        <v>10.84</v>
      </c>
      <c r="P833" t="s">
        <v>1997</v>
      </c>
      <c r="Q833" s="3">
        <v>0</v>
      </c>
      <c r="R833" t="s">
        <v>128</v>
      </c>
      <c r="S833" t="s">
        <v>128</v>
      </c>
      <c r="T833" t="s">
        <v>128</v>
      </c>
      <c r="U833" t="s">
        <v>128</v>
      </c>
      <c r="V833" t="s">
        <v>128</v>
      </c>
      <c r="W833" s="3" t="str">
        <f>HYPERLINK("http://exon.niaid.nih.gov/transcriptome/Anopheles_sialome/links/netoglyc/anoste_SG2b-netoglyc.txt","1")</f>
        <v>1</v>
      </c>
      <c r="X833">
        <v>10.9</v>
      </c>
      <c r="Y833">
        <v>24</v>
      </c>
      <c r="Z833">
        <v>10.9</v>
      </c>
      <c r="AA833" t="s">
        <v>654</v>
      </c>
      <c r="AB833" t="s">
        <v>128</v>
      </c>
      <c r="AC833" s="2" t="str">
        <f>HYPERLINK("http://exon.niaid.nih.gov/transcriptome/Anopheles_sialome/links/DIPTERA/anoste_SG2b-DIPTERA.txt","hypothetical salivary protein SG2A")</f>
        <v>hypothetical salivary protein SG2A</v>
      </c>
      <c r="AD833" t="str">
        <f>HYPERLINK("http://www.ncbi.nlm.nih.gov/sutils/blink.cgi?pid=27372901","3E-072")</f>
        <v>3E-072</v>
      </c>
      <c r="AE833" t="str">
        <f>HYPERLINK("http://www.ncbi.nlm.nih.gov/protein/27372901","gi|27372901")</f>
        <v>gi|27372901</v>
      </c>
      <c r="AF833">
        <v>96</v>
      </c>
      <c r="AG833">
        <v>96</v>
      </c>
      <c r="AH833">
        <v>100</v>
      </c>
      <c r="AI833" t="s">
        <v>2271</v>
      </c>
      <c r="AJ833" s="2" t="str">
        <f>HYPERLINK("http://exon.niaid.nih.gov/transcriptome/Anopheles_sialome/links/CULICOMORPHA/anoste_SG2b-CULICOMORPHA.txt","hypothetical salivary protein SG2A")</f>
        <v>hypothetical salivary protein SG2A</v>
      </c>
      <c r="AK833" t="str">
        <f>HYPERLINK("http://www.ncbi.nlm.nih.gov/sutils/blink.cgi?pid=27372901","6E-073")</f>
        <v>6E-073</v>
      </c>
      <c r="AL833" t="str">
        <f>HYPERLINK("http://www.ncbi.nlm.nih.gov/protein/27372901","gi|27372901")</f>
        <v>gi|27372901</v>
      </c>
      <c r="AM833">
        <v>96</v>
      </c>
      <c r="AN833">
        <v>96</v>
      </c>
      <c r="AO833">
        <v>100</v>
      </c>
      <c r="AP833" t="s">
        <v>2271</v>
      </c>
      <c r="AQ833" s="2" t="str">
        <f>HYPERLINK("http://exon.niaid.nih.gov/transcriptome/Anopheles_sialome/links/NR-LIGHT/anoste_SG2b-NR-LIGHT.txt","hypothetical salivary protein SG2A")</f>
        <v>hypothetical salivary protein SG2A</v>
      </c>
      <c r="AR833" t="str">
        <f>HYPERLINK("http://www.ncbi.nlm.nih.gov/sutils/blink.cgi?pid=27372901","1E-071")</f>
        <v>1E-071</v>
      </c>
      <c r="AS833" t="str">
        <f>HYPERLINK("http://www.ncbi.nlm.nih.gov/protein/27372901","gi|27372901")</f>
        <v>gi|27372901</v>
      </c>
      <c r="AT833">
        <v>96</v>
      </c>
      <c r="AU833">
        <v>96</v>
      </c>
      <c r="AV833">
        <v>100</v>
      </c>
      <c r="AW833" t="s">
        <v>2271</v>
      </c>
      <c r="AX833" s="2" t="str">
        <f>HYPERLINK("http://exon.niaid.nih.gov/transcriptome/Anopheles_sialome/links/CDD/anoste_SG2b-CDD.txt","DUF4175")</f>
        <v>DUF4175</v>
      </c>
      <c r="AY833" t="str">
        <f>HYPERLINK("http://www.ncbi.nlm.nih.gov/Structure/cdd/cddsrv.cgi?uid=pfam13779&amp;version=v4.0","0.007")</f>
        <v>0.007</v>
      </c>
      <c r="AZ833" t="s">
        <v>3014</v>
      </c>
      <c r="BA833" s="2" t="str">
        <f>HYPERLINK("http://exon.niaid.nih.gov/transcriptome/Anopheles_sialome/links/KOG/anoste_SG2b-KOG.txt","Dosage compensation complex, subunit MLE")</f>
        <v>Dosage compensation complex, subunit MLE</v>
      </c>
      <c r="BB833" t="str">
        <f>HYPERLINK("http://www.ncbi.nlm.nih.gov/Structure/cdd/cddsrv.cgi?uid=KOG0921","8E-004")</f>
        <v>8E-004</v>
      </c>
      <c r="BC833" t="s">
        <v>2262</v>
      </c>
      <c r="BD833" t="str">
        <f>HYPERLINK("http://exon.niaid.nih.gov/transcriptome/Anopheles_sialome/links/KOG/anoste_SG2b-KOG.txt","KOG0921")</f>
        <v>KOG0921</v>
      </c>
      <c r="BE833" t="str">
        <f>HYPERLINK("http://exon.niaid.nih.gov/transcriptome/Anopheles_sialome/links/PFAM/anoste_SG2b-PFAM.txt","DUF4175")</f>
        <v>DUF4175</v>
      </c>
      <c r="BF833" t="str">
        <f>HYPERLINK("http://pfam.sanger.ac.uk/family?acc=PF13779","0.002")</f>
        <v>0.002</v>
      </c>
      <c r="BG833" s="2" t="str">
        <f>HYPERLINK("http://exon.niaid.nih.gov/transcriptome/Anopheles_sialome/links/SMART/anoste_SG2b-SMART.txt","PRP")</f>
        <v>PRP</v>
      </c>
      <c r="BH833" t="str">
        <f>HYPERLINK("http://smart.embl-heidelberg.de/smart/do_annotation.pl?DOMAIN=PRP&amp;BLAST=DUMMY","0.99")</f>
        <v>0.99</v>
      </c>
      <c r="BI833" t="str">
        <f>HYPERLINK("http://exon.niaid.nih.gov/transcriptome/Anopheles_sialome/links/TICK-BLOCKS/anoste_SG2b-TICK-BLOCKS.txt","SG2_superfamily |")</f>
        <v>SG2_superfamily |</v>
      </c>
      <c r="BJ833" s="2" t="s">
        <v>2986</v>
      </c>
      <c r="BK833" t="s">
        <v>1996</v>
      </c>
      <c r="BL833">
        <f>HYPERLINK("http://exon.niaid.nih.gov/transcriptome/Anopheles_sialome/links/cluster-b/anopheline-sialome-cds-pep-larger-orf25-50SimCLU1.txt", 1)</f>
        <v>1</v>
      </c>
      <c r="BM833">
        <f>HYPERLINK("http://exon.niaid.nih.gov/transcriptome/Anopheles_sialome/links/cluster-b/anopheline-sialome-cds-pep-larger-orf25-50SimCLTL1.txt", 165)</f>
        <v>165</v>
      </c>
      <c r="BN833">
        <f>HYPERLINK("http://exon.niaid.nih.gov/transcriptome/Anopheles_sialome/links/cluster-b/anopheline-sialome-cds-pep-larger-orf30-50SimCLU1.txt", 1)</f>
        <v>1</v>
      </c>
      <c r="BO833">
        <f>HYPERLINK("http://exon.niaid.nih.gov/transcriptome/Anopheles_sialome/links/cluster-b/anopheline-sialome-cds-pep-larger-orf30-50SimCLTL1.txt", 165)</f>
        <v>165</v>
      </c>
      <c r="BP833">
        <f>HYPERLINK("http://exon.niaid.nih.gov/transcriptome/Anopheles_sialome/links/cluster-b/anopheline-sialome-cds-pep-larger-orf35-50SimCLU10.txt", 10)</f>
        <v>10</v>
      </c>
      <c r="BQ833">
        <f>HYPERLINK("http://exon.niaid.nih.gov/transcriptome/Anopheles_sialome/links/cluster-b/anopheline-sialome-cds-pep-larger-orf35-50SimCLTL10.txt", 28)</f>
        <v>28</v>
      </c>
      <c r="BR833">
        <f>HYPERLINK("http://exon.niaid.nih.gov/transcriptome/Anopheles_sialome/links/cluster-b/anopheline-sialome-cds-pep-larger-orf40-50SimCLU10.txt", 10)</f>
        <v>10</v>
      </c>
      <c r="BS833">
        <f>HYPERLINK("http://exon.niaid.nih.gov/transcriptome/Anopheles_sialome/links/cluster-b/anopheline-sialome-cds-pep-larger-orf40-50SimCLTL10.txt", 28)</f>
        <v>28</v>
      </c>
      <c r="BT833">
        <f>HYPERLINK("http://exon.niaid.nih.gov/transcriptome/Anopheles_sialome/links/cluster-b/anopheline-sialome-cds-pep-larger-orf45-50SimCLU9.txt", 9)</f>
        <v>9</v>
      </c>
      <c r="BU833">
        <f>HYPERLINK("http://exon.niaid.nih.gov/transcriptome/Anopheles_sialome/links/cluster-b/anopheline-sialome-cds-pep-larger-orf45-50SimCLTL9.txt", 28)</f>
        <v>28</v>
      </c>
      <c r="BV833">
        <f>HYPERLINK("http://exon.niaid.nih.gov/transcriptome/Anopheles_sialome/links/cluster-b/anopheline-sialome-cds-pep-larger-orf50-50SimCLU10.txt", 10)</f>
        <v>10</v>
      </c>
      <c r="BW833">
        <f>HYPERLINK("http://exon.niaid.nih.gov/transcriptome/Anopheles_sialome/links/cluster-b/anopheline-sialome-cds-pep-larger-orf50-50SimCLTL10.txt", 26)</f>
        <v>26</v>
      </c>
      <c r="BX833">
        <f>HYPERLINK("http://exon.niaid.nih.gov/transcriptome/Anopheles_sialome/links/cluster-b/anopheline-sialome-cds-pep-larger-orf55-50SimCLU11.txt", 11)</f>
        <v>11</v>
      </c>
      <c r="BY833">
        <f>HYPERLINK("http://exon.niaid.nih.gov/transcriptome/Anopheles_sialome/links/cluster-b/anopheline-sialome-cds-pep-larger-orf55-50SimCLTL11.txt", 26)</f>
        <v>26</v>
      </c>
      <c r="BZ833">
        <f>HYPERLINK("http://exon.niaid.nih.gov/transcriptome/Anopheles_sialome/links/cluster-b/anopheline-sialome-cds-pep-larger-orf60-50SimCLU35.txt", 35)</f>
        <v>35</v>
      </c>
      <c r="CA833">
        <f>HYPERLINK("http://exon.niaid.nih.gov/transcriptome/Anopheles_sialome/links/cluster-b/anopheline-sialome-cds-pep-larger-orf60-50SimCLTL35.txt", 11)</f>
        <v>11</v>
      </c>
      <c r="CB833">
        <f>HYPERLINK("http://exon.niaid.nih.gov/transcriptome/Anopheles_sialome/links/cluster-b/anopheline-sialome-cds-pep-larger-orf65-50SimCLU43.txt", 43)</f>
        <v>43</v>
      </c>
      <c r="CC833">
        <f>HYPERLINK("http://exon.niaid.nih.gov/transcriptome/Anopheles_sialome/links/cluster-b/anopheline-sialome-cds-pep-larger-orf65-50SimCLTL43.txt", 5)</f>
        <v>5</v>
      </c>
      <c r="CD833">
        <f>HYPERLINK("http://exon.niaid.nih.gov/transcriptome/Anopheles_sialome/links/cluster-b/anopheline-sialome-cds-pep-larger-orf70-50SimCLU69.txt", 69)</f>
        <v>69</v>
      </c>
      <c r="CE833">
        <f>HYPERLINK("http://exon.niaid.nih.gov/transcriptome/Anopheles_sialome/links/cluster-b/anopheline-sialome-cds-pep-larger-orf70-50SimCLTL69.txt", 2)</f>
        <v>2</v>
      </c>
      <c r="CF833">
        <f>HYPERLINK("http://exon.niaid.nih.gov/transcriptome/Anopheles_sialome/links/cluster-b/anopheline-sialome-cds-pep-larger-orf75-50SimCLU85.txt", 85)</f>
        <v>85</v>
      </c>
      <c r="CG833">
        <f>HYPERLINK("http://exon.niaid.nih.gov/transcriptome/Anopheles_sialome/links/cluster-b/anopheline-sialome-cds-pep-larger-orf75-50SimCLTL85.txt", 2)</f>
        <v>2</v>
      </c>
      <c r="CH833">
        <v>235</v>
      </c>
      <c r="CI833">
        <v>1</v>
      </c>
      <c r="CJ833">
        <v>314</v>
      </c>
      <c r="CK833">
        <v>1</v>
      </c>
      <c r="CL833">
        <v>400</v>
      </c>
      <c r="CM833">
        <v>1</v>
      </c>
      <c r="CN833">
        <v>488</v>
      </c>
      <c r="CO833">
        <v>1</v>
      </c>
    </row>
    <row r="834" spans="1:93">
      <c r="A834" s="2" t="str">
        <f>HYPERLINK("http://exon.niaid.nih.gov/transcriptome/Anopheles_sialome/links/cds/anomac_SG2b-cds.txt","anomac_SG2b")</f>
        <v>anomac_SG2b</v>
      </c>
      <c r="B834">
        <v>375</v>
      </c>
      <c r="C834" t="s">
        <v>531</v>
      </c>
      <c r="D834" t="s">
        <v>4</v>
      </c>
      <c r="E834" t="s">
        <v>5</v>
      </c>
      <c r="F834" t="s">
        <v>1</v>
      </c>
      <c r="G834" t="str">
        <f>HYPERLINK("http://exon.niaid.nih.gov/transcriptome/Anopheles_sialome/links/pep/anomac_SG2b-pep.txt","anomac_SG2b")</f>
        <v>anomac_SG2b</v>
      </c>
      <c r="H834">
        <v>124</v>
      </c>
      <c r="I834">
        <v>0</v>
      </c>
      <c r="J834" s="3" t="str">
        <f>HYPERLINK("http://exon.niaid.nih.gov/transcriptome/Anopheles_sialome/links/Sigp/anomac_SG2b-SigP.txt","SIG")</f>
        <v>SIG</v>
      </c>
      <c r="K834" t="s">
        <v>925</v>
      </c>
      <c r="L834">
        <v>12.811999999999999</v>
      </c>
      <c r="M834">
        <v>9.69</v>
      </c>
      <c r="N834">
        <v>10.898</v>
      </c>
      <c r="O834">
        <v>8.61</v>
      </c>
      <c r="P834" t="s">
        <v>1999</v>
      </c>
      <c r="Q834" s="3">
        <v>0</v>
      </c>
      <c r="R834" t="s">
        <v>128</v>
      </c>
      <c r="S834" t="s">
        <v>128</v>
      </c>
      <c r="T834" t="s">
        <v>128</v>
      </c>
      <c r="U834" t="s">
        <v>128</v>
      </c>
      <c r="V834" t="s">
        <v>128</v>
      </c>
      <c r="W834" s="3" t="str">
        <f>HYPERLINK("http://exon.niaid.nih.gov/transcriptome/Anopheles_sialome/links/netoglyc/anomac_SG2b-netoglyc.txt","1")</f>
        <v>1</v>
      </c>
      <c r="X834">
        <v>9.6999999999999993</v>
      </c>
      <c r="Y834">
        <v>25</v>
      </c>
      <c r="Z834">
        <v>10.5</v>
      </c>
      <c r="AA834" t="s">
        <v>654</v>
      </c>
      <c r="AB834" t="s">
        <v>128</v>
      </c>
      <c r="AC834" s="2" t="str">
        <f>HYPERLINK("http://exon.niaid.nih.gov/transcriptome/Anopheles_sialome/links/DIPTERA/anomac_SG2b-DIPTERA.txt","hypothetical salivary protein SG2A")</f>
        <v>hypothetical salivary protein SG2A</v>
      </c>
      <c r="AD834" t="str">
        <f>HYPERLINK("http://www.ncbi.nlm.nih.gov/sutils/blink.cgi?pid=27372901","2E-047")</f>
        <v>2E-047</v>
      </c>
      <c r="AE834" t="str">
        <f>HYPERLINK("http://www.ncbi.nlm.nih.gov/protein/27372901","gi|27372901")</f>
        <v>gi|27372901</v>
      </c>
      <c r="AF834">
        <v>73</v>
      </c>
      <c r="AG834">
        <v>76</v>
      </c>
      <c r="AH834">
        <v>101</v>
      </c>
      <c r="AI834" t="s">
        <v>2271</v>
      </c>
      <c r="AJ834" s="2" t="str">
        <f>HYPERLINK("http://exon.niaid.nih.gov/transcriptome/Anopheles_sialome/links/CULICOMORPHA/anomac_SG2b-CULICOMORPHA.txt","hypothetical salivary protein SG2A")</f>
        <v>hypothetical salivary protein SG2A</v>
      </c>
      <c r="AK834" t="str">
        <f>HYPERLINK("http://www.ncbi.nlm.nih.gov/sutils/blink.cgi?pid=27372901","3E-048")</f>
        <v>3E-048</v>
      </c>
      <c r="AL834" t="str">
        <f>HYPERLINK("http://www.ncbi.nlm.nih.gov/protein/27372901","gi|27372901")</f>
        <v>gi|27372901</v>
      </c>
      <c r="AM834">
        <v>73</v>
      </c>
      <c r="AN834">
        <v>76</v>
      </c>
      <c r="AO834">
        <v>101</v>
      </c>
      <c r="AP834" t="s">
        <v>2271</v>
      </c>
      <c r="AQ834" s="2" t="str">
        <f>HYPERLINK("http://exon.niaid.nih.gov/transcriptome/Anopheles_sialome/links/NR-LIGHT/anomac_SG2b-NR-LIGHT.txt","hypothetical salivary protein SG2A")</f>
        <v>hypothetical salivary protein SG2A</v>
      </c>
      <c r="AR834" t="str">
        <f>HYPERLINK("http://www.ncbi.nlm.nih.gov/sutils/blink.cgi?pid=27372901","5E-047")</f>
        <v>5E-047</v>
      </c>
      <c r="AS834" t="str">
        <f>HYPERLINK("http://www.ncbi.nlm.nih.gov/protein/27372901","gi|27372901")</f>
        <v>gi|27372901</v>
      </c>
      <c r="AT834">
        <v>73</v>
      </c>
      <c r="AU834">
        <v>76</v>
      </c>
      <c r="AV834">
        <v>101</v>
      </c>
      <c r="AW834" t="s">
        <v>2271</v>
      </c>
      <c r="AX834" s="2" t="str">
        <f>HYPERLINK("http://exon.niaid.nih.gov/transcriptome/Anopheles_sialome/links/CDD/anomac_SG2b-CDD.txt","DUF4175")</f>
        <v>DUF4175</v>
      </c>
      <c r="AY834" t="str">
        <f>HYPERLINK("http://www.ncbi.nlm.nih.gov/Structure/cdd/cddsrv.cgi?uid=pfam13779&amp;version=v4.0","0.057")</f>
        <v>0.057</v>
      </c>
      <c r="AZ834" t="s">
        <v>3015</v>
      </c>
      <c r="BA834" s="2" t="str">
        <f>HYPERLINK("http://exon.niaid.nih.gov/transcriptome/Anopheles_sialome/links/KOG/anomac_SG2b-KOG.txt","Heterogeneous nuclear ribonucleoprotein R (RRM superfamily)")</f>
        <v>Heterogeneous nuclear ribonucleoprotein R (RRM superfamily)</v>
      </c>
      <c r="BB834" t="str">
        <f>HYPERLINK("http://www.ncbi.nlm.nih.gov/Structure/cdd/cddsrv.cgi?uid=KOG0117","0.004")</f>
        <v>0.004</v>
      </c>
      <c r="BC834" t="s">
        <v>2464</v>
      </c>
      <c r="BD834" t="str">
        <f>HYPERLINK("http://exon.niaid.nih.gov/transcriptome/Anopheles_sialome/links/KOG/anomac_SG2b-KOG.txt","KOG0117")</f>
        <v>KOG0117</v>
      </c>
      <c r="BE834" t="str">
        <f>HYPERLINK("http://exon.niaid.nih.gov/transcriptome/Anopheles_sialome/links/PFAM/anomac_SG2b-PFAM.txt","DUF4175")</f>
        <v>DUF4175</v>
      </c>
      <c r="BF834" t="str">
        <f>HYPERLINK("http://pfam.sanger.ac.uk/family?acc=PF13779","0.014")</f>
        <v>0.014</v>
      </c>
      <c r="BG834" s="2" t="str">
        <f>HYPERLINK("http://exon.niaid.nih.gov/transcriptome/Anopheles_sialome/links/SMART/anomac_SG2b-SMART.txt","PRP")</f>
        <v>PRP</v>
      </c>
      <c r="BH834" t="str">
        <f>HYPERLINK("http://smart.embl-heidelberg.de/smart/do_annotation.pl?DOMAIN=PRP&amp;BLAST=DUMMY","0.21")</f>
        <v>0.21</v>
      </c>
      <c r="BI834" t="s">
        <v>128</v>
      </c>
      <c r="BJ834" s="2" t="s">
        <v>128</v>
      </c>
      <c r="BK834" t="s">
        <v>1998</v>
      </c>
      <c r="BL834">
        <f>HYPERLINK("http://exon.niaid.nih.gov/transcriptome/Anopheles_sialome/links/cluster-b/anopheline-sialome-cds-pep-larger-orf25-50SimCLU1.txt", 1)</f>
        <v>1</v>
      </c>
      <c r="BM834">
        <f>HYPERLINK("http://exon.niaid.nih.gov/transcriptome/Anopheles_sialome/links/cluster-b/anopheline-sialome-cds-pep-larger-orf25-50SimCLTL1.txt", 165)</f>
        <v>165</v>
      </c>
      <c r="BN834">
        <f>HYPERLINK("http://exon.niaid.nih.gov/transcriptome/Anopheles_sialome/links/cluster-b/anopheline-sialome-cds-pep-larger-orf30-50SimCLU1.txt", 1)</f>
        <v>1</v>
      </c>
      <c r="BO834">
        <f>HYPERLINK("http://exon.niaid.nih.gov/transcriptome/Anopheles_sialome/links/cluster-b/anopheline-sialome-cds-pep-larger-orf30-50SimCLTL1.txt", 165)</f>
        <v>165</v>
      </c>
      <c r="BP834">
        <f>HYPERLINK("http://exon.niaid.nih.gov/transcriptome/Anopheles_sialome/links/cluster-b/anopheline-sialome-cds-pep-larger-orf35-50SimCLU10.txt", 10)</f>
        <v>10</v>
      </c>
      <c r="BQ834">
        <f>HYPERLINK("http://exon.niaid.nih.gov/transcriptome/Anopheles_sialome/links/cluster-b/anopheline-sialome-cds-pep-larger-orf35-50SimCLTL10.txt", 28)</f>
        <v>28</v>
      </c>
      <c r="BR834">
        <f>HYPERLINK("http://exon.niaid.nih.gov/transcriptome/Anopheles_sialome/links/cluster-b/anopheline-sialome-cds-pep-larger-orf40-50SimCLU10.txt", 10)</f>
        <v>10</v>
      </c>
      <c r="BS834">
        <f>HYPERLINK("http://exon.niaid.nih.gov/transcriptome/Anopheles_sialome/links/cluster-b/anopheline-sialome-cds-pep-larger-orf40-50SimCLTL10.txt", 28)</f>
        <v>28</v>
      </c>
      <c r="BT834">
        <f>HYPERLINK("http://exon.niaid.nih.gov/transcriptome/Anopheles_sialome/links/cluster-b/anopheline-sialome-cds-pep-larger-orf45-50SimCLU9.txt", 9)</f>
        <v>9</v>
      </c>
      <c r="BU834">
        <f>HYPERLINK("http://exon.niaid.nih.gov/transcriptome/Anopheles_sialome/links/cluster-b/anopheline-sialome-cds-pep-larger-orf45-50SimCLTL9.txt", 28)</f>
        <v>28</v>
      </c>
      <c r="BV834">
        <f>HYPERLINK("http://exon.niaid.nih.gov/transcriptome/Anopheles_sialome/links/cluster-b/anopheline-sialome-cds-pep-larger-orf50-50SimCLU10.txt", 10)</f>
        <v>10</v>
      </c>
      <c r="BW834">
        <f>HYPERLINK("http://exon.niaid.nih.gov/transcriptome/Anopheles_sialome/links/cluster-b/anopheline-sialome-cds-pep-larger-orf50-50SimCLTL10.txt", 26)</f>
        <v>26</v>
      </c>
      <c r="BX834">
        <f>HYPERLINK("http://exon.niaid.nih.gov/transcriptome/Anopheles_sialome/links/cluster-b/anopheline-sialome-cds-pep-larger-orf55-50SimCLU11.txt", 11)</f>
        <v>11</v>
      </c>
      <c r="BY834">
        <f>HYPERLINK("http://exon.niaid.nih.gov/transcriptome/Anopheles_sialome/links/cluster-b/anopheline-sialome-cds-pep-larger-orf55-50SimCLTL11.txt", 26)</f>
        <v>26</v>
      </c>
      <c r="BZ834">
        <f>HYPERLINK("http://exon.niaid.nih.gov/transcriptome/Anopheles_sialome/links/cluster-b/anopheline-sialome-cds-pep-larger-orf60-50SimCLU35.txt", 35)</f>
        <v>35</v>
      </c>
      <c r="CA834">
        <f>HYPERLINK("http://exon.niaid.nih.gov/transcriptome/Anopheles_sialome/links/cluster-b/anopheline-sialome-cds-pep-larger-orf60-50SimCLTL35.txt", 11)</f>
        <v>11</v>
      </c>
      <c r="CB834">
        <f>HYPERLINK("http://exon.niaid.nih.gov/transcriptome/Anopheles_sialome/links/cluster-b/anopheline-sialome-cds-pep-larger-orf65-50SimCLU43.txt", 43)</f>
        <v>43</v>
      </c>
      <c r="CC834">
        <f>HYPERLINK("http://exon.niaid.nih.gov/transcriptome/Anopheles_sialome/links/cluster-b/anopheline-sialome-cds-pep-larger-orf65-50SimCLTL43.txt", 5)</f>
        <v>5</v>
      </c>
      <c r="CD834">
        <f>HYPERLINK("http://exon.niaid.nih.gov/transcriptome/Anopheles_sialome/links/cluster-b/anopheline-sialome-cds-pep-larger-orf70-50SimCLU69.txt", 69)</f>
        <v>69</v>
      </c>
      <c r="CE834">
        <f>HYPERLINK("http://exon.niaid.nih.gov/transcriptome/Anopheles_sialome/links/cluster-b/anopheline-sialome-cds-pep-larger-orf70-50SimCLTL69.txt", 2)</f>
        <v>2</v>
      </c>
      <c r="CF834">
        <f>HYPERLINK("http://exon.niaid.nih.gov/transcriptome/Anopheles_sialome/links/cluster-b/anopheline-sialome-cds-pep-larger-orf75-50SimCLU85.txt", 85)</f>
        <v>85</v>
      </c>
      <c r="CG834">
        <f>HYPERLINK("http://exon.niaid.nih.gov/transcriptome/Anopheles_sialome/links/cluster-b/anopheline-sialome-cds-pep-larger-orf75-50SimCLTL85.txt", 2)</f>
        <v>2</v>
      </c>
      <c r="CH834">
        <v>236</v>
      </c>
      <c r="CI834">
        <v>1</v>
      </c>
      <c r="CJ834">
        <v>315</v>
      </c>
      <c r="CK834">
        <v>1</v>
      </c>
      <c r="CL834">
        <v>401</v>
      </c>
      <c r="CM834">
        <v>1</v>
      </c>
      <c r="CN834">
        <v>489</v>
      </c>
      <c r="CO834">
        <v>1</v>
      </c>
    </row>
    <row r="835" spans="1:93">
      <c r="A835" s="14" t="s">
        <v>3157</v>
      </c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3"/>
      <c r="AX835" s="13"/>
      <c r="AY835" s="13"/>
      <c r="AZ835" s="13"/>
      <c r="BA835" s="13"/>
      <c r="BB835" s="13"/>
      <c r="BC835" s="13"/>
      <c r="BD835" s="13"/>
      <c r="BE835" s="13"/>
      <c r="BF835" s="13"/>
      <c r="BG835" s="13"/>
      <c r="BH835" s="13"/>
      <c r="BI835" s="13"/>
      <c r="BJ835" s="13"/>
      <c r="BK835" s="13"/>
      <c r="BL835" s="13"/>
      <c r="BM835" s="13"/>
      <c r="BN835" s="13"/>
      <c r="BO835" s="13"/>
      <c r="BP835" s="13"/>
      <c r="BQ835" s="13"/>
      <c r="BR835" s="13"/>
      <c r="BS835" s="13"/>
      <c r="BT835" s="13"/>
      <c r="BU835" s="13"/>
      <c r="BV835" s="13"/>
      <c r="BW835" s="13"/>
      <c r="BX835" s="13"/>
      <c r="BY835" s="13"/>
      <c r="BZ835" s="13"/>
      <c r="CA835" s="13"/>
      <c r="CB835" s="13"/>
      <c r="CC835" s="13"/>
      <c r="CD835" s="13"/>
      <c r="CE835" s="13"/>
      <c r="CF835" s="13"/>
      <c r="CG835" s="13"/>
      <c r="CH835" s="13"/>
      <c r="CI835" s="13"/>
      <c r="CJ835" s="13"/>
      <c r="CK835" s="13"/>
      <c r="CL835" s="13"/>
      <c r="CM835" s="13"/>
      <c r="CN835" s="13"/>
      <c r="CO835" s="13"/>
    </row>
    <row r="836" spans="1:93">
      <c r="A836" s="2" t="str">
        <f>HYPERLINK("http://exon.niaid.nih.gov/transcriptome/Anopheles_sialome/links/cds/anoga_SG6-cds.txt","anoga_SG6")</f>
        <v>anoga_SG6</v>
      </c>
      <c r="B836">
        <v>348</v>
      </c>
      <c r="C836" t="s">
        <v>550</v>
      </c>
      <c r="D836" t="s">
        <v>4</v>
      </c>
      <c r="E836" t="s">
        <v>5</v>
      </c>
      <c r="F836" t="s">
        <v>1</v>
      </c>
      <c r="G836" t="str">
        <f>HYPERLINK("http://exon.niaid.nih.gov/transcriptome/Anopheles_sialome/links/pep/anoga_SG6-pep.txt","anoga_SG6")</f>
        <v>anoga_SG6</v>
      </c>
      <c r="H836">
        <v>115</v>
      </c>
      <c r="I836">
        <v>0</v>
      </c>
      <c r="J836" s="3" t="str">
        <f>HYPERLINK("http://exon.niaid.nih.gov/transcriptome/Anopheles_sialome/links/Sigp/anoga_SG6-SigP.txt","SIG")</f>
        <v>SIG</v>
      </c>
      <c r="K836" t="s">
        <v>945</v>
      </c>
      <c r="L836">
        <v>13.090999999999999</v>
      </c>
      <c r="M836">
        <v>5.27</v>
      </c>
      <c r="N836">
        <v>10.089</v>
      </c>
      <c r="O836">
        <v>5.24</v>
      </c>
      <c r="P836" t="s">
        <v>2047</v>
      </c>
      <c r="Q836" s="3">
        <v>0</v>
      </c>
      <c r="R836" t="s">
        <v>128</v>
      </c>
      <c r="S836" t="s">
        <v>128</v>
      </c>
      <c r="T836" t="s">
        <v>128</v>
      </c>
      <c r="U836" t="s">
        <v>128</v>
      </c>
      <c r="V836" t="s">
        <v>128</v>
      </c>
      <c r="W836" s="3" t="str">
        <f>HYPERLINK("http://exon.niaid.nih.gov/transcriptome/Anopheles_sialome/links/netoglyc/anoga_SG6-netoglyc.txt","0")</f>
        <v>0</v>
      </c>
      <c r="X836">
        <v>10.4</v>
      </c>
      <c r="Y836">
        <v>3.5</v>
      </c>
      <c r="Z836">
        <v>5.2</v>
      </c>
      <c r="AA836" t="s">
        <v>654</v>
      </c>
      <c r="AB836" t="s">
        <v>128</v>
      </c>
      <c r="AC836" s="2" t="str">
        <f>HYPERLINK("http://exon.niaid.nih.gov/transcriptome/Anopheles_sialome/links/DIPTERA/anoga_SG6-DIPTERA.txt","AGAP000150-PA")</f>
        <v>AGAP000150-PA</v>
      </c>
      <c r="AD836" t="str">
        <f>HYPERLINK("http://www.ncbi.nlm.nih.gov/sutils/blink.cgi?pid=30178038","9E-065")</f>
        <v>9E-065</v>
      </c>
      <c r="AE836" t="str">
        <f>HYPERLINK("http://www.ncbi.nlm.nih.gov/protein/30178038","gi|30178038")</f>
        <v>gi|30178038</v>
      </c>
      <c r="AF836">
        <v>100</v>
      </c>
      <c r="AG836">
        <v>100</v>
      </c>
      <c r="AH836">
        <v>100</v>
      </c>
      <c r="AI836" t="s">
        <v>2285</v>
      </c>
      <c r="AJ836" s="2" t="str">
        <f>HYPERLINK("http://exon.niaid.nih.gov/transcriptome/Anopheles_sialome/links/CULICOMORPHA/anoga_SG6-CULICOMORPHA.txt","AGAP000150-PA")</f>
        <v>AGAP000150-PA</v>
      </c>
      <c r="AK836" t="str">
        <f>HYPERLINK("http://www.ncbi.nlm.nih.gov/sutils/blink.cgi?pid=30178038","2E-065")</f>
        <v>2E-065</v>
      </c>
      <c r="AL836" t="str">
        <f>HYPERLINK("http://www.ncbi.nlm.nih.gov/protein/30178038","gi|30178038")</f>
        <v>gi|30178038</v>
      </c>
      <c r="AM836">
        <v>100</v>
      </c>
      <c r="AN836">
        <v>100</v>
      </c>
      <c r="AO836">
        <v>100</v>
      </c>
      <c r="AP836" t="s">
        <v>2285</v>
      </c>
      <c r="AQ836" s="2" t="str">
        <f>HYPERLINK("http://exon.niaid.nih.gov/transcriptome/Anopheles_sialome/links/NR-LIGHT/anoga_SG6-NR-LIGHT.txt","AGAP000150-PA")</f>
        <v>AGAP000150-PA</v>
      </c>
      <c r="AR836" t="str">
        <f>HYPERLINK("http://www.ncbi.nlm.nih.gov/sutils/blink.cgi?pid=31204083","3E-064")</f>
        <v>3E-064</v>
      </c>
      <c r="AS836" t="str">
        <f>HYPERLINK("http://www.ncbi.nlm.nih.gov/protein/31204083","gi|31204083")</f>
        <v>gi|31204083</v>
      </c>
      <c r="AT836">
        <v>100</v>
      </c>
      <c r="AU836">
        <v>100</v>
      </c>
      <c r="AV836">
        <v>100</v>
      </c>
      <c r="AW836" t="s">
        <v>2285</v>
      </c>
      <c r="AX836" s="2" t="str">
        <f>HYPERLINK("http://exon.niaid.nih.gov/transcriptome/Anopheles_sialome/links/CDD/anoga_SG6-CDD.txt","PHA01753")</f>
        <v>PHA01753</v>
      </c>
      <c r="AY836" t="str">
        <f>HYPERLINK("http://www.ncbi.nlm.nih.gov/Structure/cdd/cddsrv.cgi?uid=PHA01753&amp;version=v4.0","2.7")</f>
        <v>2.7</v>
      </c>
      <c r="AZ836" t="s">
        <v>3036</v>
      </c>
      <c r="BA836" s="2" t="str">
        <f>HYPERLINK("http://exon.niaid.nih.gov/transcriptome/Anopheles_sialome/links/KOG/anoga_SG6-KOG.txt","Molecular chaperone (DnaJ superfamily)")</f>
        <v>Molecular chaperone (DnaJ superfamily)</v>
      </c>
      <c r="BB836" t="str">
        <f>HYPERLINK("http://www.ncbi.nlm.nih.gov/Structure/cdd/cddsrv.cgi?uid=KOG0722","1.1")</f>
        <v>1.1</v>
      </c>
      <c r="BC836" t="s">
        <v>2296</v>
      </c>
      <c r="BD836" t="str">
        <f>HYPERLINK("http://exon.niaid.nih.gov/transcriptome/Anopheles_sialome/links/KOG/anoga_SG6-KOG.txt","KOG0722")</f>
        <v>KOG0722</v>
      </c>
      <c r="BE836" t="str">
        <f>HYPERLINK("http://exon.niaid.nih.gov/transcriptome/Anopheles_sialome/links/PFAM/anoga_SG6-PFAM.txt","GRP")</f>
        <v>GRP</v>
      </c>
      <c r="BF836" t="str">
        <f>HYPERLINK("http://pfam.sanger.ac.uk/family?acc=PF07172","0.36")</f>
        <v>0.36</v>
      </c>
      <c r="BG836" s="2" t="str">
        <f>HYPERLINK("http://exon.niaid.nih.gov/transcriptome/Anopheles_sialome/links/SMART/anoga_SG6-SMART.txt","ALAD")</f>
        <v>ALAD</v>
      </c>
      <c r="BH836" t="str">
        <f>HYPERLINK("http://smart.embl-heidelberg.de/smart/do_annotation.pl?DOMAIN=ALAD&amp;BLAST=DUMMY","0.64")</f>
        <v>0.64</v>
      </c>
      <c r="BI836" t="s">
        <v>128</v>
      </c>
      <c r="BJ836" s="2" t="s">
        <v>128</v>
      </c>
      <c r="BK836" t="s">
        <v>2046</v>
      </c>
      <c r="BL836">
        <f>HYPERLINK("http://exon.niaid.nih.gov/transcriptome/Anopheles_sialome/links/cluster-b/anopheline-sialome-cds-pep-larger-orf25-50SimCLU1.txt", 1)</f>
        <v>1</v>
      </c>
      <c r="BM836">
        <f>HYPERLINK("http://exon.niaid.nih.gov/transcriptome/Anopheles_sialome/links/cluster-b/anopheline-sialome-cds-pep-larger-orf25-50SimCLTL1.txt", 165)</f>
        <v>165</v>
      </c>
      <c r="BN836">
        <f>HYPERLINK("http://exon.niaid.nih.gov/transcriptome/Anopheles_sialome/links/cluster-b/anopheline-sialome-cds-pep-larger-orf30-50SimCLU1.txt", 1)</f>
        <v>1</v>
      </c>
      <c r="BO836">
        <f>HYPERLINK("http://exon.niaid.nih.gov/transcriptome/Anopheles_sialome/links/cluster-b/anopheline-sialome-cds-pep-larger-orf30-50SimCLTL1.txt", 165)</f>
        <v>165</v>
      </c>
      <c r="BP836">
        <f>HYPERLINK("http://exon.niaid.nih.gov/transcriptome/Anopheles_sialome/links/cluster-b/anopheline-sialome-cds-pep-larger-orf35-50SimCLU5.txt", 5)</f>
        <v>5</v>
      </c>
      <c r="BQ836">
        <f>HYPERLINK("http://exon.niaid.nih.gov/transcriptome/Anopheles_sialome/links/cluster-b/anopheline-sialome-cds-pep-larger-orf35-50SimCLTL5.txt", 61)</f>
        <v>61</v>
      </c>
      <c r="BR836">
        <f>HYPERLINK("http://exon.niaid.nih.gov/transcriptome/Anopheles_sialome/links/cluster-b/anopheline-sialome-cds-pep-larger-orf40-50SimCLU23.txt", 23)</f>
        <v>23</v>
      </c>
      <c r="BS836">
        <f>HYPERLINK("http://exon.niaid.nih.gov/transcriptome/Anopheles_sialome/links/cluster-b/anopheline-sialome-cds-pep-larger-orf40-50SimCLTL23.txt", 17)</f>
        <v>17</v>
      </c>
      <c r="BT836">
        <f>HYPERLINK("http://exon.niaid.nih.gov/transcriptome/Anopheles_sialome/links/cluster-b/anopheline-sialome-cds-pep-larger-orf45-50SimCLU27.txt", 27)</f>
        <v>27</v>
      </c>
      <c r="BU836">
        <f>HYPERLINK("http://exon.niaid.nih.gov/transcriptome/Anopheles_sialome/links/cluster-b/anopheline-sialome-cds-pep-larger-orf45-50SimCLTL27.txt", 17)</f>
        <v>17</v>
      </c>
      <c r="BV836">
        <f>HYPERLINK("http://exon.niaid.nih.gov/transcriptome/Anopheles_sialome/links/cluster-b/anopheline-sialome-cds-pep-larger-orf50-50SimCLU28.txt", 28)</f>
        <v>28</v>
      </c>
      <c r="BW836">
        <f>HYPERLINK("http://exon.niaid.nih.gov/transcriptome/Anopheles_sialome/links/cluster-b/anopheline-sialome-cds-pep-larger-orf50-50SimCLTL28.txt", 17)</f>
        <v>17</v>
      </c>
      <c r="BX836">
        <f>HYPERLINK("http://exon.niaid.nih.gov/transcriptome/Anopheles_sialome/links/cluster-b/anopheline-sialome-cds-pep-larger-orf55-50SimCLU27.txt", 27)</f>
        <v>27</v>
      </c>
      <c r="BY836">
        <f>HYPERLINK("http://exon.niaid.nih.gov/transcriptome/Anopheles_sialome/links/cluster-b/anopheline-sialome-cds-pep-larger-orf55-50SimCLTL27.txt", 17)</f>
        <v>17</v>
      </c>
      <c r="BZ836">
        <f>HYPERLINK("http://exon.niaid.nih.gov/transcriptome/Anopheles_sialome/links/cluster-b/anopheline-sialome-cds-pep-larger-orf60-50SimCLU23.txt", 23)</f>
        <v>23</v>
      </c>
      <c r="CA836">
        <f>HYPERLINK("http://exon.niaid.nih.gov/transcriptome/Anopheles_sialome/links/cluster-b/anopheline-sialome-cds-pep-larger-orf60-50SimCLTL23.txt", 17)</f>
        <v>17</v>
      </c>
      <c r="CB836">
        <f>HYPERLINK("http://exon.niaid.nih.gov/transcriptome/Anopheles_sialome/links/cluster-b/anopheline-sialome-cds-pep-larger-orf65-50SimCLU20.txt", 20)</f>
        <v>20</v>
      </c>
      <c r="CC836">
        <f>HYPERLINK("http://exon.niaid.nih.gov/transcriptome/Anopheles_sialome/links/cluster-b/anopheline-sialome-cds-pep-larger-orf65-50SimCLTL20.txt", 17)</f>
        <v>17</v>
      </c>
      <c r="CD836">
        <f>HYPERLINK("http://exon.niaid.nih.gov/transcriptome/Anopheles_sialome/links/cluster-b/anopheline-sialome-cds-pep-larger-orf70-50SimCLU22.txt", 22)</f>
        <v>22</v>
      </c>
      <c r="CE836">
        <f>HYPERLINK("http://exon.niaid.nih.gov/transcriptome/Anopheles_sialome/links/cluster-b/anopheline-sialome-cds-pep-larger-orf70-50SimCLTL22.txt", 16)</f>
        <v>16</v>
      </c>
      <c r="CF836">
        <f>HYPERLINK("http://exon.niaid.nih.gov/transcriptome/Anopheles_sialome/links/cluster-b/anopheline-sialome-cds-pep-larger-orf75-50SimCLU18.txt", 18)</f>
        <v>18</v>
      </c>
      <c r="CG836">
        <f>HYPERLINK("http://exon.niaid.nih.gov/transcriptome/Anopheles_sialome/links/cluster-b/anopheline-sialome-cds-pep-larger-orf75-50SimCLTL18.txt", 16)</f>
        <v>16</v>
      </c>
      <c r="CH836">
        <f>HYPERLINK("http://exon.niaid.nih.gov/transcriptome/Anopheles_sialome/links/cluster-b/anopheline-sialome-cds-pep-larger-orf80-50SimCLU19.txt", 19)</f>
        <v>19</v>
      </c>
      <c r="CI836">
        <f>HYPERLINK("http://exon.niaid.nih.gov/transcriptome/Anopheles_sialome/links/cluster-b/anopheline-sialome-cds-pep-larger-orf80-50SimCLTL19.txt", 13)</f>
        <v>13</v>
      </c>
      <c r="CJ836">
        <f>HYPERLINK("http://exon.niaid.nih.gov/transcriptome/Anopheles_sialome/links/cluster-b/anopheline-sialome-cds-pep-larger-orf85-50SimCLU13.txt", 13)</f>
        <v>13</v>
      </c>
      <c r="CK836">
        <f>HYPERLINK("http://exon.niaid.nih.gov/transcriptome/Anopheles_sialome/links/cluster-b/anopheline-sialome-cds-pep-larger-orf85-50SimCLTL13.txt", 12)</f>
        <v>12</v>
      </c>
      <c r="CL836">
        <f>HYPERLINK("http://exon.niaid.nih.gov/transcriptome/Anopheles_sialome/links/cluster-b/anopheline-sialome-cds-pep-larger-orf90-50SimCLU36.txt", 36)</f>
        <v>36</v>
      </c>
      <c r="CM836">
        <f>HYPERLINK("http://exon.niaid.nih.gov/transcriptome/Anopheles_sialome/links/cluster-b/anopheline-sialome-cds-pep-larger-orf90-50SimCLTL36.txt", 6)</f>
        <v>6</v>
      </c>
      <c r="CN836">
        <f>HYPERLINK("http://exon.niaid.nih.gov/transcriptome/Anopheles_sialome/links/cluster-b/anopheline-sialome-cds-pep-larger-orf95-50SimCLU27.txt", 27)</f>
        <v>27</v>
      </c>
      <c r="CO836">
        <f>HYPERLINK("http://exon.niaid.nih.gov/transcriptome/Anopheles_sialome/links/cluster-b/anopheline-sialome-cds-pep-larger-orf95-50SimCLTL27.txt", 6)</f>
        <v>6</v>
      </c>
    </row>
    <row r="837" spans="1:93">
      <c r="A837" s="2" t="str">
        <f>HYPERLINK("http://exon.niaid.nih.gov/transcriptome/Anopheles_sialome/links/cds/anocol_SG6-cds.txt","anocol_SG6")</f>
        <v>anocol_SG6</v>
      </c>
      <c r="B837">
        <v>348</v>
      </c>
      <c r="C837" t="s">
        <v>551</v>
      </c>
      <c r="D837" t="s">
        <v>4</v>
      </c>
      <c r="E837" t="s">
        <v>5</v>
      </c>
      <c r="F837" t="s">
        <v>1</v>
      </c>
      <c r="G837" t="str">
        <f>HYPERLINK("http://exon.niaid.nih.gov/transcriptome/Anopheles_sialome/links/pep/anocol_SG6-pep.txt","anocol_SG6")</f>
        <v>anocol_SG6</v>
      </c>
      <c r="H837">
        <v>115</v>
      </c>
      <c r="I837">
        <v>0</v>
      </c>
      <c r="J837" s="3" t="str">
        <f>HYPERLINK("http://exon.niaid.nih.gov/transcriptome/Anopheles_sialome/links/Sigp/anocol_SG6-SigP.txt","SIG")</f>
        <v>SIG</v>
      </c>
      <c r="K837" t="s">
        <v>945</v>
      </c>
      <c r="L837">
        <v>13.023</v>
      </c>
      <c r="M837">
        <v>5.49</v>
      </c>
      <c r="N837">
        <v>10.103</v>
      </c>
      <c r="O837">
        <v>5.53</v>
      </c>
      <c r="P837" t="s">
        <v>2049</v>
      </c>
      <c r="Q837" s="3">
        <v>0</v>
      </c>
      <c r="R837" t="s">
        <v>128</v>
      </c>
      <c r="S837" t="s">
        <v>128</v>
      </c>
      <c r="T837" t="s">
        <v>128</v>
      </c>
      <c r="U837" t="s">
        <v>128</v>
      </c>
      <c r="V837" t="s">
        <v>128</v>
      </c>
      <c r="W837" s="3" t="str">
        <f>HYPERLINK("http://exon.niaid.nih.gov/transcriptome/Anopheles_sialome/links/netoglyc/anocol_SG6-netoglyc.txt","0")</f>
        <v>0</v>
      </c>
      <c r="X837">
        <v>10.4</v>
      </c>
      <c r="Y837">
        <v>4.3</v>
      </c>
      <c r="Z837">
        <v>5.2</v>
      </c>
      <c r="AA837" t="s">
        <v>654</v>
      </c>
      <c r="AB837" t="s">
        <v>128</v>
      </c>
      <c r="AC837" s="2" t="str">
        <f>HYPERLINK("http://exon.niaid.nih.gov/transcriptome/Anopheles_sialome/links/DIPTERA/anocol_SG6-DIPTERA.txt","AGAP000150-PA")</f>
        <v>AGAP000150-PA</v>
      </c>
      <c r="AD837" t="str">
        <f>HYPERLINK("http://www.ncbi.nlm.nih.gov/sutils/blink.cgi?pid=30178038","7E-063")</f>
        <v>7E-063</v>
      </c>
      <c r="AE837" t="str">
        <f>HYPERLINK("http://www.ncbi.nlm.nih.gov/protein/30178038","gi|30178038")</f>
        <v>gi|30178038</v>
      </c>
      <c r="AF837">
        <v>97</v>
      </c>
      <c r="AG837">
        <v>98</v>
      </c>
      <c r="AH837">
        <v>100</v>
      </c>
      <c r="AI837" t="s">
        <v>2285</v>
      </c>
      <c r="AJ837" s="2" t="str">
        <f>HYPERLINK("http://exon.niaid.nih.gov/transcriptome/Anopheles_sialome/links/CULICOMORPHA/anocol_SG6-CULICOMORPHA.txt","AGAP000150-PA")</f>
        <v>AGAP000150-PA</v>
      </c>
      <c r="AK837" t="str">
        <f>HYPERLINK("http://www.ncbi.nlm.nih.gov/sutils/blink.cgi?pid=30178038","1E-063")</f>
        <v>1E-063</v>
      </c>
      <c r="AL837" t="str">
        <f>HYPERLINK("http://www.ncbi.nlm.nih.gov/protein/30178038","gi|30178038")</f>
        <v>gi|30178038</v>
      </c>
      <c r="AM837">
        <v>97</v>
      </c>
      <c r="AN837">
        <v>98</v>
      </c>
      <c r="AO837">
        <v>100</v>
      </c>
      <c r="AP837" t="s">
        <v>2285</v>
      </c>
      <c r="AQ837" s="2" t="str">
        <f>HYPERLINK("http://exon.niaid.nih.gov/transcriptome/Anopheles_sialome/links/NR-LIGHT/anocol_SG6-NR-LIGHT.txt","AGAP000150-PA")</f>
        <v>AGAP000150-PA</v>
      </c>
      <c r="AR837" t="str">
        <f>HYPERLINK("http://www.ncbi.nlm.nih.gov/sutils/blink.cgi?pid=31204083","2E-062")</f>
        <v>2E-062</v>
      </c>
      <c r="AS837" t="str">
        <f>HYPERLINK("http://www.ncbi.nlm.nih.gov/protein/31204083","gi|31204083")</f>
        <v>gi|31204083</v>
      </c>
      <c r="AT837">
        <v>97</v>
      </c>
      <c r="AU837">
        <v>98</v>
      </c>
      <c r="AV837">
        <v>100</v>
      </c>
      <c r="AW837" t="s">
        <v>2285</v>
      </c>
      <c r="AX837" s="2" t="str">
        <f>HYPERLINK("http://exon.niaid.nih.gov/transcriptome/Anopheles_sialome/links/CDD/anocol_SG6-CDD.txt","PHA01753")</f>
        <v>PHA01753</v>
      </c>
      <c r="AY837" t="str">
        <f>HYPERLINK("http://www.ncbi.nlm.nih.gov/Structure/cdd/cddsrv.cgi?uid=PHA01753&amp;version=v4.0","2.6")</f>
        <v>2.6</v>
      </c>
      <c r="AZ837" t="s">
        <v>3037</v>
      </c>
      <c r="BA837" s="2" t="str">
        <f>HYPERLINK("http://exon.niaid.nih.gov/transcriptome/Anopheles_sialome/links/KOG/anocol_SG6-KOG.txt","Transcription regulator dachshund, contains SKI/SNO domain")</f>
        <v>Transcription regulator dachshund, contains SKI/SNO domain</v>
      </c>
      <c r="BB837" t="str">
        <f>HYPERLINK("http://www.ncbi.nlm.nih.gov/Structure/cdd/cddsrv.cgi?uid=KOG3915","1.7")</f>
        <v>1.7</v>
      </c>
      <c r="BC837" t="s">
        <v>2262</v>
      </c>
      <c r="BD837" t="str">
        <f>HYPERLINK("http://exon.niaid.nih.gov/transcriptome/Anopheles_sialome/links/KOG/anocol_SG6-KOG.txt","KOG3915")</f>
        <v>KOG3915</v>
      </c>
      <c r="BE837" t="str">
        <f>HYPERLINK("http://exon.niaid.nih.gov/transcriptome/Anopheles_sialome/links/PFAM/anocol_SG6-PFAM.txt","GRP")</f>
        <v>GRP</v>
      </c>
      <c r="BF837" t="str">
        <f>HYPERLINK("http://pfam.sanger.ac.uk/family?acc=PF07172","0.71")</f>
        <v>0.71</v>
      </c>
      <c r="BG837" s="2" t="str">
        <f>HYPERLINK("http://exon.niaid.nih.gov/transcriptome/Anopheles_sialome/links/SMART/anocol_SG6-SMART.txt","ALAD")</f>
        <v>ALAD</v>
      </c>
      <c r="BH837" t="str">
        <f>HYPERLINK("http://smart.embl-heidelberg.de/smart/do_annotation.pl?DOMAIN=ALAD&amp;BLAST=DUMMY","0.14")</f>
        <v>0.14</v>
      </c>
      <c r="BI837" t="s">
        <v>128</v>
      </c>
      <c r="BJ837" s="2" t="s">
        <v>128</v>
      </c>
      <c r="BK837" t="s">
        <v>2048</v>
      </c>
      <c r="BL837">
        <f>HYPERLINK("http://exon.niaid.nih.gov/transcriptome/Anopheles_sialome/links/cluster-b/anopheline-sialome-cds-pep-larger-orf25-50SimCLU1.txt", 1)</f>
        <v>1</v>
      </c>
      <c r="BM837">
        <f>HYPERLINK("http://exon.niaid.nih.gov/transcriptome/Anopheles_sialome/links/cluster-b/anopheline-sialome-cds-pep-larger-orf25-50SimCLTL1.txt", 165)</f>
        <v>165</v>
      </c>
      <c r="BN837">
        <f>HYPERLINK("http://exon.niaid.nih.gov/transcriptome/Anopheles_sialome/links/cluster-b/anopheline-sialome-cds-pep-larger-orf30-50SimCLU1.txt", 1)</f>
        <v>1</v>
      </c>
      <c r="BO837">
        <f>HYPERLINK("http://exon.niaid.nih.gov/transcriptome/Anopheles_sialome/links/cluster-b/anopheline-sialome-cds-pep-larger-orf30-50SimCLTL1.txt", 165)</f>
        <v>165</v>
      </c>
      <c r="BP837">
        <f>HYPERLINK("http://exon.niaid.nih.gov/transcriptome/Anopheles_sialome/links/cluster-b/anopheline-sialome-cds-pep-larger-orf35-50SimCLU5.txt", 5)</f>
        <v>5</v>
      </c>
      <c r="BQ837">
        <f>HYPERLINK("http://exon.niaid.nih.gov/transcriptome/Anopheles_sialome/links/cluster-b/anopheline-sialome-cds-pep-larger-orf35-50SimCLTL5.txt", 61)</f>
        <v>61</v>
      </c>
      <c r="BR837">
        <f>HYPERLINK("http://exon.niaid.nih.gov/transcriptome/Anopheles_sialome/links/cluster-b/anopheline-sialome-cds-pep-larger-orf40-50SimCLU23.txt", 23)</f>
        <v>23</v>
      </c>
      <c r="BS837">
        <f>HYPERLINK("http://exon.niaid.nih.gov/transcriptome/Anopheles_sialome/links/cluster-b/anopheline-sialome-cds-pep-larger-orf40-50SimCLTL23.txt", 17)</f>
        <v>17</v>
      </c>
      <c r="BT837">
        <f>HYPERLINK("http://exon.niaid.nih.gov/transcriptome/Anopheles_sialome/links/cluster-b/anopheline-sialome-cds-pep-larger-orf45-50SimCLU27.txt", 27)</f>
        <v>27</v>
      </c>
      <c r="BU837">
        <f>HYPERLINK("http://exon.niaid.nih.gov/transcriptome/Anopheles_sialome/links/cluster-b/anopheline-sialome-cds-pep-larger-orf45-50SimCLTL27.txt", 17)</f>
        <v>17</v>
      </c>
      <c r="BV837">
        <f>HYPERLINK("http://exon.niaid.nih.gov/transcriptome/Anopheles_sialome/links/cluster-b/anopheline-sialome-cds-pep-larger-orf50-50SimCLU28.txt", 28)</f>
        <v>28</v>
      </c>
      <c r="BW837">
        <f>HYPERLINK("http://exon.niaid.nih.gov/transcriptome/Anopheles_sialome/links/cluster-b/anopheline-sialome-cds-pep-larger-orf50-50SimCLTL28.txt", 17)</f>
        <v>17</v>
      </c>
      <c r="BX837">
        <f>HYPERLINK("http://exon.niaid.nih.gov/transcriptome/Anopheles_sialome/links/cluster-b/anopheline-sialome-cds-pep-larger-orf55-50SimCLU27.txt", 27)</f>
        <v>27</v>
      </c>
      <c r="BY837">
        <f>HYPERLINK("http://exon.niaid.nih.gov/transcriptome/Anopheles_sialome/links/cluster-b/anopheline-sialome-cds-pep-larger-orf55-50SimCLTL27.txt", 17)</f>
        <v>17</v>
      </c>
      <c r="BZ837">
        <f>HYPERLINK("http://exon.niaid.nih.gov/transcriptome/Anopheles_sialome/links/cluster-b/anopheline-sialome-cds-pep-larger-orf60-50SimCLU23.txt", 23)</f>
        <v>23</v>
      </c>
      <c r="CA837">
        <f>HYPERLINK("http://exon.niaid.nih.gov/transcriptome/Anopheles_sialome/links/cluster-b/anopheline-sialome-cds-pep-larger-orf60-50SimCLTL23.txt", 17)</f>
        <v>17</v>
      </c>
      <c r="CB837">
        <f>HYPERLINK("http://exon.niaid.nih.gov/transcriptome/Anopheles_sialome/links/cluster-b/anopheline-sialome-cds-pep-larger-orf65-50SimCLU20.txt", 20)</f>
        <v>20</v>
      </c>
      <c r="CC837">
        <f>HYPERLINK("http://exon.niaid.nih.gov/transcriptome/Anopheles_sialome/links/cluster-b/anopheline-sialome-cds-pep-larger-orf65-50SimCLTL20.txt", 17)</f>
        <v>17</v>
      </c>
      <c r="CD837">
        <f>HYPERLINK("http://exon.niaid.nih.gov/transcriptome/Anopheles_sialome/links/cluster-b/anopheline-sialome-cds-pep-larger-orf70-50SimCLU22.txt", 22)</f>
        <v>22</v>
      </c>
      <c r="CE837">
        <f>HYPERLINK("http://exon.niaid.nih.gov/transcriptome/Anopheles_sialome/links/cluster-b/anopheline-sialome-cds-pep-larger-orf70-50SimCLTL22.txt", 16)</f>
        <v>16</v>
      </c>
      <c r="CF837">
        <f>HYPERLINK("http://exon.niaid.nih.gov/transcriptome/Anopheles_sialome/links/cluster-b/anopheline-sialome-cds-pep-larger-orf75-50SimCLU18.txt", 18)</f>
        <v>18</v>
      </c>
      <c r="CG837">
        <f>HYPERLINK("http://exon.niaid.nih.gov/transcriptome/Anopheles_sialome/links/cluster-b/anopheline-sialome-cds-pep-larger-orf75-50SimCLTL18.txt", 16)</f>
        <v>16</v>
      </c>
      <c r="CH837">
        <f>HYPERLINK("http://exon.niaid.nih.gov/transcriptome/Anopheles_sialome/links/cluster-b/anopheline-sialome-cds-pep-larger-orf80-50SimCLU19.txt", 19)</f>
        <v>19</v>
      </c>
      <c r="CI837">
        <f>HYPERLINK("http://exon.niaid.nih.gov/transcriptome/Anopheles_sialome/links/cluster-b/anopheline-sialome-cds-pep-larger-orf80-50SimCLTL19.txt", 13)</f>
        <v>13</v>
      </c>
      <c r="CJ837">
        <f>HYPERLINK("http://exon.niaid.nih.gov/transcriptome/Anopheles_sialome/links/cluster-b/anopheline-sialome-cds-pep-larger-orf85-50SimCLU13.txt", 13)</f>
        <v>13</v>
      </c>
      <c r="CK837">
        <f>HYPERLINK("http://exon.niaid.nih.gov/transcriptome/Anopheles_sialome/links/cluster-b/anopheline-sialome-cds-pep-larger-orf85-50SimCLTL13.txt", 12)</f>
        <v>12</v>
      </c>
      <c r="CL837">
        <f>HYPERLINK("http://exon.niaid.nih.gov/transcriptome/Anopheles_sialome/links/cluster-b/anopheline-sialome-cds-pep-larger-orf90-50SimCLU36.txt", 36)</f>
        <v>36</v>
      </c>
      <c r="CM837">
        <f>HYPERLINK("http://exon.niaid.nih.gov/transcriptome/Anopheles_sialome/links/cluster-b/anopheline-sialome-cds-pep-larger-orf90-50SimCLTL36.txt", 6)</f>
        <v>6</v>
      </c>
      <c r="CN837">
        <f>HYPERLINK("http://exon.niaid.nih.gov/transcriptome/Anopheles_sialome/links/cluster-b/anopheline-sialome-cds-pep-larger-orf95-50SimCLU27.txt", 27)</f>
        <v>27</v>
      </c>
      <c r="CO837">
        <f>HYPERLINK("http://exon.niaid.nih.gov/transcriptome/Anopheles_sialome/links/cluster-b/anopheline-sialome-cds-pep-larger-orf95-50SimCLTL27.txt", 6)</f>
        <v>6</v>
      </c>
    </row>
    <row r="838" spans="1:93">
      <c r="A838" s="2" t="str">
        <f>HYPERLINK("http://exon.niaid.nih.gov/transcriptome/Anopheles_sialome/links/cds/anoara_SG6-cds.txt","anoara_SG6")</f>
        <v>anoara_SG6</v>
      </c>
      <c r="B838">
        <v>348</v>
      </c>
      <c r="C838" t="s">
        <v>552</v>
      </c>
      <c r="D838" t="s">
        <v>4</v>
      </c>
      <c r="E838" t="s">
        <v>5</v>
      </c>
      <c r="F838" t="s">
        <v>1</v>
      </c>
      <c r="G838" t="str">
        <f>HYPERLINK("http://exon.niaid.nih.gov/transcriptome/Anopheles_sialome/links/pep/anoara_SG6-pep.txt","anoara_SG6")</f>
        <v>anoara_SG6</v>
      </c>
      <c r="H838">
        <v>115</v>
      </c>
      <c r="I838">
        <v>0</v>
      </c>
      <c r="J838" s="3" t="str">
        <f>HYPERLINK("http://exon.niaid.nih.gov/transcriptome/Anopheles_sialome/links/Sigp/anoara_SG6-SigP.txt","SIG")</f>
        <v>SIG</v>
      </c>
      <c r="K838" t="s">
        <v>945</v>
      </c>
      <c r="L838">
        <v>13.147</v>
      </c>
      <c r="M838">
        <v>5.3</v>
      </c>
      <c r="N838">
        <v>10.118</v>
      </c>
      <c r="O838">
        <v>5.53</v>
      </c>
      <c r="P838" t="s">
        <v>2051</v>
      </c>
      <c r="Q838" s="3" t="str">
        <f>HYPERLINK("http://exon.niaid.nih.gov/transcriptome/Anopheles_sialome/links/tmhmm/anoara_SG6-tmhmm.txt","1")</f>
        <v>1</v>
      </c>
      <c r="R838">
        <v>19.100000000000001</v>
      </c>
      <c r="S838">
        <v>74.8</v>
      </c>
      <c r="T838">
        <v>6.1</v>
      </c>
      <c r="U838" t="s">
        <v>128</v>
      </c>
      <c r="V838">
        <v>86</v>
      </c>
      <c r="W838" s="3" t="str">
        <f>HYPERLINK("http://exon.niaid.nih.gov/transcriptome/Anopheles_sialome/links/netoglyc/anoara_SG6-netoglyc.txt","0")</f>
        <v>0</v>
      </c>
      <c r="X838">
        <v>10.4</v>
      </c>
      <c r="Y838">
        <v>3.5</v>
      </c>
      <c r="Z838">
        <v>5.2</v>
      </c>
      <c r="AA838" t="s">
        <v>654</v>
      </c>
      <c r="AB838" t="s">
        <v>128</v>
      </c>
      <c r="AC838" s="2" t="str">
        <f>HYPERLINK("http://exon.niaid.nih.gov/transcriptome/Anopheles_sialome/links/DIPTERA/anoara_SG6-DIPTERA.txt","gSG6 salivary protein")</f>
        <v>gSG6 salivary protein</v>
      </c>
      <c r="AD838" t="str">
        <f>HYPERLINK("http://www.ncbi.nlm.nih.gov/sutils/blink.cgi?pid=225572575","1E-064")</f>
        <v>1E-064</v>
      </c>
      <c r="AE838" t="str">
        <f>HYPERLINK("http://www.ncbi.nlm.nih.gov/protein/225572575","gi|225572575")</f>
        <v>gi|225572575</v>
      </c>
      <c r="AF838">
        <v>100</v>
      </c>
      <c r="AG838">
        <v>100</v>
      </c>
      <c r="AH838">
        <v>100</v>
      </c>
      <c r="AI838" t="s">
        <v>2453</v>
      </c>
      <c r="AJ838" s="2" t="str">
        <f>HYPERLINK("http://exon.niaid.nih.gov/transcriptome/Anopheles_sialome/links/CULICOMORPHA/anoara_SG6-CULICOMORPHA.txt","gSG6 salivary protein")</f>
        <v>gSG6 salivary protein</v>
      </c>
      <c r="AK838" t="str">
        <f>HYPERLINK("http://www.ncbi.nlm.nih.gov/sutils/blink.cgi?pid=225572575","2E-065")</f>
        <v>2E-065</v>
      </c>
      <c r="AL838" t="str">
        <f>HYPERLINK("http://www.ncbi.nlm.nih.gov/protein/225572575","gi|225572575")</f>
        <v>gi|225572575</v>
      </c>
      <c r="AM838">
        <v>100</v>
      </c>
      <c r="AN838">
        <v>100</v>
      </c>
      <c r="AO838">
        <v>100</v>
      </c>
      <c r="AP838" t="s">
        <v>2453</v>
      </c>
      <c r="AQ838" s="2" t="str">
        <f>HYPERLINK("http://exon.niaid.nih.gov/transcriptome/Anopheles_sialome/links/NR-LIGHT/anoara_SG6-NR-LIGHT.txt","gSG6 salivary protein")</f>
        <v>gSG6 salivary protein</v>
      </c>
      <c r="AR838" t="str">
        <f>HYPERLINK("http://www.ncbi.nlm.nih.gov/sutils/blink.cgi?pid=225572575","3E-064")</f>
        <v>3E-064</v>
      </c>
      <c r="AS838" t="str">
        <f>HYPERLINK("http://www.ncbi.nlm.nih.gov/protein/225572575","gi|225572575")</f>
        <v>gi|225572575</v>
      </c>
      <c r="AT838">
        <v>100</v>
      </c>
      <c r="AU838">
        <v>100</v>
      </c>
      <c r="AV838">
        <v>100</v>
      </c>
      <c r="AW838" t="s">
        <v>2453</v>
      </c>
      <c r="AX838" s="2" t="str">
        <f>HYPERLINK("http://exon.niaid.nih.gov/transcriptome/Anopheles_sialome/links/CDD/anoara_SG6-CDD.txt","DUF4010")</f>
        <v>DUF4010</v>
      </c>
      <c r="AY838" t="str">
        <f>HYPERLINK("http://www.ncbi.nlm.nih.gov/Structure/cdd/cddsrv.cgi?uid=pfam13194&amp;version=v4.0","1.3")</f>
        <v>1.3</v>
      </c>
      <c r="AZ838" t="s">
        <v>3038</v>
      </c>
      <c r="BA838" s="2" t="str">
        <f>HYPERLINK("http://exon.niaid.nih.gov/transcriptome/Anopheles_sialome/links/KOG/anoara_SG6-KOG.txt","Molecular chaperone (DnaJ superfamily)")</f>
        <v>Molecular chaperone (DnaJ superfamily)</v>
      </c>
      <c r="BB838" t="str">
        <f>HYPERLINK("http://www.ncbi.nlm.nih.gov/Structure/cdd/cddsrv.cgi?uid=KOG0722","1.1")</f>
        <v>1.1</v>
      </c>
      <c r="BC838" t="s">
        <v>2296</v>
      </c>
      <c r="BD838" t="str">
        <f>HYPERLINK("http://exon.niaid.nih.gov/transcriptome/Anopheles_sialome/links/KOG/anoara_SG6-KOG.txt","KOG0722")</f>
        <v>KOG0722</v>
      </c>
      <c r="BE838" t="str">
        <f>HYPERLINK("http://exon.niaid.nih.gov/transcriptome/Anopheles_sialome/links/PFAM/anoara_SG6-PFAM.txt","DUF4010")</f>
        <v>DUF4010</v>
      </c>
      <c r="BF838" t="str">
        <f>HYPERLINK("http://pfam.sanger.ac.uk/family?acc=PF13194","0.29")</f>
        <v>0.29</v>
      </c>
      <c r="BG838" s="2" t="str">
        <f>HYPERLINK("http://exon.niaid.nih.gov/transcriptome/Anopheles_sialome/links/SMART/anoara_SG6-SMART.txt","ALAD")</f>
        <v>ALAD</v>
      </c>
      <c r="BH838" t="str">
        <f>HYPERLINK("http://smart.embl-heidelberg.de/smart/do_annotation.pl?DOMAIN=ALAD&amp;BLAST=DUMMY","0.32")</f>
        <v>0.32</v>
      </c>
      <c r="BI838" t="s">
        <v>128</v>
      </c>
      <c r="BJ838" s="2" t="s">
        <v>128</v>
      </c>
      <c r="BK838" t="s">
        <v>2050</v>
      </c>
      <c r="BL838">
        <f>HYPERLINK("http://exon.niaid.nih.gov/transcriptome/Anopheles_sialome/links/cluster-b/anopheline-sialome-cds-pep-larger-orf25-50SimCLU1.txt", 1)</f>
        <v>1</v>
      </c>
      <c r="BM838">
        <f>HYPERLINK("http://exon.niaid.nih.gov/transcriptome/Anopheles_sialome/links/cluster-b/anopheline-sialome-cds-pep-larger-orf25-50SimCLTL1.txt", 165)</f>
        <v>165</v>
      </c>
      <c r="BN838">
        <f>HYPERLINK("http://exon.niaid.nih.gov/transcriptome/Anopheles_sialome/links/cluster-b/anopheline-sialome-cds-pep-larger-orf30-50SimCLU1.txt", 1)</f>
        <v>1</v>
      </c>
      <c r="BO838">
        <f>HYPERLINK("http://exon.niaid.nih.gov/transcriptome/Anopheles_sialome/links/cluster-b/anopheline-sialome-cds-pep-larger-orf30-50SimCLTL1.txt", 165)</f>
        <v>165</v>
      </c>
      <c r="BP838">
        <f>HYPERLINK("http://exon.niaid.nih.gov/transcriptome/Anopheles_sialome/links/cluster-b/anopheline-sialome-cds-pep-larger-orf35-50SimCLU5.txt", 5)</f>
        <v>5</v>
      </c>
      <c r="BQ838">
        <f>HYPERLINK("http://exon.niaid.nih.gov/transcriptome/Anopheles_sialome/links/cluster-b/anopheline-sialome-cds-pep-larger-orf35-50SimCLTL5.txt", 61)</f>
        <v>61</v>
      </c>
      <c r="BR838">
        <f>HYPERLINK("http://exon.niaid.nih.gov/transcriptome/Anopheles_sialome/links/cluster-b/anopheline-sialome-cds-pep-larger-orf40-50SimCLU23.txt", 23)</f>
        <v>23</v>
      </c>
      <c r="BS838">
        <f>HYPERLINK("http://exon.niaid.nih.gov/transcriptome/Anopheles_sialome/links/cluster-b/anopheline-sialome-cds-pep-larger-orf40-50SimCLTL23.txt", 17)</f>
        <v>17</v>
      </c>
      <c r="BT838">
        <f>HYPERLINK("http://exon.niaid.nih.gov/transcriptome/Anopheles_sialome/links/cluster-b/anopheline-sialome-cds-pep-larger-orf45-50SimCLU27.txt", 27)</f>
        <v>27</v>
      </c>
      <c r="BU838">
        <f>HYPERLINK("http://exon.niaid.nih.gov/transcriptome/Anopheles_sialome/links/cluster-b/anopheline-sialome-cds-pep-larger-orf45-50SimCLTL27.txt", 17)</f>
        <v>17</v>
      </c>
      <c r="BV838">
        <f>HYPERLINK("http://exon.niaid.nih.gov/transcriptome/Anopheles_sialome/links/cluster-b/anopheline-sialome-cds-pep-larger-orf50-50SimCLU28.txt", 28)</f>
        <v>28</v>
      </c>
      <c r="BW838">
        <f>HYPERLINK("http://exon.niaid.nih.gov/transcriptome/Anopheles_sialome/links/cluster-b/anopheline-sialome-cds-pep-larger-orf50-50SimCLTL28.txt", 17)</f>
        <v>17</v>
      </c>
      <c r="BX838">
        <f>HYPERLINK("http://exon.niaid.nih.gov/transcriptome/Anopheles_sialome/links/cluster-b/anopheline-sialome-cds-pep-larger-orf55-50SimCLU27.txt", 27)</f>
        <v>27</v>
      </c>
      <c r="BY838">
        <f>HYPERLINK("http://exon.niaid.nih.gov/transcriptome/Anopheles_sialome/links/cluster-b/anopheline-sialome-cds-pep-larger-orf55-50SimCLTL27.txt", 17)</f>
        <v>17</v>
      </c>
      <c r="BZ838">
        <f>HYPERLINK("http://exon.niaid.nih.gov/transcriptome/Anopheles_sialome/links/cluster-b/anopheline-sialome-cds-pep-larger-orf60-50SimCLU23.txt", 23)</f>
        <v>23</v>
      </c>
      <c r="CA838">
        <f>HYPERLINK("http://exon.niaid.nih.gov/transcriptome/Anopheles_sialome/links/cluster-b/anopheline-sialome-cds-pep-larger-orf60-50SimCLTL23.txt", 17)</f>
        <v>17</v>
      </c>
      <c r="CB838">
        <f>HYPERLINK("http://exon.niaid.nih.gov/transcriptome/Anopheles_sialome/links/cluster-b/anopheline-sialome-cds-pep-larger-orf65-50SimCLU20.txt", 20)</f>
        <v>20</v>
      </c>
      <c r="CC838">
        <f>HYPERLINK("http://exon.niaid.nih.gov/transcriptome/Anopheles_sialome/links/cluster-b/anopheline-sialome-cds-pep-larger-orf65-50SimCLTL20.txt", 17)</f>
        <v>17</v>
      </c>
      <c r="CD838">
        <f>HYPERLINK("http://exon.niaid.nih.gov/transcriptome/Anopheles_sialome/links/cluster-b/anopheline-sialome-cds-pep-larger-orf70-50SimCLU22.txt", 22)</f>
        <v>22</v>
      </c>
      <c r="CE838">
        <f>HYPERLINK("http://exon.niaid.nih.gov/transcriptome/Anopheles_sialome/links/cluster-b/anopheline-sialome-cds-pep-larger-orf70-50SimCLTL22.txt", 16)</f>
        <v>16</v>
      </c>
      <c r="CF838">
        <f>HYPERLINK("http://exon.niaid.nih.gov/transcriptome/Anopheles_sialome/links/cluster-b/anopheline-sialome-cds-pep-larger-orf75-50SimCLU18.txt", 18)</f>
        <v>18</v>
      </c>
      <c r="CG838">
        <f>HYPERLINK("http://exon.niaid.nih.gov/transcriptome/Anopheles_sialome/links/cluster-b/anopheline-sialome-cds-pep-larger-orf75-50SimCLTL18.txt", 16)</f>
        <v>16</v>
      </c>
      <c r="CH838">
        <f>HYPERLINK("http://exon.niaid.nih.gov/transcriptome/Anopheles_sialome/links/cluster-b/anopheline-sialome-cds-pep-larger-orf80-50SimCLU19.txt", 19)</f>
        <v>19</v>
      </c>
      <c r="CI838">
        <f>HYPERLINK("http://exon.niaid.nih.gov/transcriptome/Anopheles_sialome/links/cluster-b/anopheline-sialome-cds-pep-larger-orf80-50SimCLTL19.txt", 13)</f>
        <v>13</v>
      </c>
      <c r="CJ838">
        <f>HYPERLINK("http://exon.niaid.nih.gov/transcriptome/Anopheles_sialome/links/cluster-b/anopheline-sialome-cds-pep-larger-orf85-50SimCLU13.txt", 13)</f>
        <v>13</v>
      </c>
      <c r="CK838">
        <f>HYPERLINK("http://exon.niaid.nih.gov/transcriptome/Anopheles_sialome/links/cluster-b/anopheline-sialome-cds-pep-larger-orf85-50SimCLTL13.txt", 12)</f>
        <v>12</v>
      </c>
      <c r="CL838">
        <f>HYPERLINK("http://exon.niaid.nih.gov/transcriptome/Anopheles_sialome/links/cluster-b/anopheline-sialome-cds-pep-larger-orf90-50SimCLU36.txt", 36)</f>
        <v>36</v>
      </c>
      <c r="CM838">
        <f>HYPERLINK("http://exon.niaid.nih.gov/transcriptome/Anopheles_sialome/links/cluster-b/anopheline-sialome-cds-pep-larger-orf90-50SimCLTL36.txt", 6)</f>
        <v>6</v>
      </c>
      <c r="CN838">
        <f>HYPERLINK("http://exon.niaid.nih.gov/transcriptome/Anopheles_sialome/links/cluster-b/anopheline-sialome-cds-pep-larger-orf95-50SimCLU27.txt", 27)</f>
        <v>27</v>
      </c>
      <c r="CO838">
        <f>HYPERLINK("http://exon.niaid.nih.gov/transcriptome/Anopheles_sialome/links/cluster-b/anopheline-sialome-cds-pep-larger-orf95-50SimCLTL27.txt", 6)</f>
        <v>6</v>
      </c>
    </row>
    <row r="839" spans="1:93">
      <c r="A839" s="2" t="str">
        <f>HYPERLINK("http://exon.niaid.nih.gov/transcriptome/Anopheles_sialome/links/cds/anoqua_SG6-cds.txt","anoqua_SG6")</f>
        <v>anoqua_SG6</v>
      </c>
      <c r="B839">
        <v>348</v>
      </c>
      <c r="C839" t="s">
        <v>553</v>
      </c>
      <c r="D839" t="s">
        <v>4</v>
      </c>
      <c r="E839" t="s">
        <v>5</v>
      </c>
      <c r="F839" t="s">
        <v>1</v>
      </c>
      <c r="G839" t="str">
        <f>HYPERLINK("http://exon.niaid.nih.gov/transcriptome/Anopheles_sialome/links/pep/anoqua_SG6-pep.txt","anoqua_SG6")</f>
        <v>anoqua_SG6</v>
      </c>
      <c r="H839">
        <v>115</v>
      </c>
      <c r="I839">
        <v>0</v>
      </c>
      <c r="J839" s="3" t="str">
        <f>HYPERLINK("http://exon.niaid.nih.gov/transcriptome/Anopheles_sialome/links/Sigp/anoqua_SG6-SigP.txt","SIG")</f>
        <v>SIG</v>
      </c>
      <c r="K839" t="s">
        <v>945</v>
      </c>
      <c r="L839">
        <v>13.119</v>
      </c>
      <c r="M839">
        <v>5.3</v>
      </c>
      <c r="N839">
        <v>10.118</v>
      </c>
      <c r="O839">
        <v>5.53</v>
      </c>
      <c r="P839" t="s">
        <v>2053</v>
      </c>
      <c r="Q839" s="3">
        <v>0</v>
      </c>
      <c r="R839" t="s">
        <v>128</v>
      </c>
      <c r="S839" t="s">
        <v>128</v>
      </c>
      <c r="T839" t="s">
        <v>128</v>
      </c>
      <c r="U839" t="s">
        <v>128</v>
      </c>
      <c r="V839" t="s">
        <v>128</v>
      </c>
      <c r="W839" s="3" t="str">
        <f>HYPERLINK("http://exon.niaid.nih.gov/transcriptome/Anopheles_sialome/links/netoglyc/anoqua_SG6-netoglyc.txt","0")</f>
        <v>0</v>
      </c>
      <c r="X839">
        <v>10.4</v>
      </c>
      <c r="Y839">
        <v>3.5</v>
      </c>
      <c r="Z839">
        <v>5.2</v>
      </c>
      <c r="AA839" t="s">
        <v>654</v>
      </c>
      <c r="AB839" t="s">
        <v>128</v>
      </c>
      <c r="AC839" s="2" t="str">
        <f>HYPERLINK("http://exon.niaid.nih.gov/transcriptome/Anopheles_sialome/links/DIPTERA/anoqua_SG6-DIPTERA.txt","gSG6 salivary protein")</f>
        <v>gSG6 salivary protein</v>
      </c>
      <c r="AD839" t="str">
        <f>HYPERLINK("http://www.ncbi.nlm.nih.gov/sutils/blink.cgi?pid=225572579","3E-064")</f>
        <v>3E-064</v>
      </c>
      <c r="AE839" t="str">
        <f>HYPERLINK("http://www.ncbi.nlm.nih.gov/protein/225572579","gi|225572579")</f>
        <v>gi|225572579</v>
      </c>
      <c r="AF839">
        <v>99</v>
      </c>
      <c r="AG839">
        <v>100</v>
      </c>
      <c r="AH839">
        <v>100</v>
      </c>
      <c r="AI839" t="s">
        <v>3039</v>
      </c>
      <c r="AJ839" s="2" t="str">
        <f>HYPERLINK("http://exon.niaid.nih.gov/transcriptome/Anopheles_sialome/links/CULICOMORPHA/anoqua_SG6-CULICOMORPHA.txt","gSG6 salivary protein")</f>
        <v>gSG6 salivary protein</v>
      </c>
      <c r="AK839" t="str">
        <f>HYPERLINK("http://www.ncbi.nlm.nih.gov/sutils/blink.cgi?pid=225572579","4E-065")</f>
        <v>4E-065</v>
      </c>
      <c r="AL839" t="str">
        <f>HYPERLINK("http://www.ncbi.nlm.nih.gov/protein/225572579","gi|225572579")</f>
        <v>gi|225572579</v>
      </c>
      <c r="AM839">
        <v>99</v>
      </c>
      <c r="AN839">
        <v>100</v>
      </c>
      <c r="AO839">
        <v>100</v>
      </c>
      <c r="AP839" t="s">
        <v>3039</v>
      </c>
      <c r="AQ839" s="2" t="str">
        <f>HYPERLINK("http://exon.niaid.nih.gov/transcriptome/Anopheles_sialome/links/NR-LIGHT/anoqua_SG6-NR-LIGHT.txt","gSG6 salivary protein")</f>
        <v>gSG6 salivary protein</v>
      </c>
      <c r="AR839" t="str">
        <f>HYPERLINK("http://www.ncbi.nlm.nih.gov/sutils/blink.cgi?pid=225572579","8E-064")</f>
        <v>8E-064</v>
      </c>
      <c r="AS839" t="str">
        <f>HYPERLINK("http://www.ncbi.nlm.nih.gov/protein/225572579","gi|225572579")</f>
        <v>gi|225572579</v>
      </c>
      <c r="AT839">
        <v>99</v>
      </c>
      <c r="AU839">
        <v>100</v>
      </c>
      <c r="AV839">
        <v>100</v>
      </c>
      <c r="AW839" t="s">
        <v>3039</v>
      </c>
      <c r="AX839" s="2" t="str">
        <f>HYPERLINK("http://exon.niaid.nih.gov/transcriptome/Anopheles_sialome/links/CDD/anoqua_SG6-CDD.txt","COG2912")</f>
        <v>COG2912</v>
      </c>
      <c r="AY839" t="str">
        <f>HYPERLINK("http://www.ncbi.nlm.nih.gov/Structure/cdd/cddsrv.cgi?uid=COG2912&amp;version=v4.0","1.9")</f>
        <v>1.9</v>
      </c>
      <c r="AZ839" t="s">
        <v>3040</v>
      </c>
      <c r="BA839" s="2" t="str">
        <f>HYPERLINK("http://exon.niaid.nih.gov/transcriptome/Anopheles_sialome/links/KOG/anoqua_SG6-KOG.txt","Molecular chaperone (DnaJ superfamily)")</f>
        <v>Molecular chaperone (DnaJ superfamily)</v>
      </c>
      <c r="BB839" t="str">
        <f>HYPERLINK("http://www.ncbi.nlm.nih.gov/Structure/cdd/cddsrv.cgi?uid=KOG0722","1.2")</f>
        <v>1.2</v>
      </c>
      <c r="BC839" t="s">
        <v>2296</v>
      </c>
      <c r="BD839" t="str">
        <f>HYPERLINK("http://exon.niaid.nih.gov/transcriptome/Anopheles_sialome/links/KOG/anoqua_SG6-KOG.txt","KOG0722")</f>
        <v>KOG0722</v>
      </c>
      <c r="BE839" t="str">
        <f>HYPERLINK("http://exon.niaid.nih.gov/transcriptome/Anopheles_sialome/links/PFAM/anoqua_SG6-PFAM.txt","DUF4010")</f>
        <v>DUF4010</v>
      </c>
      <c r="BF839" t="str">
        <f>HYPERLINK("http://pfam.sanger.ac.uk/family?acc=PF13194","0.54")</f>
        <v>0.54</v>
      </c>
      <c r="BG839" s="2" t="str">
        <f>HYPERLINK("http://exon.niaid.nih.gov/transcriptome/Anopheles_sialome/links/SMART/anoqua_SG6-SMART.txt","ALAD")</f>
        <v>ALAD</v>
      </c>
      <c r="BH839" t="str">
        <f>HYPERLINK("http://smart.embl-heidelberg.de/smart/do_annotation.pl?DOMAIN=ALAD&amp;BLAST=DUMMY","0.33")</f>
        <v>0.33</v>
      </c>
      <c r="BI839" t="s">
        <v>128</v>
      </c>
      <c r="BJ839" s="2" t="s">
        <v>128</v>
      </c>
      <c r="BK839" t="s">
        <v>2052</v>
      </c>
      <c r="BL839">
        <f>HYPERLINK("http://exon.niaid.nih.gov/transcriptome/Anopheles_sialome/links/cluster-b/anopheline-sialome-cds-pep-larger-orf25-50SimCLU1.txt", 1)</f>
        <v>1</v>
      </c>
      <c r="BM839">
        <f>HYPERLINK("http://exon.niaid.nih.gov/transcriptome/Anopheles_sialome/links/cluster-b/anopheline-sialome-cds-pep-larger-orf25-50SimCLTL1.txt", 165)</f>
        <v>165</v>
      </c>
      <c r="BN839">
        <f>HYPERLINK("http://exon.niaid.nih.gov/transcriptome/Anopheles_sialome/links/cluster-b/anopheline-sialome-cds-pep-larger-orf30-50SimCLU1.txt", 1)</f>
        <v>1</v>
      </c>
      <c r="BO839">
        <f>HYPERLINK("http://exon.niaid.nih.gov/transcriptome/Anopheles_sialome/links/cluster-b/anopheline-sialome-cds-pep-larger-orf30-50SimCLTL1.txt", 165)</f>
        <v>165</v>
      </c>
      <c r="BP839">
        <f>HYPERLINK("http://exon.niaid.nih.gov/transcriptome/Anopheles_sialome/links/cluster-b/anopheline-sialome-cds-pep-larger-orf35-50SimCLU5.txt", 5)</f>
        <v>5</v>
      </c>
      <c r="BQ839">
        <f>HYPERLINK("http://exon.niaid.nih.gov/transcriptome/Anopheles_sialome/links/cluster-b/anopheline-sialome-cds-pep-larger-orf35-50SimCLTL5.txt", 61)</f>
        <v>61</v>
      </c>
      <c r="BR839">
        <f>HYPERLINK("http://exon.niaid.nih.gov/transcriptome/Anopheles_sialome/links/cluster-b/anopheline-sialome-cds-pep-larger-orf40-50SimCLU23.txt", 23)</f>
        <v>23</v>
      </c>
      <c r="BS839">
        <f>HYPERLINK("http://exon.niaid.nih.gov/transcriptome/Anopheles_sialome/links/cluster-b/anopheline-sialome-cds-pep-larger-orf40-50SimCLTL23.txt", 17)</f>
        <v>17</v>
      </c>
      <c r="BT839">
        <f>HYPERLINK("http://exon.niaid.nih.gov/transcriptome/Anopheles_sialome/links/cluster-b/anopheline-sialome-cds-pep-larger-orf45-50SimCLU27.txt", 27)</f>
        <v>27</v>
      </c>
      <c r="BU839">
        <f>HYPERLINK("http://exon.niaid.nih.gov/transcriptome/Anopheles_sialome/links/cluster-b/anopheline-sialome-cds-pep-larger-orf45-50SimCLTL27.txt", 17)</f>
        <v>17</v>
      </c>
      <c r="BV839">
        <f>HYPERLINK("http://exon.niaid.nih.gov/transcriptome/Anopheles_sialome/links/cluster-b/anopheline-sialome-cds-pep-larger-orf50-50SimCLU28.txt", 28)</f>
        <v>28</v>
      </c>
      <c r="BW839">
        <f>HYPERLINK("http://exon.niaid.nih.gov/transcriptome/Anopheles_sialome/links/cluster-b/anopheline-sialome-cds-pep-larger-orf50-50SimCLTL28.txt", 17)</f>
        <v>17</v>
      </c>
      <c r="BX839">
        <f>HYPERLINK("http://exon.niaid.nih.gov/transcriptome/Anopheles_sialome/links/cluster-b/anopheline-sialome-cds-pep-larger-orf55-50SimCLU27.txt", 27)</f>
        <v>27</v>
      </c>
      <c r="BY839">
        <f>HYPERLINK("http://exon.niaid.nih.gov/transcriptome/Anopheles_sialome/links/cluster-b/anopheline-sialome-cds-pep-larger-orf55-50SimCLTL27.txt", 17)</f>
        <v>17</v>
      </c>
      <c r="BZ839">
        <f>HYPERLINK("http://exon.niaid.nih.gov/transcriptome/Anopheles_sialome/links/cluster-b/anopheline-sialome-cds-pep-larger-orf60-50SimCLU23.txt", 23)</f>
        <v>23</v>
      </c>
      <c r="CA839">
        <f>HYPERLINK("http://exon.niaid.nih.gov/transcriptome/Anopheles_sialome/links/cluster-b/anopheline-sialome-cds-pep-larger-orf60-50SimCLTL23.txt", 17)</f>
        <v>17</v>
      </c>
      <c r="CB839">
        <f>HYPERLINK("http://exon.niaid.nih.gov/transcriptome/Anopheles_sialome/links/cluster-b/anopheline-sialome-cds-pep-larger-orf65-50SimCLU20.txt", 20)</f>
        <v>20</v>
      </c>
      <c r="CC839">
        <f>HYPERLINK("http://exon.niaid.nih.gov/transcriptome/Anopheles_sialome/links/cluster-b/anopheline-sialome-cds-pep-larger-orf65-50SimCLTL20.txt", 17)</f>
        <v>17</v>
      </c>
      <c r="CD839">
        <f>HYPERLINK("http://exon.niaid.nih.gov/transcriptome/Anopheles_sialome/links/cluster-b/anopheline-sialome-cds-pep-larger-orf70-50SimCLU22.txt", 22)</f>
        <v>22</v>
      </c>
      <c r="CE839">
        <f>HYPERLINK("http://exon.niaid.nih.gov/transcriptome/Anopheles_sialome/links/cluster-b/anopheline-sialome-cds-pep-larger-orf70-50SimCLTL22.txt", 16)</f>
        <v>16</v>
      </c>
      <c r="CF839">
        <f>HYPERLINK("http://exon.niaid.nih.gov/transcriptome/Anopheles_sialome/links/cluster-b/anopheline-sialome-cds-pep-larger-orf75-50SimCLU18.txt", 18)</f>
        <v>18</v>
      </c>
      <c r="CG839">
        <f>HYPERLINK("http://exon.niaid.nih.gov/transcriptome/Anopheles_sialome/links/cluster-b/anopheline-sialome-cds-pep-larger-orf75-50SimCLTL18.txt", 16)</f>
        <v>16</v>
      </c>
      <c r="CH839">
        <f>HYPERLINK("http://exon.niaid.nih.gov/transcriptome/Anopheles_sialome/links/cluster-b/anopheline-sialome-cds-pep-larger-orf80-50SimCLU19.txt", 19)</f>
        <v>19</v>
      </c>
      <c r="CI839">
        <f>HYPERLINK("http://exon.niaid.nih.gov/transcriptome/Anopheles_sialome/links/cluster-b/anopheline-sialome-cds-pep-larger-orf80-50SimCLTL19.txt", 13)</f>
        <v>13</v>
      </c>
      <c r="CJ839">
        <f>HYPERLINK("http://exon.niaid.nih.gov/transcriptome/Anopheles_sialome/links/cluster-b/anopheline-sialome-cds-pep-larger-orf85-50SimCLU13.txt", 13)</f>
        <v>13</v>
      </c>
      <c r="CK839">
        <f>HYPERLINK("http://exon.niaid.nih.gov/transcriptome/Anopheles_sialome/links/cluster-b/anopheline-sialome-cds-pep-larger-orf85-50SimCLTL13.txt", 12)</f>
        <v>12</v>
      </c>
      <c r="CL839">
        <f>HYPERLINK("http://exon.niaid.nih.gov/transcriptome/Anopheles_sialome/links/cluster-b/anopheline-sialome-cds-pep-larger-orf90-50SimCLU36.txt", 36)</f>
        <v>36</v>
      </c>
      <c r="CM839">
        <f>HYPERLINK("http://exon.niaid.nih.gov/transcriptome/Anopheles_sialome/links/cluster-b/anopheline-sialome-cds-pep-larger-orf90-50SimCLTL36.txt", 6)</f>
        <v>6</v>
      </c>
      <c r="CN839">
        <f>HYPERLINK("http://exon.niaid.nih.gov/transcriptome/Anopheles_sialome/links/cluster-b/anopheline-sialome-cds-pep-larger-orf95-50SimCLU27.txt", 27)</f>
        <v>27</v>
      </c>
      <c r="CO839">
        <f>HYPERLINK("http://exon.niaid.nih.gov/transcriptome/Anopheles_sialome/links/cluster-b/anopheline-sialome-cds-pep-larger-orf95-50SimCLTL27.txt", 6)</f>
        <v>6</v>
      </c>
    </row>
    <row r="840" spans="1:93">
      <c r="A840" s="2" t="str">
        <f>HYPERLINK("http://exon.niaid.nih.gov/transcriptome/Anopheles_sialome/links/cds/anomer_SG6-cds.txt","anomer_SG6")</f>
        <v>anomer_SG6</v>
      </c>
      <c r="B840">
        <v>348</v>
      </c>
      <c r="C840" t="s">
        <v>554</v>
      </c>
      <c r="D840" t="s">
        <v>4</v>
      </c>
      <c r="E840" t="s">
        <v>5</v>
      </c>
      <c r="F840" t="s">
        <v>1</v>
      </c>
      <c r="G840" t="str">
        <f>HYPERLINK("http://exon.niaid.nih.gov/transcriptome/Anopheles_sialome/links/pep/anomer_SG6-pep.txt","anomer_SG6")</f>
        <v>anomer_SG6</v>
      </c>
      <c r="H840">
        <v>115</v>
      </c>
      <c r="I840">
        <v>0</v>
      </c>
      <c r="J840" s="3" t="str">
        <f>HYPERLINK("http://exon.niaid.nih.gov/transcriptome/Anopheles_sialome/links/Sigp/anomer_SG6-SigP.txt","SIG")</f>
        <v>SIG</v>
      </c>
      <c r="K840" t="s">
        <v>945</v>
      </c>
      <c r="L840">
        <v>13.175000000000001</v>
      </c>
      <c r="M840">
        <v>5.32</v>
      </c>
      <c r="N840">
        <v>10.173999999999999</v>
      </c>
      <c r="O840">
        <v>5.55</v>
      </c>
      <c r="P840" t="s">
        <v>2055</v>
      </c>
      <c r="Q840" s="3">
        <v>0</v>
      </c>
      <c r="R840" t="s">
        <v>128</v>
      </c>
      <c r="S840" t="s">
        <v>128</v>
      </c>
      <c r="T840" t="s">
        <v>128</v>
      </c>
      <c r="U840" t="s">
        <v>128</v>
      </c>
      <c r="V840" t="s">
        <v>128</v>
      </c>
      <c r="W840" s="3" t="str">
        <f>HYPERLINK("http://exon.niaid.nih.gov/transcriptome/Anopheles_sialome/links/netoglyc/anomer_SG6-netoglyc.txt","0")</f>
        <v>0</v>
      </c>
      <c r="X840">
        <v>9.6</v>
      </c>
      <c r="Y840">
        <v>3.5</v>
      </c>
      <c r="Z840">
        <v>5.2</v>
      </c>
      <c r="AA840" t="s">
        <v>654</v>
      </c>
      <c r="AB840" t="s">
        <v>128</v>
      </c>
      <c r="AC840" s="2" t="str">
        <f>HYPERLINK("http://exon.niaid.nih.gov/transcriptome/Anopheles_sialome/links/DIPTERA/anomer_SG6-DIPTERA.txt","gSG6 salivary protein")</f>
        <v>gSG6 salivary protein</v>
      </c>
      <c r="AD840" t="str">
        <f>HYPERLINK("http://www.ncbi.nlm.nih.gov/sutils/blink.cgi?pid=225572579","2E-061")</f>
        <v>2E-061</v>
      </c>
      <c r="AE840" t="str">
        <f>HYPERLINK("http://www.ncbi.nlm.nih.gov/protein/225572579","gi|225572579")</f>
        <v>gi|225572579</v>
      </c>
      <c r="AF840">
        <v>94</v>
      </c>
      <c r="AG840">
        <v>97</v>
      </c>
      <c r="AH840">
        <v>100</v>
      </c>
      <c r="AI840" t="s">
        <v>3039</v>
      </c>
      <c r="AJ840" s="2" t="str">
        <f>HYPERLINK("http://exon.niaid.nih.gov/transcriptome/Anopheles_sialome/links/CULICOMORPHA/anomer_SG6-CULICOMORPHA.txt","gSG6 salivary protein")</f>
        <v>gSG6 salivary protein</v>
      </c>
      <c r="AK840" t="str">
        <f>HYPERLINK("http://www.ncbi.nlm.nih.gov/sutils/blink.cgi?pid=225572579","3E-062")</f>
        <v>3E-062</v>
      </c>
      <c r="AL840" t="str">
        <f>HYPERLINK("http://www.ncbi.nlm.nih.gov/protein/225572579","gi|225572579")</f>
        <v>gi|225572579</v>
      </c>
      <c r="AM840">
        <v>94</v>
      </c>
      <c r="AN840">
        <v>97</v>
      </c>
      <c r="AO840">
        <v>100</v>
      </c>
      <c r="AP840" t="s">
        <v>3039</v>
      </c>
      <c r="AQ840" s="2" t="str">
        <f>HYPERLINK("http://exon.niaid.nih.gov/transcriptome/Anopheles_sialome/links/NR-LIGHT/anomer_SG6-NR-LIGHT.txt","AGAP000150-PA")</f>
        <v>AGAP000150-PA</v>
      </c>
      <c r="AR840" t="str">
        <f>HYPERLINK("http://www.ncbi.nlm.nih.gov/sutils/blink.cgi?pid=31204083","5E-061")</f>
        <v>5E-061</v>
      </c>
      <c r="AS840" t="str">
        <f>HYPERLINK("http://www.ncbi.nlm.nih.gov/protein/31204083","gi|31204083")</f>
        <v>gi|31204083</v>
      </c>
      <c r="AT840">
        <v>94</v>
      </c>
      <c r="AU840">
        <v>98</v>
      </c>
      <c r="AV840">
        <v>100</v>
      </c>
      <c r="AW840" t="s">
        <v>2285</v>
      </c>
      <c r="AX840" s="2" t="str">
        <f>HYPERLINK("http://exon.niaid.nih.gov/transcriptome/Anopheles_sialome/links/CDD/anomer_SG6-CDD.txt","COG2912")</f>
        <v>COG2912</v>
      </c>
      <c r="AY840" t="str">
        <f>HYPERLINK("http://www.ncbi.nlm.nih.gov/Structure/cdd/cddsrv.cgi?uid=COG2912&amp;version=v4.0","1.6")</f>
        <v>1.6</v>
      </c>
      <c r="AZ840" t="s">
        <v>3041</v>
      </c>
      <c r="BA840" s="2" t="str">
        <f>HYPERLINK("http://exon.niaid.nih.gov/transcriptome/Anopheles_sialome/links/KOG/anomer_SG6-KOG.txt","Molecular chaperone (DnaJ superfamily)")</f>
        <v>Molecular chaperone (DnaJ superfamily)</v>
      </c>
      <c r="BB840" t="str">
        <f>HYPERLINK("http://www.ncbi.nlm.nih.gov/Structure/cdd/cddsrv.cgi?uid=KOG0722","0.99")</f>
        <v>0.99</v>
      </c>
      <c r="BC840" t="s">
        <v>2296</v>
      </c>
      <c r="BD840" t="str">
        <f>HYPERLINK("http://exon.niaid.nih.gov/transcriptome/Anopheles_sialome/links/KOG/anomer_SG6-KOG.txt","KOG0722")</f>
        <v>KOG0722</v>
      </c>
      <c r="BE840" t="str">
        <f>HYPERLINK("http://exon.niaid.nih.gov/transcriptome/Anopheles_sialome/links/PFAM/anomer_SG6-PFAM.txt","DUF4010")</f>
        <v>DUF4010</v>
      </c>
      <c r="BF840" t="str">
        <f>HYPERLINK("http://pfam.sanger.ac.uk/family?acc=PF13194","0.40")</f>
        <v>0.40</v>
      </c>
      <c r="BG840" s="2" t="str">
        <f>HYPERLINK("http://exon.niaid.nih.gov/transcriptome/Anopheles_sialome/links/SMART/anomer_SG6-SMART.txt","CYCc")</f>
        <v>CYCc</v>
      </c>
      <c r="BH840" t="str">
        <f>HYPERLINK("http://smart.embl-heidelberg.de/smart/do_annotation.pl?DOMAIN=CYCc&amp;BLAST=DUMMY","0.80")</f>
        <v>0.80</v>
      </c>
      <c r="BI840" t="s">
        <v>128</v>
      </c>
      <c r="BJ840" s="2" t="s">
        <v>128</v>
      </c>
      <c r="BK840" t="s">
        <v>2054</v>
      </c>
      <c r="BL840">
        <f>HYPERLINK("http://exon.niaid.nih.gov/transcriptome/Anopheles_sialome/links/cluster-b/anopheline-sialome-cds-pep-larger-orf25-50SimCLU1.txt", 1)</f>
        <v>1</v>
      </c>
      <c r="BM840">
        <f>HYPERLINK("http://exon.niaid.nih.gov/transcriptome/Anopheles_sialome/links/cluster-b/anopheline-sialome-cds-pep-larger-orf25-50SimCLTL1.txt", 165)</f>
        <v>165</v>
      </c>
      <c r="BN840">
        <f>HYPERLINK("http://exon.niaid.nih.gov/transcriptome/Anopheles_sialome/links/cluster-b/anopheline-sialome-cds-pep-larger-orf30-50SimCLU1.txt", 1)</f>
        <v>1</v>
      </c>
      <c r="BO840">
        <f>HYPERLINK("http://exon.niaid.nih.gov/transcriptome/Anopheles_sialome/links/cluster-b/anopheline-sialome-cds-pep-larger-orf30-50SimCLTL1.txt", 165)</f>
        <v>165</v>
      </c>
      <c r="BP840">
        <f>HYPERLINK("http://exon.niaid.nih.gov/transcriptome/Anopheles_sialome/links/cluster-b/anopheline-sialome-cds-pep-larger-orf35-50SimCLU5.txt", 5)</f>
        <v>5</v>
      </c>
      <c r="BQ840">
        <f>HYPERLINK("http://exon.niaid.nih.gov/transcriptome/Anopheles_sialome/links/cluster-b/anopheline-sialome-cds-pep-larger-orf35-50SimCLTL5.txt", 61)</f>
        <v>61</v>
      </c>
      <c r="BR840">
        <f>HYPERLINK("http://exon.niaid.nih.gov/transcriptome/Anopheles_sialome/links/cluster-b/anopheline-sialome-cds-pep-larger-orf40-50SimCLU23.txt", 23)</f>
        <v>23</v>
      </c>
      <c r="BS840">
        <f>HYPERLINK("http://exon.niaid.nih.gov/transcriptome/Anopheles_sialome/links/cluster-b/anopheline-sialome-cds-pep-larger-orf40-50SimCLTL23.txt", 17)</f>
        <v>17</v>
      </c>
      <c r="BT840">
        <f>HYPERLINK("http://exon.niaid.nih.gov/transcriptome/Anopheles_sialome/links/cluster-b/anopheline-sialome-cds-pep-larger-orf45-50SimCLU27.txt", 27)</f>
        <v>27</v>
      </c>
      <c r="BU840">
        <f>HYPERLINK("http://exon.niaid.nih.gov/transcriptome/Anopheles_sialome/links/cluster-b/anopheline-sialome-cds-pep-larger-orf45-50SimCLTL27.txt", 17)</f>
        <v>17</v>
      </c>
      <c r="BV840">
        <f>HYPERLINK("http://exon.niaid.nih.gov/transcriptome/Anopheles_sialome/links/cluster-b/anopheline-sialome-cds-pep-larger-orf50-50SimCLU28.txt", 28)</f>
        <v>28</v>
      </c>
      <c r="BW840">
        <f>HYPERLINK("http://exon.niaid.nih.gov/transcriptome/Anopheles_sialome/links/cluster-b/anopheline-sialome-cds-pep-larger-orf50-50SimCLTL28.txt", 17)</f>
        <v>17</v>
      </c>
      <c r="BX840">
        <f>HYPERLINK("http://exon.niaid.nih.gov/transcriptome/Anopheles_sialome/links/cluster-b/anopheline-sialome-cds-pep-larger-orf55-50SimCLU27.txt", 27)</f>
        <v>27</v>
      </c>
      <c r="BY840">
        <f>HYPERLINK("http://exon.niaid.nih.gov/transcriptome/Anopheles_sialome/links/cluster-b/anopheline-sialome-cds-pep-larger-orf55-50SimCLTL27.txt", 17)</f>
        <v>17</v>
      </c>
      <c r="BZ840">
        <f>HYPERLINK("http://exon.niaid.nih.gov/transcriptome/Anopheles_sialome/links/cluster-b/anopheline-sialome-cds-pep-larger-orf60-50SimCLU23.txt", 23)</f>
        <v>23</v>
      </c>
      <c r="CA840">
        <f>HYPERLINK("http://exon.niaid.nih.gov/transcriptome/Anopheles_sialome/links/cluster-b/anopheline-sialome-cds-pep-larger-orf60-50SimCLTL23.txt", 17)</f>
        <v>17</v>
      </c>
      <c r="CB840">
        <f>HYPERLINK("http://exon.niaid.nih.gov/transcriptome/Anopheles_sialome/links/cluster-b/anopheline-sialome-cds-pep-larger-orf65-50SimCLU20.txt", 20)</f>
        <v>20</v>
      </c>
      <c r="CC840">
        <f>HYPERLINK("http://exon.niaid.nih.gov/transcriptome/Anopheles_sialome/links/cluster-b/anopheline-sialome-cds-pep-larger-orf65-50SimCLTL20.txt", 17)</f>
        <v>17</v>
      </c>
      <c r="CD840">
        <f>HYPERLINK("http://exon.niaid.nih.gov/transcriptome/Anopheles_sialome/links/cluster-b/anopheline-sialome-cds-pep-larger-orf70-50SimCLU22.txt", 22)</f>
        <v>22</v>
      </c>
      <c r="CE840">
        <f>HYPERLINK("http://exon.niaid.nih.gov/transcriptome/Anopheles_sialome/links/cluster-b/anopheline-sialome-cds-pep-larger-orf70-50SimCLTL22.txt", 16)</f>
        <v>16</v>
      </c>
      <c r="CF840">
        <f>HYPERLINK("http://exon.niaid.nih.gov/transcriptome/Anopheles_sialome/links/cluster-b/anopheline-sialome-cds-pep-larger-orf75-50SimCLU18.txt", 18)</f>
        <v>18</v>
      </c>
      <c r="CG840">
        <f>HYPERLINK("http://exon.niaid.nih.gov/transcriptome/Anopheles_sialome/links/cluster-b/anopheline-sialome-cds-pep-larger-orf75-50SimCLTL18.txt", 16)</f>
        <v>16</v>
      </c>
      <c r="CH840">
        <f>HYPERLINK("http://exon.niaid.nih.gov/transcriptome/Anopheles_sialome/links/cluster-b/anopheline-sialome-cds-pep-larger-orf80-50SimCLU19.txt", 19)</f>
        <v>19</v>
      </c>
      <c r="CI840">
        <f>HYPERLINK("http://exon.niaid.nih.gov/transcriptome/Anopheles_sialome/links/cluster-b/anopheline-sialome-cds-pep-larger-orf80-50SimCLTL19.txt", 13)</f>
        <v>13</v>
      </c>
      <c r="CJ840">
        <f>HYPERLINK("http://exon.niaid.nih.gov/transcriptome/Anopheles_sialome/links/cluster-b/anopheline-sialome-cds-pep-larger-orf85-50SimCLU13.txt", 13)</f>
        <v>13</v>
      </c>
      <c r="CK840">
        <f>HYPERLINK("http://exon.niaid.nih.gov/transcriptome/Anopheles_sialome/links/cluster-b/anopheline-sialome-cds-pep-larger-orf85-50SimCLTL13.txt", 12)</f>
        <v>12</v>
      </c>
      <c r="CL840">
        <f>HYPERLINK("http://exon.niaid.nih.gov/transcriptome/Anopheles_sialome/links/cluster-b/anopheline-sialome-cds-pep-larger-orf90-50SimCLU36.txt", 36)</f>
        <v>36</v>
      </c>
      <c r="CM840">
        <f>HYPERLINK("http://exon.niaid.nih.gov/transcriptome/Anopheles_sialome/links/cluster-b/anopheline-sialome-cds-pep-larger-orf90-50SimCLTL36.txt", 6)</f>
        <v>6</v>
      </c>
      <c r="CN840">
        <f>HYPERLINK("http://exon.niaid.nih.gov/transcriptome/Anopheles_sialome/links/cluster-b/anopheline-sialome-cds-pep-larger-orf95-50SimCLU27.txt", 27)</f>
        <v>27</v>
      </c>
      <c r="CO840">
        <f>HYPERLINK("http://exon.niaid.nih.gov/transcriptome/Anopheles_sialome/links/cluster-b/anopheline-sialome-cds-pep-larger-orf95-50SimCLTL27.txt", 6)</f>
        <v>6</v>
      </c>
    </row>
    <row r="841" spans="1:93">
      <c r="A841" s="2" t="str">
        <f>HYPERLINK("http://exon.niaid.nih.gov/transcriptome/Anopheles_sialome/links/cds/anomel_SG6-cds.txt","anomel_SG6")</f>
        <v>anomel_SG6</v>
      </c>
      <c r="B841">
        <v>348</v>
      </c>
      <c r="C841" t="s">
        <v>555</v>
      </c>
      <c r="D841" t="s">
        <v>4</v>
      </c>
      <c r="E841" t="s">
        <v>5</v>
      </c>
      <c r="F841" t="s">
        <v>1</v>
      </c>
      <c r="G841" t="str">
        <f>HYPERLINK("http://exon.niaid.nih.gov/transcriptome/Anopheles_sialome/links/pep/anomel_SG6-pep.txt","anomel_SG6")</f>
        <v>anomel_SG6</v>
      </c>
      <c r="H841">
        <v>115</v>
      </c>
      <c r="I841">
        <v>0</v>
      </c>
      <c r="J841" s="3" t="str">
        <f>HYPERLINK("http://exon.niaid.nih.gov/transcriptome/Anopheles_sialome/links/Sigp/anomel_SG6-SigP.txt","SIG")</f>
        <v>SIG</v>
      </c>
      <c r="K841" t="s">
        <v>945</v>
      </c>
      <c r="L841">
        <v>13.077</v>
      </c>
      <c r="M841">
        <v>5.3</v>
      </c>
      <c r="N841">
        <v>10.103999999999999</v>
      </c>
      <c r="O841">
        <v>5.53</v>
      </c>
      <c r="P841" t="s">
        <v>2057</v>
      </c>
      <c r="Q841" s="3">
        <v>0</v>
      </c>
      <c r="R841" t="s">
        <v>128</v>
      </c>
      <c r="S841" t="s">
        <v>128</v>
      </c>
      <c r="T841" t="s">
        <v>128</v>
      </c>
      <c r="U841" t="s">
        <v>128</v>
      </c>
      <c r="V841" t="s">
        <v>128</v>
      </c>
      <c r="W841" s="3" t="str">
        <f>HYPERLINK("http://exon.niaid.nih.gov/transcriptome/Anopheles_sialome/links/netoglyc/anomel_SG6-netoglyc.txt","0")</f>
        <v>0</v>
      </c>
      <c r="X841">
        <v>10.4</v>
      </c>
      <c r="Y841">
        <v>3.5</v>
      </c>
      <c r="Z841">
        <v>5.2</v>
      </c>
      <c r="AA841" t="s">
        <v>654</v>
      </c>
      <c r="AB841" t="s">
        <v>128</v>
      </c>
      <c r="AC841" s="2" t="str">
        <f>HYPERLINK("http://exon.niaid.nih.gov/transcriptome/Anopheles_sialome/links/DIPTERA/anomel_SG6-DIPTERA.txt","gSG6 salivary protein")</f>
        <v>gSG6 salivary protein</v>
      </c>
      <c r="AD841" t="str">
        <f>HYPERLINK("http://www.ncbi.nlm.nih.gov/sutils/blink.cgi?pid=225572581","2E-064")</f>
        <v>2E-064</v>
      </c>
      <c r="AE841" t="str">
        <f>HYPERLINK("http://www.ncbi.nlm.nih.gov/protein/225572581","gi|225572581")</f>
        <v>gi|225572581</v>
      </c>
      <c r="AF841">
        <v>100</v>
      </c>
      <c r="AG841">
        <v>100</v>
      </c>
      <c r="AH841">
        <v>100</v>
      </c>
      <c r="AI841" t="s">
        <v>3042</v>
      </c>
      <c r="AJ841" s="2" t="str">
        <f>HYPERLINK("http://exon.niaid.nih.gov/transcriptome/Anopheles_sialome/links/CULICOMORPHA/anomel_SG6-CULICOMORPHA.txt","gSG6 salivary protein")</f>
        <v>gSG6 salivary protein</v>
      </c>
      <c r="AK841" t="str">
        <f>HYPERLINK("http://www.ncbi.nlm.nih.gov/sutils/blink.cgi?pid=225572581","3E-065")</f>
        <v>3E-065</v>
      </c>
      <c r="AL841" t="str">
        <f>HYPERLINK("http://www.ncbi.nlm.nih.gov/protein/225572581","gi|225572581")</f>
        <v>gi|225572581</v>
      </c>
      <c r="AM841">
        <v>100</v>
      </c>
      <c r="AN841">
        <v>100</v>
      </c>
      <c r="AO841">
        <v>100</v>
      </c>
      <c r="AP841" t="s">
        <v>3042</v>
      </c>
      <c r="AQ841" s="2" t="str">
        <f>HYPERLINK("http://exon.niaid.nih.gov/transcriptome/Anopheles_sialome/links/NR-LIGHT/anomel_SG6-NR-LIGHT.txt","gSG6 salivary protein")</f>
        <v>gSG6 salivary protein</v>
      </c>
      <c r="AR841" t="str">
        <f>HYPERLINK("http://www.ncbi.nlm.nih.gov/sutils/blink.cgi?pid=225572581","4E-064")</f>
        <v>4E-064</v>
      </c>
      <c r="AS841" t="str">
        <f>HYPERLINK("http://www.ncbi.nlm.nih.gov/protein/225572581","gi|225572581")</f>
        <v>gi|225572581</v>
      </c>
      <c r="AT841">
        <v>100</v>
      </c>
      <c r="AU841">
        <v>100</v>
      </c>
      <c r="AV841">
        <v>100</v>
      </c>
      <c r="AW841" t="s">
        <v>3042</v>
      </c>
      <c r="AX841" s="2" t="str">
        <f>HYPERLINK("http://exon.niaid.nih.gov/transcriptome/Anopheles_sialome/links/CDD/anomel_SG6-CDD.txt","DUF4010")</f>
        <v>DUF4010</v>
      </c>
      <c r="AY841" t="str">
        <f>HYPERLINK("http://www.ncbi.nlm.nih.gov/Structure/cdd/cddsrv.cgi?uid=pfam13194&amp;version=v4.0","1.1")</f>
        <v>1.1</v>
      </c>
      <c r="AZ841" t="s">
        <v>3043</v>
      </c>
      <c r="BA841" s="2" t="str">
        <f>HYPERLINK("http://exon.niaid.nih.gov/transcriptome/Anopheles_sialome/links/KOG/anomel_SG6-KOG.txt","Zinc carboxypeptidase")</f>
        <v>Zinc carboxypeptidase</v>
      </c>
      <c r="BB841" t="str">
        <f>HYPERLINK("http://www.ncbi.nlm.nih.gov/Structure/cdd/cddsrv.cgi?uid=KOG2650","1.1")</f>
        <v>1.1</v>
      </c>
      <c r="BC841" t="s">
        <v>2304</v>
      </c>
      <c r="BD841" t="str">
        <f>HYPERLINK("http://exon.niaid.nih.gov/transcriptome/Anopheles_sialome/links/KOG/anomel_SG6-KOG.txt","KOG2650")</f>
        <v>KOG2650</v>
      </c>
      <c r="BE841" t="str">
        <f>HYPERLINK("http://exon.niaid.nih.gov/transcriptome/Anopheles_sialome/links/PFAM/anomel_SG6-PFAM.txt","DUF4010")</f>
        <v>DUF4010</v>
      </c>
      <c r="BF841" t="str">
        <f>HYPERLINK("http://pfam.sanger.ac.uk/family?acc=PF13194","0.24")</f>
        <v>0.24</v>
      </c>
      <c r="BG841" s="2" t="str">
        <f>HYPERLINK("http://exon.niaid.nih.gov/transcriptome/Anopheles_sialome/links/SMART/anomel_SG6-SMART.txt","ALAD")</f>
        <v>ALAD</v>
      </c>
      <c r="BH841" t="str">
        <f>HYPERLINK("http://smart.embl-heidelberg.de/smart/do_annotation.pl?DOMAIN=ALAD&amp;BLAST=DUMMY","0.34")</f>
        <v>0.34</v>
      </c>
      <c r="BI841" t="s">
        <v>128</v>
      </c>
      <c r="BJ841" s="2" t="s">
        <v>128</v>
      </c>
      <c r="BK841" t="s">
        <v>2056</v>
      </c>
      <c r="BL841">
        <f>HYPERLINK("http://exon.niaid.nih.gov/transcriptome/Anopheles_sialome/links/cluster-b/anopheline-sialome-cds-pep-larger-orf25-50SimCLU1.txt", 1)</f>
        <v>1</v>
      </c>
      <c r="BM841">
        <f>HYPERLINK("http://exon.niaid.nih.gov/transcriptome/Anopheles_sialome/links/cluster-b/anopheline-sialome-cds-pep-larger-orf25-50SimCLTL1.txt", 165)</f>
        <v>165</v>
      </c>
      <c r="BN841">
        <f>HYPERLINK("http://exon.niaid.nih.gov/transcriptome/Anopheles_sialome/links/cluster-b/anopheline-sialome-cds-pep-larger-orf30-50SimCLU1.txt", 1)</f>
        <v>1</v>
      </c>
      <c r="BO841">
        <f>HYPERLINK("http://exon.niaid.nih.gov/transcriptome/Anopheles_sialome/links/cluster-b/anopheline-sialome-cds-pep-larger-orf30-50SimCLTL1.txt", 165)</f>
        <v>165</v>
      </c>
      <c r="BP841">
        <f>HYPERLINK("http://exon.niaid.nih.gov/transcriptome/Anopheles_sialome/links/cluster-b/anopheline-sialome-cds-pep-larger-orf35-50SimCLU5.txt", 5)</f>
        <v>5</v>
      </c>
      <c r="BQ841">
        <f>HYPERLINK("http://exon.niaid.nih.gov/transcriptome/Anopheles_sialome/links/cluster-b/anopheline-sialome-cds-pep-larger-orf35-50SimCLTL5.txt", 61)</f>
        <v>61</v>
      </c>
      <c r="BR841">
        <f>HYPERLINK("http://exon.niaid.nih.gov/transcriptome/Anopheles_sialome/links/cluster-b/anopheline-sialome-cds-pep-larger-orf40-50SimCLU23.txt", 23)</f>
        <v>23</v>
      </c>
      <c r="BS841">
        <f>HYPERLINK("http://exon.niaid.nih.gov/transcriptome/Anopheles_sialome/links/cluster-b/anopheline-sialome-cds-pep-larger-orf40-50SimCLTL23.txt", 17)</f>
        <v>17</v>
      </c>
      <c r="BT841">
        <f>HYPERLINK("http://exon.niaid.nih.gov/transcriptome/Anopheles_sialome/links/cluster-b/anopheline-sialome-cds-pep-larger-orf45-50SimCLU27.txt", 27)</f>
        <v>27</v>
      </c>
      <c r="BU841">
        <f>HYPERLINK("http://exon.niaid.nih.gov/transcriptome/Anopheles_sialome/links/cluster-b/anopheline-sialome-cds-pep-larger-orf45-50SimCLTL27.txt", 17)</f>
        <v>17</v>
      </c>
      <c r="BV841">
        <f>HYPERLINK("http://exon.niaid.nih.gov/transcriptome/Anopheles_sialome/links/cluster-b/anopheline-sialome-cds-pep-larger-orf50-50SimCLU28.txt", 28)</f>
        <v>28</v>
      </c>
      <c r="BW841">
        <f>HYPERLINK("http://exon.niaid.nih.gov/transcriptome/Anopheles_sialome/links/cluster-b/anopheline-sialome-cds-pep-larger-orf50-50SimCLTL28.txt", 17)</f>
        <v>17</v>
      </c>
      <c r="BX841">
        <f>HYPERLINK("http://exon.niaid.nih.gov/transcriptome/Anopheles_sialome/links/cluster-b/anopheline-sialome-cds-pep-larger-orf55-50SimCLU27.txt", 27)</f>
        <v>27</v>
      </c>
      <c r="BY841">
        <f>HYPERLINK("http://exon.niaid.nih.gov/transcriptome/Anopheles_sialome/links/cluster-b/anopheline-sialome-cds-pep-larger-orf55-50SimCLTL27.txt", 17)</f>
        <v>17</v>
      </c>
      <c r="BZ841">
        <f>HYPERLINK("http://exon.niaid.nih.gov/transcriptome/Anopheles_sialome/links/cluster-b/anopheline-sialome-cds-pep-larger-orf60-50SimCLU23.txt", 23)</f>
        <v>23</v>
      </c>
      <c r="CA841">
        <f>HYPERLINK("http://exon.niaid.nih.gov/transcriptome/Anopheles_sialome/links/cluster-b/anopheline-sialome-cds-pep-larger-orf60-50SimCLTL23.txt", 17)</f>
        <v>17</v>
      </c>
      <c r="CB841">
        <f>HYPERLINK("http://exon.niaid.nih.gov/transcriptome/Anopheles_sialome/links/cluster-b/anopheline-sialome-cds-pep-larger-orf65-50SimCLU20.txt", 20)</f>
        <v>20</v>
      </c>
      <c r="CC841">
        <f>HYPERLINK("http://exon.niaid.nih.gov/transcriptome/Anopheles_sialome/links/cluster-b/anopheline-sialome-cds-pep-larger-orf65-50SimCLTL20.txt", 17)</f>
        <v>17</v>
      </c>
      <c r="CD841">
        <f>HYPERLINK("http://exon.niaid.nih.gov/transcriptome/Anopheles_sialome/links/cluster-b/anopheline-sialome-cds-pep-larger-orf70-50SimCLU22.txt", 22)</f>
        <v>22</v>
      </c>
      <c r="CE841">
        <f>HYPERLINK("http://exon.niaid.nih.gov/transcriptome/Anopheles_sialome/links/cluster-b/anopheline-sialome-cds-pep-larger-orf70-50SimCLTL22.txt", 16)</f>
        <v>16</v>
      </c>
      <c r="CF841">
        <f>HYPERLINK("http://exon.niaid.nih.gov/transcriptome/Anopheles_sialome/links/cluster-b/anopheline-sialome-cds-pep-larger-orf75-50SimCLU18.txt", 18)</f>
        <v>18</v>
      </c>
      <c r="CG841">
        <f>HYPERLINK("http://exon.niaid.nih.gov/transcriptome/Anopheles_sialome/links/cluster-b/anopheline-sialome-cds-pep-larger-orf75-50SimCLTL18.txt", 16)</f>
        <v>16</v>
      </c>
      <c r="CH841">
        <f>HYPERLINK("http://exon.niaid.nih.gov/transcriptome/Anopheles_sialome/links/cluster-b/anopheline-sialome-cds-pep-larger-orf80-50SimCLU19.txt", 19)</f>
        <v>19</v>
      </c>
      <c r="CI841">
        <f>HYPERLINK("http://exon.niaid.nih.gov/transcriptome/Anopheles_sialome/links/cluster-b/anopheline-sialome-cds-pep-larger-orf80-50SimCLTL19.txt", 13)</f>
        <v>13</v>
      </c>
      <c r="CJ841">
        <f>HYPERLINK("http://exon.niaid.nih.gov/transcriptome/Anopheles_sialome/links/cluster-b/anopheline-sialome-cds-pep-larger-orf85-50SimCLU13.txt", 13)</f>
        <v>13</v>
      </c>
      <c r="CK841">
        <f>HYPERLINK("http://exon.niaid.nih.gov/transcriptome/Anopheles_sialome/links/cluster-b/anopheline-sialome-cds-pep-larger-orf85-50SimCLTL13.txt", 12)</f>
        <v>12</v>
      </c>
      <c r="CL841">
        <f>HYPERLINK("http://exon.niaid.nih.gov/transcriptome/Anopheles_sialome/links/cluster-b/anopheline-sialome-cds-pep-larger-orf90-50SimCLU36.txt", 36)</f>
        <v>36</v>
      </c>
      <c r="CM841">
        <f>HYPERLINK("http://exon.niaid.nih.gov/transcriptome/Anopheles_sialome/links/cluster-b/anopheline-sialome-cds-pep-larger-orf90-50SimCLTL36.txt", 6)</f>
        <v>6</v>
      </c>
      <c r="CN841">
        <f>HYPERLINK("http://exon.niaid.nih.gov/transcriptome/Anopheles_sialome/links/cluster-b/anopheline-sialome-cds-pep-larger-orf95-50SimCLU27.txt", 27)</f>
        <v>27</v>
      </c>
      <c r="CO841">
        <f>HYPERLINK("http://exon.niaid.nih.gov/transcriptome/Anopheles_sialome/links/cluster-b/anopheline-sialome-cds-pep-larger-orf95-50SimCLTL27.txt", 6)</f>
        <v>6</v>
      </c>
    </row>
    <row r="842" spans="1:93">
      <c r="A842" s="2" t="str">
        <f>HYPERLINK("http://exon.niaid.nih.gov/transcriptome/Anopheles_sialome/links/cds/anochris_SG6-cds.txt","anochris_SG6")</f>
        <v>anochris_SG6</v>
      </c>
      <c r="B842">
        <v>330</v>
      </c>
      <c r="C842" t="s">
        <v>556</v>
      </c>
      <c r="D842" t="s">
        <v>4</v>
      </c>
      <c r="E842" t="s">
        <v>5</v>
      </c>
      <c r="F842" t="s">
        <v>1</v>
      </c>
      <c r="G842" t="str">
        <f>HYPERLINK("http://exon.niaid.nih.gov/transcriptome/Anopheles_sialome/links/pep/anochris_SG6-pep.txt","anochris_SG6")</f>
        <v>anochris_SG6</v>
      </c>
      <c r="H842">
        <v>109</v>
      </c>
      <c r="I842">
        <v>0</v>
      </c>
      <c r="J842" s="3" t="str">
        <f>HYPERLINK("http://exon.niaid.nih.gov/transcriptome/Anopheles_sialome/links/Sigp/anochris_SG6-SigP.txt","SIG")</f>
        <v>SIG</v>
      </c>
      <c r="K842" t="s">
        <v>695</v>
      </c>
      <c r="L842">
        <v>12.353</v>
      </c>
      <c r="M842">
        <v>5.52</v>
      </c>
      <c r="N842">
        <v>10.074999999999999</v>
      </c>
      <c r="O842">
        <v>5.24</v>
      </c>
      <c r="P842" t="s">
        <v>2059</v>
      </c>
      <c r="Q842" s="3">
        <v>0</v>
      </c>
      <c r="R842" t="s">
        <v>128</v>
      </c>
      <c r="S842" t="s">
        <v>128</v>
      </c>
      <c r="T842" t="s">
        <v>128</v>
      </c>
      <c r="U842" t="s">
        <v>128</v>
      </c>
      <c r="V842" t="s">
        <v>128</v>
      </c>
      <c r="W842" s="3" t="str">
        <f>HYPERLINK("http://exon.niaid.nih.gov/transcriptome/Anopheles_sialome/links/netoglyc/anochris_SG6-netoglyc.txt","0")</f>
        <v>0</v>
      </c>
      <c r="X842">
        <v>13.8</v>
      </c>
      <c r="Y842">
        <v>3.7</v>
      </c>
      <c r="Z842">
        <v>4.5999999999999996</v>
      </c>
      <c r="AA842" t="s">
        <v>654</v>
      </c>
      <c r="AB842" t="s">
        <v>128</v>
      </c>
      <c r="AC842" s="2" t="str">
        <f>HYPERLINK("http://exon.niaid.nih.gov/transcriptome/Anopheles_sialome/links/DIPTERA/anochris_SG6-DIPTERA.txt","gsg6 salivary peptide")</f>
        <v>gsg6 salivary peptide</v>
      </c>
      <c r="AD842" t="str">
        <f>HYPERLINK("http://www.ncbi.nlm.nih.gov/sutils/blink.cgi?pid=114864550","3E-051")</f>
        <v>3E-051</v>
      </c>
      <c r="AE842" t="str">
        <f>HYPERLINK("http://www.ncbi.nlm.nih.gov/protein/114864550","gi|114864550")</f>
        <v>gi|114864550</v>
      </c>
      <c r="AF842">
        <v>81</v>
      </c>
      <c r="AG842">
        <v>87</v>
      </c>
      <c r="AH842">
        <v>100</v>
      </c>
      <c r="AI842" t="s">
        <v>2266</v>
      </c>
      <c r="AJ842" s="2" t="str">
        <f>HYPERLINK("http://exon.niaid.nih.gov/transcriptome/Anopheles_sialome/links/CULICOMORPHA/anochris_SG6-CULICOMORPHA.txt","gsg6 salivary peptide")</f>
        <v>gsg6 salivary peptide</v>
      </c>
      <c r="AK842" t="str">
        <f>HYPERLINK("http://www.ncbi.nlm.nih.gov/sutils/blink.cgi?pid=114864550","6E-052")</f>
        <v>6E-052</v>
      </c>
      <c r="AL842" t="str">
        <f>HYPERLINK("http://www.ncbi.nlm.nih.gov/protein/114864550","gi|114864550")</f>
        <v>gi|114864550</v>
      </c>
      <c r="AM842">
        <v>81</v>
      </c>
      <c r="AN842">
        <v>87</v>
      </c>
      <c r="AO842">
        <v>100</v>
      </c>
      <c r="AP842" t="s">
        <v>2266</v>
      </c>
      <c r="AQ842" s="2" t="str">
        <f>HYPERLINK("http://exon.niaid.nih.gov/transcriptome/Anopheles_sialome/links/NR-LIGHT/anochris_SG6-NR-LIGHT.txt","gsg6 salivary peptide")</f>
        <v>gsg6 salivary peptide</v>
      </c>
      <c r="AR842" t="str">
        <f>HYPERLINK("http://www.ncbi.nlm.nih.gov/sutils/blink.cgi?pid=114864550","9E-051")</f>
        <v>9E-051</v>
      </c>
      <c r="AS842" t="str">
        <f>HYPERLINK("http://www.ncbi.nlm.nih.gov/protein/114864550","gi|114864550")</f>
        <v>gi|114864550</v>
      </c>
      <c r="AT842">
        <v>81</v>
      </c>
      <c r="AU842">
        <v>87</v>
      </c>
      <c r="AV842">
        <v>100</v>
      </c>
      <c r="AW842" t="s">
        <v>2266</v>
      </c>
      <c r="AX842" s="2" t="str">
        <f>HYPERLINK("http://exon.niaid.nih.gov/transcriptome/Anopheles_sialome/links/CDD/anochris_SG6-CDD.txt","PRK13825")</f>
        <v>PRK13825</v>
      </c>
      <c r="AY842" t="str">
        <f>HYPERLINK("http://www.ncbi.nlm.nih.gov/Structure/cdd/cddsrv.cgi?uid=PRK13825&amp;version=v4.0","1.9")</f>
        <v>1.9</v>
      </c>
      <c r="AZ842" t="s">
        <v>3044</v>
      </c>
      <c r="BA842" s="2" t="str">
        <f>HYPERLINK("http://exon.niaid.nih.gov/transcriptome/Anopheles_sialome/links/KOG/anochris_SG6-KOG.txt","Nucleolar protein involved in 40S ribosome biogenesis")</f>
        <v>Nucleolar protein involved in 40S ribosome biogenesis</v>
      </c>
      <c r="BB842" t="str">
        <f>HYPERLINK("http://www.ncbi.nlm.nih.gov/Structure/cdd/cddsrv.cgi?uid=KOG2147","0.34")</f>
        <v>0.34</v>
      </c>
      <c r="BC842" t="s">
        <v>2260</v>
      </c>
      <c r="BD842" t="str">
        <f>HYPERLINK("http://exon.niaid.nih.gov/transcriptome/Anopheles_sialome/links/KOG/anochris_SG6-KOG.txt","KOG2147")</f>
        <v>KOG2147</v>
      </c>
      <c r="BE842" t="str">
        <f>HYPERLINK("http://exon.niaid.nih.gov/transcriptome/Anopheles_sialome/links/PFAM/anochris_SG6-PFAM.txt","Nop14")</f>
        <v>Nop14</v>
      </c>
      <c r="BF842" t="str">
        <f>HYPERLINK("http://pfam.sanger.ac.uk/family?acc=PF04147","1.3")</f>
        <v>1.3</v>
      </c>
      <c r="BG842" s="2" t="str">
        <f>HYPERLINK("http://exon.niaid.nih.gov/transcriptome/Anopheles_sialome/links/SMART/anochris_SG6-SMART.txt","ADSL_C")</f>
        <v>ADSL_C</v>
      </c>
      <c r="BH842" t="str">
        <f>HYPERLINK("http://smart.embl-heidelberg.de/smart/do_annotation.pl?DOMAIN=ADSL_C&amp;BLAST=DUMMY","0.62")</f>
        <v>0.62</v>
      </c>
      <c r="BI842" t="s">
        <v>128</v>
      </c>
      <c r="BJ842" s="2" t="s">
        <v>128</v>
      </c>
      <c r="BK842" t="s">
        <v>2058</v>
      </c>
      <c r="BL842">
        <f>HYPERLINK("http://exon.niaid.nih.gov/transcriptome/Anopheles_sialome/links/cluster-b/anopheline-sialome-cds-pep-larger-orf25-50SimCLU1.txt", 1)</f>
        <v>1</v>
      </c>
      <c r="BM842">
        <f>HYPERLINK("http://exon.niaid.nih.gov/transcriptome/Anopheles_sialome/links/cluster-b/anopheline-sialome-cds-pep-larger-orf25-50SimCLTL1.txt", 165)</f>
        <v>165</v>
      </c>
      <c r="BN842">
        <f>HYPERLINK("http://exon.niaid.nih.gov/transcriptome/Anopheles_sialome/links/cluster-b/anopheline-sialome-cds-pep-larger-orf30-50SimCLU1.txt", 1)</f>
        <v>1</v>
      </c>
      <c r="BO842">
        <f>HYPERLINK("http://exon.niaid.nih.gov/transcriptome/Anopheles_sialome/links/cluster-b/anopheline-sialome-cds-pep-larger-orf30-50SimCLTL1.txt", 165)</f>
        <v>165</v>
      </c>
      <c r="BP842">
        <f>HYPERLINK("http://exon.niaid.nih.gov/transcriptome/Anopheles_sialome/links/cluster-b/anopheline-sialome-cds-pep-larger-orf35-50SimCLU5.txt", 5)</f>
        <v>5</v>
      </c>
      <c r="BQ842">
        <f>HYPERLINK("http://exon.niaid.nih.gov/transcriptome/Anopheles_sialome/links/cluster-b/anopheline-sialome-cds-pep-larger-orf35-50SimCLTL5.txt", 61)</f>
        <v>61</v>
      </c>
      <c r="BR842">
        <f>HYPERLINK("http://exon.niaid.nih.gov/transcriptome/Anopheles_sialome/links/cluster-b/anopheline-sialome-cds-pep-larger-orf40-50SimCLU23.txt", 23)</f>
        <v>23</v>
      </c>
      <c r="BS842">
        <f>HYPERLINK("http://exon.niaid.nih.gov/transcriptome/Anopheles_sialome/links/cluster-b/anopheline-sialome-cds-pep-larger-orf40-50SimCLTL23.txt", 17)</f>
        <v>17</v>
      </c>
      <c r="BT842">
        <f>HYPERLINK("http://exon.niaid.nih.gov/transcriptome/Anopheles_sialome/links/cluster-b/anopheline-sialome-cds-pep-larger-orf45-50SimCLU27.txt", 27)</f>
        <v>27</v>
      </c>
      <c r="BU842">
        <f>HYPERLINK("http://exon.niaid.nih.gov/transcriptome/Anopheles_sialome/links/cluster-b/anopheline-sialome-cds-pep-larger-orf45-50SimCLTL27.txt", 17)</f>
        <v>17</v>
      </c>
      <c r="BV842">
        <f>HYPERLINK("http://exon.niaid.nih.gov/transcriptome/Anopheles_sialome/links/cluster-b/anopheline-sialome-cds-pep-larger-orf50-50SimCLU28.txt", 28)</f>
        <v>28</v>
      </c>
      <c r="BW842">
        <f>HYPERLINK("http://exon.niaid.nih.gov/transcriptome/Anopheles_sialome/links/cluster-b/anopheline-sialome-cds-pep-larger-orf50-50SimCLTL28.txt", 17)</f>
        <v>17</v>
      </c>
      <c r="BX842">
        <f>HYPERLINK("http://exon.niaid.nih.gov/transcriptome/Anopheles_sialome/links/cluster-b/anopheline-sialome-cds-pep-larger-orf55-50SimCLU27.txt", 27)</f>
        <v>27</v>
      </c>
      <c r="BY842">
        <f>HYPERLINK("http://exon.niaid.nih.gov/transcriptome/Anopheles_sialome/links/cluster-b/anopheline-sialome-cds-pep-larger-orf55-50SimCLTL27.txt", 17)</f>
        <v>17</v>
      </c>
      <c r="BZ842">
        <f>HYPERLINK("http://exon.niaid.nih.gov/transcriptome/Anopheles_sialome/links/cluster-b/anopheline-sialome-cds-pep-larger-orf60-50SimCLU23.txt", 23)</f>
        <v>23</v>
      </c>
      <c r="CA842">
        <f>HYPERLINK("http://exon.niaid.nih.gov/transcriptome/Anopheles_sialome/links/cluster-b/anopheline-sialome-cds-pep-larger-orf60-50SimCLTL23.txt", 17)</f>
        <v>17</v>
      </c>
      <c r="CB842">
        <f>HYPERLINK("http://exon.niaid.nih.gov/transcriptome/Anopheles_sialome/links/cluster-b/anopheline-sialome-cds-pep-larger-orf65-50SimCLU20.txt", 20)</f>
        <v>20</v>
      </c>
      <c r="CC842">
        <f>HYPERLINK("http://exon.niaid.nih.gov/transcriptome/Anopheles_sialome/links/cluster-b/anopheline-sialome-cds-pep-larger-orf65-50SimCLTL20.txt", 17)</f>
        <v>17</v>
      </c>
      <c r="CD842">
        <f>HYPERLINK("http://exon.niaid.nih.gov/transcriptome/Anopheles_sialome/links/cluster-b/anopheline-sialome-cds-pep-larger-orf70-50SimCLU22.txt", 22)</f>
        <v>22</v>
      </c>
      <c r="CE842">
        <f>HYPERLINK("http://exon.niaid.nih.gov/transcriptome/Anopheles_sialome/links/cluster-b/anopheline-sialome-cds-pep-larger-orf70-50SimCLTL22.txt", 16)</f>
        <v>16</v>
      </c>
      <c r="CF842">
        <f>HYPERLINK("http://exon.niaid.nih.gov/transcriptome/Anopheles_sialome/links/cluster-b/anopheline-sialome-cds-pep-larger-orf75-50SimCLU18.txt", 18)</f>
        <v>18</v>
      </c>
      <c r="CG842">
        <f>HYPERLINK("http://exon.niaid.nih.gov/transcriptome/Anopheles_sialome/links/cluster-b/anopheline-sialome-cds-pep-larger-orf75-50SimCLTL18.txt", 16)</f>
        <v>16</v>
      </c>
      <c r="CH842">
        <f>HYPERLINK("http://exon.niaid.nih.gov/transcriptome/Anopheles_sialome/links/cluster-b/anopheline-sialome-cds-pep-larger-orf80-50SimCLU19.txt", 19)</f>
        <v>19</v>
      </c>
      <c r="CI842">
        <f>HYPERLINK("http://exon.niaid.nih.gov/transcriptome/Anopheles_sialome/links/cluster-b/anopheline-sialome-cds-pep-larger-orf80-50SimCLTL19.txt", 13)</f>
        <v>13</v>
      </c>
      <c r="CJ842">
        <f>HYPERLINK("http://exon.niaid.nih.gov/transcriptome/Anopheles_sialome/links/cluster-b/anopheline-sialome-cds-pep-larger-orf85-50SimCLU13.txt", 13)</f>
        <v>13</v>
      </c>
      <c r="CK842">
        <f>HYPERLINK("http://exon.niaid.nih.gov/transcriptome/Anopheles_sialome/links/cluster-b/anopheline-sialome-cds-pep-larger-orf85-50SimCLTL13.txt", 12)</f>
        <v>12</v>
      </c>
      <c r="CL842">
        <f>HYPERLINK("http://exon.niaid.nih.gov/transcriptome/Anopheles_sialome/links/cluster-b/anopheline-sialome-cds-pep-larger-orf90-50SimCLU89.txt", 89)</f>
        <v>89</v>
      </c>
      <c r="CM842">
        <f>HYPERLINK("http://exon.niaid.nih.gov/transcriptome/Anopheles_sialome/links/cluster-b/anopheline-sialome-cds-pep-larger-orf90-50SimCLTL89.txt", 2)</f>
        <v>2</v>
      </c>
      <c r="CN842">
        <v>503</v>
      </c>
      <c r="CO842">
        <v>1</v>
      </c>
    </row>
    <row r="843" spans="1:93">
      <c r="A843" s="2" t="str">
        <f>HYPERLINK("http://exon.niaid.nih.gov/transcriptome/Anopheles_sialome/links/cds/anoepi_SG6-cds.txt","anoepi_SG6")</f>
        <v>anoepi_SG6</v>
      </c>
      <c r="B843">
        <v>330</v>
      </c>
      <c r="C843" t="s">
        <v>557</v>
      </c>
      <c r="D843" t="s">
        <v>4</v>
      </c>
      <c r="E843" t="s">
        <v>5</v>
      </c>
      <c r="F843" t="s">
        <v>1</v>
      </c>
      <c r="G843" t="str">
        <f>HYPERLINK("http://exon.niaid.nih.gov/transcriptome/Anopheles_sialome/links/pep/anoepi_SG6-pep.txt","anoepi_SG6")</f>
        <v>anoepi_SG6</v>
      </c>
      <c r="H843">
        <v>109</v>
      </c>
      <c r="I843">
        <v>0</v>
      </c>
      <c r="J843" s="3" t="str">
        <f>HYPERLINK("http://exon.niaid.nih.gov/transcriptome/Anopheles_sialome/links/Sigp/anoepi_SG6-SigP.txt","SIG")</f>
        <v>SIG</v>
      </c>
      <c r="K843" t="s">
        <v>695</v>
      </c>
      <c r="L843">
        <v>12.593</v>
      </c>
      <c r="M843">
        <v>5.68</v>
      </c>
      <c r="N843">
        <v>10.19</v>
      </c>
      <c r="O843">
        <v>5.67</v>
      </c>
      <c r="P843" t="s">
        <v>2061</v>
      </c>
      <c r="Q843" s="3">
        <v>0</v>
      </c>
      <c r="R843" t="s">
        <v>128</v>
      </c>
      <c r="S843" t="s">
        <v>128</v>
      </c>
      <c r="T843" t="s">
        <v>128</v>
      </c>
      <c r="U843" t="s">
        <v>128</v>
      </c>
      <c r="V843" t="s">
        <v>128</v>
      </c>
      <c r="W843" s="3" t="str">
        <f>HYPERLINK("http://exon.niaid.nih.gov/transcriptome/Anopheles_sialome/links/netoglyc/anoepi_SG6-netoglyc.txt","0")</f>
        <v>0</v>
      </c>
      <c r="X843">
        <v>11</v>
      </c>
      <c r="Y843">
        <v>2.8</v>
      </c>
      <c r="Z843">
        <v>6.4</v>
      </c>
      <c r="AA843" t="s">
        <v>654</v>
      </c>
      <c r="AB843" t="s">
        <v>128</v>
      </c>
      <c r="AC843" s="2" t="str">
        <f>HYPERLINK("http://exon.niaid.nih.gov/transcriptome/Anopheles_sialome/links/DIPTERA/anoepi_SG6-DIPTERA.txt","gsg6 salivary peptide")</f>
        <v>gsg6 salivary peptide</v>
      </c>
      <c r="AD843" t="str">
        <f>HYPERLINK("http://www.ncbi.nlm.nih.gov/sutils/blink.cgi?pid=114864550","2E-050")</f>
        <v>2E-050</v>
      </c>
      <c r="AE843" t="str">
        <f>HYPERLINK("http://www.ncbi.nlm.nih.gov/protein/114864550","gi|114864550")</f>
        <v>gi|114864550</v>
      </c>
      <c r="AF843">
        <v>81</v>
      </c>
      <c r="AG843">
        <v>85</v>
      </c>
      <c r="AH843">
        <v>100</v>
      </c>
      <c r="AI843" t="s">
        <v>2266</v>
      </c>
      <c r="AJ843" s="2" t="str">
        <f>HYPERLINK("http://exon.niaid.nih.gov/transcriptome/Anopheles_sialome/links/CULICOMORPHA/anoepi_SG6-CULICOMORPHA.txt","gsg6 salivary peptide")</f>
        <v>gsg6 salivary peptide</v>
      </c>
      <c r="AK843" t="str">
        <f>HYPERLINK("http://www.ncbi.nlm.nih.gov/sutils/blink.cgi?pid=114864550","3E-051")</f>
        <v>3E-051</v>
      </c>
      <c r="AL843" t="str">
        <f>HYPERLINK("http://www.ncbi.nlm.nih.gov/protein/114864550","gi|114864550")</f>
        <v>gi|114864550</v>
      </c>
      <c r="AM843">
        <v>81</v>
      </c>
      <c r="AN843">
        <v>85</v>
      </c>
      <c r="AO843">
        <v>100</v>
      </c>
      <c r="AP843" t="s">
        <v>2266</v>
      </c>
      <c r="AQ843" s="2" t="str">
        <f>HYPERLINK("http://exon.niaid.nih.gov/transcriptome/Anopheles_sialome/links/NR-LIGHT/anoepi_SG6-NR-LIGHT.txt","gsg6 salivary peptide")</f>
        <v>gsg6 salivary peptide</v>
      </c>
      <c r="AR843" t="str">
        <f>HYPERLINK("http://www.ncbi.nlm.nih.gov/sutils/blink.cgi?pid=114864550","5E-050")</f>
        <v>5E-050</v>
      </c>
      <c r="AS843" t="str">
        <f>HYPERLINK("http://www.ncbi.nlm.nih.gov/protein/114864550","gi|114864550")</f>
        <v>gi|114864550</v>
      </c>
      <c r="AT843">
        <v>81</v>
      </c>
      <c r="AU843">
        <v>85</v>
      </c>
      <c r="AV843">
        <v>100</v>
      </c>
      <c r="AW843" t="s">
        <v>2266</v>
      </c>
      <c r="AX843" s="2" t="str">
        <f>HYPERLINK("http://exon.niaid.nih.gov/transcriptome/Anopheles_sialome/links/CDD/anoepi_SG6-CDD.txt","DAGK_IM")</f>
        <v>DAGK_IM</v>
      </c>
      <c r="AY843" t="str">
        <f>HYPERLINK("http://www.ncbi.nlm.nih.gov/Structure/cdd/cddsrv.cgi?uid=cd14264&amp;version=v4.0","0.13")</f>
        <v>0.13</v>
      </c>
      <c r="AZ843" t="s">
        <v>3045</v>
      </c>
      <c r="BA843" s="2" t="str">
        <f>HYPERLINK("http://exon.niaid.nih.gov/transcriptome/Anopheles_sialome/links/KOG/anoepi_SG6-KOG.txt","CCCH-type Zn-finger protein")</f>
        <v>CCCH-type Zn-finger protein</v>
      </c>
      <c r="BB843" t="str">
        <f>HYPERLINK("http://www.ncbi.nlm.nih.gov/Structure/cdd/cddsrv.cgi?uid=KOG1677","1.0")</f>
        <v>1.0</v>
      </c>
      <c r="BC843" t="s">
        <v>2310</v>
      </c>
      <c r="BD843" t="str">
        <f>HYPERLINK("http://exon.niaid.nih.gov/transcriptome/Anopheles_sialome/links/KOG/anoepi_SG6-KOG.txt","KOG1677")</f>
        <v>KOG1677</v>
      </c>
      <c r="BE843" t="str">
        <f>HYPERLINK("http://exon.niaid.nih.gov/transcriptome/Anopheles_sialome/links/PFAM/anoepi_SG6-PFAM.txt","DAGK_prokar")</f>
        <v>DAGK_prokar</v>
      </c>
      <c r="BF843" t="str">
        <f>HYPERLINK("http://pfam.sanger.ac.uk/family?acc=PF01219","0.12")</f>
        <v>0.12</v>
      </c>
      <c r="BG843" s="2" t="str">
        <f>HYPERLINK("http://exon.niaid.nih.gov/transcriptome/Anopheles_sialome/links/SMART/anoepi_SG6-SMART.txt","CYCc")</f>
        <v>CYCc</v>
      </c>
      <c r="BH843" t="str">
        <f>HYPERLINK("http://smart.embl-heidelberg.de/smart/do_annotation.pl?DOMAIN=CYCc&amp;BLAST=DUMMY","2.5")</f>
        <v>2.5</v>
      </c>
      <c r="BI843" t="s">
        <v>128</v>
      </c>
      <c r="BJ843" s="2" t="s">
        <v>128</v>
      </c>
      <c r="BK843" t="s">
        <v>2060</v>
      </c>
      <c r="BL843">
        <f>HYPERLINK("http://exon.niaid.nih.gov/transcriptome/Anopheles_sialome/links/cluster-b/anopheline-sialome-cds-pep-larger-orf25-50SimCLU1.txt", 1)</f>
        <v>1</v>
      </c>
      <c r="BM843">
        <f>HYPERLINK("http://exon.niaid.nih.gov/transcriptome/Anopheles_sialome/links/cluster-b/anopheline-sialome-cds-pep-larger-orf25-50SimCLTL1.txt", 165)</f>
        <v>165</v>
      </c>
      <c r="BN843">
        <f>HYPERLINK("http://exon.niaid.nih.gov/transcriptome/Anopheles_sialome/links/cluster-b/anopheline-sialome-cds-pep-larger-orf30-50SimCLU1.txt", 1)</f>
        <v>1</v>
      </c>
      <c r="BO843">
        <f>HYPERLINK("http://exon.niaid.nih.gov/transcriptome/Anopheles_sialome/links/cluster-b/anopheline-sialome-cds-pep-larger-orf30-50SimCLTL1.txt", 165)</f>
        <v>165</v>
      </c>
      <c r="BP843">
        <f>HYPERLINK("http://exon.niaid.nih.gov/transcriptome/Anopheles_sialome/links/cluster-b/anopheline-sialome-cds-pep-larger-orf35-50SimCLU5.txt", 5)</f>
        <v>5</v>
      </c>
      <c r="BQ843">
        <f>HYPERLINK("http://exon.niaid.nih.gov/transcriptome/Anopheles_sialome/links/cluster-b/anopheline-sialome-cds-pep-larger-orf35-50SimCLTL5.txt", 61)</f>
        <v>61</v>
      </c>
      <c r="BR843">
        <f>HYPERLINK("http://exon.niaid.nih.gov/transcriptome/Anopheles_sialome/links/cluster-b/anopheline-sialome-cds-pep-larger-orf40-50SimCLU23.txt", 23)</f>
        <v>23</v>
      </c>
      <c r="BS843">
        <f>HYPERLINK("http://exon.niaid.nih.gov/transcriptome/Anopheles_sialome/links/cluster-b/anopheline-sialome-cds-pep-larger-orf40-50SimCLTL23.txt", 17)</f>
        <v>17</v>
      </c>
      <c r="BT843">
        <f>HYPERLINK("http://exon.niaid.nih.gov/transcriptome/Anopheles_sialome/links/cluster-b/anopheline-sialome-cds-pep-larger-orf45-50SimCLU27.txt", 27)</f>
        <v>27</v>
      </c>
      <c r="BU843">
        <f>HYPERLINK("http://exon.niaid.nih.gov/transcriptome/Anopheles_sialome/links/cluster-b/anopheline-sialome-cds-pep-larger-orf45-50SimCLTL27.txt", 17)</f>
        <v>17</v>
      </c>
      <c r="BV843">
        <f>HYPERLINK("http://exon.niaid.nih.gov/transcriptome/Anopheles_sialome/links/cluster-b/anopheline-sialome-cds-pep-larger-orf50-50SimCLU28.txt", 28)</f>
        <v>28</v>
      </c>
      <c r="BW843">
        <f>HYPERLINK("http://exon.niaid.nih.gov/transcriptome/Anopheles_sialome/links/cluster-b/anopheline-sialome-cds-pep-larger-orf50-50SimCLTL28.txt", 17)</f>
        <v>17</v>
      </c>
      <c r="BX843">
        <f>HYPERLINK("http://exon.niaid.nih.gov/transcriptome/Anopheles_sialome/links/cluster-b/anopheline-sialome-cds-pep-larger-orf55-50SimCLU27.txt", 27)</f>
        <v>27</v>
      </c>
      <c r="BY843">
        <f>HYPERLINK("http://exon.niaid.nih.gov/transcriptome/Anopheles_sialome/links/cluster-b/anopheline-sialome-cds-pep-larger-orf55-50SimCLTL27.txt", 17)</f>
        <v>17</v>
      </c>
      <c r="BZ843">
        <f>HYPERLINK("http://exon.niaid.nih.gov/transcriptome/Anopheles_sialome/links/cluster-b/anopheline-sialome-cds-pep-larger-orf60-50SimCLU23.txt", 23)</f>
        <v>23</v>
      </c>
      <c r="CA843">
        <f>HYPERLINK("http://exon.niaid.nih.gov/transcriptome/Anopheles_sialome/links/cluster-b/anopheline-sialome-cds-pep-larger-orf60-50SimCLTL23.txt", 17)</f>
        <v>17</v>
      </c>
      <c r="CB843">
        <f>HYPERLINK("http://exon.niaid.nih.gov/transcriptome/Anopheles_sialome/links/cluster-b/anopheline-sialome-cds-pep-larger-orf65-50SimCLU20.txt", 20)</f>
        <v>20</v>
      </c>
      <c r="CC843">
        <f>HYPERLINK("http://exon.niaid.nih.gov/transcriptome/Anopheles_sialome/links/cluster-b/anopheline-sialome-cds-pep-larger-orf65-50SimCLTL20.txt", 17)</f>
        <v>17</v>
      </c>
      <c r="CD843">
        <f>HYPERLINK("http://exon.niaid.nih.gov/transcriptome/Anopheles_sialome/links/cluster-b/anopheline-sialome-cds-pep-larger-orf70-50SimCLU22.txt", 22)</f>
        <v>22</v>
      </c>
      <c r="CE843">
        <f>HYPERLINK("http://exon.niaid.nih.gov/transcriptome/Anopheles_sialome/links/cluster-b/anopheline-sialome-cds-pep-larger-orf70-50SimCLTL22.txt", 16)</f>
        <v>16</v>
      </c>
      <c r="CF843">
        <f>HYPERLINK("http://exon.niaid.nih.gov/transcriptome/Anopheles_sialome/links/cluster-b/anopheline-sialome-cds-pep-larger-orf75-50SimCLU18.txt", 18)</f>
        <v>18</v>
      </c>
      <c r="CG843">
        <f>HYPERLINK("http://exon.niaid.nih.gov/transcriptome/Anopheles_sialome/links/cluster-b/anopheline-sialome-cds-pep-larger-orf75-50SimCLTL18.txt", 16)</f>
        <v>16</v>
      </c>
      <c r="CH843">
        <f>HYPERLINK("http://exon.niaid.nih.gov/transcriptome/Anopheles_sialome/links/cluster-b/anopheline-sialome-cds-pep-larger-orf80-50SimCLU19.txt", 19)</f>
        <v>19</v>
      </c>
      <c r="CI843">
        <f>HYPERLINK("http://exon.niaid.nih.gov/transcriptome/Anopheles_sialome/links/cluster-b/anopheline-sialome-cds-pep-larger-orf80-50SimCLTL19.txt", 13)</f>
        <v>13</v>
      </c>
      <c r="CJ843">
        <f>HYPERLINK("http://exon.niaid.nih.gov/transcriptome/Anopheles_sialome/links/cluster-b/anopheline-sialome-cds-pep-larger-orf85-50SimCLU13.txt", 13)</f>
        <v>13</v>
      </c>
      <c r="CK843">
        <f>HYPERLINK("http://exon.niaid.nih.gov/transcriptome/Anopheles_sialome/links/cluster-b/anopheline-sialome-cds-pep-larger-orf85-50SimCLTL13.txt", 12)</f>
        <v>12</v>
      </c>
      <c r="CL843">
        <f>HYPERLINK("http://exon.niaid.nih.gov/transcriptome/Anopheles_sialome/links/cluster-b/anopheline-sialome-cds-pep-larger-orf90-50SimCLU89.txt", 89)</f>
        <v>89</v>
      </c>
      <c r="CM843">
        <f>HYPERLINK("http://exon.niaid.nih.gov/transcriptome/Anopheles_sialome/links/cluster-b/anopheline-sialome-cds-pep-larger-orf90-50SimCLTL89.txt", 2)</f>
        <v>2</v>
      </c>
      <c r="CN843">
        <v>504</v>
      </c>
      <c r="CO843">
        <v>1</v>
      </c>
    </row>
    <row r="844" spans="1:93">
      <c r="A844" s="2" t="str">
        <f>HYPERLINK("http://exon.niaid.nih.gov/transcriptome/Anopheles_sialome/links/cds/anofun_SG6-cds.txt","anofun_SG6")</f>
        <v>anofun_SG6</v>
      </c>
      <c r="B844">
        <v>345</v>
      </c>
      <c r="C844" t="s">
        <v>558</v>
      </c>
      <c r="D844" t="s">
        <v>4</v>
      </c>
      <c r="E844" t="s">
        <v>5</v>
      </c>
      <c r="F844" t="s">
        <v>1</v>
      </c>
      <c r="G844" t="str">
        <f>HYPERLINK("http://exon.niaid.nih.gov/transcriptome/Anopheles_sialome/links/pep/anofun_SG6-pep.txt","anofun_SG6")</f>
        <v>anofun_SG6</v>
      </c>
      <c r="H844">
        <v>114</v>
      </c>
      <c r="I844">
        <v>0</v>
      </c>
      <c r="J844" s="3" t="str">
        <f>HYPERLINK("http://exon.niaid.nih.gov/transcriptome/Anopheles_sialome/links/Sigp/anofun_SG6-SigP.txt","SIG")</f>
        <v>SIG</v>
      </c>
      <c r="K844" t="s">
        <v>834</v>
      </c>
      <c r="L844">
        <v>13.03</v>
      </c>
      <c r="M844">
        <v>4.9400000000000004</v>
      </c>
      <c r="N844">
        <v>10.19</v>
      </c>
      <c r="O844">
        <v>5.08</v>
      </c>
      <c r="P844" t="s">
        <v>2063</v>
      </c>
      <c r="Q844" s="3">
        <v>0</v>
      </c>
      <c r="R844" t="s">
        <v>128</v>
      </c>
      <c r="S844" t="s">
        <v>128</v>
      </c>
      <c r="T844" t="s">
        <v>128</v>
      </c>
      <c r="U844" t="s">
        <v>128</v>
      </c>
      <c r="V844" t="s">
        <v>128</v>
      </c>
      <c r="W844" s="3" t="str">
        <f>HYPERLINK("http://exon.niaid.nih.gov/transcriptome/Anopheles_sialome/links/netoglyc/anofun_SG6-netoglyc.txt","0")</f>
        <v>0</v>
      </c>
      <c r="X844">
        <v>11.4</v>
      </c>
      <c r="Y844">
        <v>5.3</v>
      </c>
      <c r="Z844">
        <v>6.1</v>
      </c>
      <c r="AA844" t="s">
        <v>654</v>
      </c>
      <c r="AB844" t="s">
        <v>128</v>
      </c>
      <c r="AC844" s="2" t="str">
        <f>HYPERLINK("http://exon.niaid.nih.gov/transcriptome/Anopheles_sialome/links/DIPTERA/anofun_SG6-DIPTERA.txt","gsg6 salivary peptide")</f>
        <v>gsg6 salivary peptide</v>
      </c>
      <c r="AD844" t="str">
        <f>HYPERLINK("http://www.ncbi.nlm.nih.gov/sutils/blink.cgi?pid=114864550","5E-065")</f>
        <v>5E-065</v>
      </c>
      <c r="AE844" t="str">
        <f>HYPERLINK("http://www.ncbi.nlm.nih.gov/protein/114864550","gi|114864550")</f>
        <v>gi|114864550</v>
      </c>
      <c r="AF844">
        <v>99</v>
      </c>
      <c r="AG844">
        <v>99</v>
      </c>
      <c r="AH844">
        <v>100</v>
      </c>
      <c r="AI844" t="s">
        <v>2266</v>
      </c>
      <c r="AJ844" s="2" t="str">
        <f>HYPERLINK("http://exon.niaid.nih.gov/transcriptome/Anopheles_sialome/links/CULICOMORPHA/anofun_SG6-CULICOMORPHA.txt","gsg6 salivary peptide")</f>
        <v>gsg6 salivary peptide</v>
      </c>
      <c r="AK844" t="str">
        <f>HYPERLINK("http://www.ncbi.nlm.nih.gov/sutils/blink.cgi?pid=114864550","9E-066")</f>
        <v>9E-066</v>
      </c>
      <c r="AL844" t="str">
        <f>HYPERLINK("http://www.ncbi.nlm.nih.gov/protein/114864550","gi|114864550")</f>
        <v>gi|114864550</v>
      </c>
      <c r="AM844">
        <v>99</v>
      </c>
      <c r="AN844">
        <v>99</v>
      </c>
      <c r="AO844">
        <v>100</v>
      </c>
      <c r="AP844" t="s">
        <v>2266</v>
      </c>
      <c r="AQ844" s="2" t="str">
        <f>HYPERLINK("http://exon.niaid.nih.gov/transcriptome/Anopheles_sialome/links/NR-LIGHT/anofun_SG6-NR-LIGHT.txt","gsg6 salivary peptide")</f>
        <v>gsg6 salivary peptide</v>
      </c>
      <c r="AR844" t="str">
        <f>HYPERLINK("http://www.ncbi.nlm.nih.gov/sutils/blink.cgi?pid=114864550","2E-064")</f>
        <v>2E-064</v>
      </c>
      <c r="AS844" t="str">
        <f>HYPERLINK("http://www.ncbi.nlm.nih.gov/protein/114864550","gi|114864550")</f>
        <v>gi|114864550</v>
      </c>
      <c r="AT844">
        <v>99</v>
      </c>
      <c r="AU844">
        <v>99</v>
      </c>
      <c r="AV844">
        <v>100</v>
      </c>
      <c r="AW844" t="s">
        <v>2266</v>
      </c>
      <c r="AX844" s="2" t="str">
        <f>HYPERLINK("http://exon.niaid.nih.gov/transcriptome/Anopheles_sialome/links/CDD/anofun_SG6-CDD.txt"," Photosystem_II")</f>
        <v xml:space="preserve"> Photosystem_II</v>
      </c>
      <c r="AY844" t="str">
        <f>HYPERLINK("http://www.ncbi.nlm.nih.gov/Structure/cdd/cddsrv.cgi?uid=TIGR03043&amp;version=v4.0","0.22")</f>
        <v>0.22</v>
      </c>
      <c r="AZ844" t="s">
        <v>3046</v>
      </c>
      <c r="BA844" s="2" t="str">
        <f>HYPERLINK("http://exon.niaid.nih.gov/transcriptome/Anopheles_sialome/links/KOG/anofun_SG6-KOG.txt","Nucleolar protein involved in 40S ribosome biogenesis")</f>
        <v>Nucleolar protein involved in 40S ribosome biogenesis</v>
      </c>
      <c r="BB844" t="str">
        <f>HYPERLINK("http://www.ncbi.nlm.nih.gov/Structure/cdd/cddsrv.cgi?uid=KOG2147","0.065")</f>
        <v>0.065</v>
      </c>
      <c r="BC844" t="s">
        <v>2260</v>
      </c>
      <c r="BD844" t="str">
        <f>HYPERLINK("http://exon.niaid.nih.gov/transcriptome/Anopheles_sialome/links/KOG/anofun_SG6-KOG.txt","KOG2147")</f>
        <v>KOG2147</v>
      </c>
      <c r="BE844" t="str">
        <f>HYPERLINK("http://exon.niaid.nih.gov/transcriptome/Anopheles_sialome/links/PFAM/anofun_SG6-PFAM.txt","Nop14")</f>
        <v>Nop14</v>
      </c>
      <c r="BF844" t="str">
        <f>HYPERLINK("http://pfam.sanger.ac.uk/family?acc=PF04147","0.26")</f>
        <v>0.26</v>
      </c>
      <c r="BG844" s="2" t="str">
        <f>HYPERLINK("http://exon.niaid.nih.gov/transcriptome/Anopheles_sialome/links/SMART/anofun_SG6-SMART.txt","Glyco_32")</f>
        <v>Glyco_32</v>
      </c>
      <c r="BH844" t="str">
        <f>HYPERLINK("http://smart.embl-heidelberg.de/smart/do_annotation.pl?DOMAIN=Glyco_32&amp;BLAST=DUMMY","0.093")</f>
        <v>0.093</v>
      </c>
      <c r="BI844" t="s">
        <v>128</v>
      </c>
      <c r="BJ844" s="2" t="s">
        <v>128</v>
      </c>
      <c r="BK844" t="s">
        <v>2062</v>
      </c>
      <c r="BL844">
        <f>HYPERLINK("http://exon.niaid.nih.gov/transcriptome/Anopheles_sialome/links/cluster-b/anopheline-sialome-cds-pep-larger-orf25-50SimCLU1.txt", 1)</f>
        <v>1</v>
      </c>
      <c r="BM844">
        <f>HYPERLINK("http://exon.niaid.nih.gov/transcriptome/Anopheles_sialome/links/cluster-b/anopheline-sialome-cds-pep-larger-orf25-50SimCLTL1.txt", 165)</f>
        <v>165</v>
      </c>
      <c r="BN844">
        <f>HYPERLINK("http://exon.niaid.nih.gov/transcriptome/Anopheles_sialome/links/cluster-b/anopheline-sialome-cds-pep-larger-orf30-50SimCLU1.txt", 1)</f>
        <v>1</v>
      </c>
      <c r="BO844">
        <f>HYPERLINK("http://exon.niaid.nih.gov/transcriptome/Anopheles_sialome/links/cluster-b/anopheline-sialome-cds-pep-larger-orf30-50SimCLTL1.txt", 165)</f>
        <v>165</v>
      </c>
      <c r="BP844">
        <f>HYPERLINK("http://exon.niaid.nih.gov/transcriptome/Anopheles_sialome/links/cluster-b/anopheline-sialome-cds-pep-larger-orf35-50SimCLU5.txt", 5)</f>
        <v>5</v>
      </c>
      <c r="BQ844">
        <f>HYPERLINK("http://exon.niaid.nih.gov/transcriptome/Anopheles_sialome/links/cluster-b/anopheline-sialome-cds-pep-larger-orf35-50SimCLTL5.txt", 61)</f>
        <v>61</v>
      </c>
      <c r="BR844">
        <f>HYPERLINK("http://exon.niaid.nih.gov/transcriptome/Anopheles_sialome/links/cluster-b/anopheline-sialome-cds-pep-larger-orf40-50SimCLU23.txt", 23)</f>
        <v>23</v>
      </c>
      <c r="BS844">
        <f>HYPERLINK("http://exon.niaid.nih.gov/transcriptome/Anopheles_sialome/links/cluster-b/anopheline-sialome-cds-pep-larger-orf40-50SimCLTL23.txt", 17)</f>
        <v>17</v>
      </c>
      <c r="BT844">
        <f>HYPERLINK("http://exon.niaid.nih.gov/transcriptome/Anopheles_sialome/links/cluster-b/anopheline-sialome-cds-pep-larger-orf45-50SimCLU27.txt", 27)</f>
        <v>27</v>
      </c>
      <c r="BU844">
        <f>HYPERLINK("http://exon.niaid.nih.gov/transcriptome/Anopheles_sialome/links/cluster-b/anopheline-sialome-cds-pep-larger-orf45-50SimCLTL27.txt", 17)</f>
        <v>17</v>
      </c>
      <c r="BV844">
        <f>HYPERLINK("http://exon.niaid.nih.gov/transcriptome/Anopheles_sialome/links/cluster-b/anopheline-sialome-cds-pep-larger-orf50-50SimCLU28.txt", 28)</f>
        <v>28</v>
      </c>
      <c r="BW844">
        <f>HYPERLINK("http://exon.niaid.nih.gov/transcriptome/Anopheles_sialome/links/cluster-b/anopheline-sialome-cds-pep-larger-orf50-50SimCLTL28.txt", 17)</f>
        <v>17</v>
      </c>
      <c r="BX844">
        <f>HYPERLINK("http://exon.niaid.nih.gov/transcriptome/Anopheles_sialome/links/cluster-b/anopheline-sialome-cds-pep-larger-orf55-50SimCLU27.txt", 27)</f>
        <v>27</v>
      </c>
      <c r="BY844">
        <f>HYPERLINK("http://exon.niaid.nih.gov/transcriptome/Anopheles_sialome/links/cluster-b/anopheline-sialome-cds-pep-larger-orf55-50SimCLTL27.txt", 17)</f>
        <v>17</v>
      </c>
      <c r="BZ844">
        <f>HYPERLINK("http://exon.niaid.nih.gov/transcriptome/Anopheles_sialome/links/cluster-b/anopheline-sialome-cds-pep-larger-orf60-50SimCLU23.txt", 23)</f>
        <v>23</v>
      </c>
      <c r="CA844">
        <f>HYPERLINK("http://exon.niaid.nih.gov/transcriptome/Anopheles_sialome/links/cluster-b/anopheline-sialome-cds-pep-larger-orf60-50SimCLTL23.txt", 17)</f>
        <v>17</v>
      </c>
      <c r="CB844">
        <f>HYPERLINK("http://exon.niaid.nih.gov/transcriptome/Anopheles_sialome/links/cluster-b/anopheline-sialome-cds-pep-larger-orf65-50SimCLU20.txt", 20)</f>
        <v>20</v>
      </c>
      <c r="CC844">
        <f>HYPERLINK("http://exon.niaid.nih.gov/transcriptome/Anopheles_sialome/links/cluster-b/anopheline-sialome-cds-pep-larger-orf65-50SimCLTL20.txt", 17)</f>
        <v>17</v>
      </c>
      <c r="CD844">
        <f>HYPERLINK("http://exon.niaid.nih.gov/transcriptome/Anopheles_sialome/links/cluster-b/anopheline-sialome-cds-pep-larger-orf70-50SimCLU22.txt", 22)</f>
        <v>22</v>
      </c>
      <c r="CE844">
        <f>HYPERLINK("http://exon.niaid.nih.gov/transcriptome/Anopheles_sialome/links/cluster-b/anopheline-sialome-cds-pep-larger-orf70-50SimCLTL22.txt", 16)</f>
        <v>16</v>
      </c>
      <c r="CF844">
        <f>HYPERLINK("http://exon.niaid.nih.gov/transcriptome/Anopheles_sialome/links/cluster-b/anopheline-sialome-cds-pep-larger-orf75-50SimCLU18.txt", 18)</f>
        <v>18</v>
      </c>
      <c r="CG844">
        <f>HYPERLINK("http://exon.niaid.nih.gov/transcriptome/Anopheles_sialome/links/cluster-b/anopheline-sialome-cds-pep-larger-orf75-50SimCLTL18.txt", 16)</f>
        <v>16</v>
      </c>
      <c r="CH844">
        <f>HYPERLINK("http://exon.niaid.nih.gov/transcriptome/Anopheles_sialome/links/cluster-b/anopheline-sialome-cds-pep-larger-orf80-50SimCLU19.txt", 19)</f>
        <v>19</v>
      </c>
      <c r="CI844">
        <f>HYPERLINK("http://exon.niaid.nih.gov/transcriptome/Anopheles_sialome/links/cluster-b/anopheline-sialome-cds-pep-larger-orf80-50SimCLTL19.txt", 13)</f>
        <v>13</v>
      </c>
      <c r="CJ844">
        <f>HYPERLINK("http://exon.niaid.nih.gov/transcriptome/Anopheles_sialome/links/cluster-b/anopheline-sialome-cds-pep-larger-orf85-50SimCLU13.txt", 13)</f>
        <v>13</v>
      </c>
      <c r="CK844">
        <f>HYPERLINK("http://exon.niaid.nih.gov/transcriptome/Anopheles_sialome/links/cluster-b/anopheline-sialome-cds-pep-larger-orf85-50SimCLTL13.txt", 12)</f>
        <v>12</v>
      </c>
      <c r="CL844">
        <v>408</v>
      </c>
      <c r="CM844">
        <v>1</v>
      </c>
      <c r="CN844">
        <v>505</v>
      </c>
      <c r="CO844">
        <v>1</v>
      </c>
    </row>
    <row r="845" spans="1:93">
      <c r="A845" s="2" t="str">
        <f>HYPERLINK("http://exon.niaid.nih.gov/transcriptome/Anopheles_sialome/links/cds/anomin_SG6-cds.txt","anomin_SG6")</f>
        <v>anomin_SG6</v>
      </c>
      <c r="B845">
        <v>333</v>
      </c>
      <c r="C845" t="s">
        <v>559</v>
      </c>
      <c r="D845" t="s">
        <v>4</v>
      </c>
      <c r="E845" t="s">
        <v>5</v>
      </c>
      <c r="F845" t="s">
        <v>1</v>
      </c>
      <c r="G845" t="str">
        <f>HYPERLINK("http://exon.niaid.nih.gov/transcriptome/Anopheles_sialome/links/pep/anomin_SG6-pep.txt","anomin_SG6")</f>
        <v>anomin_SG6</v>
      </c>
      <c r="H845">
        <v>110</v>
      </c>
      <c r="I845">
        <v>0</v>
      </c>
      <c r="J845" s="3" t="str">
        <f>HYPERLINK("http://exon.niaid.nih.gov/transcriptome/Anopheles_sialome/links/Sigp/anomin_SG6-SigP.txt","SIG")</f>
        <v>SIG</v>
      </c>
      <c r="K845" t="s">
        <v>708</v>
      </c>
      <c r="L845">
        <v>12.548999999999999</v>
      </c>
      <c r="M845">
        <v>5.64</v>
      </c>
      <c r="N845">
        <v>10.122999999999999</v>
      </c>
      <c r="O845">
        <v>5.31</v>
      </c>
      <c r="P845" t="s">
        <v>2065</v>
      </c>
      <c r="Q845" s="3">
        <v>0</v>
      </c>
      <c r="R845" t="s">
        <v>128</v>
      </c>
      <c r="S845" t="s">
        <v>128</v>
      </c>
      <c r="T845" t="s">
        <v>128</v>
      </c>
      <c r="U845" t="s">
        <v>128</v>
      </c>
      <c r="V845" t="s">
        <v>128</v>
      </c>
      <c r="W845" s="3" t="str">
        <f>HYPERLINK("http://exon.niaid.nih.gov/transcriptome/Anopheles_sialome/links/netoglyc/anomin_SG6-netoglyc.txt","1")</f>
        <v>1</v>
      </c>
      <c r="X845">
        <v>13.6</v>
      </c>
      <c r="Y845">
        <v>4.5</v>
      </c>
      <c r="Z845">
        <v>6.4</v>
      </c>
      <c r="AA845" t="s">
        <v>654</v>
      </c>
      <c r="AB845" t="s">
        <v>128</v>
      </c>
      <c r="AC845" s="2" t="str">
        <f>HYPERLINK("http://exon.niaid.nih.gov/transcriptome/Anopheles_sialome/links/DIPTERA/anomin_SG6-DIPTERA.txt","gsg6 salivary peptide")</f>
        <v>gsg6 salivary peptide</v>
      </c>
      <c r="AD845" t="str">
        <f>HYPERLINK("http://www.ncbi.nlm.nih.gov/sutils/blink.cgi?pid=114864550","4E-053")</f>
        <v>4E-053</v>
      </c>
      <c r="AE845" t="str">
        <f>HYPERLINK("http://www.ncbi.nlm.nih.gov/protein/114864550","gi|114864550")</f>
        <v>gi|114864550</v>
      </c>
      <c r="AF845">
        <v>85</v>
      </c>
      <c r="AG845">
        <v>88</v>
      </c>
      <c r="AH845">
        <v>100</v>
      </c>
      <c r="AI845" t="s">
        <v>2266</v>
      </c>
      <c r="AJ845" s="2" t="str">
        <f>HYPERLINK("http://exon.niaid.nih.gov/transcriptome/Anopheles_sialome/links/CULICOMORPHA/anomin_SG6-CULICOMORPHA.txt","gsg6 salivary peptide")</f>
        <v>gsg6 salivary peptide</v>
      </c>
      <c r="AK845" t="str">
        <f>HYPERLINK("http://www.ncbi.nlm.nih.gov/sutils/blink.cgi?pid=114864550","6E-054")</f>
        <v>6E-054</v>
      </c>
      <c r="AL845" t="str">
        <f>HYPERLINK("http://www.ncbi.nlm.nih.gov/protein/114864550","gi|114864550")</f>
        <v>gi|114864550</v>
      </c>
      <c r="AM845">
        <v>85</v>
      </c>
      <c r="AN845">
        <v>88</v>
      </c>
      <c r="AO845">
        <v>100</v>
      </c>
      <c r="AP845" t="s">
        <v>2266</v>
      </c>
      <c r="AQ845" s="2" t="str">
        <f>HYPERLINK("http://exon.niaid.nih.gov/transcriptome/Anopheles_sialome/links/NR-LIGHT/anomin_SG6-NR-LIGHT.txt","gsg6 salivary peptide")</f>
        <v>gsg6 salivary peptide</v>
      </c>
      <c r="AR845" t="str">
        <f>HYPERLINK("http://www.ncbi.nlm.nih.gov/sutils/blink.cgi?pid=114864550","1E-052")</f>
        <v>1E-052</v>
      </c>
      <c r="AS845" t="str">
        <f>HYPERLINK("http://www.ncbi.nlm.nih.gov/protein/114864550","gi|114864550")</f>
        <v>gi|114864550</v>
      </c>
      <c r="AT845">
        <v>85</v>
      </c>
      <c r="AU845">
        <v>88</v>
      </c>
      <c r="AV845">
        <v>100</v>
      </c>
      <c r="AW845" t="s">
        <v>2266</v>
      </c>
      <c r="AX845" s="2" t="str">
        <f>HYPERLINK("http://exon.niaid.nih.gov/transcriptome/Anopheles_sialome/links/CDD/anomin_SG6-CDD.txt","PLN02217")</f>
        <v>PLN02217</v>
      </c>
      <c r="AY845" t="str">
        <f>HYPERLINK("http://www.ncbi.nlm.nih.gov/Structure/cdd/cddsrv.cgi?uid=PLN02217&amp;version=v4.0","0.90")</f>
        <v>0.90</v>
      </c>
      <c r="AZ845" t="s">
        <v>3047</v>
      </c>
      <c r="BA845" s="2" t="str">
        <f>HYPERLINK("http://exon.niaid.nih.gov/transcriptome/Anopheles_sialome/links/KOG/anomin_SG6-KOG.txt","Beta-fructofuranosidase (invertase)")</f>
        <v>Beta-fructofuranosidase (invertase)</v>
      </c>
      <c r="BB845" t="str">
        <f>HYPERLINK("http://www.ncbi.nlm.nih.gov/Structure/cdd/cddsrv.cgi?uid=KOG0228","0.12")</f>
        <v>0.12</v>
      </c>
      <c r="BC845" t="s">
        <v>2308</v>
      </c>
      <c r="BD845" t="str">
        <f>HYPERLINK("http://exon.niaid.nih.gov/transcriptome/Anopheles_sialome/links/KOG/anomin_SG6-KOG.txt","KOG0228")</f>
        <v>KOG0228</v>
      </c>
      <c r="BE845" t="str">
        <f>HYPERLINK("http://exon.niaid.nih.gov/transcriptome/Anopheles_sialome/links/PFAM/anomin_SG6-PFAM.txt","TctB")</f>
        <v>TctB</v>
      </c>
      <c r="BF845" t="str">
        <f>HYPERLINK("http://pfam.sanger.ac.uk/family?acc=PF07331","0.77")</f>
        <v>0.77</v>
      </c>
      <c r="BG845" s="2" t="str">
        <f>HYPERLINK("http://exon.niaid.nih.gov/transcriptome/Anopheles_sialome/links/SMART/anomin_SG6-SMART.txt","Glyco_32")</f>
        <v>Glyco_32</v>
      </c>
      <c r="BH845" t="str">
        <f>HYPERLINK("http://smart.embl-heidelberg.de/smart/do_annotation.pl?DOMAIN=Glyco_32&amp;BLAST=DUMMY","0.28")</f>
        <v>0.28</v>
      </c>
      <c r="BI845" t="s">
        <v>128</v>
      </c>
      <c r="BJ845" s="2" t="s">
        <v>128</v>
      </c>
      <c r="BK845" t="s">
        <v>2064</v>
      </c>
      <c r="BL845">
        <f>HYPERLINK("http://exon.niaid.nih.gov/transcriptome/Anopheles_sialome/links/cluster-b/anopheline-sialome-cds-pep-larger-orf25-50SimCLU1.txt", 1)</f>
        <v>1</v>
      </c>
      <c r="BM845">
        <f>HYPERLINK("http://exon.niaid.nih.gov/transcriptome/Anopheles_sialome/links/cluster-b/anopheline-sialome-cds-pep-larger-orf25-50SimCLTL1.txt", 165)</f>
        <v>165</v>
      </c>
      <c r="BN845">
        <f>HYPERLINK("http://exon.niaid.nih.gov/transcriptome/Anopheles_sialome/links/cluster-b/anopheline-sialome-cds-pep-larger-orf30-50SimCLU1.txt", 1)</f>
        <v>1</v>
      </c>
      <c r="BO845">
        <f>HYPERLINK("http://exon.niaid.nih.gov/transcriptome/Anopheles_sialome/links/cluster-b/anopheline-sialome-cds-pep-larger-orf30-50SimCLTL1.txt", 165)</f>
        <v>165</v>
      </c>
      <c r="BP845">
        <f>HYPERLINK("http://exon.niaid.nih.gov/transcriptome/Anopheles_sialome/links/cluster-b/anopheline-sialome-cds-pep-larger-orf35-50SimCLU5.txt", 5)</f>
        <v>5</v>
      </c>
      <c r="BQ845">
        <f>HYPERLINK("http://exon.niaid.nih.gov/transcriptome/Anopheles_sialome/links/cluster-b/anopheline-sialome-cds-pep-larger-orf35-50SimCLTL5.txt", 61)</f>
        <v>61</v>
      </c>
      <c r="BR845">
        <f>HYPERLINK("http://exon.niaid.nih.gov/transcriptome/Anopheles_sialome/links/cluster-b/anopheline-sialome-cds-pep-larger-orf40-50SimCLU23.txt", 23)</f>
        <v>23</v>
      </c>
      <c r="BS845">
        <f>HYPERLINK("http://exon.niaid.nih.gov/transcriptome/Anopheles_sialome/links/cluster-b/anopheline-sialome-cds-pep-larger-orf40-50SimCLTL23.txt", 17)</f>
        <v>17</v>
      </c>
      <c r="BT845">
        <f>HYPERLINK("http://exon.niaid.nih.gov/transcriptome/Anopheles_sialome/links/cluster-b/anopheline-sialome-cds-pep-larger-orf45-50SimCLU27.txt", 27)</f>
        <v>27</v>
      </c>
      <c r="BU845">
        <f>HYPERLINK("http://exon.niaid.nih.gov/transcriptome/Anopheles_sialome/links/cluster-b/anopheline-sialome-cds-pep-larger-orf45-50SimCLTL27.txt", 17)</f>
        <v>17</v>
      </c>
      <c r="BV845">
        <f>HYPERLINK("http://exon.niaid.nih.gov/transcriptome/Anopheles_sialome/links/cluster-b/anopheline-sialome-cds-pep-larger-orf50-50SimCLU28.txt", 28)</f>
        <v>28</v>
      </c>
      <c r="BW845">
        <f>HYPERLINK("http://exon.niaid.nih.gov/transcriptome/Anopheles_sialome/links/cluster-b/anopheline-sialome-cds-pep-larger-orf50-50SimCLTL28.txt", 17)</f>
        <v>17</v>
      </c>
      <c r="BX845">
        <f>HYPERLINK("http://exon.niaid.nih.gov/transcriptome/Anopheles_sialome/links/cluster-b/anopheline-sialome-cds-pep-larger-orf55-50SimCLU27.txt", 27)</f>
        <v>27</v>
      </c>
      <c r="BY845">
        <f>HYPERLINK("http://exon.niaid.nih.gov/transcriptome/Anopheles_sialome/links/cluster-b/anopheline-sialome-cds-pep-larger-orf55-50SimCLTL27.txt", 17)</f>
        <v>17</v>
      </c>
      <c r="BZ845">
        <f>HYPERLINK("http://exon.niaid.nih.gov/transcriptome/Anopheles_sialome/links/cluster-b/anopheline-sialome-cds-pep-larger-orf60-50SimCLU23.txt", 23)</f>
        <v>23</v>
      </c>
      <c r="CA845">
        <f>HYPERLINK("http://exon.niaid.nih.gov/transcriptome/Anopheles_sialome/links/cluster-b/anopheline-sialome-cds-pep-larger-orf60-50SimCLTL23.txt", 17)</f>
        <v>17</v>
      </c>
      <c r="CB845">
        <f>HYPERLINK("http://exon.niaid.nih.gov/transcriptome/Anopheles_sialome/links/cluster-b/anopheline-sialome-cds-pep-larger-orf65-50SimCLU20.txt", 20)</f>
        <v>20</v>
      </c>
      <c r="CC845">
        <f>HYPERLINK("http://exon.niaid.nih.gov/transcriptome/Anopheles_sialome/links/cluster-b/anopheline-sialome-cds-pep-larger-orf65-50SimCLTL20.txt", 17)</f>
        <v>17</v>
      </c>
      <c r="CD845">
        <f>HYPERLINK("http://exon.niaid.nih.gov/transcriptome/Anopheles_sialome/links/cluster-b/anopheline-sialome-cds-pep-larger-orf70-50SimCLU22.txt", 22)</f>
        <v>22</v>
      </c>
      <c r="CE845">
        <f>HYPERLINK("http://exon.niaid.nih.gov/transcriptome/Anopheles_sialome/links/cluster-b/anopheline-sialome-cds-pep-larger-orf70-50SimCLTL22.txt", 16)</f>
        <v>16</v>
      </c>
      <c r="CF845">
        <f>HYPERLINK("http://exon.niaid.nih.gov/transcriptome/Anopheles_sialome/links/cluster-b/anopheline-sialome-cds-pep-larger-orf75-50SimCLU18.txt", 18)</f>
        <v>18</v>
      </c>
      <c r="CG845">
        <f>HYPERLINK("http://exon.niaid.nih.gov/transcriptome/Anopheles_sialome/links/cluster-b/anopheline-sialome-cds-pep-larger-orf75-50SimCLTL18.txt", 16)</f>
        <v>16</v>
      </c>
      <c r="CH845">
        <f>HYPERLINK("http://exon.niaid.nih.gov/transcriptome/Anopheles_sialome/links/cluster-b/anopheline-sialome-cds-pep-larger-orf80-50SimCLU19.txt", 19)</f>
        <v>19</v>
      </c>
      <c r="CI845">
        <f>HYPERLINK("http://exon.niaid.nih.gov/transcriptome/Anopheles_sialome/links/cluster-b/anopheline-sialome-cds-pep-larger-orf80-50SimCLTL19.txt", 13)</f>
        <v>13</v>
      </c>
      <c r="CJ845">
        <f>HYPERLINK("http://exon.niaid.nih.gov/transcriptome/Anopheles_sialome/links/cluster-b/anopheline-sialome-cds-pep-larger-orf85-50SimCLU13.txt", 13)</f>
        <v>13</v>
      </c>
      <c r="CK845">
        <f>HYPERLINK("http://exon.niaid.nih.gov/transcriptome/Anopheles_sialome/links/cluster-b/anopheline-sialome-cds-pep-larger-orf85-50SimCLTL13.txt", 12)</f>
        <v>12</v>
      </c>
      <c r="CL845">
        <v>409</v>
      </c>
      <c r="CM845">
        <v>1</v>
      </c>
      <c r="CN845">
        <v>506</v>
      </c>
      <c r="CO845">
        <v>1</v>
      </c>
    </row>
    <row r="846" spans="1:93">
      <c r="A846" s="2" t="str">
        <f>HYPERLINK("http://exon.niaid.nih.gov/transcriptome/Anopheles_sialome/links/cds/anocul_SG6-cds.txt","anocul_SG6")</f>
        <v>anocul_SG6</v>
      </c>
      <c r="B846">
        <v>330</v>
      </c>
      <c r="C846" t="s">
        <v>4</v>
      </c>
      <c r="D846" s="8" t="s">
        <v>3178</v>
      </c>
      <c r="E846" t="s">
        <v>5</v>
      </c>
      <c r="F846" t="s">
        <v>1</v>
      </c>
      <c r="G846" t="str">
        <f>HYPERLINK("http://exon.niaid.nih.gov/transcriptome/Anopheles_sialome/links/pep/anocul_SG6-pep.txt","anocul_SG6")</f>
        <v>anocul_SG6</v>
      </c>
      <c r="H846">
        <v>109</v>
      </c>
      <c r="I846">
        <v>0</v>
      </c>
      <c r="J846" s="3" t="str">
        <f>HYPERLINK("http://exon.niaid.nih.gov/transcriptome/Anopheles_sialome/links/Sigp/anocul_SG6-SigP.txt","SIG")</f>
        <v>SIG</v>
      </c>
      <c r="K846" t="s">
        <v>708</v>
      </c>
      <c r="L846">
        <v>12.734</v>
      </c>
      <c r="M846">
        <v>5.9</v>
      </c>
      <c r="N846">
        <v>10.147</v>
      </c>
      <c r="O846">
        <v>5.67</v>
      </c>
      <c r="P846" t="s">
        <v>2067</v>
      </c>
      <c r="Q846" s="3">
        <v>0</v>
      </c>
      <c r="R846" t="s">
        <v>128</v>
      </c>
      <c r="S846" t="s">
        <v>128</v>
      </c>
      <c r="T846" t="s">
        <v>128</v>
      </c>
      <c r="U846" t="s">
        <v>128</v>
      </c>
      <c r="V846" t="s">
        <v>128</v>
      </c>
      <c r="W846" s="3" t="str">
        <f>HYPERLINK("http://exon.niaid.nih.gov/transcriptome/Anopheles_sialome/links/netoglyc/anocul_SG6-netoglyc.txt","0")</f>
        <v>0</v>
      </c>
      <c r="X846">
        <v>12.8</v>
      </c>
      <c r="Y846">
        <v>2.8</v>
      </c>
      <c r="Z846">
        <v>4.5999999999999996</v>
      </c>
      <c r="AA846" t="s">
        <v>654</v>
      </c>
      <c r="AB846" t="s">
        <v>128</v>
      </c>
      <c r="AC846" s="2" t="str">
        <f>HYPERLINK("http://exon.niaid.nih.gov/transcriptome/Anopheles_sialome/links/DIPTERA/anocul_SG6-DIPTERA.txt","gsg6 salivary peptide")</f>
        <v>gsg6 salivary peptide</v>
      </c>
      <c r="AD846" t="str">
        <f>HYPERLINK("http://www.ncbi.nlm.nih.gov/sutils/blink.cgi?pid=114864550","9E-044")</f>
        <v>9E-044</v>
      </c>
      <c r="AE846" t="str">
        <f>HYPERLINK("http://www.ncbi.nlm.nih.gov/protein/114864550","gi|114864550")</f>
        <v>gi|114864550</v>
      </c>
      <c r="AF846">
        <v>71</v>
      </c>
      <c r="AG846">
        <v>80</v>
      </c>
      <c r="AH846">
        <v>99</v>
      </c>
      <c r="AI846" t="s">
        <v>2266</v>
      </c>
      <c r="AJ846" s="2" t="str">
        <f>HYPERLINK("http://exon.niaid.nih.gov/transcriptome/Anopheles_sialome/links/CULICOMORPHA/anocul_SG6-CULICOMORPHA.txt","gsg6 salivary peptide")</f>
        <v>gsg6 salivary peptide</v>
      </c>
      <c r="AK846" t="str">
        <f>HYPERLINK("http://www.ncbi.nlm.nih.gov/sutils/blink.cgi?pid=114864550","2E-044")</f>
        <v>2E-044</v>
      </c>
      <c r="AL846" t="str">
        <f>HYPERLINK("http://www.ncbi.nlm.nih.gov/protein/114864550","gi|114864550")</f>
        <v>gi|114864550</v>
      </c>
      <c r="AM846">
        <v>71</v>
      </c>
      <c r="AN846">
        <v>80</v>
      </c>
      <c r="AO846">
        <v>99</v>
      </c>
      <c r="AP846" t="s">
        <v>2266</v>
      </c>
      <c r="AQ846" s="2" t="str">
        <f>HYPERLINK("http://exon.niaid.nih.gov/transcriptome/Anopheles_sialome/links/NR-LIGHT/anocul_SG6-NR-LIGHT.txt","gsg6 salivary peptide")</f>
        <v>gsg6 salivary peptide</v>
      </c>
      <c r="AR846" t="str">
        <f>HYPERLINK("http://www.ncbi.nlm.nih.gov/sutils/blink.cgi?pid=114864550","2E-043")</f>
        <v>2E-043</v>
      </c>
      <c r="AS846" t="str">
        <f>HYPERLINK("http://www.ncbi.nlm.nih.gov/protein/114864550","gi|114864550")</f>
        <v>gi|114864550</v>
      </c>
      <c r="AT846">
        <v>71</v>
      </c>
      <c r="AU846">
        <v>80</v>
      </c>
      <c r="AV846">
        <v>99</v>
      </c>
      <c r="AW846" t="s">
        <v>2266</v>
      </c>
      <c r="AX846" s="2" t="str">
        <f>HYPERLINK("http://exon.niaid.nih.gov/transcriptome/Anopheles_sialome/links/CDD/anocul_SG6-CDD.txt","GCHY-1")</f>
        <v>GCHY-1</v>
      </c>
      <c r="AY846" t="str">
        <f>HYPERLINK("http://www.ncbi.nlm.nih.gov/Structure/cdd/cddsrv.cgi?uid=pfam02649&amp;version=v4.0","0.20")</f>
        <v>0.20</v>
      </c>
      <c r="AZ846" t="s">
        <v>3048</v>
      </c>
      <c r="BA846" s="2" t="str">
        <f>HYPERLINK("http://exon.niaid.nih.gov/transcriptome/Anopheles_sialome/links/KOG/anocul_SG6-KOG.txt","CCCH-type Zn-finger protein")</f>
        <v>CCCH-type Zn-finger protein</v>
      </c>
      <c r="BB846" t="str">
        <f>HYPERLINK("http://www.ncbi.nlm.nih.gov/Structure/cdd/cddsrv.cgi?uid=KOG1677","3.4")</f>
        <v>3.4</v>
      </c>
      <c r="BC846" t="s">
        <v>2310</v>
      </c>
      <c r="BD846" t="str">
        <f>HYPERLINK("http://exon.niaid.nih.gov/transcriptome/Anopheles_sialome/links/KOG/anocul_SG6-KOG.txt","KOG1677")</f>
        <v>KOG1677</v>
      </c>
      <c r="BE846" t="str">
        <f>HYPERLINK("http://exon.niaid.nih.gov/transcriptome/Anopheles_sialome/links/PFAM/anocul_SG6-PFAM.txt","GCHY-1")</f>
        <v>GCHY-1</v>
      </c>
      <c r="BF846" t="str">
        <f>HYPERLINK("http://pfam.sanger.ac.uk/family?acc=PF02649","0.044")</f>
        <v>0.044</v>
      </c>
      <c r="BG846" s="2" t="str">
        <f>HYPERLINK("http://exon.niaid.nih.gov/transcriptome/Anopheles_sialome/links/SMART/anocul_SG6-SMART.txt","PXA")</f>
        <v>PXA</v>
      </c>
      <c r="BH846" t="str">
        <f>HYPERLINK("http://smart.embl-heidelberg.de/smart/do_annotation.pl?DOMAIN=PXA&amp;BLAST=DUMMY","0.57")</f>
        <v>0.57</v>
      </c>
      <c r="BI846" t="str">
        <f>HYPERLINK("http://exon.niaid.nih.gov/transcriptome/Anopheles_sialome/links/TICK-BLOCKS/anocul_SG6-TICK-BLOCKS.txt","RTS_cys_disintegrin |")</f>
        <v>RTS_cys_disintegrin |</v>
      </c>
      <c r="BJ846" s="2" t="s">
        <v>3049</v>
      </c>
      <c r="BK846" t="s">
        <v>2066</v>
      </c>
      <c r="BL846">
        <f>HYPERLINK("http://exon.niaid.nih.gov/transcriptome/Anopheles_sialome/links/cluster-b/anopheline-sialome-cds-pep-larger-orf25-50SimCLU1.txt", 1)</f>
        <v>1</v>
      </c>
      <c r="BM846">
        <f>HYPERLINK("http://exon.niaid.nih.gov/transcriptome/Anopheles_sialome/links/cluster-b/anopheline-sialome-cds-pep-larger-orf25-50SimCLTL1.txt", 165)</f>
        <v>165</v>
      </c>
      <c r="BN846">
        <f>HYPERLINK("http://exon.niaid.nih.gov/transcriptome/Anopheles_sialome/links/cluster-b/anopheline-sialome-cds-pep-larger-orf30-50SimCLU1.txt", 1)</f>
        <v>1</v>
      </c>
      <c r="BO846">
        <f>HYPERLINK("http://exon.niaid.nih.gov/transcriptome/Anopheles_sialome/links/cluster-b/anopheline-sialome-cds-pep-larger-orf30-50SimCLTL1.txt", 165)</f>
        <v>165</v>
      </c>
      <c r="BP846">
        <f>HYPERLINK("http://exon.niaid.nih.gov/transcriptome/Anopheles_sialome/links/cluster-b/anopheline-sialome-cds-pep-larger-orf35-50SimCLU5.txt", 5)</f>
        <v>5</v>
      </c>
      <c r="BQ846">
        <f>HYPERLINK("http://exon.niaid.nih.gov/transcriptome/Anopheles_sialome/links/cluster-b/anopheline-sialome-cds-pep-larger-orf35-50SimCLTL5.txt", 61)</f>
        <v>61</v>
      </c>
      <c r="BR846">
        <f>HYPERLINK("http://exon.niaid.nih.gov/transcriptome/Anopheles_sialome/links/cluster-b/anopheline-sialome-cds-pep-larger-orf40-50SimCLU23.txt", 23)</f>
        <v>23</v>
      </c>
      <c r="BS846">
        <f>HYPERLINK("http://exon.niaid.nih.gov/transcriptome/Anopheles_sialome/links/cluster-b/anopheline-sialome-cds-pep-larger-orf40-50SimCLTL23.txt", 17)</f>
        <v>17</v>
      </c>
      <c r="BT846">
        <f>HYPERLINK("http://exon.niaid.nih.gov/transcriptome/Anopheles_sialome/links/cluster-b/anopheline-sialome-cds-pep-larger-orf45-50SimCLU27.txt", 27)</f>
        <v>27</v>
      </c>
      <c r="BU846">
        <f>HYPERLINK("http://exon.niaid.nih.gov/transcriptome/Anopheles_sialome/links/cluster-b/anopheline-sialome-cds-pep-larger-orf45-50SimCLTL27.txt", 17)</f>
        <v>17</v>
      </c>
      <c r="BV846">
        <f>HYPERLINK("http://exon.niaid.nih.gov/transcriptome/Anopheles_sialome/links/cluster-b/anopheline-sialome-cds-pep-larger-orf50-50SimCLU28.txt", 28)</f>
        <v>28</v>
      </c>
      <c r="BW846">
        <f>HYPERLINK("http://exon.niaid.nih.gov/transcriptome/Anopheles_sialome/links/cluster-b/anopheline-sialome-cds-pep-larger-orf50-50SimCLTL28.txt", 17)</f>
        <v>17</v>
      </c>
      <c r="BX846">
        <f>HYPERLINK("http://exon.niaid.nih.gov/transcriptome/Anopheles_sialome/links/cluster-b/anopheline-sialome-cds-pep-larger-orf55-50SimCLU27.txt", 27)</f>
        <v>27</v>
      </c>
      <c r="BY846">
        <f>HYPERLINK("http://exon.niaid.nih.gov/transcriptome/Anopheles_sialome/links/cluster-b/anopheline-sialome-cds-pep-larger-orf55-50SimCLTL27.txt", 17)</f>
        <v>17</v>
      </c>
      <c r="BZ846">
        <f>HYPERLINK("http://exon.niaid.nih.gov/transcriptome/Anopheles_sialome/links/cluster-b/anopheline-sialome-cds-pep-larger-orf60-50SimCLU23.txt", 23)</f>
        <v>23</v>
      </c>
      <c r="CA846">
        <f>HYPERLINK("http://exon.niaid.nih.gov/transcriptome/Anopheles_sialome/links/cluster-b/anopheline-sialome-cds-pep-larger-orf60-50SimCLTL23.txt", 17)</f>
        <v>17</v>
      </c>
      <c r="CB846">
        <f>HYPERLINK("http://exon.niaid.nih.gov/transcriptome/Anopheles_sialome/links/cluster-b/anopheline-sialome-cds-pep-larger-orf65-50SimCLU20.txt", 20)</f>
        <v>20</v>
      </c>
      <c r="CC846">
        <f>HYPERLINK("http://exon.niaid.nih.gov/transcriptome/Anopheles_sialome/links/cluster-b/anopheline-sialome-cds-pep-larger-orf65-50SimCLTL20.txt", 17)</f>
        <v>17</v>
      </c>
      <c r="CD846">
        <f>HYPERLINK("http://exon.niaid.nih.gov/transcriptome/Anopheles_sialome/links/cluster-b/anopheline-sialome-cds-pep-larger-orf70-50SimCLU22.txt", 22)</f>
        <v>22</v>
      </c>
      <c r="CE846">
        <f>HYPERLINK("http://exon.niaid.nih.gov/transcriptome/Anopheles_sialome/links/cluster-b/anopheline-sialome-cds-pep-larger-orf70-50SimCLTL22.txt", 16)</f>
        <v>16</v>
      </c>
      <c r="CF846">
        <f>HYPERLINK("http://exon.niaid.nih.gov/transcriptome/Anopheles_sialome/links/cluster-b/anopheline-sialome-cds-pep-larger-orf75-50SimCLU18.txt", 18)</f>
        <v>18</v>
      </c>
      <c r="CG846">
        <f>HYPERLINK("http://exon.niaid.nih.gov/transcriptome/Anopheles_sialome/links/cluster-b/anopheline-sialome-cds-pep-larger-orf75-50SimCLTL18.txt", 16)</f>
        <v>16</v>
      </c>
      <c r="CH846">
        <f>HYPERLINK("http://exon.niaid.nih.gov/transcriptome/Anopheles_sialome/links/cluster-b/anopheline-sialome-cds-pep-larger-orf80-50SimCLU19.txt", 19)</f>
        <v>19</v>
      </c>
      <c r="CI846">
        <f>HYPERLINK("http://exon.niaid.nih.gov/transcriptome/Anopheles_sialome/links/cluster-b/anopheline-sialome-cds-pep-larger-orf80-50SimCLTL19.txt", 13)</f>
        <v>13</v>
      </c>
      <c r="CJ846">
        <v>318</v>
      </c>
      <c r="CK846">
        <v>1</v>
      </c>
      <c r="CL846">
        <v>410</v>
      </c>
      <c r="CM846">
        <v>1</v>
      </c>
      <c r="CN846">
        <v>507</v>
      </c>
      <c r="CO846">
        <v>1</v>
      </c>
    </row>
    <row r="847" spans="1:93">
      <c r="A847" s="2" t="str">
        <f>HYPERLINK("http://exon.niaid.nih.gov/transcriptome/Anopheles_sialome/links/cds/anoste_SG6-cds.txt","anoste_SG6")</f>
        <v>anoste_SG6</v>
      </c>
      <c r="B847">
        <v>345</v>
      </c>
      <c r="C847" t="s">
        <v>560</v>
      </c>
      <c r="D847" t="s">
        <v>4</v>
      </c>
      <c r="E847" t="s">
        <v>5</v>
      </c>
      <c r="F847" t="s">
        <v>1</v>
      </c>
      <c r="G847" t="str">
        <f>HYPERLINK("http://exon.niaid.nih.gov/transcriptome/Anopheles_sialome/links/pep/anoste_SG6-pep.txt","anoste_SG6")</f>
        <v>anoste_SG6</v>
      </c>
      <c r="H847">
        <v>114</v>
      </c>
      <c r="I847">
        <v>0</v>
      </c>
      <c r="J847" s="3" t="str">
        <f>HYPERLINK("http://exon.niaid.nih.gov/transcriptome/Anopheles_sialome/links/Sigp/anoste_SG6-SigP.txt","SIG")</f>
        <v>SIG</v>
      </c>
      <c r="K847" t="s">
        <v>834</v>
      </c>
      <c r="L847">
        <v>12.946</v>
      </c>
      <c r="M847">
        <v>5.0999999999999996</v>
      </c>
      <c r="N847">
        <v>10.161</v>
      </c>
      <c r="O847">
        <v>5.0999999999999996</v>
      </c>
      <c r="P847" t="s">
        <v>2069</v>
      </c>
      <c r="Q847" s="3" t="str">
        <f>HYPERLINK("http://exon.niaid.nih.gov/transcriptome/Anopheles_sialome/links/tmhmm/anoste_SG6-tmhmm.txt","1")</f>
        <v>1</v>
      </c>
      <c r="R847">
        <v>19.3</v>
      </c>
      <c r="S847">
        <v>3.5</v>
      </c>
      <c r="T847">
        <v>77.2</v>
      </c>
      <c r="U847" t="s">
        <v>128</v>
      </c>
      <c r="V847">
        <v>88</v>
      </c>
      <c r="W847" s="3" t="str">
        <f>HYPERLINK("http://exon.niaid.nih.gov/transcriptome/Anopheles_sialome/links/netoglyc/anoste_SG6-netoglyc.txt","0")</f>
        <v>0</v>
      </c>
      <c r="X847">
        <v>14.9</v>
      </c>
      <c r="Y847">
        <v>3.5</v>
      </c>
      <c r="Z847">
        <v>4.4000000000000004</v>
      </c>
      <c r="AA847" t="s">
        <v>654</v>
      </c>
      <c r="AB847" t="s">
        <v>128</v>
      </c>
      <c r="AC847" s="2" t="str">
        <f>HYPERLINK("http://exon.niaid.nih.gov/transcriptome/Anopheles_sialome/links/DIPTERA/anoste_SG6-DIPTERA.txt","gSG6 salivary gland protein precursor")</f>
        <v>gSG6 salivary gland protein precursor</v>
      </c>
      <c r="AD847" t="str">
        <f>HYPERLINK("http://www.ncbi.nlm.nih.gov/sutils/blink.cgi?pid=29501530","5E-064")</f>
        <v>5E-064</v>
      </c>
      <c r="AE847" t="str">
        <f>HYPERLINK("http://www.ncbi.nlm.nih.gov/protein/29501530","gi|29501530")</f>
        <v>gi|29501530</v>
      </c>
      <c r="AF847">
        <v>100</v>
      </c>
      <c r="AG847">
        <v>100</v>
      </c>
      <c r="AH847">
        <v>100</v>
      </c>
      <c r="AI847" t="s">
        <v>2271</v>
      </c>
      <c r="AJ847" s="2" t="str">
        <f>HYPERLINK("http://exon.niaid.nih.gov/transcriptome/Anopheles_sialome/links/CULICOMORPHA/anoste_SG6-CULICOMORPHA.txt","gSG6 salivary gland protein precursor")</f>
        <v>gSG6 salivary gland protein precursor</v>
      </c>
      <c r="AK847" t="str">
        <f>HYPERLINK("http://www.ncbi.nlm.nih.gov/sutils/blink.cgi?pid=29501530","8E-065")</f>
        <v>8E-065</v>
      </c>
      <c r="AL847" t="str">
        <f>HYPERLINK("http://www.ncbi.nlm.nih.gov/protein/29501530","gi|29501530")</f>
        <v>gi|29501530</v>
      </c>
      <c r="AM847">
        <v>100</v>
      </c>
      <c r="AN847">
        <v>100</v>
      </c>
      <c r="AO847">
        <v>100</v>
      </c>
      <c r="AP847" t="s">
        <v>2271</v>
      </c>
      <c r="AQ847" s="2" t="str">
        <f>HYPERLINK("http://exon.niaid.nih.gov/transcriptome/Anopheles_sialome/links/NR-LIGHT/anoste_SG6-NR-LIGHT.txt","gSG6 salivary gland protein precursor")</f>
        <v>gSG6 salivary gland protein precursor</v>
      </c>
      <c r="AR847" t="str">
        <f>HYPERLINK("http://www.ncbi.nlm.nih.gov/sutils/blink.cgi?pid=29501530","1E-063")</f>
        <v>1E-063</v>
      </c>
      <c r="AS847" t="str">
        <f>HYPERLINK("http://www.ncbi.nlm.nih.gov/protein/29501530","gi|29501530")</f>
        <v>gi|29501530</v>
      </c>
      <c r="AT847">
        <v>100</v>
      </c>
      <c r="AU847">
        <v>100</v>
      </c>
      <c r="AV847">
        <v>100</v>
      </c>
      <c r="AW847" t="s">
        <v>2271</v>
      </c>
      <c r="AX847" s="2" t="str">
        <f>HYPERLINK("http://exon.niaid.nih.gov/transcriptome/Anopheles_sialome/links/CDD/anoste_SG6-CDD.txt","PTZ00486")</f>
        <v>PTZ00486</v>
      </c>
      <c r="AY847" t="str">
        <f>HYPERLINK("http://www.ncbi.nlm.nih.gov/Structure/cdd/cddsrv.cgi?uid=PTZ00486&amp;version=v4.0","0.19")</f>
        <v>0.19</v>
      </c>
      <c r="AZ847" t="s">
        <v>3050</v>
      </c>
      <c r="BA847" s="2" t="str">
        <f>HYPERLINK("http://exon.niaid.nih.gov/transcriptome/Anopheles_sialome/links/KOG/anoste_SG6-KOG.txt","Nucleolar protein involved in 40S ribosome biogenesis")</f>
        <v>Nucleolar protein involved in 40S ribosome biogenesis</v>
      </c>
      <c r="BB847" t="str">
        <f>HYPERLINK("http://www.ncbi.nlm.nih.gov/Structure/cdd/cddsrv.cgi?uid=KOG2147","0.62")</f>
        <v>0.62</v>
      </c>
      <c r="BC847" t="s">
        <v>2260</v>
      </c>
      <c r="BD847" t="str">
        <f>HYPERLINK("http://exon.niaid.nih.gov/transcriptome/Anopheles_sialome/links/KOG/anoste_SG6-KOG.txt","KOG2147")</f>
        <v>KOG2147</v>
      </c>
      <c r="BE847" t="str">
        <f>HYPERLINK("http://exon.niaid.nih.gov/transcriptome/Anopheles_sialome/links/PFAM/anoste_SG6-PFAM.txt","ALAD")</f>
        <v>ALAD</v>
      </c>
      <c r="BF847" t="str">
        <f>HYPERLINK("http://pfam.sanger.ac.uk/family?acc=PF00490","0.11")</f>
        <v>0.11</v>
      </c>
      <c r="BG847" s="2" t="str">
        <f>HYPERLINK("http://exon.niaid.nih.gov/transcriptome/Anopheles_sialome/links/SMART/anoste_SG6-SMART.txt","ALAD")</f>
        <v>ALAD</v>
      </c>
      <c r="BH847" t="str">
        <f>HYPERLINK("http://smart.embl-heidelberg.de/smart/do_annotation.pl?DOMAIN=ALAD&amp;BLAST=DUMMY","0.016")</f>
        <v>0.016</v>
      </c>
      <c r="BI847" t="s">
        <v>128</v>
      </c>
      <c r="BJ847" s="2" t="s">
        <v>128</v>
      </c>
      <c r="BK847" t="s">
        <v>2068</v>
      </c>
      <c r="BL847">
        <f>HYPERLINK("http://exon.niaid.nih.gov/transcriptome/Anopheles_sialome/links/cluster-b/anopheline-sialome-cds-pep-larger-orf25-50SimCLU1.txt", 1)</f>
        <v>1</v>
      </c>
      <c r="BM847">
        <f>HYPERLINK("http://exon.niaid.nih.gov/transcriptome/Anopheles_sialome/links/cluster-b/anopheline-sialome-cds-pep-larger-orf25-50SimCLTL1.txt", 165)</f>
        <v>165</v>
      </c>
      <c r="BN847">
        <f>HYPERLINK("http://exon.niaid.nih.gov/transcriptome/Anopheles_sialome/links/cluster-b/anopheline-sialome-cds-pep-larger-orf30-50SimCLU1.txt", 1)</f>
        <v>1</v>
      </c>
      <c r="BO847">
        <f>HYPERLINK("http://exon.niaid.nih.gov/transcriptome/Anopheles_sialome/links/cluster-b/anopheline-sialome-cds-pep-larger-orf30-50SimCLTL1.txt", 165)</f>
        <v>165</v>
      </c>
      <c r="BP847">
        <f>HYPERLINK("http://exon.niaid.nih.gov/transcriptome/Anopheles_sialome/links/cluster-b/anopheline-sialome-cds-pep-larger-orf35-50SimCLU5.txt", 5)</f>
        <v>5</v>
      </c>
      <c r="BQ847">
        <f>HYPERLINK("http://exon.niaid.nih.gov/transcriptome/Anopheles_sialome/links/cluster-b/anopheline-sialome-cds-pep-larger-orf35-50SimCLTL5.txt", 61)</f>
        <v>61</v>
      </c>
      <c r="BR847">
        <f>HYPERLINK("http://exon.niaid.nih.gov/transcriptome/Anopheles_sialome/links/cluster-b/anopheline-sialome-cds-pep-larger-orf40-50SimCLU23.txt", 23)</f>
        <v>23</v>
      </c>
      <c r="BS847">
        <f>HYPERLINK("http://exon.niaid.nih.gov/transcriptome/Anopheles_sialome/links/cluster-b/anopheline-sialome-cds-pep-larger-orf40-50SimCLTL23.txt", 17)</f>
        <v>17</v>
      </c>
      <c r="BT847">
        <f>HYPERLINK("http://exon.niaid.nih.gov/transcriptome/Anopheles_sialome/links/cluster-b/anopheline-sialome-cds-pep-larger-orf45-50SimCLU27.txt", 27)</f>
        <v>27</v>
      </c>
      <c r="BU847">
        <f>HYPERLINK("http://exon.niaid.nih.gov/transcriptome/Anopheles_sialome/links/cluster-b/anopheline-sialome-cds-pep-larger-orf45-50SimCLTL27.txt", 17)</f>
        <v>17</v>
      </c>
      <c r="BV847">
        <f>HYPERLINK("http://exon.niaid.nih.gov/transcriptome/Anopheles_sialome/links/cluster-b/anopheline-sialome-cds-pep-larger-orf50-50SimCLU28.txt", 28)</f>
        <v>28</v>
      </c>
      <c r="BW847">
        <f>HYPERLINK("http://exon.niaid.nih.gov/transcriptome/Anopheles_sialome/links/cluster-b/anopheline-sialome-cds-pep-larger-orf50-50SimCLTL28.txt", 17)</f>
        <v>17</v>
      </c>
      <c r="BX847">
        <f>HYPERLINK("http://exon.niaid.nih.gov/transcriptome/Anopheles_sialome/links/cluster-b/anopheline-sialome-cds-pep-larger-orf55-50SimCLU27.txt", 27)</f>
        <v>27</v>
      </c>
      <c r="BY847">
        <f>HYPERLINK("http://exon.niaid.nih.gov/transcriptome/Anopheles_sialome/links/cluster-b/anopheline-sialome-cds-pep-larger-orf55-50SimCLTL27.txt", 17)</f>
        <v>17</v>
      </c>
      <c r="BZ847">
        <f>HYPERLINK("http://exon.niaid.nih.gov/transcriptome/Anopheles_sialome/links/cluster-b/anopheline-sialome-cds-pep-larger-orf60-50SimCLU23.txt", 23)</f>
        <v>23</v>
      </c>
      <c r="CA847">
        <f>HYPERLINK("http://exon.niaid.nih.gov/transcriptome/Anopheles_sialome/links/cluster-b/anopheline-sialome-cds-pep-larger-orf60-50SimCLTL23.txt", 17)</f>
        <v>17</v>
      </c>
      <c r="CB847">
        <f>HYPERLINK("http://exon.niaid.nih.gov/transcriptome/Anopheles_sialome/links/cluster-b/anopheline-sialome-cds-pep-larger-orf65-50SimCLU20.txt", 20)</f>
        <v>20</v>
      </c>
      <c r="CC847">
        <f>HYPERLINK("http://exon.niaid.nih.gov/transcriptome/Anopheles_sialome/links/cluster-b/anopheline-sialome-cds-pep-larger-orf65-50SimCLTL20.txt", 17)</f>
        <v>17</v>
      </c>
      <c r="CD847">
        <f>HYPERLINK("http://exon.niaid.nih.gov/transcriptome/Anopheles_sialome/links/cluster-b/anopheline-sialome-cds-pep-larger-orf70-50SimCLU22.txt", 22)</f>
        <v>22</v>
      </c>
      <c r="CE847">
        <f>HYPERLINK("http://exon.niaid.nih.gov/transcriptome/Anopheles_sialome/links/cluster-b/anopheline-sialome-cds-pep-larger-orf70-50SimCLTL22.txt", 16)</f>
        <v>16</v>
      </c>
      <c r="CF847">
        <f>HYPERLINK("http://exon.niaid.nih.gov/transcriptome/Anopheles_sialome/links/cluster-b/anopheline-sialome-cds-pep-larger-orf75-50SimCLU18.txt", 18)</f>
        <v>18</v>
      </c>
      <c r="CG847">
        <f>HYPERLINK("http://exon.niaid.nih.gov/transcriptome/Anopheles_sialome/links/cluster-b/anopheline-sialome-cds-pep-larger-orf75-50SimCLTL18.txt", 16)</f>
        <v>16</v>
      </c>
      <c r="CH847">
        <f>HYPERLINK("http://exon.niaid.nih.gov/transcriptome/Anopheles_sialome/links/cluster-b/anopheline-sialome-cds-pep-larger-orf80-50SimCLU19.txt", 19)</f>
        <v>19</v>
      </c>
      <c r="CI847">
        <f>HYPERLINK("http://exon.niaid.nih.gov/transcriptome/Anopheles_sialome/links/cluster-b/anopheline-sialome-cds-pep-larger-orf80-50SimCLTL19.txt", 13)</f>
        <v>13</v>
      </c>
      <c r="CJ847">
        <f>HYPERLINK("http://exon.niaid.nih.gov/transcriptome/Anopheles_sialome/links/cluster-b/anopheline-sialome-cds-pep-larger-orf85-50SimCLU13.txt", 13)</f>
        <v>13</v>
      </c>
      <c r="CK847">
        <f>HYPERLINK("http://exon.niaid.nih.gov/transcriptome/Anopheles_sialome/links/cluster-b/anopheline-sialome-cds-pep-larger-orf85-50SimCLTL13.txt", 12)</f>
        <v>12</v>
      </c>
      <c r="CL847">
        <v>411</v>
      </c>
      <c r="CM847">
        <v>1</v>
      </c>
      <c r="CN847">
        <v>508</v>
      </c>
      <c r="CO847">
        <v>1</v>
      </c>
    </row>
    <row r="848" spans="1:93">
      <c r="A848" s="2" t="str">
        <f>HYPERLINK("http://exon.niaid.nih.gov/transcriptome/Anopheles_sialome/links/cds/anomac_SG6-cds.txt","anomac_SG6")</f>
        <v>anomac_SG6</v>
      </c>
      <c r="B848">
        <v>363</v>
      </c>
      <c r="C848" t="s">
        <v>561</v>
      </c>
      <c r="D848" t="s">
        <v>4</v>
      </c>
      <c r="E848" t="s">
        <v>5</v>
      </c>
      <c r="F848" t="s">
        <v>1</v>
      </c>
      <c r="G848" t="str">
        <f>HYPERLINK("http://exon.niaid.nih.gov/transcriptome/Anopheles_sialome/links/pep/anomac_SG6-pep.txt","anomac_SG6")</f>
        <v>anomac_SG6</v>
      </c>
      <c r="H848">
        <v>120</v>
      </c>
      <c r="I848">
        <v>0</v>
      </c>
      <c r="J848" s="3" t="str">
        <f>HYPERLINK("http://exon.niaid.nih.gov/transcriptome/Anopheles_sialome/links/Sigp/anomac_SG6-SigP.txt","SIG")</f>
        <v>SIG</v>
      </c>
      <c r="K848" t="s">
        <v>945</v>
      </c>
      <c r="L848">
        <v>13.678000000000001</v>
      </c>
      <c r="M848">
        <v>5.12</v>
      </c>
      <c r="N848">
        <v>10.863</v>
      </c>
      <c r="O848">
        <v>5.12</v>
      </c>
      <c r="P848" t="s">
        <v>2071</v>
      </c>
      <c r="Q848" s="3">
        <v>0</v>
      </c>
      <c r="R848" t="s">
        <v>128</v>
      </c>
      <c r="S848" t="s">
        <v>128</v>
      </c>
      <c r="T848" t="s">
        <v>128</v>
      </c>
      <c r="U848" t="s">
        <v>128</v>
      </c>
      <c r="V848" t="s">
        <v>128</v>
      </c>
      <c r="W848" s="3" t="str">
        <f>HYPERLINK("http://exon.niaid.nih.gov/transcriptome/Anopheles_sialome/links/netoglyc/anomac_SG6-netoglyc.txt","0")</f>
        <v>0</v>
      </c>
      <c r="X848">
        <v>11.7</v>
      </c>
      <c r="Y848">
        <v>4.2</v>
      </c>
      <c r="Z848">
        <v>4.2</v>
      </c>
      <c r="AA848" t="s">
        <v>654</v>
      </c>
      <c r="AB848" t="s">
        <v>128</v>
      </c>
      <c r="AC848" s="2" t="str">
        <f>HYPERLINK("http://exon.niaid.nih.gov/transcriptome/Anopheles_sialome/links/DIPTERA/anomac_SG6-DIPTERA.txt","gSG6 salivary gland protein precursor")</f>
        <v>gSG6 salivary gland protein precursor</v>
      </c>
      <c r="AD848" t="str">
        <f>HYPERLINK("http://www.ncbi.nlm.nih.gov/sutils/blink.cgi?pid=29501530","3E-057")</f>
        <v>3E-057</v>
      </c>
      <c r="AE848" t="str">
        <f>HYPERLINK("http://www.ncbi.nlm.nih.gov/protein/29501530","gi|29501530")</f>
        <v>gi|29501530</v>
      </c>
      <c r="AF848">
        <v>88</v>
      </c>
      <c r="AG848">
        <v>94</v>
      </c>
      <c r="AH848">
        <v>99</v>
      </c>
      <c r="AI848" t="s">
        <v>2271</v>
      </c>
      <c r="AJ848" s="2" t="str">
        <f>HYPERLINK("http://exon.niaid.nih.gov/transcriptome/Anopheles_sialome/links/CULICOMORPHA/anomac_SG6-CULICOMORPHA.txt","gSG6 salivary gland protein precursor")</f>
        <v>gSG6 salivary gland protein precursor</v>
      </c>
      <c r="AK848" t="str">
        <f>HYPERLINK("http://www.ncbi.nlm.nih.gov/sutils/blink.cgi?pid=29501530","5E-058")</f>
        <v>5E-058</v>
      </c>
      <c r="AL848" t="str">
        <f>HYPERLINK("http://www.ncbi.nlm.nih.gov/protein/29501530","gi|29501530")</f>
        <v>gi|29501530</v>
      </c>
      <c r="AM848">
        <v>88</v>
      </c>
      <c r="AN848">
        <v>94</v>
      </c>
      <c r="AO848">
        <v>99</v>
      </c>
      <c r="AP848" t="s">
        <v>2271</v>
      </c>
      <c r="AQ848" s="2" t="str">
        <f>HYPERLINK("http://exon.niaid.nih.gov/transcriptome/Anopheles_sialome/links/NR-LIGHT/anomac_SG6-NR-LIGHT.txt","gSG6 salivary gland protein precursor")</f>
        <v>gSG6 salivary gland protein precursor</v>
      </c>
      <c r="AR848" t="str">
        <f>HYPERLINK("http://www.ncbi.nlm.nih.gov/sutils/blink.cgi?pid=29501530","9E-057")</f>
        <v>9E-057</v>
      </c>
      <c r="AS848" t="str">
        <f>HYPERLINK("http://www.ncbi.nlm.nih.gov/protein/29501530","gi|29501530")</f>
        <v>gi|29501530</v>
      </c>
      <c r="AT848">
        <v>88</v>
      </c>
      <c r="AU848">
        <v>94</v>
      </c>
      <c r="AV848">
        <v>99</v>
      </c>
      <c r="AW848" t="s">
        <v>2271</v>
      </c>
      <c r="AX848" s="2" t="str">
        <f>HYPERLINK("http://exon.niaid.nih.gov/transcriptome/Anopheles_sialome/links/CDD/anomac_SG6-CDD.txt","SLC5sbd_SGLT1-l")</f>
        <v>SLC5sbd_SGLT1-l</v>
      </c>
      <c r="AY848" t="str">
        <f>HYPERLINK("http://www.ncbi.nlm.nih.gov/Structure/cdd/cddsrv.cgi?uid=cd10329&amp;version=v4.0","0.61")</f>
        <v>0.61</v>
      </c>
      <c r="AZ848" t="s">
        <v>3051</v>
      </c>
      <c r="BA848" s="2" t="str">
        <f>HYPERLINK("http://exon.niaid.nih.gov/transcriptome/Anopheles_sialome/links/KOG/anomac_SG6-KOG.txt","DNA polymerase delta, catalytic subunit")</f>
        <v>DNA polymerase delta, catalytic subunit</v>
      </c>
      <c r="BB848" t="str">
        <f>HYPERLINK("http://www.ncbi.nlm.nih.gov/Structure/cdd/cddsrv.cgi?uid=KOG0969","0.31")</f>
        <v>0.31</v>
      </c>
      <c r="BC848" t="s">
        <v>2290</v>
      </c>
      <c r="BD848" t="str">
        <f>HYPERLINK("http://exon.niaid.nih.gov/transcriptome/Anopheles_sialome/links/KOG/anomac_SG6-KOG.txt","KOG0969")</f>
        <v>KOG0969</v>
      </c>
      <c r="BE848" t="str">
        <f>HYPERLINK("http://exon.niaid.nih.gov/transcriptome/Anopheles_sialome/links/PFAM/anomac_SG6-PFAM.txt","HPHLAWLY")</f>
        <v>HPHLAWLY</v>
      </c>
      <c r="BF848" t="str">
        <f>HYPERLINK("http://pfam.sanger.ac.uk/family?acc=PF14925","0.57")</f>
        <v>0.57</v>
      </c>
      <c r="BG848" s="2" t="str">
        <f>HYPERLINK("http://exon.niaid.nih.gov/transcriptome/Anopheles_sialome/links/SMART/anomac_SG6-SMART.txt","EH")</f>
        <v>EH</v>
      </c>
      <c r="BH848" t="str">
        <f>HYPERLINK("http://smart.embl-heidelberg.de/smart/do_annotation.pl?DOMAIN=EH&amp;BLAST=DUMMY","0.041")</f>
        <v>0.041</v>
      </c>
      <c r="BI848" t="s">
        <v>128</v>
      </c>
      <c r="BJ848" s="2" t="s">
        <v>128</v>
      </c>
      <c r="BK848" t="s">
        <v>2070</v>
      </c>
      <c r="BL848">
        <f>HYPERLINK("http://exon.niaid.nih.gov/transcriptome/Anopheles_sialome/links/cluster-b/anopheline-sialome-cds-pep-larger-orf25-50SimCLU1.txt", 1)</f>
        <v>1</v>
      </c>
      <c r="BM848">
        <f>HYPERLINK("http://exon.niaid.nih.gov/transcriptome/Anopheles_sialome/links/cluster-b/anopheline-sialome-cds-pep-larger-orf25-50SimCLTL1.txt", 165)</f>
        <v>165</v>
      </c>
      <c r="BN848">
        <f>HYPERLINK("http://exon.niaid.nih.gov/transcriptome/Anopheles_sialome/links/cluster-b/anopheline-sialome-cds-pep-larger-orf30-50SimCLU1.txt", 1)</f>
        <v>1</v>
      </c>
      <c r="BO848">
        <f>HYPERLINK("http://exon.niaid.nih.gov/transcriptome/Anopheles_sialome/links/cluster-b/anopheline-sialome-cds-pep-larger-orf30-50SimCLTL1.txt", 165)</f>
        <v>165</v>
      </c>
      <c r="BP848">
        <f>HYPERLINK("http://exon.niaid.nih.gov/transcriptome/Anopheles_sialome/links/cluster-b/anopheline-sialome-cds-pep-larger-orf35-50SimCLU5.txt", 5)</f>
        <v>5</v>
      </c>
      <c r="BQ848">
        <f>HYPERLINK("http://exon.niaid.nih.gov/transcriptome/Anopheles_sialome/links/cluster-b/anopheline-sialome-cds-pep-larger-orf35-50SimCLTL5.txt", 61)</f>
        <v>61</v>
      </c>
      <c r="BR848">
        <f>HYPERLINK("http://exon.niaid.nih.gov/transcriptome/Anopheles_sialome/links/cluster-b/anopheline-sialome-cds-pep-larger-orf40-50SimCLU23.txt", 23)</f>
        <v>23</v>
      </c>
      <c r="BS848">
        <f>HYPERLINK("http://exon.niaid.nih.gov/transcriptome/Anopheles_sialome/links/cluster-b/anopheline-sialome-cds-pep-larger-orf40-50SimCLTL23.txt", 17)</f>
        <v>17</v>
      </c>
      <c r="BT848">
        <f>HYPERLINK("http://exon.niaid.nih.gov/transcriptome/Anopheles_sialome/links/cluster-b/anopheline-sialome-cds-pep-larger-orf45-50SimCLU27.txt", 27)</f>
        <v>27</v>
      </c>
      <c r="BU848">
        <f>HYPERLINK("http://exon.niaid.nih.gov/transcriptome/Anopheles_sialome/links/cluster-b/anopheline-sialome-cds-pep-larger-orf45-50SimCLTL27.txt", 17)</f>
        <v>17</v>
      </c>
      <c r="BV848">
        <f>HYPERLINK("http://exon.niaid.nih.gov/transcriptome/Anopheles_sialome/links/cluster-b/anopheline-sialome-cds-pep-larger-orf50-50SimCLU28.txt", 28)</f>
        <v>28</v>
      </c>
      <c r="BW848">
        <f>HYPERLINK("http://exon.niaid.nih.gov/transcriptome/Anopheles_sialome/links/cluster-b/anopheline-sialome-cds-pep-larger-orf50-50SimCLTL28.txt", 17)</f>
        <v>17</v>
      </c>
      <c r="BX848">
        <f>HYPERLINK("http://exon.niaid.nih.gov/transcriptome/Anopheles_sialome/links/cluster-b/anopheline-sialome-cds-pep-larger-orf55-50SimCLU27.txt", 27)</f>
        <v>27</v>
      </c>
      <c r="BY848">
        <f>HYPERLINK("http://exon.niaid.nih.gov/transcriptome/Anopheles_sialome/links/cluster-b/anopheline-sialome-cds-pep-larger-orf55-50SimCLTL27.txt", 17)</f>
        <v>17</v>
      </c>
      <c r="BZ848">
        <f>HYPERLINK("http://exon.niaid.nih.gov/transcriptome/Anopheles_sialome/links/cluster-b/anopheline-sialome-cds-pep-larger-orf60-50SimCLU23.txt", 23)</f>
        <v>23</v>
      </c>
      <c r="CA848">
        <f>HYPERLINK("http://exon.niaid.nih.gov/transcriptome/Anopheles_sialome/links/cluster-b/anopheline-sialome-cds-pep-larger-orf60-50SimCLTL23.txt", 17)</f>
        <v>17</v>
      </c>
      <c r="CB848">
        <f>HYPERLINK("http://exon.niaid.nih.gov/transcriptome/Anopheles_sialome/links/cluster-b/anopheline-sialome-cds-pep-larger-orf65-50SimCLU20.txt", 20)</f>
        <v>20</v>
      </c>
      <c r="CC848">
        <f>HYPERLINK("http://exon.niaid.nih.gov/transcriptome/Anopheles_sialome/links/cluster-b/anopheline-sialome-cds-pep-larger-orf65-50SimCLTL20.txt", 17)</f>
        <v>17</v>
      </c>
      <c r="CD848">
        <f>HYPERLINK("http://exon.niaid.nih.gov/transcriptome/Anopheles_sialome/links/cluster-b/anopheline-sialome-cds-pep-larger-orf70-50SimCLU22.txt", 22)</f>
        <v>22</v>
      </c>
      <c r="CE848">
        <f>HYPERLINK("http://exon.niaid.nih.gov/transcriptome/Anopheles_sialome/links/cluster-b/anopheline-sialome-cds-pep-larger-orf70-50SimCLTL22.txt", 16)</f>
        <v>16</v>
      </c>
      <c r="CF848">
        <f>HYPERLINK("http://exon.niaid.nih.gov/transcriptome/Anopheles_sialome/links/cluster-b/anopheline-sialome-cds-pep-larger-orf75-50SimCLU18.txt", 18)</f>
        <v>18</v>
      </c>
      <c r="CG848">
        <f>HYPERLINK("http://exon.niaid.nih.gov/transcriptome/Anopheles_sialome/links/cluster-b/anopheline-sialome-cds-pep-larger-orf75-50SimCLTL18.txt", 16)</f>
        <v>16</v>
      </c>
      <c r="CH848">
        <f>HYPERLINK("http://exon.niaid.nih.gov/transcriptome/Anopheles_sialome/links/cluster-b/anopheline-sialome-cds-pep-larger-orf80-50SimCLU19.txt", 19)</f>
        <v>19</v>
      </c>
      <c r="CI848">
        <f>HYPERLINK("http://exon.niaid.nih.gov/transcriptome/Anopheles_sialome/links/cluster-b/anopheline-sialome-cds-pep-larger-orf80-50SimCLTL19.txt", 13)</f>
        <v>13</v>
      </c>
      <c r="CJ848">
        <f>HYPERLINK("http://exon.niaid.nih.gov/transcriptome/Anopheles_sialome/links/cluster-b/anopheline-sialome-cds-pep-larger-orf85-50SimCLU13.txt", 13)</f>
        <v>13</v>
      </c>
      <c r="CK848">
        <f>HYPERLINK("http://exon.niaid.nih.gov/transcriptome/Anopheles_sialome/links/cluster-b/anopheline-sialome-cds-pep-larger-orf85-50SimCLTL13.txt", 12)</f>
        <v>12</v>
      </c>
      <c r="CL848">
        <v>412</v>
      </c>
      <c r="CM848">
        <v>1</v>
      </c>
      <c r="CN848">
        <v>509</v>
      </c>
      <c r="CO848">
        <v>1</v>
      </c>
    </row>
    <row r="849" spans="1:93">
      <c r="A849" s="2" t="str">
        <f>HYPERLINK("http://exon.niaid.nih.gov/transcriptome/Anopheles_sialome/links/cds/anofar_SG6-cds.txt","anofar_SG6")</f>
        <v>anofar_SG6</v>
      </c>
      <c r="B849">
        <v>312</v>
      </c>
      <c r="C849" t="s">
        <v>562</v>
      </c>
      <c r="D849" t="s">
        <v>7</v>
      </c>
      <c r="E849" t="s">
        <v>5</v>
      </c>
      <c r="F849" t="s">
        <v>1</v>
      </c>
      <c r="G849" t="str">
        <f>HYPERLINK("http://exon.niaid.nih.gov/transcriptome/Anopheles_sialome/links/pep/anofar_SG6-pep.txt","anofar_SG6")</f>
        <v>anofar_SG6</v>
      </c>
      <c r="H849">
        <v>103</v>
      </c>
      <c r="I849">
        <v>0</v>
      </c>
      <c r="J849" s="3" t="str">
        <f>HYPERLINK("http://exon.niaid.nih.gov/transcriptome/Anopheles_sialome/links/Sigp/anofar_SG6-SigP.txt","SIG")</f>
        <v>SIG</v>
      </c>
      <c r="K849" t="s">
        <v>708</v>
      </c>
      <c r="L849">
        <v>11.738</v>
      </c>
      <c r="M849">
        <v>7.47</v>
      </c>
      <c r="N849">
        <v>9.2289999999999992</v>
      </c>
      <c r="O849">
        <v>6.12</v>
      </c>
      <c r="P849" t="s">
        <v>2073</v>
      </c>
      <c r="Q849" s="3">
        <v>0</v>
      </c>
      <c r="R849" t="s">
        <v>128</v>
      </c>
      <c r="S849" t="s">
        <v>128</v>
      </c>
      <c r="T849" t="s">
        <v>128</v>
      </c>
      <c r="U849" t="s">
        <v>128</v>
      </c>
      <c r="V849" t="s">
        <v>128</v>
      </c>
      <c r="W849" s="3" t="str">
        <f>HYPERLINK("http://exon.niaid.nih.gov/transcriptome/Anopheles_sialome/links/netoglyc/anofar_SG6-netoglyc.txt","0")</f>
        <v>0</v>
      </c>
      <c r="X849">
        <v>14.6</v>
      </c>
      <c r="Y849">
        <v>3.9</v>
      </c>
      <c r="Z849">
        <v>1.9</v>
      </c>
      <c r="AA849" t="s">
        <v>654</v>
      </c>
      <c r="AB849" t="s">
        <v>128</v>
      </c>
      <c r="AC849" s="2" t="str">
        <f>HYPERLINK("http://exon.niaid.nih.gov/transcriptome/Anopheles_sialome/links/DIPTERA/anofar_SG6-DIPTERA.txt","gsg6 salivary peptide")</f>
        <v>gsg6 salivary peptide</v>
      </c>
      <c r="AD849" t="str">
        <f>HYPERLINK("http://www.ncbi.nlm.nih.gov/sutils/blink.cgi?pid=114864550","3E-030")</f>
        <v>3E-030</v>
      </c>
      <c r="AE849" t="str">
        <f>HYPERLINK("http://www.ncbi.nlm.nih.gov/protein/114864550","gi|114864550")</f>
        <v>gi|114864550</v>
      </c>
      <c r="AF849">
        <v>53</v>
      </c>
      <c r="AG849">
        <v>69</v>
      </c>
      <c r="AH849">
        <v>95</v>
      </c>
      <c r="AI849" t="s">
        <v>2266</v>
      </c>
      <c r="AJ849" s="2" t="str">
        <f>HYPERLINK("http://exon.niaid.nih.gov/transcriptome/Anopheles_sialome/links/CULICOMORPHA/anofar_SG6-CULICOMORPHA.txt","gsg6 salivary peptide")</f>
        <v>gsg6 salivary peptide</v>
      </c>
      <c r="AK849" t="str">
        <f>HYPERLINK("http://www.ncbi.nlm.nih.gov/sutils/blink.cgi?pid=114864550","6E-031")</f>
        <v>6E-031</v>
      </c>
      <c r="AL849" t="str">
        <f>HYPERLINK("http://www.ncbi.nlm.nih.gov/protein/114864550","gi|114864550")</f>
        <v>gi|114864550</v>
      </c>
      <c r="AM849">
        <v>53</v>
      </c>
      <c r="AN849">
        <v>69</v>
      </c>
      <c r="AO849">
        <v>95</v>
      </c>
      <c r="AP849" t="s">
        <v>2266</v>
      </c>
      <c r="AQ849" s="2" t="str">
        <f>HYPERLINK("http://exon.niaid.nih.gov/transcriptome/Anopheles_sialome/links/NR-LIGHT/anofar_SG6-NR-LIGHT.txt","gsg6 salivary peptide")</f>
        <v>gsg6 salivary peptide</v>
      </c>
      <c r="AR849" t="str">
        <f>HYPERLINK("http://www.ncbi.nlm.nih.gov/sutils/blink.cgi?pid=114864550","9E-030")</f>
        <v>9E-030</v>
      </c>
      <c r="AS849" t="str">
        <f>HYPERLINK("http://www.ncbi.nlm.nih.gov/protein/114864550","gi|114864550")</f>
        <v>gi|114864550</v>
      </c>
      <c r="AT849">
        <v>53</v>
      </c>
      <c r="AU849">
        <v>69</v>
      </c>
      <c r="AV849">
        <v>95</v>
      </c>
      <c r="AW849" t="s">
        <v>2266</v>
      </c>
      <c r="AX849" s="2" t="str">
        <f>HYPERLINK("http://exon.niaid.nih.gov/transcriptome/Anopheles_sialome/links/CDD/anofar_SG6-CDD.txt","TM_PBP1_LivH_li")</f>
        <v>TM_PBP1_LivH_li</v>
      </c>
      <c r="AY849" t="str">
        <f>HYPERLINK("http://www.ncbi.nlm.nih.gov/Structure/cdd/cddsrv.cgi?uid=cd06582&amp;version=v4.0","0.032")</f>
        <v>0.032</v>
      </c>
      <c r="AZ849" t="s">
        <v>3052</v>
      </c>
      <c r="BA849" s="2" t="str">
        <f>HYPERLINK("http://exon.niaid.nih.gov/transcriptome/Anopheles_sialome/links/KOG/anofar_SG6-KOG.txt","Ankyrin repeat and DHHC-type Zn-finger domain containing proteins")</f>
        <v>Ankyrin repeat and DHHC-type Zn-finger domain containing proteins</v>
      </c>
      <c r="BB849" t="str">
        <f>HYPERLINK("http://www.ncbi.nlm.nih.gov/Structure/cdd/cddsrv.cgi?uid=KOG0509","0.88")</f>
        <v>0.88</v>
      </c>
      <c r="BC849" t="s">
        <v>2310</v>
      </c>
      <c r="BD849" t="str">
        <f>HYPERLINK("http://exon.niaid.nih.gov/transcriptome/Anopheles_sialome/links/KOG/anofar_SG6-KOG.txt","KOG0509")</f>
        <v>KOG0509</v>
      </c>
      <c r="BE849" t="str">
        <f>HYPERLINK("http://exon.niaid.nih.gov/transcriptome/Anopheles_sialome/links/PFAM/anofar_SG6-PFAM.txt","DUF3373")</f>
        <v>DUF3373</v>
      </c>
      <c r="BF849" t="str">
        <f>HYPERLINK("http://pfam.sanger.ac.uk/family?acc=PF11853","1.0")</f>
        <v>1.0</v>
      </c>
      <c r="BG849" s="2" t="str">
        <f>HYPERLINK("http://exon.niaid.nih.gov/transcriptome/Anopheles_sialome/links/SMART/anofar_SG6-SMART.txt","EAL")</f>
        <v>EAL</v>
      </c>
      <c r="BH849" t="str">
        <f>HYPERLINK("http://smart.embl-heidelberg.de/smart/do_annotation.pl?DOMAIN=EAL&amp;BLAST=DUMMY","4.4")</f>
        <v>4.4</v>
      </c>
      <c r="BI849" t="s">
        <v>128</v>
      </c>
      <c r="BJ849" s="2" t="s">
        <v>128</v>
      </c>
      <c r="BK849" t="s">
        <v>2072</v>
      </c>
      <c r="BL849">
        <f>HYPERLINK("http://exon.niaid.nih.gov/transcriptome/Anopheles_sialome/links/cluster-b/anopheline-sialome-cds-pep-larger-orf25-50SimCLU1.txt", 1)</f>
        <v>1</v>
      </c>
      <c r="BM849">
        <f>HYPERLINK("http://exon.niaid.nih.gov/transcriptome/Anopheles_sialome/links/cluster-b/anopheline-sialome-cds-pep-larger-orf25-50SimCLTL1.txt", 165)</f>
        <v>165</v>
      </c>
      <c r="BN849">
        <f>HYPERLINK("http://exon.niaid.nih.gov/transcriptome/Anopheles_sialome/links/cluster-b/anopheline-sialome-cds-pep-larger-orf30-50SimCLU1.txt", 1)</f>
        <v>1</v>
      </c>
      <c r="BO849">
        <f>HYPERLINK("http://exon.niaid.nih.gov/transcriptome/Anopheles_sialome/links/cluster-b/anopheline-sialome-cds-pep-larger-orf30-50SimCLTL1.txt", 165)</f>
        <v>165</v>
      </c>
      <c r="BP849">
        <f>HYPERLINK("http://exon.niaid.nih.gov/transcriptome/Anopheles_sialome/links/cluster-b/anopheline-sialome-cds-pep-larger-orf35-50SimCLU5.txt", 5)</f>
        <v>5</v>
      </c>
      <c r="BQ849">
        <f>HYPERLINK("http://exon.niaid.nih.gov/transcriptome/Anopheles_sialome/links/cluster-b/anopheline-sialome-cds-pep-larger-orf35-50SimCLTL5.txt", 61)</f>
        <v>61</v>
      </c>
      <c r="BR849">
        <f>HYPERLINK("http://exon.niaid.nih.gov/transcriptome/Anopheles_sialome/links/cluster-b/anopheline-sialome-cds-pep-larger-orf40-50SimCLU23.txt", 23)</f>
        <v>23</v>
      </c>
      <c r="BS849">
        <f>HYPERLINK("http://exon.niaid.nih.gov/transcriptome/Anopheles_sialome/links/cluster-b/anopheline-sialome-cds-pep-larger-orf40-50SimCLTL23.txt", 17)</f>
        <v>17</v>
      </c>
      <c r="BT849">
        <f>HYPERLINK("http://exon.niaid.nih.gov/transcriptome/Anopheles_sialome/links/cluster-b/anopheline-sialome-cds-pep-larger-orf45-50SimCLU27.txt", 27)</f>
        <v>27</v>
      </c>
      <c r="BU849">
        <f>HYPERLINK("http://exon.niaid.nih.gov/transcriptome/Anopheles_sialome/links/cluster-b/anopheline-sialome-cds-pep-larger-orf45-50SimCLTL27.txt", 17)</f>
        <v>17</v>
      </c>
      <c r="BV849">
        <f>HYPERLINK("http://exon.niaid.nih.gov/transcriptome/Anopheles_sialome/links/cluster-b/anopheline-sialome-cds-pep-larger-orf50-50SimCLU28.txt", 28)</f>
        <v>28</v>
      </c>
      <c r="BW849">
        <f>HYPERLINK("http://exon.niaid.nih.gov/transcriptome/Anopheles_sialome/links/cluster-b/anopheline-sialome-cds-pep-larger-orf50-50SimCLTL28.txt", 17)</f>
        <v>17</v>
      </c>
      <c r="BX849">
        <f>HYPERLINK("http://exon.niaid.nih.gov/transcriptome/Anopheles_sialome/links/cluster-b/anopheline-sialome-cds-pep-larger-orf55-50SimCLU27.txt", 27)</f>
        <v>27</v>
      </c>
      <c r="BY849">
        <f>HYPERLINK("http://exon.niaid.nih.gov/transcriptome/Anopheles_sialome/links/cluster-b/anopheline-sialome-cds-pep-larger-orf55-50SimCLTL27.txt", 17)</f>
        <v>17</v>
      </c>
      <c r="BZ849">
        <f>HYPERLINK("http://exon.niaid.nih.gov/transcriptome/Anopheles_sialome/links/cluster-b/anopheline-sialome-cds-pep-larger-orf60-50SimCLU23.txt", 23)</f>
        <v>23</v>
      </c>
      <c r="CA849">
        <f>HYPERLINK("http://exon.niaid.nih.gov/transcriptome/Anopheles_sialome/links/cluster-b/anopheline-sialome-cds-pep-larger-orf60-50SimCLTL23.txt", 17)</f>
        <v>17</v>
      </c>
      <c r="CB849">
        <f>HYPERLINK("http://exon.niaid.nih.gov/transcriptome/Anopheles_sialome/links/cluster-b/anopheline-sialome-cds-pep-larger-orf65-50SimCLU20.txt", 20)</f>
        <v>20</v>
      </c>
      <c r="CC849">
        <f>HYPERLINK("http://exon.niaid.nih.gov/transcriptome/Anopheles_sialome/links/cluster-b/anopheline-sialome-cds-pep-larger-orf65-50SimCLTL20.txt", 17)</f>
        <v>17</v>
      </c>
      <c r="CD849">
        <v>116</v>
      </c>
      <c r="CE849">
        <v>1</v>
      </c>
      <c r="CF849">
        <v>166</v>
      </c>
      <c r="CG849">
        <v>1</v>
      </c>
      <c r="CH849">
        <v>237</v>
      </c>
      <c r="CI849">
        <v>1</v>
      </c>
      <c r="CJ849">
        <v>319</v>
      </c>
      <c r="CK849">
        <v>1</v>
      </c>
      <c r="CL849">
        <v>413</v>
      </c>
      <c r="CM849">
        <v>1</v>
      </c>
      <c r="CN849">
        <v>510</v>
      </c>
      <c r="CO849">
        <v>1</v>
      </c>
    </row>
    <row r="850" spans="1:93">
      <c r="A850" s="2" t="str">
        <f>HYPERLINK("http://exon.niaid.nih.gov/transcriptome/Anopheles_sialome/links/cds/anodir_SG6-cds.txt","anodir_SG6")</f>
        <v>anodir_SG6</v>
      </c>
      <c r="B850">
        <v>324</v>
      </c>
      <c r="C850" t="s">
        <v>563</v>
      </c>
      <c r="D850" t="s">
        <v>4</v>
      </c>
      <c r="E850" t="s">
        <v>5</v>
      </c>
      <c r="F850" t="s">
        <v>1</v>
      </c>
      <c r="G850" t="str">
        <f>HYPERLINK("http://exon.niaid.nih.gov/transcriptome/Anopheles_sialome/links/pep/anodir_SG6-pep.txt","anodir_SG6")</f>
        <v>anodir_SG6</v>
      </c>
      <c r="H850">
        <v>107</v>
      </c>
      <c r="I850">
        <v>0</v>
      </c>
      <c r="J850" s="3" t="str">
        <f>HYPERLINK("http://exon.niaid.nih.gov/transcriptome/Anopheles_sialome/links/Sigp/anodir_SG6-SigP.txt","SIG")</f>
        <v>SIG</v>
      </c>
      <c r="K850" t="s">
        <v>708</v>
      </c>
      <c r="L850">
        <v>12.122999999999999</v>
      </c>
      <c r="M850">
        <v>8.2799999999999994</v>
      </c>
      <c r="N850">
        <v>9.7439999999999998</v>
      </c>
      <c r="O850">
        <v>7.64</v>
      </c>
      <c r="P850" t="s">
        <v>2075</v>
      </c>
      <c r="Q850" s="3" t="str">
        <f>HYPERLINK("http://exon.niaid.nih.gov/transcriptome/Anopheles_sialome/links/tmhmm/anodir_SG6-tmhmm.txt","1")</f>
        <v>1</v>
      </c>
      <c r="R850">
        <v>20.6</v>
      </c>
      <c r="S850">
        <v>74.8</v>
      </c>
      <c r="T850">
        <v>4.7</v>
      </c>
      <c r="U850" t="s">
        <v>128</v>
      </c>
      <c r="V850">
        <v>80</v>
      </c>
      <c r="W850" s="3" t="str">
        <f>HYPERLINK("http://exon.niaid.nih.gov/transcriptome/Anopheles_sialome/links/netoglyc/anodir_SG6-netoglyc.txt","0")</f>
        <v>0</v>
      </c>
      <c r="X850">
        <v>11.2</v>
      </c>
      <c r="Y850">
        <v>5.6</v>
      </c>
      <c r="Z850">
        <v>4.7</v>
      </c>
      <c r="AA850" t="s">
        <v>654</v>
      </c>
      <c r="AB850" t="s">
        <v>128</v>
      </c>
      <c r="AC850" s="2" t="str">
        <f>HYPERLINK("http://exon.niaid.nih.gov/transcriptome/Anopheles_sialome/links/DIPTERA/anodir_SG6-DIPTERA.txt","gsg6 salivary peptide")</f>
        <v>gsg6 salivary peptide</v>
      </c>
      <c r="AD850" t="str">
        <f>HYPERLINK("http://www.ncbi.nlm.nih.gov/sutils/blink.cgi?pid=114864550","2E-034")</f>
        <v>2E-034</v>
      </c>
      <c r="AE850" t="str">
        <f>HYPERLINK("http://www.ncbi.nlm.nih.gov/protein/114864550","gi|114864550")</f>
        <v>gi|114864550</v>
      </c>
      <c r="AF850">
        <v>55</v>
      </c>
      <c r="AG850">
        <v>73</v>
      </c>
      <c r="AH850">
        <v>98</v>
      </c>
      <c r="AI850" t="s">
        <v>2266</v>
      </c>
      <c r="AJ850" s="2" t="str">
        <f>HYPERLINK("http://exon.niaid.nih.gov/transcriptome/Anopheles_sialome/links/CULICOMORPHA/anodir_SG6-CULICOMORPHA.txt","gsg6 salivary peptide")</f>
        <v>gsg6 salivary peptide</v>
      </c>
      <c r="AK850" t="str">
        <f>HYPERLINK("http://www.ncbi.nlm.nih.gov/sutils/blink.cgi?pid=114864550","4E-035")</f>
        <v>4E-035</v>
      </c>
      <c r="AL850" t="str">
        <f>HYPERLINK("http://www.ncbi.nlm.nih.gov/protein/114864550","gi|114864550")</f>
        <v>gi|114864550</v>
      </c>
      <c r="AM850">
        <v>55</v>
      </c>
      <c r="AN850">
        <v>73</v>
      </c>
      <c r="AO850">
        <v>98</v>
      </c>
      <c r="AP850" t="s">
        <v>2266</v>
      </c>
      <c r="AQ850" s="2" t="str">
        <f>HYPERLINK("http://exon.niaid.nih.gov/transcriptome/Anopheles_sialome/links/NR-LIGHT/anodir_SG6-NR-LIGHT.txt","gsg6 salivary peptide")</f>
        <v>gsg6 salivary peptide</v>
      </c>
      <c r="AR850" t="str">
        <f>HYPERLINK("http://www.ncbi.nlm.nih.gov/sutils/blink.cgi?pid=114864550","6E-034")</f>
        <v>6E-034</v>
      </c>
      <c r="AS850" t="str">
        <f>HYPERLINK("http://www.ncbi.nlm.nih.gov/protein/114864550","gi|114864550")</f>
        <v>gi|114864550</v>
      </c>
      <c r="AT850">
        <v>55</v>
      </c>
      <c r="AU850">
        <v>73</v>
      </c>
      <c r="AV850">
        <v>98</v>
      </c>
      <c r="AW850" t="s">
        <v>2266</v>
      </c>
      <c r="AX850" s="2" t="str">
        <f>HYPERLINK("http://exon.niaid.nih.gov/transcriptome/Anopheles_sialome/links/CDD/anodir_SG6-CDD.txt","MnhF")</f>
        <v>MnhF</v>
      </c>
      <c r="AY850" t="str">
        <f>HYPERLINK("http://www.ncbi.nlm.nih.gov/Structure/cdd/cddsrv.cgi?uid=COG2212&amp;version=v4.0","0.14")</f>
        <v>0.14</v>
      </c>
      <c r="AZ850" t="s">
        <v>3053</v>
      </c>
      <c r="BA850" s="2" t="str">
        <f>HYPERLINK("http://exon.niaid.nih.gov/transcriptome/Anopheles_sialome/links/KOG/anodir_SG6-KOG.txt","Dihydrolipoamide transacylase (alpha-keto acid dehydrogenase E2 subunit)")</f>
        <v>Dihydrolipoamide transacylase (alpha-keto acid dehydrogenase E2 subunit)</v>
      </c>
      <c r="BB850" t="str">
        <f>HYPERLINK("http://www.ncbi.nlm.nih.gov/Structure/cdd/cddsrv.cgi?uid=KOG0558","0.72")</f>
        <v>0.72</v>
      </c>
      <c r="BC850" t="s">
        <v>2516</v>
      </c>
      <c r="BD850" t="str">
        <f>HYPERLINK("http://exon.niaid.nih.gov/transcriptome/Anopheles_sialome/links/KOG/anodir_SG6-KOG.txt","KOG0558")</f>
        <v>KOG0558</v>
      </c>
      <c r="BE850" t="str">
        <f>HYPERLINK("http://exon.niaid.nih.gov/transcriptome/Anopheles_sialome/links/PFAM/anodir_SG6-PFAM.txt","NQR2_RnfD_RnfE")</f>
        <v>NQR2_RnfD_RnfE</v>
      </c>
      <c r="BF850" t="str">
        <f>HYPERLINK("http://pfam.sanger.ac.uk/family?acc=PF03116","0.26")</f>
        <v>0.26</v>
      </c>
      <c r="BG850" s="2" t="str">
        <f>HYPERLINK("http://exon.niaid.nih.gov/transcriptome/Anopheles_sialome/links/SMART/anodir_SG6-SMART.txt","CAT")</f>
        <v>CAT</v>
      </c>
      <c r="BH850" t="str">
        <f>HYPERLINK("http://smart.embl-heidelberg.de/smart/do_annotation.pl?DOMAIN=CAT&amp;BLAST=DUMMY","1.9")</f>
        <v>1.9</v>
      </c>
      <c r="BI850" t="s">
        <v>128</v>
      </c>
      <c r="BJ850" s="2" t="s">
        <v>128</v>
      </c>
      <c r="BK850" t="s">
        <v>2074</v>
      </c>
      <c r="BL850">
        <f>HYPERLINK("http://exon.niaid.nih.gov/transcriptome/Anopheles_sialome/links/cluster-b/anopheline-sialome-cds-pep-larger-orf25-50SimCLU1.txt", 1)</f>
        <v>1</v>
      </c>
      <c r="BM850">
        <f>HYPERLINK("http://exon.niaid.nih.gov/transcriptome/Anopheles_sialome/links/cluster-b/anopheline-sialome-cds-pep-larger-orf25-50SimCLTL1.txt", 165)</f>
        <v>165</v>
      </c>
      <c r="BN850">
        <f>HYPERLINK("http://exon.niaid.nih.gov/transcriptome/Anopheles_sialome/links/cluster-b/anopheline-sialome-cds-pep-larger-orf30-50SimCLU1.txt", 1)</f>
        <v>1</v>
      </c>
      <c r="BO850">
        <f>HYPERLINK("http://exon.niaid.nih.gov/transcriptome/Anopheles_sialome/links/cluster-b/anopheline-sialome-cds-pep-larger-orf30-50SimCLTL1.txt", 165)</f>
        <v>165</v>
      </c>
      <c r="BP850">
        <f>HYPERLINK("http://exon.niaid.nih.gov/transcriptome/Anopheles_sialome/links/cluster-b/anopheline-sialome-cds-pep-larger-orf35-50SimCLU5.txt", 5)</f>
        <v>5</v>
      </c>
      <c r="BQ850">
        <f>HYPERLINK("http://exon.niaid.nih.gov/transcriptome/Anopheles_sialome/links/cluster-b/anopheline-sialome-cds-pep-larger-orf35-50SimCLTL5.txt", 61)</f>
        <v>61</v>
      </c>
      <c r="BR850">
        <f>HYPERLINK("http://exon.niaid.nih.gov/transcriptome/Anopheles_sialome/links/cluster-b/anopheline-sialome-cds-pep-larger-orf40-50SimCLU23.txt", 23)</f>
        <v>23</v>
      </c>
      <c r="BS850">
        <f>HYPERLINK("http://exon.niaid.nih.gov/transcriptome/Anopheles_sialome/links/cluster-b/anopheline-sialome-cds-pep-larger-orf40-50SimCLTL23.txt", 17)</f>
        <v>17</v>
      </c>
      <c r="BT850">
        <f>HYPERLINK("http://exon.niaid.nih.gov/transcriptome/Anopheles_sialome/links/cluster-b/anopheline-sialome-cds-pep-larger-orf45-50SimCLU27.txt", 27)</f>
        <v>27</v>
      </c>
      <c r="BU850">
        <f>HYPERLINK("http://exon.niaid.nih.gov/transcriptome/Anopheles_sialome/links/cluster-b/anopheline-sialome-cds-pep-larger-orf45-50SimCLTL27.txt", 17)</f>
        <v>17</v>
      </c>
      <c r="BV850">
        <f>HYPERLINK("http://exon.niaid.nih.gov/transcriptome/Anopheles_sialome/links/cluster-b/anopheline-sialome-cds-pep-larger-orf50-50SimCLU28.txt", 28)</f>
        <v>28</v>
      </c>
      <c r="BW850">
        <f>HYPERLINK("http://exon.niaid.nih.gov/transcriptome/Anopheles_sialome/links/cluster-b/anopheline-sialome-cds-pep-larger-orf50-50SimCLTL28.txt", 17)</f>
        <v>17</v>
      </c>
      <c r="BX850">
        <f>HYPERLINK("http://exon.niaid.nih.gov/transcriptome/Anopheles_sialome/links/cluster-b/anopheline-sialome-cds-pep-larger-orf55-50SimCLU27.txt", 27)</f>
        <v>27</v>
      </c>
      <c r="BY850">
        <f>HYPERLINK("http://exon.niaid.nih.gov/transcriptome/Anopheles_sialome/links/cluster-b/anopheline-sialome-cds-pep-larger-orf55-50SimCLTL27.txt", 17)</f>
        <v>17</v>
      </c>
      <c r="BZ850">
        <f>HYPERLINK("http://exon.niaid.nih.gov/transcriptome/Anopheles_sialome/links/cluster-b/anopheline-sialome-cds-pep-larger-orf60-50SimCLU23.txt", 23)</f>
        <v>23</v>
      </c>
      <c r="CA850">
        <f>HYPERLINK("http://exon.niaid.nih.gov/transcriptome/Anopheles_sialome/links/cluster-b/anopheline-sialome-cds-pep-larger-orf60-50SimCLTL23.txt", 17)</f>
        <v>17</v>
      </c>
      <c r="CB850">
        <f>HYPERLINK("http://exon.niaid.nih.gov/transcriptome/Anopheles_sialome/links/cluster-b/anopheline-sialome-cds-pep-larger-orf65-50SimCLU20.txt", 20)</f>
        <v>20</v>
      </c>
      <c r="CC850">
        <f>HYPERLINK("http://exon.niaid.nih.gov/transcriptome/Anopheles_sialome/links/cluster-b/anopheline-sialome-cds-pep-larger-orf65-50SimCLTL20.txt", 17)</f>
        <v>17</v>
      </c>
      <c r="CD850">
        <f>HYPERLINK("http://exon.niaid.nih.gov/transcriptome/Anopheles_sialome/links/cluster-b/anopheline-sialome-cds-pep-larger-orf70-50SimCLU22.txt", 22)</f>
        <v>22</v>
      </c>
      <c r="CE850">
        <f>HYPERLINK("http://exon.niaid.nih.gov/transcriptome/Anopheles_sialome/links/cluster-b/anopheline-sialome-cds-pep-larger-orf70-50SimCLTL22.txt", 16)</f>
        <v>16</v>
      </c>
      <c r="CF850">
        <f>HYPERLINK("http://exon.niaid.nih.gov/transcriptome/Anopheles_sialome/links/cluster-b/anopheline-sialome-cds-pep-larger-orf75-50SimCLU18.txt", 18)</f>
        <v>18</v>
      </c>
      <c r="CG850">
        <f>HYPERLINK("http://exon.niaid.nih.gov/transcriptome/Anopheles_sialome/links/cluster-b/anopheline-sialome-cds-pep-larger-orf75-50SimCLTL18.txt", 16)</f>
        <v>16</v>
      </c>
      <c r="CH850">
        <v>238</v>
      </c>
      <c r="CI850">
        <v>1</v>
      </c>
      <c r="CJ850">
        <v>320</v>
      </c>
      <c r="CK850">
        <v>1</v>
      </c>
      <c r="CL850">
        <v>414</v>
      </c>
      <c r="CM850">
        <v>1</v>
      </c>
      <c r="CN850">
        <v>511</v>
      </c>
      <c r="CO850">
        <v>1</v>
      </c>
    </row>
    <row r="851" spans="1:93">
      <c r="A851" s="2" t="str">
        <f>HYPERLINK("http://exon.niaid.nih.gov/transcriptome/Anopheles_sialome/links/cds/anoatro_SG6-cds.txt","anoatro_SG6")</f>
        <v>anoatro_SG6</v>
      </c>
      <c r="B851">
        <v>345</v>
      </c>
      <c r="C851" t="s">
        <v>564</v>
      </c>
      <c r="D851" t="s">
        <v>7</v>
      </c>
      <c r="E851" t="s">
        <v>5</v>
      </c>
      <c r="F851" t="s">
        <v>1</v>
      </c>
      <c r="G851" t="str">
        <f>HYPERLINK("http://exon.niaid.nih.gov/transcriptome/Anopheles_sialome/links/pep/anoatro_SG6-pep.txt","anoatro_SG6")</f>
        <v>anoatro_SG6</v>
      </c>
      <c r="H851">
        <v>114</v>
      </c>
      <c r="I851">
        <v>0</v>
      </c>
      <c r="J851" s="3" t="str">
        <f>HYPERLINK("http://exon.niaid.nih.gov/transcriptome/Anopheles_sialome/links/Sigp/anoatro_SG6-SigP.txt","SIG")</f>
        <v>SIG</v>
      </c>
      <c r="K851" t="s">
        <v>787</v>
      </c>
      <c r="L851">
        <v>13.055</v>
      </c>
      <c r="M851">
        <v>8</v>
      </c>
      <c r="N851">
        <v>10.343999999999999</v>
      </c>
      <c r="O851">
        <v>7.02</v>
      </c>
      <c r="P851" t="s">
        <v>2077</v>
      </c>
      <c r="Q851" s="3">
        <v>0</v>
      </c>
      <c r="R851" t="s">
        <v>128</v>
      </c>
      <c r="S851" t="s">
        <v>128</v>
      </c>
      <c r="T851" t="s">
        <v>128</v>
      </c>
      <c r="U851" t="s">
        <v>128</v>
      </c>
      <c r="V851" t="s">
        <v>128</v>
      </c>
      <c r="W851" s="3" t="str">
        <f>HYPERLINK("http://exon.niaid.nih.gov/transcriptome/Anopheles_sialome/links/netoglyc/anoatro_SG6-netoglyc.txt","0")</f>
        <v>0</v>
      </c>
      <c r="X851">
        <v>13.2</v>
      </c>
      <c r="Y851">
        <v>4.4000000000000004</v>
      </c>
      <c r="Z851">
        <v>2.6</v>
      </c>
      <c r="AA851" t="s">
        <v>654</v>
      </c>
      <c r="AB851" t="s">
        <v>128</v>
      </c>
      <c r="AC851" s="2" t="str">
        <f>HYPERLINK("http://exon.niaid.nih.gov/transcriptome/Anopheles_sialome/links/DIPTERA/anoatro_SG6-DIPTERA.txt","gSG6 salivary protein")</f>
        <v>gSG6 salivary protein</v>
      </c>
      <c r="AD851" t="str">
        <f>HYPERLINK("http://www.ncbi.nlm.nih.gov/sutils/blink.cgi?pid=229418592","7E-054")</f>
        <v>7E-054</v>
      </c>
      <c r="AE851" t="str">
        <f>HYPERLINK("http://www.ncbi.nlm.nih.gov/protein/229418592","gi|229418592")</f>
        <v>gi|229418592</v>
      </c>
      <c r="AF851">
        <v>84</v>
      </c>
      <c r="AG851">
        <v>91</v>
      </c>
      <c r="AH851">
        <v>100</v>
      </c>
      <c r="AI851" t="s">
        <v>3054</v>
      </c>
      <c r="AJ851" s="2" t="str">
        <f>HYPERLINK("http://exon.niaid.nih.gov/transcriptome/Anopheles_sialome/links/CULICOMORPHA/anoatro_SG6-CULICOMORPHA.txt","gSG6 salivary protein")</f>
        <v>gSG6 salivary protein</v>
      </c>
      <c r="AK851" t="str">
        <f>HYPERLINK("http://www.ncbi.nlm.nih.gov/sutils/blink.cgi?pid=229418592","1E-054")</f>
        <v>1E-054</v>
      </c>
      <c r="AL851" t="str">
        <f>HYPERLINK("http://www.ncbi.nlm.nih.gov/protein/229418592","gi|229418592")</f>
        <v>gi|229418592</v>
      </c>
      <c r="AM851">
        <v>84</v>
      </c>
      <c r="AN851">
        <v>91</v>
      </c>
      <c r="AO851">
        <v>100</v>
      </c>
      <c r="AP851" t="s">
        <v>3054</v>
      </c>
      <c r="AQ851" s="2" t="str">
        <f>HYPERLINK("http://exon.niaid.nih.gov/transcriptome/Anopheles_sialome/links/NR-LIGHT/anoatro_SG6-NR-LIGHT.txt","gSG6 salivary gland protein precursor")</f>
        <v>gSG6 salivary gland protein precursor</v>
      </c>
      <c r="AR851" t="str">
        <f>HYPERLINK("http://www.ncbi.nlm.nih.gov/sutils/blink.cgi?pid=668461469","3E-045")</f>
        <v>3E-045</v>
      </c>
      <c r="AS851" t="str">
        <f>HYPERLINK("http://www.ncbi.nlm.nih.gov/protein/668461469","gi|668461469")</f>
        <v>gi|668461469</v>
      </c>
      <c r="AT851">
        <v>78</v>
      </c>
      <c r="AU851">
        <v>87</v>
      </c>
      <c r="AV851">
        <v>97</v>
      </c>
      <c r="AW851" t="s">
        <v>2277</v>
      </c>
      <c r="AX851" s="2" t="str">
        <f>HYPERLINK("http://exon.niaid.nih.gov/transcriptome/Anopheles_sialome/links/CDD/anoatro_SG6-CDD.txt","ycf2")</f>
        <v>ycf2</v>
      </c>
      <c r="AY851" t="str">
        <f>HYPERLINK("http://www.ncbi.nlm.nih.gov/Structure/cdd/cddsrv.cgi?uid=CHL00206&amp;version=v4.0","0.89")</f>
        <v>0.89</v>
      </c>
      <c r="AZ851" t="s">
        <v>3055</v>
      </c>
      <c r="BA851" s="2" t="str">
        <f>HYPERLINK("http://exon.niaid.nih.gov/transcriptome/Anopheles_sialome/links/KOG/anoatro_SG6-KOG.txt","Smad anchor for receptor activation")</f>
        <v>Smad anchor for receptor activation</v>
      </c>
      <c r="BB851" t="str">
        <f>HYPERLINK("http://www.ncbi.nlm.nih.gov/Structure/cdd/cddsrv.cgi?uid=KOG1841","1.4")</f>
        <v>1.4</v>
      </c>
      <c r="BC851" t="s">
        <v>2514</v>
      </c>
      <c r="BD851" t="str">
        <f>HYPERLINK("http://exon.niaid.nih.gov/transcriptome/Anopheles_sialome/links/KOG/anoatro_SG6-KOG.txt","KOG1841")</f>
        <v>KOG1841</v>
      </c>
      <c r="BE851" t="str">
        <f>HYPERLINK("http://exon.niaid.nih.gov/transcriptome/Anopheles_sialome/links/PFAM/anoatro_SG6-PFAM.txt","YhhN")</f>
        <v>YhhN</v>
      </c>
      <c r="BF851" t="str">
        <f>HYPERLINK("http://pfam.sanger.ac.uk/family?acc=PF07947","2.3")</f>
        <v>2.3</v>
      </c>
      <c r="BG851" s="2" t="str">
        <f>HYPERLINK("http://exon.niaid.nih.gov/transcriptome/Anopheles_sialome/links/SMART/anoatro_SG6-SMART.txt","PGRP")</f>
        <v>PGRP</v>
      </c>
      <c r="BH851" t="str">
        <f>HYPERLINK("http://smart.embl-heidelberg.de/smart/do_annotation.pl?DOMAIN=PGRP&amp;BLAST=DUMMY","2.0")</f>
        <v>2.0</v>
      </c>
      <c r="BI851" t="s">
        <v>128</v>
      </c>
      <c r="BJ851" s="2" t="s">
        <v>128</v>
      </c>
      <c r="BK851" t="s">
        <v>2076</v>
      </c>
      <c r="BL851">
        <f>HYPERLINK("http://exon.niaid.nih.gov/transcriptome/Anopheles_sialome/links/cluster-b/anopheline-sialome-cds-pep-larger-orf25-50SimCLU1.txt", 1)</f>
        <v>1</v>
      </c>
      <c r="BM851">
        <f>HYPERLINK("http://exon.niaid.nih.gov/transcriptome/Anopheles_sialome/links/cluster-b/anopheline-sialome-cds-pep-larger-orf25-50SimCLTL1.txt", 165)</f>
        <v>165</v>
      </c>
      <c r="BN851">
        <f>HYPERLINK("http://exon.niaid.nih.gov/transcriptome/Anopheles_sialome/links/cluster-b/anopheline-sialome-cds-pep-larger-orf30-50SimCLU1.txt", 1)</f>
        <v>1</v>
      </c>
      <c r="BO851">
        <f>HYPERLINK("http://exon.niaid.nih.gov/transcriptome/Anopheles_sialome/links/cluster-b/anopheline-sialome-cds-pep-larger-orf30-50SimCLTL1.txt", 165)</f>
        <v>165</v>
      </c>
      <c r="BP851">
        <f>HYPERLINK("http://exon.niaid.nih.gov/transcriptome/Anopheles_sialome/links/cluster-b/anopheline-sialome-cds-pep-larger-orf35-50SimCLU5.txt", 5)</f>
        <v>5</v>
      </c>
      <c r="BQ851">
        <f>HYPERLINK("http://exon.niaid.nih.gov/transcriptome/Anopheles_sialome/links/cluster-b/anopheline-sialome-cds-pep-larger-orf35-50SimCLTL5.txt", 61)</f>
        <v>61</v>
      </c>
      <c r="BR851">
        <f>HYPERLINK("http://exon.niaid.nih.gov/transcriptome/Anopheles_sialome/links/cluster-b/anopheline-sialome-cds-pep-larger-orf40-50SimCLU23.txt", 23)</f>
        <v>23</v>
      </c>
      <c r="BS851">
        <f>HYPERLINK("http://exon.niaid.nih.gov/transcriptome/Anopheles_sialome/links/cluster-b/anopheline-sialome-cds-pep-larger-orf40-50SimCLTL23.txt", 17)</f>
        <v>17</v>
      </c>
      <c r="BT851">
        <f>HYPERLINK("http://exon.niaid.nih.gov/transcriptome/Anopheles_sialome/links/cluster-b/anopheline-sialome-cds-pep-larger-orf45-50SimCLU27.txt", 27)</f>
        <v>27</v>
      </c>
      <c r="BU851">
        <f>HYPERLINK("http://exon.niaid.nih.gov/transcriptome/Anopheles_sialome/links/cluster-b/anopheline-sialome-cds-pep-larger-orf45-50SimCLTL27.txt", 17)</f>
        <v>17</v>
      </c>
      <c r="BV851">
        <f>HYPERLINK("http://exon.niaid.nih.gov/transcriptome/Anopheles_sialome/links/cluster-b/anopheline-sialome-cds-pep-larger-orf50-50SimCLU28.txt", 28)</f>
        <v>28</v>
      </c>
      <c r="BW851">
        <f>HYPERLINK("http://exon.niaid.nih.gov/transcriptome/Anopheles_sialome/links/cluster-b/anopheline-sialome-cds-pep-larger-orf50-50SimCLTL28.txt", 17)</f>
        <v>17</v>
      </c>
      <c r="BX851">
        <f>HYPERLINK("http://exon.niaid.nih.gov/transcriptome/Anopheles_sialome/links/cluster-b/anopheline-sialome-cds-pep-larger-orf55-50SimCLU27.txt", 27)</f>
        <v>27</v>
      </c>
      <c r="BY851">
        <f>HYPERLINK("http://exon.niaid.nih.gov/transcriptome/Anopheles_sialome/links/cluster-b/anopheline-sialome-cds-pep-larger-orf55-50SimCLTL27.txt", 17)</f>
        <v>17</v>
      </c>
      <c r="BZ851">
        <f>HYPERLINK("http://exon.niaid.nih.gov/transcriptome/Anopheles_sialome/links/cluster-b/anopheline-sialome-cds-pep-larger-orf60-50SimCLU23.txt", 23)</f>
        <v>23</v>
      </c>
      <c r="CA851">
        <f>HYPERLINK("http://exon.niaid.nih.gov/transcriptome/Anopheles_sialome/links/cluster-b/anopheline-sialome-cds-pep-larger-orf60-50SimCLTL23.txt", 17)</f>
        <v>17</v>
      </c>
      <c r="CB851">
        <f>HYPERLINK("http://exon.niaid.nih.gov/transcriptome/Anopheles_sialome/links/cluster-b/anopheline-sialome-cds-pep-larger-orf65-50SimCLU20.txt", 20)</f>
        <v>20</v>
      </c>
      <c r="CC851">
        <f>HYPERLINK("http://exon.niaid.nih.gov/transcriptome/Anopheles_sialome/links/cluster-b/anopheline-sialome-cds-pep-larger-orf65-50SimCLTL20.txt", 17)</f>
        <v>17</v>
      </c>
      <c r="CD851">
        <f>HYPERLINK("http://exon.niaid.nih.gov/transcriptome/Anopheles_sialome/links/cluster-b/anopheline-sialome-cds-pep-larger-orf70-50SimCLU22.txt", 22)</f>
        <v>22</v>
      </c>
      <c r="CE851">
        <f>HYPERLINK("http://exon.niaid.nih.gov/transcriptome/Anopheles_sialome/links/cluster-b/anopheline-sialome-cds-pep-larger-orf70-50SimCLTL22.txt", 16)</f>
        <v>16</v>
      </c>
      <c r="CF851">
        <f>HYPERLINK("http://exon.niaid.nih.gov/transcriptome/Anopheles_sialome/links/cluster-b/anopheline-sialome-cds-pep-larger-orf75-50SimCLU18.txt", 18)</f>
        <v>18</v>
      </c>
      <c r="CG851">
        <f>HYPERLINK("http://exon.niaid.nih.gov/transcriptome/Anopheles_sialome/links/cluster-b/anopheline-sialome-cds-pep-larger-orf75-50SimCLTL18.txt", 16)</f>
        <v>16</v>
      </c>
      <c r="CH851">
        <f>HYPERLINK("http://exon.niaid.nih.gov/transcriptome/Anopheles_sialome/links/cluster-b/anopheline-sialome-cds-pep-larger-orf80-50SimCLU104.txt", 104)</f>
        <v>104</v>
      </c>
      <c r="CI851">
        <f>HYPERLINK("http://exon.niaid.nih.gov/transcriptome/Anopheles_sialome/links/cluster-b/anopheline-sialome-cds-pep-larger-orf80-50SimCLTL104.txt", 2)</f>
        <v>2</v>
      </c>
      <c r="CJ851">
        <v>321</v>
      </c>
      <c r="CK851">
        <v>1</v>
      </c>
      <c r="CL851">
        <v>415</v>
      </c>
      <c r="CM851">
        <v>1</v>
      </c>
      <c r="CN851">
        <v>512</v>
      </c>
      <c r="CO851">
        <v>1</v>
      </c>
    </row>
    <row r="852" spans="1:93">
      <c r="A852" s="2" t="str">
        <f>HYPERLINK("http://exon.niaid.nih.gov/transcriptome/Anopheles_sialome/links/cds/anosin_SG6-cds.txt","anosin_SG6")</f>
        <v>anosin_SG6</v>
      </c>
      <c r="B852">
        <v>327</v>
      </c>
      <c r="C852" t="s">
        <v>565</v>
      </c>
      <c r="D852" t="s">
        <v>7</v>
      </c>
      <c r="E852" t="s">
        <v>5</v>
      </c>
      <c r="F852" t="s">
        <v>1</v>
      </c>
      <c r="G852" t="str">
        <f>HYPERLINK("http://exon.niaid.nih.gov/transcriptome/Anopheles_sialome/links/pep/anosin_SG6-pep.txt","anosin_SG6")</f>
        <v>anosin_SG6</v>
      </c>
      <c r="H852">
        <v>108</v>
      </c>
      <c r="I852">
        <v>0</v>
      </c>
      <c r="J852" s="3" t="str">
        <f>HYPERLINK("http://exon.niaid.nih.gov/transcriptome/Anopheles_sialome/links/Sigp/anosin_SG6-SigP.txt","SIG")</f>
        <v>SIG</v>
      </c>
      <c r="K852" t="s">
        <v>652</v>
      </c>
      <c r="L852">
        <v>12.164999999999999</v>
      </c>
      <c r="M852">
        <v>6.27</v>
      </c>
      <c r="N852">
        <v>10.361000000000001</v>
      </c>
      <c r="O852">
        <v>5.89</v>
      </c>
      <c r="P852" t="s">
        <v>1121</v>
      </c>
      <c r="Q852" s="3">
        <v>0</v>
      </c>
      <c r="R852" t="s">
        <v>128</v>
      </c>
      <c r="S852" t="s">
        <v>128</v>
      </c>
      <c r="T852" t="s">
        <v>128</v>
      </c>
      <c r="U852" t="s">
        <v>128</v>
      </c>
      <c r="V852" t="s">
        <v>128</v>
      </c>
      <c r="W852" s="3" t="str">
        <f>HYPERLINK("http://exon.niaid.nih.gov/transcriptome/Anopheles_sialome/links/netoglyc/anosin_SG6-netoglyc.txt","0")</f>
        <v>0</v>
      </c>
      <c r="X852">
        <v>11.1</v>
      </c>
      <c r="Y852">
        <v>5.6</v>
      </c>
      <c r="Z852">
        <v>2.8</v>
      </c>
      <c r="AA852" t="s">
        <v>654</v>
      </c>
      <c r="AB852" t="s">
        <v>128</v>
      </c>
      <c r="AC852" s="2" t="str">
        <f>HYPERLINK("http://exon.niaid.nih.gov/transcriptome/Anopheles_sialome/links/DIPTERA/anosin_SG6-DIPTERA.txt","gSG6 salivary gland protein precursor")</f>
        <v>gSG6 salivary gland protein precursor</v>
      </c>
      <c r="AD852" t="str">
        <f>HYPERLINK("http://www.ncbi.nlm.nih.gov/sutils/blink.cgi?pid=668461469","4E-061")</f>
        <v>4E-061</v>
      </c>
      <c r="AE852" t="str">
        <f>HYPERLINK("http://www.ncbi.nlm.nih.gov/protein/668461469","gi|668461469")</f>
        <v>gi|668461469</v>
      </c>
      <c r="AF852">
        <v>100</v>
      </c>
      <c r="AG852">
        <v>100</v>
      </c>
      <c r="AH852">
        <v>100</v>
      </c>
      <c r="AI852" t="s">
        <v>2277</v>
      </c>
      <c r="AJ852" s="2" t="str">
        <f>HYPERLINK("http://exon.niaid.nih.gov/transcriptome/Anopheles_sialome/links/CULICOMORPHA/anosin_SG6-CULICOMORPHA.txt","gSG6 salivary gland protein precursor")</f>
        <v>gSG6 salivary gland protein precursor</v>
      </c>
      <c r="AK852" t="str">
        <f>HYPERLINK("http://www.ncbi.nlm.nih.gov/sutils/blink.cgi?pid=668461469","6E-062")</f>
        <v>6E-062</v>
      </c>
      <c r="AL852" t="str">
        <f>HYPERLINK("http://www.ncbi.nlm.nih.gov/protein/668461469","gi|668461469")</f>
        <v>gi|668461469</v>
      </c>
      <c r="AM852">
        <v>100</v>
      </c>
      <c r="AN852">
        <v>100</v>
      </c>
      <c r="AO852">
        <v>100</v>
      </c>
      <c r="AP852" t="s">
        <v>2277</v>
      </c>
      <c r="AQ852" s="2" t="str">
        <f>HYPERLINK("http://exon.niaid.nih.gov/transcriptome/Anopheles_sialome/links/NR-LIGHT/anosin_SG6-NR-LIGHT.txt","gSG6 salivary gland protein precursor")</f>
        <v>gSG6 salivary gland protein precursor</v>
      </c>
      <c r="AR852" t="str">
        <f>HYPERLINK("http://www.ncbi.nlm.nih.gov/sutils/blink.cgi?pid=668461469","1E-060")</f>
        <v>1E-060</v>
      </c>
      <c r="AS852" t="str">
        <f>HYPERLINK("http://www.ncbi.nlm.nih.gov/protein/668461469","gi|668461469")</f>
        <v>gi|668461469</v>
      </c>
      <c r="AT852">
        <v>100</v>
      </c>
      <c r="AU852">
        <v>100</v>
      </c>
      <c r="AV852">
        <v>100</v>
      </c>
      <c r="AW852" t="s">
        <v>2277</v>
      </c>
      <c r="AX852" s="2" t="str">
        <f>HYPERLINK("http://exon.niaid.nih.gov/transcriptome/Anopheles_sialome/links/CDD/anosin_SG6-CDD.txt","PHA03360")</f>
        <v>PHA03360</v>
      </c>
      <c r="AY852" t="str">
        <f>HYPERLINK("http://www.ncbi.nlm.nih.gov/Structure/cdd/cddsrv.cgi?uid=PHA03360&amp;version=v4.0","0.76")</f>
        <v>0.76</v>
      </c>
      <c r="AZ852" t="s">
        <v>3056</v>
      </c>
      <c r="BA852" s="2" t="str">
        <f>HYPERLINK("http://exon.niaid.nih.gov/transcriptome/Anopheles_sialome/links/KOG/anosin_SG6-KOG.txt","Nucleolar protein involved in 40S ribosome biogenesis")</f>
        <v>Nucleolar protein involved in 40S ribosome biogenesis</v>
      </c>
      <c r="BB852" t="str">
        <f>HYPERLINK("http://www.ncbi.nlm.nih.gov/Structure/cdd/cddsrv.cgi?uid=KOG2147","0.66")</f>
        <v>0.66</v>
      </c>
      <c r="BC852" t="s">
        <v>2260</v>
      </c>
      <c r="BD852" t="str">
        <f>HYPERLINK("http://exon.niaid.nih.gov/transcriptome/Anopheles_sialome/links/KOG/anosin_SG6-KOG.txt","KOG2147")</f>
        <v>KOG2147</v>
      </c>
      <c r="BE852" t="str">
        <f>HYPERLINK("http://exon.niaid.nih.gov/transcriptome/Anopheles_sialome/links/PFAM/anosin_SG6-PFAM.txt","Peptidase_S49_N")</f>
        <v>Peptidase_S49_N</v>
      </c>
      <c r="BF852" t="str">
        <f>HYPERLINK("http://pfam.sanger.ac.uk/family?acc=PF08496","1.0")</f>
        <v>1.0</v>
      </c>
      <c r="BG852" s="2" t="str">
        <f>HYPERLINK("http://exon.niaid.nih.gov/transcriptome/Anopheles_sialome/links/SMART/anosin_SG6-SMART.txt","WWE")</f>
        <v>WWE</v>
      </c>
      <c r="BH852" t="str">
        <f>HYPERLINK("http://smart.embl-heidelberg.de/smart/do_annotation.pl?DOMAIN=WWE&amp;BLAST=DUMMY","1.8")</f>
        <v>1.8</v>
      </c>
      <c r="BI852" t="s">
        <v>128</v>
      </c>
      <c r="BJ852" s="2" t="s">
        <v>128</v>
      </c>
      <c r="BK852" t="s">
        <v>2078</v>
      </c>
      <c r="BL852">
        <f>HYPERLINK("http://exon.niaid.nih.gov/transcriptome/Anopheles_sialome/links/cluster-b/anopheline-sialome-cds-pep-larger-orf25-50SimCLU1.txt", 1)</f>
        <v>1</v>
      </c>
      <c r="BM852">
        <f>HYPERLINK("http://exon.niaid.nih.gov/transcriptome/Anopheles_sialome/links/cluster-b/anopheline-sialome-cds-pep-larger-orf25-50SimCLTL1.txt", 165)</f>
        <v>165</v>
      </c>
      <c r="BN852">
        <f>HYPERLINK("http://exon.niaid.nih.gov/transcriptome/Anopheles_sialome/links/cluster-b/anopheline-sialome-cds-pep-larger-orf30-50SimCLU1.txt", 1)</f>
        <v>1</v>
      </c>
      <c r="BO852">
        <f>HYPERLINK("http://exon.niaid.nih.gov/transcriptome/Anopheles_sialome/links/cluster-b/anopheline-sialome-cds-pep-larger-orf30-50SimCLTL1.txt", 165)</f>
        <v>165</v>
      </c>
      <c r="BP852">
        <f>HYPERLINK("http://exon.niaid.nih.gov/transcriptome/Anopheles_sialome/links/cluster-b/anopheline-sialome-cds-pep-larger-orf35-50SimCLU5.txt", 5)</f>
        <v>5</v>
      </c>
      <c r="BQ852">
        <f>HYPERLINK("http://exon.niaid.nih.gov/transcriptome/Anopheles_sialome/links/cluster-b/anopheline-sialome-cds-pep-larger-orf35-50SimCLTL5.txt", 61)</f>
        <v>61</v>
      </c>
      <c r="BR852">
        <f>HYPERLINK("http://exon.niaid.nih.gov/transcriptome/Anopheles_sialome/links/cluster-b/anopheline-sialome-cds-pep-larger-orf40-50SimCLU23.txt", 23)</f>
        <v>23</v>
      </c>
      <c r="BS852">
        <f>HYPERLINK("http://exon.niaid.nih.gov/transcriptome/Anopheles_sialome/links/cluster-b/anopheline-sialome-cds-pep-larger-orf40-50SimCLTL23.txt", 17)</f>
        <v>17</v>
      </c>
      <c r="BT852">
        <f>HYPERLINK("http://exon.niaid.nih.gov/transcriptome/Anopheles_sialome/links/cluster-b/anopheline-sialome-cds-pep-larger-orf45-50SimCLU27.txt", 27)</f>
        <v>27</v>
      </c>
      <c r="BU852">
        <f>HYPERLINK("http://exon.niaid.nih.gov/transcriptome/Anopheles_sialome/links/cluster-b/anopheline-sialome-cds-pep-larger-orf45-50SimCLTL27.txt", 17)</f>
        <v>17</v>
      </c>
      <c r="BV852">
        <f>HYPERLINK("http://exon.niaid.nih.gov/transcriptome/Anopheles_sialome/links/cluster-b/anopheline-sialome-cds-pep-larger-orf50-50SimCLU28.txt", 28)</f>
        <v>28</v>
      </c>
      <c r="BW852">
        <f>HYPERLINK("http://exon.niaid.nih.gov/transcriptome/Anopheles_sialome/links/cluster-b/anopheline-sialome-cds-pep-larger-orf50-50SimCLTL28.txt", 17)</f>
        <v>17</v>
      </c>
      <c r="BX852">
        <f>HYPERLINK("http://exon.niaid.nih.gov/transcriptome/Anopheles_sialome/links/cluster-b/anopheline-sialome-cds-pep-larger-orf55-50SimCLU27.txt", 27)</f>
        <v>27</v>
      </c>
      <c r="BY852">
        <f>HYPERLINK("http://exon.niaid.nih.gov/transcriptome/Anopheles_sialome/links/cluster-b/anopheline-sialome-cds-pep-larger-orf55-50SimCLTL27.txt", 17)</f>
        <v>17</v>
      </c>
      <c r="BZ852">
        <f>HYPERLINK("http://exon.niaid.nih.gov/transcriptome/Anopheles_sialome/links/cluster-b/anopheline-sialome-cds-pep-larger-orf60-50SimCLU23.txt", 23)</f>
        <v>23</v>
      </c>
      <c r="CA852">
        <f>HYPERLINK("http://exon.niaid.nih.gov/transcriptome/Anopheles_sialome/links/cluster-b/anopheline-sialome-cds-pep-larger-orf60-50SimCLTL23.txt", 17)</f>
        <v>17</v>
      </c>
      <c r="CB852">
        <f>HYPERLINK("http://exon.niaid.nih.gov/transcriptome/Anopheles_sialome/links/cluster-b/anopheline-sialome-cds-pep-larger-orf65-50SimCLU20.txt", 20)</f>
        <v>20</v>
      </c>
      <c r="CC852">
        <f>HYPERLINK("http://exon.niaid.nih.gov/transcriptome/Anopheles_sialome/links/cluster-b/anopheline-sialome-cds-pep-larger-orf65-50SimCLTL20.txt", 17)</f>
        <v>17</v>
      </c>
      <c r="CD852">
        <f>HYPERLINK("http://exon.niaid.nih.gov/transcriptome/Anopheles_sialome/links/cluster-b/anopheline-sialome-cds-pep-larger-orf70-50SimCLU22.txt", 22)</f>
        <v>22</v>
      </c>
      <c r="CE852">
        <f>HYPERLINK("http://exon.niaid.nih.gov/transcriptome/Anopheles_sialome/links/cluster-b/anopheline-sialome-cds-pep-larger-orf70-50SimCLTL22.txt", 16)</f>
        <v>16</v>
      </c>
      <c r="CF852">
        <f>HYPERLINK("http://exon.niaid.nih.gov/transcriptome/Anopheles_sialome/links/cluster-b/anopheline-sialome-cds-pep-larger-orf75-50SimCLU18.txt", 18)</f>
        <v>18</v>
      </c>
      <c r="CG852">
        <f>HYPERLINK("http://exon.niaid.nih.gov/transcriptome/Anopheles_sialome/links/cluster-b/anopheline-sialome-cds-pep-larger-orf75-50SimCLTL18.txt", 16)</f>
        <v>16</v>
      </c>
      <c r="CH852">
        <f>HYPERLINK("http://exon.niaid.nih.gov/transcriptome/Anopheles_sialome/links/cluster-b/anopheline-sialome-cds-pep-larger-orf80-50SimCLU104.txt", 104)</f>
        <v>104</v>
      </c>
      <c r="CI852">
        <f>HYPERLINK("http://exon.niaid.nih.gov/transcriptome/Anopheles_sialome/links/cluster-b/anopheline-sialome-cds-pep-larger-orf80-50SimCLTL104.txt", 2)</f>
        <v>2</v>
      </c>
      <c r="CJ852">
        <v>322</v>
      </c>
      <c r="CK852">
        <v>1</v>
      </c>
      <c r="CL852">
        <v>416</v>
      </c>
      <c r="CM852">
        <v>1</v>
      </c>
      <c r="CN852">
        <v>513</v>
      </c>
      <c r="CO852">
        <v>1</v>
      </c>
    </row>
    <row r="853" spans="1:93">
      <c r="A853" s="15" t="s">
        <v>3185</v>
      </c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  <c r="AW853" s="13"/>
      <c r="AX853" s="13"/>
      <c r="AY853" s="13"/>
      <c r="AZ853" s="13"/>
      <c r="BA853" s="13"/>
      <c r="BB853" s="13"/>
      <c r="BC853" s="13"/>
      <c r="BD853" s="13"/>
      <c r="BE853" s="13"/>
      <c r="BF853" s="13"/>
      <c r="BG853" s="13"/>
      <c r="BH853" s="13"/>
      <c r="BI853" s="13"/>
      <c r="BJ853" s="13"/>
      <c r="BK853" s="13"/>
      <c r="BL853" s="13"/>
      <c r="BM853" s="13"/>
      <c r="BN853" s="13"/>
      <c r="BO853" s="13"/>
      <c r="BP853" s="13"/>
      <c r="BQ853" s="13"/>
      <c r="BR853" s="13"/>
      <c r="BS853" s="13"/>
      <c r="BT853" s="13"/>
      <c r="BU853" s="13"/>
      <c r="BV853" s="13"/>
      <c r="BW853" s="13"/>
      <c r="BX853" s="13"/>
      <c r="BY853" s="13"/>
      <c r="BZ853" s="13"/>
      <c r="CA853" s="13"/>
      <c r="CB853" s="13"/>
      <c r="CC853" s="13"/>
      <c r="CD853" s="13"/>
      <c r="CE853" s="13"/>
      <c r="CF853" s="13"/>
      <c r="CG853" s="13"/>
      <c r="CH853" s="13"/>
      <c r="CI853" s="13"/>
      <c r="CJ853" s="13"/>
      <c r="CK853" s="13"/>
      <c r="CL853" s="13"/>
      <c r="CM853" s="13"/>
      <c r="CN853" s="13"/>
      <c r="CO853" s="13"/>
    </row>
    <row r="854" spans="1:93">
      <c r="A854" s="6" t="s">
        <v>3186</v>
      </c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</row>
    <row r="855" spans="1:93">
      <c r="A855" s="2" t="str">
        <f>HYPERLINK("http://exon.niaid.nih.gov/transcriptome/Anopheles_sialome/links/cds/anoga_SG7-cds.txt","anoga_SG7")</f>
        <v>anoga_SG7</v>
      </c>
      <c r="B855">
        <v>438</v>
      </c>
      <c r="C855" t="s">
        <v>566</v>
      </c>
      <c r="D855" t="s">
        <v>4</v>
      </c>
      <c r="E855" t="s">
        <v>5</v>
      </c>
      <c r="F855" t="s">
        <v>1</v>
      </c>
      <c r="G855" t="str">
        <f>HYPERLINK("http://exon.niaid.nih.gov/transcriptome/Anopheles_sialome/links/pep/anoga_SG7-pep.txt","anoga_SG7")</f>
        <v>anoga_SG7</v>
      </c>
      <c r="H855">
        <v>145</v>
      </c>
      <c r="I855">
        <v>0</v>
      </c>
      <c r="J855" s="3" t="str">
        <f>HYPERLINK("http://exon.niaid.nih.gov/transcriptome/Anopheles_sialome/links/Sigp/anoga_SG7-SigP.txt","SIG")</f>
        <v>SIG</v>
      </c>
      <c r="K855" t="s">
        <v>834</v>
      </c>
      <c r="L855">
        <v>16.303000000000001</v>
      </c>
      <c r="M855">
        <v>8.58</v>
      </c>
      <c r="N855">
        <v>13.573</v>
      </c>
      <c r="O855">
        <v>8.36</v>
      </c>
      <c r="P855" t="s">
        <v>2080</v>
      </c>
      <c r="Q855" s="3">
        <v>0</v>
      </c>
      <c r="R855" t="s">
        <v>128</v>
      </c>
      <c r="S855" t="s">
        <v>128</v>
      </c>
      <c r="T855" t="s">
        <v>128</v>
      </c>
      <c r="U855" t="s">
        <v>128</v>
      </c>
      <c r="V855" t="s">
        <v>128</v>
      </c>
      <c r="W855" s="3" t="str">
        <f>HYPERLINK("http://exon.niaid.nih.gov/transcriptome/Anopheles_sialome/links/netoglyc/anoga_SG7-netoglyc.txt","0")</f>
        <v>0</v>
      </c>
      <c r="X855">
        <v>11.7</v>
      </c>
      <c r="Y855">
        <v>3.4</v>
      </c>
      <c r="Z855">
        <v>4.0999999999999996</v>
      </c>
      <c r="AA855" t="s">
        <v>654</v>
      </c>
      <c r="AB855" t="s">
        <v>128</v>
      </c>
      <c r="AC855" s="2" t="str">
        <f>HYPERLINK("http://exon.niaid.nih.gov/transcriptome/Anopheles_sialome/links/DIPTERA/anoga_SG7-DIPTERA.txt","AGAP008216-PA")</f>
        <v>AGAP008216-PA</v>
      </c>
      <c r="AD855" t="str">
        <f>HYPERLINK("http://www.ncbi.nlm.nih.gov/sutils/blink.cgi?pid=55237472","2E-079")</f>
        <v>2E-079</v>
      </c>
      <c r="AE855" t="str">
        <f>HYPERLINK("http://www.ncbi.nlm.nih.gov/protein/55237472","gi|55237472")</f>
        <v>gi|55237472</v>
      </c>
      <c r="AF855">
        <v>100</v>
      </c>
      <c r="AG855">
        <v>100</v>
      </c>
      <c r="AH855">
        <v>100</v>
      </c>
      <c r="AI855" t="s">
        <v>2285</v>
      </c>
      <c r="AJ855" s="2" t="str">
        <f>HYPERLINK("http://exon.niaid.nih.gov/transcriptome/Anopheles_sialome/links/CULICOMORPHA/anoga_SG7-CULICOMORPHA.txt","AGAP008216-PA")</f>
        <v>AGAP008216-PA</v>
      </c>
      <c r="AK855" t="str">
        <f>HYPERLINK("http://www.ncbi.nlm.nih.gov/sutils/blink.cgi?pid=55237472","4E-080")</f>
        <v>4E-080</v>
      </c>
      <c r="AL855" t="str">
        <f>HYPERLINK("http://www.ncbi.nlm.nih.gov/protein/55237472","gi|55237472")</f>
        <v>gi|55237472</v>
      </c>
      <c r="AM855">
        <v>100</v>
      </c>
      <c r="AN855">
        <v>100</v>
      </c>
      <c r="AO855">
        <v>100</v>
      </c>
      <c r="AP855" t="s">
        <v>2285</v>
      </c>
      <c r="AQ855" s="2" t="str">
        <f>HYPERLINK("http://exon.niaid.nih.gov/transcriptome/Anopheles_sialome/links/NR-LIGHT/anoga_SG7-NR-LIGHT.txt","AGAP008216-PA")</f>
        <v>AGAP008216-PA</v>
      </c>
      <c r="AR855" t="str">
        <f>HYPERLINK("http://www.ncbi.nlm.nih.gov/sutils/blink.cgi?pid=58389748","5E-079")</f>
        <v>5E-079</v>
      </c>
      <c r="AS855" t="str">
        <f>HYPERLINK("http://www.ncbi.nlm.nih.gov/protein/58389748","gi|58389748")</f>
        <v>gi|58389748</v>
      </c>
      <c r="AT855">
        <v>100</v>
      </c>
      <c r="AU855">
        <v>100</v>
      </c>
      <c r="AV855">
        <v>100</v>
      </c>
      <c r="AW855" t="s">
        <v>2285</v>
      </c>
      <c r="AX855" s="2" t="str">
        <f>HYPERLINK("http://exon.niaid.nih.gov/transcriptome/Anopheles_sialome/links/CDD/anoga_SG7-CDD.txt","PLN02889")</f>
        <v>PLN02889</v>
      </c>
      <c r="AY855" t="str">
        <f>HYPERLINK("http://www.ncbi.nlm.nih.gov/Structure/cdd/cddsrv.cgi?uid=PLN02889&amp;version=v4.0","0.73")</f>
        <v>0.73</v>
      </c>
      <c r="AZ855" t="s">
        <v>3057</v>
      </c>
      <c r="BA855" s="2" t="str">
        <f>HYPERLINK("http://exon.niaid.nih.gov/transcriptome/Anopheles_sialome/links/KOG/anoga_SG7-KOG.txt","Dyneins, heavy chain")</f>
        <v>Dyneins, heavy chain</v>
      </c>
      <c r="BB855" t="str">
        <f>HYPERLINK("http://www.ncbi.nlm.nih.gov/Structure/cdd/cddsrv.cgi?uid=KOG3595","1.6")</f>
        <v>1.6</v>
      </c>
      <c r="BC855" t="s">
        <v>2312</v>
      </c>
      <c r="BD855" t="str">
        <f>HYPERLINK("http://exon.niaid.nih.gov/transcriptome/Anopheles_sialome/links/KOG/anoga_SG7-KOG.txt","KOG3595")</f>
        <v>KOG3595</v>
      </c>
      <c r="BE855" t="str">
        <f>HYPERLINK("http://exon.niaid.nih.gov/transcriptome/Anopheles_sialome/links/PFAM/anoga_SG7-PFAM.txt","DUF4179")</f>
        <v>DUF4179</v>
      </c>
      <c r="BF855" t="str">
        <f>HYPERLINK("http://pfam.sanger.ac.uk/family?acc=PF13786","0.45")</f>
        <v>0.45</v>
      </c>
      <c r="BG855" s="2" t="str">
        <f>HYPERLINK("http://exon.niaid.nih.gov/transcriptome/Anopheles_sialome/links/SMART/anoga_SG7-SMART.txt","NUC")</f>
        <v>NUC</v>
      </c>
      <c r="BH855" t="str">
        <f>HYPERLINK("http://smart.embl-heidelberg.de/smart/do_annotation.pl?DOMAIN=NUC&amp;BLAST=DUMMY","0.83")</f>
        <v>0.83</v>
      </c>
      <c r="BI855" t="str">
        <f>HYPERLINK("http://exon.niaid.nih.gov/transcriptome/Anopheles_sialome/links/TICK-BLOCKS/anoga_SG7-TICK-BLOCKS.txt","Anopheles_gSG7 |")</f>
        <v>Anopheles_gSG7 |</v>
      </c>
      <c r="BJ855" s="2" t="s">
        <v>3058</v>
      </c>
      <c r="BK855" t="s">
        <v>2079</v>
      </c>
      <c r="BL855">
        <f>HYPERLINK("http://exon.niaid.nih.gov/transcriptome/Anopheles_sialome/links/cluster-b/anopheline-sialome-cds-pep-larger-orf25-50SimCLU2.txt", 2)</f>
        <v>2</v>
      </c>
      <c r="BM855">
        <f>HYPERLINK("http://exon.niaid.nih.gov/transcriptome/Anopheles_sialome/links/cluster-b/anopheline-sialome-cds-pep-larger-orf25-50SimCLTL2.txt", 120)</f>
        <v>120</v>
      </c>
      <c r="BN855">
        <f>HYPERLINK("http://exon.niaid.nih.gov/transcriptome/Anopheles_sialome/links/cluster-b/anopheline-sialome-cds-pep-larger-orf30-50SimCLU2.txt", 2)</f>
        <v>2</v>
      </c>
      <c r="BO855">
        <f>HYPERLINK("http://exon.niaid.nih.gov/transcriptome/Anopheles_sialome/links/cluster-b/anopheline-sialome-cds-pep-larger-orf30-50SimCLTL2.txt", 120)</f>
        <v>120</v>
      </c>
      <c r="BP855">
        <f>HYPERLINK("http://exon.niaid.nih.gov/transcriptome/Anopheles_sialome/links/cluster-b/anopheline-sialome-cds-pep-larger-orf35-50SimCLU1.txt", 1)</f>
        <v>1</v>
      </c>
      <c r="BQ855">
        <f>HYPERLINK("http://exon.niaid.nih.gov/transcriptome/Anopheles_sialome/links/cluster-b/anopheline-sialome-cds-pep-larger-orf35-50SimCLTL1.txt", 120)</f>
        <v>120</v>
      </c>
      <c r="BR855">
        <f>HYPERLINK("http://exon.niaid.nih.gov/transcriptome/Anopheles_sialome/links/cluster-b/anopheline-sialome-cds-pep-larger-orf40-50SimCLU7.txt", 7)</f>
        <v>7</v>
      </c>
      <c r="BS855">
        <f>HYPERLINK("http://exon.niaid.nih.gov/transcriptome/Anopheles_sialome/links/cluster-b/anopheline-sialome-cds-pep-larger-orf40-50SimCLTL7.txt", 37)</f>
        <v>37</v>
      </c>
      <c r="BT855">
        <f>HYPERLINK("http://exon.niaid.nih.gov/transcriptome/Anopheles_sialome/links/cluster-b/anopheline-sialome-cds-pep-larger-orf45-50SimCLU6.txt", 6)</f>
        <v>6</v>
      </c>
      <c r="BU855">
        <f>HYPERLINK("http://exon.niaid.nih.gov/transcriptome/Anopheles_sialome/links/cluster-b/anopheline-sialome-cds-pep-larger-orf45-50SimCLTL6.txt", 37)</f>
        <v>37</v>
      </c>
      <c r="BV855">
        <f>HYPERLINK("http://exon.niaid.nih.gov/transcriptome/Anopheles_sialome/links/cluster-b/anopheline-sialome-cds-pep-larger-orf50-50SimCLU6.txt", 6)</f>
        <v>6</v>
      </c>
      <c r="BW855">
        <f>HYPERLINK("http://exon.niaid.nih.gov/transcriptome/Anopheles_sialome/links/cluster-b/anopheline-sialome-cds-pep-larger-orf50-50SimCLTL6.txt", 37)</f>
        <v>37</v>
      </c>
      <c r="BX855">
        <f>HYPERLINK("http://exon.niaid.nih.gov/transcriptome/Anopheles_sialome/links/cluster-b/anopheline-sialome-cds-pep-larger-orf55-50SimCLU5.txt", 5)</f>
        <v>5</v>
      </c>
      <c r="BY855">
        <f>HYPERLINK("http://exon.niaid.nih.gov/transcriptome/Anopheles_sialome/links/cluster-b/anopheline-sialome-cds-pep-larger-orf55-50SimCLTL5.txt", 37)</f>
        <v>37</v>
      </c>
      <c r="BZ855">
        <f>HYPERLINK("http://exon.niaid.nih.gov/transcriptome/Anopheles_sialome/links/cluster-b/anopheline-sialome-cds-pep-larger-orf60-50SimCLU4.txt", 4)</f>
        <v>4</v>
      </c>
      <c r="CA855">
        <f>HYPERLINK("http://exon.niaid.nih.gov/transcriptome/Anopheles_sialome/links/cluster-b/anopheline-sialome-cds-pep-larger-orf60-50SimCLTL4.txt", 37)</f>
        <v>37</v>
      </c>
      <c r="CB855">
        <f>HYPERLINK("http://exon.niaid.nih.gov/transcriptome/Anopheles_sialome/links/cluster-b/anopheline-sialome-cds-pep-larger-orf65-50SimCLU16.txt", 16)</f>
        <v>16</v>
      </c>
      <c r="CC855">
        <f>HYPERLINK("http://exon.niaid.nih.gov/transcriptome/Anopheles_sialome/links/cluster-b/anopheline-sialome-cds-pep-larger-orf65-50SimCLTL16.txt", 18)</f>
        <v>18</v>
      </c>
      <c r="CD855">
        <f>HYPERLINK("http://exon.niaid.nih.gov/transcriptome/Anopheles_sialome/links/cluster-b/anopheline-sialome-cds-pep-larger-orf70-50SimCLU23.txt", 23)</f>
        <v>23</v>
      </c>
      <c r="CE855">
        <f>HYPERLINK("http://exon.niaid.nih.gov/transcriptome/Anopheles_sialome/links/cluster-b/anopheline-sialome-cds-pep-larger-orf70-50SimCLTL23.txt", 16)</f>
        <v>16</v>
      </c>
      <c r="CF855">
        <f>HYPERLINK("http://exon.niaid.nih.gov/transcriptome/Anopheles_sialome/links/cluster-b/anopheline-sialome-cds-pep-larger-orf75-50SimCLU24.txt", 24)</f>
        <v>24</v>
      </c>
      <c r="CG855">
        <f>HYPERLINK("http://exon.niaid.nih.gov/transcriptome/Anopheles_sialome/links/cluster-b/anopheline-sialome-cds-pep-larger-orf75-50SimCLTL24.txt", 14)</f>
        <v>14</v>
      </c>
      <c r="CH855">
        <f>HYPERLINK("http://exon.niaid.nih.gov/transcriptome/Anopheles_sialome/links/cluster-b/anopheline-sialome-cds-pep-larger-orf80-50SimCLU20.txt", 20)</f>
        <v>20</v>
      </c>
      <c r="CI855">
        <f>HYPERLINK("http://exon.niaid.nih.gov/transcriptome/Anopheles_sialome/links/cluster-b/anopheline-sialome-cds-pep-larger-orf80-50SimCLTL20.txt", 13)</f>
        <v>13</v>
      </c>
      <c r="CJ855">
        <f>HYPERLINK("http://exon.niaid.nih.gov/transcriptome/Anopheles_sialome/links/cluster-b/anopheline-sialome-cds-pep-larger-orf85-50SimCLU21.txt", 21)</f>
        <v>21</v>
      </c>
      <c r="CK855">
        <f>HYPERLINK("http://exon.niaid.nih.gov/transcriptome/Anopheles_sialome/links/cluster-b/anopheline-sialome-cds-pep-larger-orf85-50SimCLTL21.txt", 8)</f>
        <v>8</v>
      </c>
      <c r="CL855">
        <f>HYPERLINK("http://exon.niaid.nih.gov/transcriptome/Anopheles_sialome/links/cluster-b/anopheline-sialome-cds-pep-larger-orf90-50SimCLU37.txt", 37)</f>
        <v>37</v>
      </c>
      <c r="CM855">
        <f>HYPERLINK("http://exon.niaid.nih.gov/transcriptome/Anopheles_sialome/links/cluster-b/anopheline-sialome-cds-pep-larger-orf90-50SimCLTL37.txt", 6)</f>
        <v>6</v>
      </c>
      <c r="CN855">
        <f>HYPERLINK("http://exon.niaid.nih.gov/transcriptome/Anopheles_sialome/links/cluster-b/anopheline-sialome-cds-pep-larger-orf95-50SimCLU28.txt", 28)</f>
        <v>28</v>
      </c>
      <c r="CO855">
        <f>HYPERLINK("http://exon.niaid.nih.gov/transcriptome/Anopheles_sialome/links/cluster-b/anopheline-sialome-cds-pep-larger-orf95-50SimCLTL28.txt", 6)</f>
        <v>6</v>
      </c>
    </row>
    <row r="856" spans="1:93">
      <c r="A856" s="2" t="str">
        <f>HYPERLINK("http://exon.niaid.nih.gov/transcriptome/Anopheles_sialome/links/cds/anocol_SG7-cds.txt","anocol_SG7")</f>
        <v>anocol_SG7</v>
      </c>
      <c r="B856">
        <v>438</v>
      </c>
      <c r="C856" t="s">
        <v>567</v>
      </c>
      <c r="D856" t="s">
        <v>4</v>
      </c>
      <c r="E856" t="s">
        <v>5</v>
      </c>
      <c r="F856" t="s">
        <v>1</v>
      </c>
      <c r="G856" t="str">
        <f>HYPERLINK("http://exon.niaid.nih.gov/transcriptome/Anopheles_sialome/links/pep/anocol_SG7-pep.txt","anocol_SG7")</f>
        <v>anocol_SG7</v>
      </c>
      <c r="H856">
        <v>145</v>
      </c>
      <c r="I856">
        <v>0</v>
      </c>
      <c r="J856" s="3" t="str">
        <f>HYPERLINK("http://exon.niaid.nih.gov/transcriptome/Anopheles_sialome/links/Sigp/anocol_SG7-SigP.txt","SIG")</f>
        <v>SIG</v>
      </c>
      <c r="K856" t="s">
        <v>834</v>
      </c>
      <c r="L856">
        <v>16.335999999999999</v>
      </c>
      <c r="M856">
        <v>8.58</v>
      </c>
      <c r="N856">
        <v>13.574999999999999</v>
      </c>
      <c r="O856">
        <v>8.36</v>
      </c>
      <c r="P856" t="s">
        <v>2082</v>
      </c>
      <c r="Q856" s="3">
        <v>0</v>
      </c>
      <c r="R856" t="s">
        <v>128</v>
      </c>
      <c r="S856" t="s">
        <v>128</v>
      </c>
      <c r="T856" t="s">
        <v>128</v>
      </c>
      <c r="U856" t="s">
        <v>128</v>
      </c>
      <c r="V856" t="s">
        <v>128</v>
      </c>
      <c r="W856" s="3" t="str">
        <f>HYPERLINK("http://exon.niaid.nih.gov/transcriptome/Anopheles_sialome/links/netoglyc/anocol_SG7-netoglyc.txt","0")</f>
        <v>0</v>
      </c>
      <c r="X856">
        <v>12.4</v>
      </c>
      <c r="Y856">
        <v>3.4</v>
      </c>
      <c r="Z856">
        <v>4.0999999999999996</v>
      </c>
      <c r="AA856" t="s">
        <v>654</v>
      </c>
      <c r="AB856" t="s">
        <v>128</v>
      </c>
      <c r="AC856" s="2" t="str">
        <f>HYPERLINK("http://exon.niaid.nih.gov/transcriptome/Anopheles_sialome/links/DIPTERA/anocol_SG7-DIPTERA.txt","gSG7 protein")</f>
        <v>gSG7 protein</v>
      </c>
      <c r="AD856" t="str">
        <f>HYPERLINK("http://www.ncbi.nlm.nih.gov/sutils/blink.cgi?pid=13537668","7E-078")</f>
        <v>7E-078</v>
      </c>
      <c r="AE856" t="str">
        <f>HYPERLINK("http://www.ncbi.nlm.nih.gov/protein/13537668","gi|13537668")</f>
        <v>gi|13537668</v>
      </c>
      <c r="AF856">
        <v>97</v>
      </c>
      <c r="AG856">
        <v>98</v>
      </c>
      <c r="AH856">
        <v>100</v>
      </c>
      <c r="AI856" t="s">
        <v>2254</v>
      </c>
      <c r="AJ856" s="2" t="str">
        <f>HYPERLINK("http://exon.niaid.nih.gov/transcriptome/Anopheles_sialome/links/CULICOMORPHA/anocol_SG7-CULICOMORPHA.txt","gSG7 protein")</f>
        <v>gSG7 protein</v>
      </c>
      <c r="AK856" t="str">
        <f>HYPERLINK("http://www.ncbi.nlm.nih.gov/sutils/blink.cgi?pid=13537668","2E-078")</f>
        <v>2E-078</v>
      </c>
      <c r="AL856" t="str">
        <f>HYPERLINK("http://www.ncbi.nlm.nih.gov/protein/13537668","gi|13537668")</f>
        <v>gi|13537668</v>
      </c>
      <c r="AM856">
        <v>97</v>
      </c>
      <c r="AN856">
        <v>98</v>
      </c>
      <c r="AO856">
        <v>100</v>
      </c>
      <c r="AP856" t="s">
        <v>2254</v>
      </c>
      <c r="AQ856" s="2" t="str">
        <f>HYPERLINK("http://exon.niaid.nih.gov/transcriptome/Anopheles_sialome/links/NR-LIGHT/anocol_SG7-NR-LIGHT.txt","gSG7 protein")</f>
        <v>gSG7 protein</v>
      </c>
      <c r="AR856" t="str">
        <f>HYPERLINK("http://www.ncbi.nlm.nih.gov/sutils/blink.cgi?pid=13537668","2E-077")</f>
        <v>2E-077</v>
      </c>
      <c r="AS856" t="str">
        <f>HYPERLINK("http://www.ncbi.nlm.nih.gov/protein/13537668","gi|13537668")</f>
        <v>gi|13537668</v>
      </c>
      <c r="AT856">
        <v>97</v>
      </c>
      <c r="AU856">
        <v>98</v>
      </c>
      <c r="AV856">
        <v>100</v>
      </c>
      <c r="AW856" t="s">
        <v>2254</v>
      </c>
      <c r="AX856" s="2" t="str">
        <f>HYPERLINK("http://exon.niaid.nih.gov/transcriptome/Anopheles_sialome/links/CDD/anocol_SG7-CDD.txt","PLN02889")</f>
        <v>PLN02889</v>
      </c>
      <c r="AY856" t="str">
        <f>HYPERLINK("http://www.ncbi.nlm.nih.gov/Structure/cdd/cddsrv.cgi?uid=PLN02889&amp;version=v4.0","0.18")</f>
        <v>0.18</v>
      </c>
      <c r="AZ856" t="s">
        <v>3059</v>
      </c>
      <c r="BA856" s="2" t="str">
        <f>HYPERLINK("http://exon.niaid.nih.gov/transcriptome/Anopheles_sialome/links/KOG/anocol_SG7-KOG.txt","DEAH-box RNA helicase")</f>
        <v>DEAH-box RNA helicase</v>
      </c>
      <c r="BB856" t="str">
        <f>HYPERLINK("http://www.ncbi.nlm.nih.gov/Structure/cdd/cddsrv.cgi?uid=KOG0922","4.2")</f>
        <v>4.2</v>
      </c>
      <c r="BC856" t="s">
        <v>2464</v>
      </c>
      <c r="BD856" t="str">
        <f>HYPERLINK("http://exon.niaid.nih.gov/transcriptome/Anopheles_sialome/links/KOG/anocol_SG7-KOG.txt","KOG0922")</f>
        <v>KOG0922</v>
      </c>
      <c r="BE856" t="str">
        <f>HYPERLINK("http://exon.niaid.nih.gov/transcriptome/Anopheles_sialome/links/PFAM/anocol_SG7-PFAM.txt","KIX")</f>
        <v>KIX</v>
      </c>
      <c r="BF856" t="str">
        <f>HYPERLINK("http://pfam.sanger.ac.uk/family?acc=PF02172","0.41")</f>
        <v>0.41</v>
      </c>
      <c r="BG856" s="2" t="str">
        <f>HYPERLINK("http://exon.niaid.nih.gov/transcriptome/Anopheles_sialome/links/SMART/anocol_SG7-SMART.txt","NUC")</f>
        <v>NUC</v>
      </c>
      <c r="BH856" t="str">
        <f>HYPERLINK("http://smart.embl-heidelberg.de/smart/do_annotation.pl?DOMAIN=NUC&amp;BLAST=DUMMY","0.83")</f>
        <v>0.83</v>
      </c>
      <c r="BI856" t="str">
        <f>HYPERLINK("http://exon.niaid.nih.gov/transcriptome/Anopheles_sialome/links/TICK-BLOCKS/anocol_SG7-TICK-BLOCKS.txt","Anopheles_gSG7 |")</f>
        <v>Anopheles_gSG7 |</v>
      </c>
      <c r="BJ856" s="2" t="s">
        <v>3058</v>
      </c>
      <c r="BK856" t="s">
        <v>2081</v>
      </c>
      <c r="BL856">
        <f>HYPERLINK("http://exon.niaid.nih.gov/transcriptome/Anopheles_sialome/links/cluster-b/anopheline-sialome-cds-pep-larger-orf25-50SimCLU2.txt", 2)</f>
        <v>2</v>
      </c>
      <c r="BM856">
        <f>HYPERLINK("http://exon.niaid.nih.gov/transcriptome/Anopheles_sialome/links/cluster-b/anopheline-sialome-cds-pep-larger-orf25-50SimCLTL2.txt", 120)</f>
        <v>120</v>
      </c>
      <c r="BN856">
        <f>HYPERLINK("http://exon.niaid.nih.gov/transcriptome/Anopheles_sialome/links/cluster-b/anopheline-sialome-cds-pep-larger-orf30-50SimCLU2.txt", 2)</f>
        <v>2</v>
      </c>
      <c r="BO856">
        <f>HYPERLINK("http://exon.niaid.nih.gov/transcriptome/Anopheles_sialome/links/cluster-b/anopheline-sialome-cds-pep-larger-orf30-50SimCLTL2.txt", 120)</f>
        <v>120</v>
      </c>
      <c r="BP856">
        <f>HYPERLINK("http://exon.niaid.nih.gov/transcriptome/Anopheles_sialome/links/cluster-b/anopheline-sialome-cds-pep-larger-orf35-50SimCLU1.txt", 1)</f>
        <v>1</v>
      </c>
      <c r="BQ856">
        <f>HYPERLINK("http://exon.niaid.nih.gov/transcriptome/Anopheles_sialome/links/cluster-b/anopheline-sialome-cds-pep-larger-orf35-50SimCLTL1.txt", 120)</f>
        <v>120</v>
      </c>
      <c r="BR856">
        <f>HYPERLINK("http://exon.niaid.nih.gov/transcriptome/Anopheles_sialome/links/cluster-b/anopheline-sialome-cds-pep-larger-orf40-50SimCLU7.txt", 7)</f>
        <v>7</v>
      </c>
      <c r="BS856">
        <f>HYPERLINK("http://exon.niaid.nih.gov/transcriptome/Anopheles_sialome/links/cluster-b/anopheline-sialome-cds-pep-larger-orf40-50SimCLTL7.txt", 37)</f>
        <v>37</v>
      </c>
      <c r="BT856">
        <f>HYPERLINK("http://exon.niaid.nih.gov/transcriptome/Anopheles_sialome/links/cluster-b/anopheline-sialome-cds-pep-larger-orf45-50SimCLU6.txt", 6)</f>
        <v>6</v>
      </c>
      <c r="BU856">
        <f>HYPERLINK("http://exon.niaid.nih.gov/transcriptome/Anopheles_sialome/links/cluster-b/anopheline-sialome-cds-pep-larger-orf45-50SimCLTL6.txt", 37)</f>
        <v>37</v>
      </c>
      <c r="BV856">
        <f>HYPERLINK("http://exon.niaid.nih.gov/transcriptome/Anopheles_sialome/links/cluster-b/anopheline-sialome-cds-pep-larger-orf50-50SimCLU6.txt", 6)</f>
        <v>6</v>
      </c>
      <c r="BW856">
        <f>HYPERLINK("http://exon.niaid.nih.gov/transcriptome/Anopheles_sialome/links/cluster-b/anopheline-sialome-cds-pep-larger-orf50-50SimCLTL6.txt", 37)</f>
        <v>37</v>
      </c>
      <c r="BX856">
        <f>HYPERLINK("http://exon.niaid.nih.gov/transcriptome/Anopheles_sialome/links/cluster-b/anopheline-sialome-cds-pep-larger-orf55-50SimCLU5.txt", 5)</f>
        <v>5</v>
      </c>
      <c r="BY856">
        <f>HYPERLINK("http://exon.niaid.nih.gov/transcriptome/Anopheles_sialome/links/cluster-b/anopheline-sialome-cds-pep-larger-orf55-50SimCLTL5.txt", 37)</f>
        <v>37</v>
      </c>
      <c r="BZ856">
        <f>HYPERLINK("http://exon.niaid.nih.gov/transcriptome/Anopheles_sialome/links/cluster-b/anopheline-sialome-cds-pep-larger-orf60-50SimCLU4.txt", 4)</f>
        <v>4</v>
      </c>
      <c r="CA856">
        <f>HYPERLINK("http://exon.niaid.nih.gov/transcriptome/Anopheles_sialome/links/cluster-b/anopheline-sialome-cds-pep-larger-orf60-50SimCLTL4.txt", 37)</f>
        <v>37</v>
      </c>
      <c r="CB856">
        <f>HYPERLINK("http://exon.niaid.nih.gov/transcriptome/Anopheles_sialome/links/cluster-b/anopheline-sialome-cds-pep-larger-orf65-50SimCLU16.txt", 16)</f>
        <v>16</v>
      </c>
      <c r="CC856">
        <f>HYPERLINK("http://exon.niaid.nih.gov/transcriptome/Anopheles_sialome/links/cluster-b/anopheline-sialome-cds-pep-larger-orf65-50SimCLTL16.txt", 18)</f>
        <v>18</v>
      </c>
      <c r="CD856">
        <f>HYPERLINK("http://exon.niaid.nih.gov/transcriptome/Anopheles_sialome/links/cluster-b/anopheline-sialome-cds-pep-larger-orf70-50SimCLU23.txt", 23)</f>
        <v>23</v>
      </c>
      <c r="CE856">
        <f>HYPERLINK("http://exon.niaid.nih.gov/transcriptome/Anopheles_sialome/links/cluster-b/anopheline-sialome-cds-pep-larger-orf70-50SimCLTL23.txt", 16)</f>
        <v>16</v>
      </c>
      <c r="CF856">
        <f>HYPERLINK("http://exon.niaid.nih.gov/transcriptome/Anopheles_sialome/links/cluster-b/anopheline-sialome-cds-pep-larger-orf75-50SimCLU24.txt", 24)</f>
        <v>24</v>
      </c>
      <c r="CG856">
        <f>HYPERLINK("http://exon.niaid.nih.gov/transcriptome/Anopheles_sialome/links/cluster-b/anopheline-sialome-cds-pep-larger-orf75-50SimCLTL24.txt", 14)</f>
        <v>14</v>
      </c>
      <c r="CH856">
        <f>HYPERLINK("http://exon.niaid.nih.gov/transcriptome/Anopheles_sialome/links/cluster-b/anopheline-sialome-cds-pep-larger-orf80-50SimCLU20.txt", 20)</f>
        <v>20</v>
      </c>
      <c r="CI856">
        <f>HYPERLINK("http://exon.niaid.nih.gov/transcriptome/Anopheles_sialome/links/cluster-b/anopheline-sialome-cds-pep-larger-orf80-50SimCLTL20.txt", 13)</f>
        <v>13</v>
      </c>
      <c r="CJ856">
        <f>HYPERLINK("http://exon.niaid.nih.gov/transcriptome/Anopheles_sialome/links/cluster-b/anopheline-sialome-cds-pep-larger-orf85-50SimCLU21.txt", 21)</f>
        <v>21</v>
      </c>
      <c r="CK856">
        <f>HYPERLINK("http://exon.niaid.nih.gov/transcriptome/Anopheles_sialome/links/cluster-b/anopheline-sialome-cds-pep-larger-orf85-50SimCLTL21.txt", 8)</f>
        <v>8</v>
      </c>
      <c r="CL856">
        <f>HYPERLINK("http://exon.niaid.nih.gov/transcriptome/Anopheles_sialome/links/cluster-b/anopheline-sialome-cds-pep-larger-orf90-50SimCLU37.txt", 37)</f>
        <v>37</v>
      </c>
      <c r="CM856">
        <f>HYPERLINK("http://exon.niaid.nih.gov/transcriptome/Anopheles_sialome/links/cluster-b/anopheline-sialome-cds-pep-larger-orf90-50SimCLTL37.txt", 6)</f>
        <v>6</v>
      </c>
      <c r="CN856">
        <f>HYPERLINK("http://exon.niaid.nih.gov/transcriptome/Anopheles_sialome/links/cluster-b/anopheline-sialome-cds-pep-larger-orf95-50SimCLU28.txt", 28)</f>
        <v>28</v>
      </c>
      <c r="CO856">
        <f>HYPERLINK("http://exon.niaid.nih.gov/transcriptome/Anopheles_sialome/links/cluster-b/anopheline-sialome-cds-pep-larger-orf95-50SimCLTL28.txt", 6)</f>
        <v>6</v>
      </c>
    </row>
    <row r="857" spans="1:93">
      <c r="A857" s="2" t="str">
        <f>HYPERLINK("http://exon.niaid.nih.gov/transcriptome/Anopheles_sialome/links/cds/anoara_SG7-cds.txt","anoara_SG7")</f>
        <v>anoara_SG7</v>
      </c>
      <c r="B857">
        <v>438</v>
      </c>
      <c r="C857" t="s">
        <v>568</v>
      </c>
      <c r="D857" t="s">
        <v>7</v>
      </c>
      <c r="E857" t="s">
        <v>5</v>
      </c>
      <c r="F857" t="s">
        <v>1</v>
      </c>
      <c r="G857" t="str">
        <f>HYPERLINK("http://exon.niaid.nih.gov/transcriptome/Anopheles_sialome/links/pep/anoara_SG7-pep.txt","anoara_SG7")</f>
        <v>anoara_SG7</v>
      </c>
      <c r="H857">
        <v>145</v>
      </c>
      <c r="I857">
        <v>0</v>
      </c>
      <c r="J857" s="3" t="str">
        <f>HYPERLINK("http://exon.niaid.nih.gov/transcriptome/Anopheles_sialome/links/Sigp/anoara_SG7-SigP.txt","SIG")</f>
        <v>SIG</v>
      </c>
      <c r="K857" t="s">
        <v>834</v>
      </c>
      <c r="L857">
        <v>16.338000000000001</v>
      </c>
      <c r="M857">
        <v>8.58</v>
      </c>
      <c r="N857">
        <v>13.605</v>
      </c>
      <c r="O857">
        <v>8.36</v>
      </c>
      <c r="P857" t="s">
        <v>2084</v>
      </c>
      <c r="Q857" s="3">
        <v>0</v>
      </c>
      <c r="R857" t="s">
        <v>128</v>
      </c>
      <c r="S857" t="s">
        <v>128</v>
      </c>
      <c r="T857" t="s">
        <v>128</v>
      </c>
      <c r="U857" t="s">
        <v>128</v>
      </c>
      <c r="V857" t="s">
        <v>128</v>
      </c>
      <c r="W857" s="3" t="str">
        <f>HYPERLINK("http://exon.niaid.nih.gov/transcriptome/Anopheles_sialome/links/netoglyc/anoara_SG7-netoglyc.txt","0")</f>
        <v>0</v>
      </c>
      <c r="X857">
        <v>11.7</v>
      </c>
      <c r="Y857">
        <v>2.8</v>
      </c>
      <c r="Z857">
        <v>4.0999999999999996</v>
      </c>
      <c r="AA857" t="s">
        <v>654</v>
      </c>
      <c r="AB857" t="s">
        <v>128</v>
      </c>
      <c r="AC857" s="2" t="str">
        <f>HYPERLINK("http://exon.niaid.nih.gov/transcriptome/Anopheles_sialome/links/DIPTERA/anoara_SG7-DIPTERA.txt","AGAP008216-PA")</f>
        <v>AGAP008216-PA</v>
      </c>
      <c r="AD857" t="str">
        <f>HYPERLINK("http://www.ncbi.nlm.nih.gov/sutils/blink.cgi?pid=55237472","1E-077")</f>
        <v>1E-077</v>
      </c>
      <c r="AE857" t="str">
        <f>HYPERLINK("http://www.ncbi.nlm.nih.gov/protein/55237472","gi|55237472")</f>
        <v>gi|55237472</v>
      </c>
      <c r="AF857">
        <v>97</v>
      </c>
      <c r="AG857">
        <v>99</v>
      </c>
      <c r="AH857">
        <v>100</v>
      </c>
      <c r="AI857" t="s">
        <v>2285</v>
      </c>
      <c r="AJ857" s="2" t="str">
        <f>HYPERLINK("http://exon.niaid.nih.gov/transcriptome/Anopheles_sialome/links/CULICOMORPHA/anoara_SG7-CULICOMORPHA.txt","AGAP008216-PA")</f>
        <v>AGAP008216-PA</v>
      </c>
      <c r="AK857" t="str">
        <f>HYPERLINK("http://www.ncbi.nlm.nih.gov/sutils/blink.cgi?pid=55237472","3E-078")</f>
        <v>3E-078</v>
      </c>
      <c r="AL857" t="str">
        <f>HYPERLINK("http://www.ncbi.nlm.nih.gov/protein/55237472","gi|55237472")</f>
        <v>gi|55237472</v>
      </c>
      <c r="AM857">
        <v>97</v>
      </c>
      <c r="AN857">
        <v>99</v>
      </c>
      <c r="AO857">
        <v>100</v>
      </c>
      <c r="AP857" t="s">
        <v>2285</v>
      </c>
      <c r="AQ857" s="2" t="str">
        <f>HYPERLINK("http://exon.niaid.nih.gov/transcriptome/Anopheles_sialome/links/NR-LIGHT/anoara_SG7-NR-LIGHT.txt","AGAP008216-PA")</f>
        <v>AGAP008216-PA</v>
      </c>
      <c r="AR857" t="str">
        <f>HYPERLINK("http://www.ncbi.nlm.nih.gov/sutils/blink.cgi?pid=58389748","3E-077")</f>
        <v>3E-077</v>
      </c>
      <c r="AS857" t="str">
        <f>HYPERLINK("http://www.ncbi.nlm.nih.gov/protein/58389748","gi|58389748")</f>
        <v>gi|58389748</v>
      </c>
      <c r="AT857">
        <v>97</v>
      </c>
      <c r="AU857">
        <v>99</v>
      </c>
      <c r="AV857">
        <v>100</v>
      </c>
      <c r="AW857" t="s">
        <v>2285</v>
      </c>
      <c r="AX857" s="2" t="str">
        <f>HYPERLINK("http://exon.niaid.nih.gov/transcriptome/Anopheles_sialome/links/CDD/anoara_SG7-CDD.txt","PLN02889")</f>
        <v>PLN02889</v>
      </c>
      <c r="AY857" t="str">
        <f>HYPERLINK("http://www.ncbi.nlm.nih.gov/Structure/cdd/cddsrv.cgi?uid=PLN02889&amp;version=v4.0","1.0")</f>
        <v>1.0</v>
      </c>
      <c r="AZ857" t="s">
        <v>3060</v>
      </c>
      <c r="BA857" s="2" t="str">
        <f>HYPERLINK("http://exon.niaid.nih.gov/transcriptome/Anopheles_sialome/links/KOG/anoara_SG7-KOG.txt","Dyneins, heavy chain")</f>
        <v>Dyneins, heavy chain</v>
      </c>
      <c r="BB857" t="str">
        <f>HYPERLINK("http://www.ncbi.nlm.nih.gov/Structure/cdd/cddsrv.cgi?uid=KOG3595","1.9")</f>
        <v>1.9</v>
      </c>
      <c r="BC857" t="s">
        <v>2312</v>
      </c>
      <c r="BD857" t="str">
        <f>HYPERLINK("http://exon.niaid.nih.gov/transcriptome/Anopheles_sialome/links/KOG/anoara_SG7-KOG.txt","KOG3595")</f>
        <v>KOG3595</v>
      </c>
      <c r="BE857" t="str">
        <f>HYPERLINK("http://exon.niaid.nih.gov/transcriptome/Anopheles_sialome/links/PFAM/anoara_SG7-PFAM.txt","DUF4179")</f>
        <v>DUF4179</v>
      </c>
      <c r="BF857" t="str">
        <f>HYPERLINK("http://pfam.sanger.ac.uk/family?acc=PF13786","0.54")</f>
        <v>0.54</v>
      </c>
      <c r="BG857" s="2" t="str">
        <f>HYPERLINK("http://exon.niaid.nih.gov/transcriptome/Anopheles_sialome/links/SMART/anoara_SG7-SMART.txt","NUC")</f>
        <v>NUC</v>
      </c>
      <c r="BH857" t="str">
        <f>HYPERLINK("http://smart.embl-heidelberg.de/smart/do_annotation.pl?DOMAIN=NUC&amp;BLAST=DUMMY","0.70")</f>
        <v>0.70</v>
      </c>
      <c r="BI857" t="str">
        <f>HYPERLINK("http://exon.niaid.nih.gov/transcriptome/Anopheles_sialome/links/TICK-BLOCKS/anoara_SG7-TICK-BLOCKS.txt","Anopheles_gSG7 |")</f>
        <v>Anopheles_gSG7 |</v>
      </c>
      <c r="BJ857" s="2" t="s">
        <v>3058</v>
      </c>
      <c r="BK857" t="s">
        <v>2083</v>
      </c>
      <c r="BL857">
        <f>HYPERLINK("http://exon.niaid.nih.gov/transcriptome/Anopheles_sialome/links/cluster-b/anopheline-sialome-cds-pep-larger-orf25-50SimCLU2.txt", 2)</f>
        <v>2</v>
      </c>
      <c r="BM857">
        <f>HYPERLINK("http://exon.niaid.nih.gov/transcriptome/Anopheles_sialome/links/cluster-b/anopheline-sialome-cds-pep-larger-orf25-50SimCLTL2.txt", 120)</f>
        <v>120</v>
      </c>
      <c r="BN857">
        <f>HYPERLINK("http://exon.niaid.nih.gov/transcriptome/Anopheles_sialome/links/cluster-b/anopheline-sialome-cds-pep-larger-orf30-50SimCLU2.txt", 2)</f>
        <v>2</v>
      </c>
      <c r="BO857">
        <f>HYPERLINK("http://exon.niaid.nih.gov/transcriptome/Anopheles_sialome/links/cluster-b/anopheline-sialome-cds-pep-larger-orf30-50SimCLTL2.txt", 120)</f>
        <v>120</v>
      </c>
      <c r="BP857">
        <f>HYPERLINK("http://exon.niaid.nih.gov/transcriptome/Anopheles_sialome/links/cluster-b/anopheline-sialome-cds-pep-larger-orf35-50SimCLU1.txt", 1)</f>
        <v>1</v>
      </c>
      <c r="BQ857">
        <f>HYPERLINK("http://exon.niaid.nih.gov/transcriptome/Anopheles_sialome/links/cluster-b/anopheline-sialome-cds-pep-larger-orf35-50SimCLTL1.txt", 120)</f>
        <v>120</v>
      </c>
      <c r="BR857">
        <f>HYPERLINK("http://exon.niaid.nih.gov/transcriptome/Anopheles_sialome/links/cluster-b/anopheline-sialome-cds-pep-larger-orf40-50SimCLU7.txt", 7)</f>
        <v>7</v>
      </c>
      <c r="BS857">
        <f>HYPERLINK("http://exon.niaid.nih.gov/transcriptome/Anopheles_sialome/links/cluster-b/anopheline-sialome-cds-pep-larger-orf40-50SimCLTL7.txt", 37)</f>
        <v>37</v>
      </c>
      <c r="BT857">
        <f>HYPERLINK("http://exon.niaid.nih.gov/transcriptome/Anopheles_sialome/links/cluster-b/anopheline-sialome-cds-pep-larger-orf45-50SimCLU6.txt", 6)</f>
        <v>6</v>
      </c>
      <c r="BU857">
        <f>HYPERLINK("http://exon.niaid.nih.gov/transcriptome/Anopheles_sialome/links/cluster-b/anopheline-sialome-cds-pep-larger-orf45-50SimCLTL6.txt", 37)</f>
        <v>37</v>
      </c>
      <c r="BV857">
        <f>HYPERLINK("http://exon.niaid.nih.gov/transcriptome/Anopheles_sialome/links/cluster-b/anopheline-sialome-cds-pep-larger-orf50-50SimCLU6.txt", 6)</f>
        <v>6</v>
      </c>
      <c r="BW857">
        <f>HYPERLINK("http://exon.niaid.nih.gov/transcriptome/Anopheles_sialome/links/cluster-b/anopheline-sialome-cds-pep-larger-orf50-50SimCLTL6.txt", 37)</f>
        <v>37</v>
      </c>
      <c r="BX857">
        <f>HYPERLINK("http://exon.niaid.nih.gov/transcriptome/Anopheles_sialome/links/cluster-b/anopheline-sialome-cds-pep-larger-orf55-50SimCLU5.txt", 5)</f>
        <v>5</v>
      </c>
      <c r="BY857">
        <f>HYPERLINK("http://exon.niaid.nih.gov/transcriptome/Anopheles_sialome/links/cluster-b/anopheline-sialome-cds-pep-larger-orf55-50SimCLTL5.txt", 37)</f>
        <v>37</v>
      </c>
      <c r="BZ857">
        <f>HYPERLINK("http://exon.niaid.nih.gov/transcriptome/Anopheles_sialome/links/cluster-b/anopheline-sialome-cds-pep-larger-orf60-50SimCLU4.txt", 4)</f>
        <v>4</v>
      </c>
      <c r="CA857">
        <f>HYPERLINK("http://exon.niaid.nih.gov/transcriptome/Anopheles_sialome/links/cluster-b/anopheline-sialome-cds-pep-larger-orf60-50SimCLTL4.txt", 37)</f>
        <v>37</v>
      </c>
      <c r="CB857">
        <f>HYPERLINK("http://exon.niaid.nih.gov/transcriptome/Anopheles_sialome/links/cluster-b/anopheline-sialome-cds-pep-larger-orf65-50SimCLU16.txt", 16)</f>
        <v>16</v>
      </c>
      <c r="CC857">
        <f>HYPERLINK("http://exon.niaid.nih.gov/transcriptome/Anopheles_sialome/links/cluster-b/anopheline-sialome-cds-pep-larger-orf65-50SimCLTL16.txt", 18)</f>
        <v>18</v>
      </c>
      <c r="CD857">
        <f>HYPERLINK("http://exon.niaid.nih.gov/transcriptome/Anopheles_sialome/links/cluster-b/anopheline-sialome-cds-pep-larger-orf70-50SimCLU23.txt", 23)</f>
        <v>23</v>
      </c>
      <c r="CE857">
        <f>HYPERLINK("http://exon.niaid.nih.gov/transcriptome/Anopheles_sialome/links/cluster-b/anopheline-sialome-cds-pep-larger-orf70-50SimCLTL23.txt", 16)</f>
        <v>16</v>
      </c>
      <c r="CF857">
        <f>HYPERLINK("http://exon.niaid.nih.gov/transcriptome/Anopheles_sialome/links/cluster-b/anopheline-sialome-cds-pep-larger-orf75-50SimCLU24.txt", 24)</f>
        <v>24</v>
      </c>
      <c r="CG857">
        <f>HYPERLINK("http://exon.niaid.nih.gov/transcriptome/Anopheles_sialome/links/cluster-b/anopheline-sialome-cds-pep-larger-orf75-50SimCLTL24.txt", 14)</f>
        <v>14</v>
      </c>
      <c r="CH857">
        <f>HYPERLINK("http://exon.niaid.nih.gov/transcriptome/Anopheles_sialome/links/cluster-b/anopheline-sialome-cds-pep-larger-orf80-50SimCLU20.txt", 20)</f>
        <v>20</v>
      </c>
      <c r="CI857">
        <f>HYPERLINK("http://exon.niaid.nih.gov/transcriptome/Anopheles_sialome/links/cluster-b/anopheline-sialome-cds-pep-larger-orf80-50SimCLTL20.txt", 13)</f>
        <v>13</v>
      </c>
      <c r="CJ857">
        <f>HYPERLINK("http://exon.niaid.nih.gov/transcriptome/Anopheles_sialome/links/cluster-b/anopheline-sialome-cds-pep-larger-orf85-50SimCLU21.txt", 21)</f>
        <v>21</v>
      </c>
      <c r="CK857">
        <f>HYPERLINK("http://exon.niaid.nih.gov/transcriptome/Anopheles_sialome/links/cluster-b/anopheline-sialome-cds-pep-larger-orf85-50SimCLTL21.txt", 8)</f>
        <v>8</v>
      </c>
      <c r="CL857">
        <f>HYPERLINK("http://exon.niaid.nih.gov/transcriptome/Anopheles_sialome/links/cluster-b/anopheline-sialome-cds-pep-larger-orf90-50SimCLU37.txt", 37)</f>
        <v>37</v>
      </c>
      <c r="CM857">
        <f>HYPERLINK("http://exon.niaid.nih.gov/transcriptome/Anopheles_sialome/links/cluster-b/anopheline-sialome-cds-pep-larger-orf90-50SimCLTL37.txt", 6)</f>
        <v>6</v>
      </c>
      <c r="CN857">
        <f>HYPERLINK("http://exon.niaid.nih.gov/transcriptome/Anopheles_sialome/links/cluster-b/anopheline-sialome-cds-pep-larger-orf95-50SimCLU28.txt", 28)</f>
        <v>28</v>
      </c>
      <c r="CO857">
        <f>HYPERLINK("http://exon.niaid.nih.gov/transcriptome/Anopheles_sialome/links/cluster-b/anopheline-sialome-cds-pep-larger-orf95-50SimCLTL28.txt", 6)</f>
        <v>6</v>
      </c>
    </row>
    <row r="858" spans="1:93">
      <c r="A858" s="2" t="str">
        <f>HYPERLINK("http://exon.niaid.nih.gov/transcriptome/Anopheles_sialome/links/cds/anoqua_SG7-cds.txt","anoqua_SG7")</f>
        <v>anoqua_SG7</v>
      </c>
      <c r="B858">
        <v>438</v>
      </c>
      <c r="C858" t="s">
        <v>569</v>
      </c>
      <c r="D858" t="s">
        <v>7</v>
      </c>
      <c r="E858" t="s">
        <v>5</v>
      </c>
      <c r="F858" t="s">
        <v>1</v>
      </c>
      <c r="G858" t="str">
        <f>HYPERLINK("http://exon.niaid.nih.gov/transcriptome/Anopheles_sialome/links/pep/anoqua_SG7-pep.txt","anoqua_SG7")</f>
        <v>anoqua_SG7</v>
      </c>
      <c r="H858">
        <v>145</v>
      </c>
      <c r="I858">
        <v>0</v>
      </c>
      <c r="J858" s="3" t="str">
        <f>HYPERLINK("http://exon.niaid.nih.gov/transcriptome/Anopheles_sialome/links/Sigp/anoqua_SG7-SigP.txt","SIG")</f>
        <v>SIG</v>
      </c>
      <c r="K858" t="s">
        <v>787</v>
      </c>
      <c r="L858">
        <v>16.358000000000001</v>
      </c>
      <c r="M858">
        <v>8.58</v>
      </c>
      <c r="N858">
        <v>13.779</v>
      </c>
      <c r="O858">
        <v>8.3699999999999992</v>
      </c>
      <c r="P858" t="s">
        <v>2086</v>
      </c>
      <c r="Q858" s="3" t="str">
        <f>HYPERLINK("http://exon.niaid.nih.gov/transcriptome/Anopheles_sialome/links/tmhmm/anoqua_SG7-tmhmm.txt","1")</f>
        <v>1</v>
      </c>
      <c r="R858">
        <v>15.2</v>
      </c>
      <c r="S858">
        <v>81.400000000000006</v>
      </c>
      <c r="T858">
        <v>3.4</v>
      </c>
      <c r="U858" t="s">
        <v>128</v>
      </c>
      <c r="V858">
        <v>118</v>
      </c>
      <c r="W858" s="3" t="str">
        <f>HYPERLINK("http://exon.niaid.nih.gov/transcriptome/Anopheles_sialome/links/netoglyc/anoqua_SG7-netoglyc.txt","1")</f>
        <v>1</v>
      </c>
      <c r="X858">
        <v>11</v>
      </c>
      <c r="Y858">
        <v>2.8</v>
      </c>
      <c r="Z858">
        <v>3.4</v>
      </c>
      <c r="AA858" t="s">
        <v>654</v>
      </c>
      <c r="AB858" t="s">
        <v>128</v>
      </c>
      <c r="AC858" s="2" t="str">
        <f>HYPERLINK("http://exon.niaid.nih.gov/transcriptome/Anopheles_sialome/links/DIPTERA/anoqua_SG7-DIPTERA.txt","AGAP008216-PA")</f>
        <v>AGAP008216-PA</v>
      </c>
      <c r="AD858" t="str">
        <f>HYPERLINK("http://www.ncbi.nlm.nih.gov/sutils/blink.cgi?pid=55237472","1E-075")</f>
        <v>1E-075</v>
      </c>
      <c r="AE858" t="str">
        <f>HYPERLINK("http://www.ncbi.nlm.nih.gov/protein/55237472","gi|55237472")</f>
        <v>gi|55237472</v>
      </c>
      <c r="AF858">
        <v>95</v>
      </c>
      <c r="AG858">
        <v>97</v>
      </c>
      <c r="AH858">
        <v>100</v>
      </c>
      <c r="AI858" t="s">
        <v>2285</v>
      </c>
      <c r="AJ858" s="2" t="str">
        <f>HYPERLINK("http://exon.niaid.nih.gov/transcriptome/Anopheles_sialome/links/CULICOMORPHA/anoqua_SG7-CULICOMORPHA.txt","AGAP008216-PA")</f>
        <v>AGAP008216-PA</v>
      </c>
      <c r="AK858" t="str">
        <f>HYPERLINK("http://www.ncbi.nlm.nih.gov/sutils/blink.cgi?pid=55237472","3E-076")</f>
        <v>3E-076</v>
      </c>
      <c r="AL858" t="str">
        <f>HYPERLINK("http://www.ncbi.nlm.nih.gov/protein/55237472","gi|55237472")</f>
        <v>gi|55237472</v>
      </c>
      <c r="AM858">
        <v>95</v>
      </c>
      <c r="AN858">
        <v>97</v>
      </c>
      <c r="AO858">
        <v>100</v>
      </c>
      <c r="AP858" t="s">
        <v>2285</v>
      </c>
      <c r="AQ858" s="2" t="str">
        <f>HYPERLINK("http://exon.niaid.nih.gov/transcriptome/Anopheles_sialome/links/NR-LIGHT/anoqua_SG7-NR-LIGHT.txt","AGAP008216-PA")</f>
        <v>AGAP008216-PA</v>
      </c>
      <c r="AR858" t="str">
        <f>HYPERLINK("http://www.ncbi.nlm.nih.gov/sutils/blink.cgi?pid=58389748","4E-075")</f>
        <v>4E-075</v>
      </c>
      <c r="AS858" t="str">
        <f>HYPERLINK("http://www.ncbi.nlm.nih.gov/protein/58389748","gi|58389748")</f>
        <v>gi|58389748</v>
      </c>
      <c r="AT858">
        <v>95</v>
      </c>
      <c r="AU858">
        <v>97</v>
      </c>
      <c r="AV858">
        <v>100</v>
      </c>
      <c r="AW858" t="s">
        <v>2285</v>
      </c>
      <c r="AX858" s="2" t="str">
        <f>HYPERLINK("http://exon.niaid.nih.gov/transcriptome/Anopheles_sialome/links/CDD/anoqua_SG7-CDD.txt","PLN02889")</f>
        <v>PLN02889</v>
      </c>
      <c r="AY858" t="str">
        <f>HYPERLINK("http://www.ncbi.nlm.nih.gov/Structure/cdd/cddsrv.cgi?uid=PLN02889&amp;version=v4.0","0.33")</f>
        <v>0.33</v>
      </c>
      <c r="AZ858" t="s">
        <v>3061</v>
      </c>
      <c r="BA858" s="2" t="str">
        <f>HYPERLINK("http://exon.niaid.nih.gov/transcriptome/Anopheles_sialome/links/KOG/anoqua_SG7-KOG.txt","Acyl-CoA oxidase")</f>
        <v>Acyl-CoA oxidase</v>
      </c>
      <c r="BB858" t="str">
        <f>HYPERLINK("http://www.ncbi.nlm.nih.gov/Structure/cdd/cddsrv.cgi?uid=KOG0136","6.2")</f>
        <v>6.2</v>
      </c>
      <c r="BC858" t="s">
        <v>2298</v>
      </c>
      <c r="BD858" t="str">
        <f>HYPERLINK("http://exon.niaid.nih.gov/transcriptome/Anopheles_sialome/links/KOG/anoqua_SG7-KOG.txt","KOG0136")</f>
        <v>KOG0136</v>
      </c>
      <c r="BE858" t="str">
        <f>HYPERLINK("http://exon.niaid.nih.gov/transcriptome/Anopheles_sialome/links/PFAM/anoqua_SG7-PFAM.txt","DUF4179")</f>
        <v>DUF4179</v>
      </c>
      <c r="BF858" t="str">
        <f>HYPERLINK("http://pfam.sanger.ac.uk/family?acc=PF13786","1.3")</f>
        <v>1.3</v>
      </c>
      <c r="BG858" s="2" t="str">
        <f>HYPERLINK("http://exon.niaid.nih.gov/transcriptome/Anopheles_sialome/links/SMART/anoqua_SG7-SMART.txt","NUC")</f>
        <v>NUC</v>
      </c>
      <c r="BH858" t="str">
        <f>HYPERLINK("http://smart.embl-heidelberg.de/smart/do_annotation.pl?DOMAIN=NUC&amp;BLAST=DUMMY","0.67")</f>
        <v>0.67</v>
      </c>
      <c r="BI858" t="str">
        <f>HYPERLINK("http://exon.niaid.nih.gov/transcriptome/Anopheles_sialome/links/TICK-BLOCKS/anoqua_SG7-TICK-BLOCKS.txt","Anopheles_gSG7 |")</f>
        <v>Anopheles_gSG7 |</v>
      </c>
      <c r="BJ858" s="2" t="s">
        <v>3058</v>
      </c>
      <c r="BK858" t="s">
        <v>2085</v>
      </c>
      <c r="BL858">
        <f>HYPERLINK("http://exon.niaid.nih.gov/transcriptome/Anopheles_sialome/links/cluster-b/anopheline-sialome-cds-pep-larger-orf25-50SimCLU2.txt", 2)</f>
        <v>2</v>
      </c>
      <c r="BM858">
        <f>HYPERLINK("http://exon.niaid.nih.gov/transcriptome/Anopheles_sialome/links/cluster-b/anopheline-sialome-cds-pep-larger-orf25-50SimCLTL2.txt", 120)</f>
        <v>120</v>
      </c>
      <c r="BN858">
        <f>HYPERLINK("http://exon.niaid.nih.gov/transcriptome/Anopheles_sialome/links/cluster-b/anopheline-sialome-cds-pep-larger-orf30-50SimCLU2.txt", 2)</f>
        <v>2</v>
      </c>
      <c r="BO858">
        <f>HYPERLINK("http://exon.niaid.nih.gov/transcriptome/Anopheles_sialome/links/cluster-b/anopheline-sialome-cds-pep-larger-orf30-50SimCLTL2.txt", 120)</f>
        <v>120</v>
      </c>
      <c r="BP858">
        <f>HYPERLINK("http://exon.niaid.nih.gov/transcriptome/Anopheles_sialome/links/cluster-b/anopheline-sialome-cds-pep-larger-orf35-50SimCLU1.txt", 1)</f>
        <v>1</v>
      </c>
      <c r="BQ858">
        <f>HYPERLINK("http://exon.niaid.nih.gov/transcriptome/Anopheles_sialome/links/cluster-b/anopheline-sialome-cds-pep-larger-orf35-50SimCLTL1.txt", 120)</f>
        <v>120</v>
      </c>
      <c r="BR858">
        <f>HYPERLINK("http://exon.niaid.nih.gov/transcriptome/Anopheles_sialome/links/cluster-b/anopheline-sialome-cds-pep-larger-orf40-50SimCLU7.txt", 7)</f>
        <v>7</v>
      </c>
      <c r="BS858">
        <f>HYPERLINK("http://exon.niaid.nih.gov/transcriptome/Anopheles_sialome/links/cluster-b/anopheline-sialome-cds-pep-larger-orf40-50SimCLTL7.txt", 37)</f>
        <v>37</v>
      </c>
      <c r="BT858">
        <f>HYPERLINK("http://exon.niaid.nih.gov/transcriptome/Anopheles_sialome/links/cluster-b/anopheline-sialome-cds-pep-larger-orf45-50SimCLU6.txt", 6)</f>
        <v>6</v>
      </c>
      <c r="BU858">
        <f>HYPERLINK("http://exon.niaid.nih.gov/transcriptome/Anopheles_sialome/links/cluster-b/anopheline-sialome-cds-pep-larger-orf45-50SimCLTL6.txt", 37)</f>
        <v>37</v>
      </c>
      <c r="BV858">
        <f>HYPERLINK("http://exon.niaid.nih.gov/transcriptome/Anopheles_sialome/links/cluster-b/anopheline-sialome-cds-pep-larger-orf50-50SimCLU6.txt", 6)</f>
        <v>6</v>
      </c>
      <c r="BW858">
        <f>HYPERLINK("http://exon.niaid.nih.gov/transcriptome/Anopheles_sialome/links/cluster-b/anopheline-sialome-cds-pep-larger-orf50-50SimCLTL6.txt", 37)</f>
        <v>37</v>
      </c>
      <c r="BX858">
        <f>HYPERLINK("http://exon.niaid.nih.gov/transcriptome/Anopheles_sialome/links/cluster-b/anopheline-sialome-cds-pep-larger-orf55-50SimCLU5.txt", 5)</f>
        <v>5</v>
      </c>
      <c r="BY858">
        <f>HYPERLINK("http://exon.niaid.nih.gov/transcriptome/Anopheles_sialome/links/cluster-b/anopheline-sialome-cds-pep-larger-orf55-50SimCLTL5.txt", 37)</f>
        <v>37</v>
      </c>
      <c r="BZ858">
        <f>HYPERLINK("http://exon.niaid.nih.gov/transcriptome/Anopheles_sialome/links/cluster-b/anopheline-sialome-cds-pep-larger-orf60-50SimCLU4.txt", 4)</f>
        <v>4</v>
      </c>
      <c r="CA858">
        <f>HYPERLINK("http://exon.niaid.nih.gov/transcriptome/Anopheles_sialome/links/cluster-b/anopheline-sialome-cds-pep-larger-orf60-50SimCLTL4.txt", 37)</f>
        <v>37</v>
      </c>
      <c r="CB858">
        <f>HYPERLINK("http://exon.niaid.nih.gov/transcriptome/Anopheles_sialome/links/cluster-b/anopheline-sialome-cds-pep-larger-orf65-50SimCLU16.txt", 16)</f>
        <v>16</v>
      </c>
      <c r="CC858">
        <f>HYPERLINK("http://exon.niaid.nih.gov/transcriptome/Anopheles_sialome/links/cluster-b/anopheline-sialome-cds-pep-larger-orf65-50SimCLTL16.txt", 18)</f>
        <v>18</v>
      </c>
      <c r="CD858">
        <f>HYPERLINK("http://exon.niaid.nih.gov/transcriptome/Anopheles_sialome/links/cluster-b/anopheline-sialome-cds-pep-larger-orf70-50SimCLU23.txt", 23)</f>
        <v>23</v>
      </c>
      <c r="CE858">
        <f>HYPERLINK("http://exon.niaid.nih.gov/transcriptome/Anopheles_sialome/links/cluster-b/anopheline-sialome-cds-pep-larger-orf70-50SimCLTL23.txt", 16)</f>
        <v>16</v>
      </c>
      <c r="CF858">
        <f>HYPERLINK("http://exon.niaid.nih.gov/transcriptome/Anopheles_sialome/links/cluster-b/anopheline-sialome-cds-pep-larger-orf75-50SimCLU24.txt", 24)</f>
        <v>24</v>
      </c>
      <c r="CG858">
        <f>HYPERLINK("http://exon.niaid.nih.gov/transcriptome/Anopheles_sialome/links/cluster-b/anopheline-sialome-cds-pep-larger-orf75-50SimCLTL24.txt", 14)</f>
        <v>14</v>
      </c>
      <c r="CH858">
        <f>HYPERLINK("http://exon.niaid.nih.gov/transcriptome/Anopheles_sialome/links/cluster-b/anopheline-sialome-cds-pep-larger-orf80-50SimCLU20.txt", 20)</f>
        <v>20</v>
      </c>
      <c r="CI858">
        <f>HYPERLINK("http://exon.niaid.nih.gov/transcriptome/Anopheles_sialome/links/cluster-b/anopheline-sialome-cds-pep-larger-orf80-50SimCLTL20.txt", 13)</f>
        <v>13</v>
      </c>
      <c r="CJ858">
        <f>HYPERLINK("http://exon.niaid.nih.gov/transcriptome/Anopheles_sialome/links/cluster-b/anopheline-sialome-cds-pep-larger-orf85-50SimCLU21.txt", 21)</f>
        <v>21</v>
      </c>
      <c r="CK858">
        <f>HYPERLINK("http://exon.niaid.nih.gov/transcriptome/Anopheles_sialome/links/cluster-b/anopheline-sialome-cds-pep-larger-orf85-50SimCLTL21.txt", 8)</f>
        <v>8</v>
      </c>
      <c r="CL858">
        <f>HYPERLINK("http://exon.niaid.nih.gov/transcriptome/Anopheles_sialome/links/cluster-b/anopheline-sialome-cds-pep-larger-orf90-50SimCLU37.txt", 37)</f>
        <v>37</v>
      </c>
      <c r="CM858">
        <f>HYPERLINK("http://exon.niaid.nih.gov/transcriptome/Anopheles_sialome/links/cluster-b/anopheline-sialome-cds-pep-larger-orf90-50SimCLTL37.txt", 6)</f>
        <v>6</v>
      </c>
      <c r="CN858">
        <f>HYPERLINK("http://exon.niaid.nih.gov/transcriptome/Anopheles_sialome/links/cluster-b/anopheline-sialome-cds-pep-larger-orf95-50SimCLU28.txt", 28)</f>
        <v>28</v>
      </c>
      <c r="CO858">
        <f>HYPERLINK("http://exon.niaid.nih.gov/transcriptome/Anopheles_sialome/links/cluster-b/anopheline-sialome-cds-pep-larger-orf95-50SimCLTL28.txt", 6)</f>
        <v>6</v>
      </c>
    </row>
    <row r="859" spans="1:93">
      <c r="A859" s="2" t="str">
        <f>HYPERLINK("http://exon.niaid.nih.gov/transcriptome/Anopheles_sialome/links/cds/anomer_SG7-cds.txt","anomer_SG7")</f>
        <v>anomer_SG7</v>
      </c>
      <c r="B859">
        <v>438</v>
      </c>
      <c r="C859" t="s">
        <v>570</v>
      </c>
      <c r="D859" t="s">
        <v>4</v>
      </c>
      <c r="E859" t="s">
        <v>5</v>
      </c>
      <c r="F859" t="s">
        <v>1</v>
      </c>
      <c r="G859" t="str">
        <f>HYPERLINK("http://exon.niaid.nih.gov/transcriptome/Anopheles_sialome/links/pep/anomer_SG7-pep.txt","anomer_SG7")</f>
        <v>anomer_SG7</v>
      </c>
      <c r="H859">
        <v>145</v>
      </c>
      <c r="I859">
        <v>0</v>
      </c>
      <c r="J859" s="3" t="str">
        <f>HYPERLINK("http://exon.niaid.nih.gov/transcriptome/Anopheles_sialome/links/Sigp/anomer_SG7-SigP.txt","SIG")</f>
        <v>SIG</v>
      </c>
      <c r="K859" t="s">
        <v>834</v>
      </c>
      <c r="L859">
        <v>16.373999999999999</v>
      </c>
      <c r="M859">
        <v>7.64</v>
      </c>
      <c r="N859">
        <v>13.641</v>
      </c>
      <c r="O859">
        <v>6.99</v>
      </c>
      <c r="P859" t="s">
        <v>2084</v>
      </c>
      <c r="Q859" s="3">
        <v>0</v>
      </c>
      <c r="R859" t="s">
        <v>128</v>
      </c>
      <c r="S859" t="s">
        <v>128</v>
      </c>
      <c r="T859" t="s">
        <v>128</v>
      </c>
      <c r="U859" t="s">
        <v>128</v>
      </c>
      <c r="V859" t="s">
        <v>128</v>
      </c>
      <c r="W859" s="3" t="str">
        <f>HYPERLINK("http://exon.niaid.nih.gov/transcriptome/Anopheles_sialome/links/netoglyc/anomer_SG7-netoglyc.txt","0")</f>
        <v>0</v>
      </c>
      <c r="X859">
        <v>12.4</v>
      </c>
      <c r="Y859">
        <v>2.8</v>
      </c>
      <c r="Z859">
        <v>4.0999999999999996</v>
      </c>
      <c r="AA859" t="s">
        <v>654</v>
      </c>
      <c r="AB859" t="s">
        <v>128</v>
      </c>
      <c r="AC859" s="2" t="str">
        <f>HYPERLINK("http://exon.niaid.nih.gov/transcriptome/Anopheles_sialome/links/DIPTERA/anomer_SG7-DIPTERA.txt","gSG7 protein")</f>
        <v>gSG7 protein</v>
      </c>
      <c r="AD859" t="str">
        <f>HYPERLINK("http://www.ncbi.nlm.nih.gov/sutils/blink.cgi?pid=13537668","3E-076")</f>
        <v>3E-076</v>
      </c>
      <c r="AE859" t="str">
        <f>HYPERLINK("http://www.ncbi.nlm.nih.gov/protein/13537668","gi|13537668")</f>
        <v>gi|13537668</v>
      </c>
      <c r="AF859">
        <v>95</v>
      </c>
      <c r="AG859">
        <v>97</v>
      </c>
      <c r="AH859">
        <v>100</v>
      </c>
      <c r="AI859" t="s">
        <v>2254</v>
      </c>
      <c r="AJ859" s="2" t="str">
        <f>HYPERLINK("http://exon.niaid.nih.gov/transcriptome/Anopheles_sialome/links/CULICOMORPHA/anomer_SG7-CULICOMORPHA.txt","gSG7 protein")</f>
        <v>gSG7 protein</v>
      </c>
      <c r="AK859" t="str">
        <f>HYPERLINK("http://www.ncbi.nlm.nih.gov/sutils/blink.cgi?pid=13537668","6E-077")</f>
        <v>6E-077</v>
      </c>
      <c r="AL859" t="str">
        <f>HYPERLINK("http://www.ncbi.nlm.nih.gov/protein/13537668","gi|13537668")</f>
        <v>gi|13537668</v>
      </c>
      <c r="AM859">
        <v>95</v>
      </c>
      <c r="AN859">
        <v>97</v>
      </c>
      <c r="AO859">
        <v>100</v>
      </c>
      <c r="AP859" t="s">
        <v>2254</v>
      </c>
      <c r="AQ859" s="2" t="str">
        <f>HYPERLINK("http://exon.niaid.nih.gov/transcriptome/Anopheles_sialome/links/NR-LIGHT/anomer_SG7-NR-LIGHT.txt","gSG7 protein")</f>
        <v>gSG7 protein</v>
      </c>
      <c r="AR859" t="str">
        <f>HYPERLINK("http://www.ncbi.nlm.nih.gov/sutils/blink.cgi?pid=13537668","8E-076")</f>
        <v>8E-076</v>
      </c>
      <c r="AS859" t="str">
        <f>HYPERLINK("http://www.ncbi.nlm.nih.gov/protein/13537668","gi|13537668")</f>
        <v>gi|13537668</v>
      </c>
      <c r="AT859">
        <v>95</v>
      </c>
      <c r="AU859">
        <v>97</v>
      </c>
      <c r="AV859">
        <v>100</v>
      </c>
      <c r="AW859" t="s">
        <v>2254</v>
      </c>
      <c r="AX859" s="2" t="str">
        <f>HYPERLINK("http://exon.niaid.nih.gov/transcriptome/Anopheles_sialome/links/CDD/anomer_SG7-CDD.txt","mglC")</f>
        <v>mglC</v>
      </c>
      <c r="AY859" t="str">
        <f>HYPERLINK("http://www.ncbi.nlm.nih.gov/Structure/cdd/cddsrv.cgi?uid=PRK09478&amp;version=v4.0","0.41")</f>
        <v>0.41</v>
      </c>
      <c r="AZ859" t="s">
        <v>3062</v>
      </c>
      <c r="BA859" s="2" t="str">
        <f>HYPERLINK("http://exon.niaid.nih.gov/transcriptome/Anopheles_sialome/links/KOG/anomer_SG7-KOG.txt","E3 ubiquitin protein ligase")</f>
        <v>E3 ubiquitin protein ligase</v>
      </c>
      <c r="BB859" t="str">
        <f>HYPERLINK("http://www.ncbi.nlm.nih.gov/Structure/cdd/cddsrv.cgi?uid=KOG0170","8.2")</f>
        <v>8.2</v>
      </c>
      <c r="BC859" t="s">
        <v>2296</v>
      </c>
      <c r="BD859" t="str">
        <f>HYPERLINK("http://exon.niaid.nih.gov/transcriptome/Anopheles_sialome/links/KOG/anomer_SG7-KOG.txt","KOG0170")</f>
        <v>KOG0170</v>
      </c>
      <c r="BE859" t="str">
        <f>HYPERLINK("http://exon.niaid.nih.gov/transcriptome/Anopheles_sialome/links/PFAM/anomer_SG7-PFAM.txt","DUF4179")</f>
        <v>DUF4179</v>
      </c>
      <c r="BF859" t="str">
        <f>HYPERLINK("http://pfam.sanger.ac.uk/family?acc=PF13786","0.46")</f>
        <v>0.46</v>
      </c>
      <c r="BG859" s="2" t="str">
        <f>HYPERLINK("http://exon.niaid.nih.gov/transcriptome/Anopheles_sialome/links/SMART/anomer_SG7-SMART.txt","NUC")</f>
        <v>NUC</v>
      </c>
      <c r="BH859" t="str">
        <f>HYPERLINK("http://smart.embl-heidelberg.de/smart/do_annotation.pl?DOMAIN=NUC&amp;BLAST=DUMMY","0.69")</f>
        <v>0.69</v>
      </c>
      <c r="BI859" t="str">
        <f>HYPERLINK("http://exon.niaid.nih.gov/transcriptome/Anopheles_sialome/links/TICK-BLOCKS/anomer_SG7-TICK-BLOCKS.txt","Anopheles_gSG7 |")</f>
        <v>Anopheles_gSG7 |</v>
      </c>
      <c r="BJ859" s="2" t="s">
        <v>3058</v>
      </c>
      <c r="BK859" t="s">
        <v>2087</v>
      </c>
      <c r="BL859">
        <f>HYPERLINK("http://exon.niaid.nih.gov/transcriptome/Anopheles_sialome/links/cluster-b/anopheline-sialome-cds-pep-larger-orf25-50SimCLU2.txt", 2)</f>
        <v>2</v>
      </c>
      <c r="BM859">
        <f>HYPERLINK("http://exon.niaid.nih.gov/transcriptome/Anopheles_sialome/links/cluster-b/anopheline-sialome-cds-pep-larger-orf25-50SimCLTL2.txt", 120)</f>
        <v>120</v>
      </c>
      <c r="BN859">
        <f>HYPERLINK("http://exon.niaid.nih.gov/transcriptome/Anopheles_sialome/links/cluster-b/anopheline-sialome-cds-pep-larger-orf30-50SimCLU2.txt", 2)</f>
        <v>2</v>
      </c>
      <c r="BO859">
        <f>HYPERLINK("http://exon.niaid.nih.gov/transcriptome/Anopheles_sialome/links/cluster-b/anopheline-sialome-cds-pep-larger-orf30-50SimCLTL2.txt", 120)</f>
        <v>120</v>
      </c>
      <c r="BP859">
        <f>HYPERLINK("http://exon.niaid.nih.gov/transcriptome/Anopheles_sialome/links/cluster-b/anopheline-sialome-cds-pep-larger-orf35-50SimCLU1.txt", 1)</f>
        <v>1</v>
      </c>
      <c r="BQ859">
        <f>HYPERLINK("http://exon.niaid.nih.gov/transcriptome/Anopheles_sialome/links/cluster-b/anopheline-sialome-cds-pep-larger-orf35-50SimCLTL1.txt", 120)</f>
        <v>120</v>
      </c>
      <c r="BR859">
        <f>HYPERLINK("http://exon.niaid.nih.gov/transcriptome/Anopheles_sialome/links/cluster-b/anopheline-sialome-cds-pep-larger-orf40-50SimCLU7.txt", 7)</f>
        <v>7</v>
      </c>
      <c r="BS859">
        <f>HYPERLINK("http://exon.niaid.nih.gov/transcriptome/Anopheles_sialome/links/cluster-b/anopheline-sialome-cds-pep-larger-orf40-50SimCLTL7.txt", 37)</f>
        <v>37</v>
      </c>
      <c r="BT859">
        <f>HYPERLINK("http://exon.niaid.nih.gov/transcriptome/Anopheles_sialome/links/cluster-b/anopheline-sialome-cds-pep-larger-orf45-50SimCLU6.txt", 6)</f>
        <v>6</v>
      </c>
      <c r="BU859">
        <f>HYPERLINK("http://exon.niaid.nih.gov/transcriptome/Anopheles_sialome/links/cluster-b/anopheline-sialome-cds-pep-larger-orf45-50SimCLTL6.txt", 37)</f>
        <v>37</v>
      </c>
      <c r="BV859">
        <f>HYPERLINK("http://exon.niaid.nih.gov/transcriptome/Anopheles_sialome/links/cluster-b/anopheline-sialome-cds-pep-larger-orf50-50SimCLU6.txt", 6)</f>
        <v>6</v>
      </c>
      <c r="BW859">
        <f>HYPERLINK("http://exon.niaid.nih.gov/transcriptome/Anopheles_sialome/links/cluster-b/anopheline-sialome-cds-pep-larger-orf50-50SimCLTL6.txt", 37)</f>
        <v>37</v>
      </c>
      <c r="BX859">
        <f>HYPERLINK("http://exon.niaid.nih.gov/transcriptome/Anopheles_sialome/links/cluster-b/anopheline-sialome-cds-pep-larger-orf55-50SimCLU5.txt", 5)</f>
        <v>5</v>
      </c>
      <c r="BY859">
        <f>HYPERLINK("http://exon.niaid.nih.gov/transcriptome/Anopheles_sialome/links/cluster-b/anopheline-sialome-cds-pep-larger-orf55-50SimCLTL5.txt", 37)</f>
        <v>37</v>
      </c>
      <c r="BZ859">
        <f>HYPERLINK("http://exon.niaid.nih.gov/transcriptome/Anopheles_sialome/links/cluster-b/anopheline-sialome-cds-pep-larger-orf60-50SimCLU4.txt", 4)</f>
        <v>4</v>
      </c>
      <c r="CA859">
        <f>HYPERLINK("http://exon.niaid.nih.gov/transcriptome/Anopheles_sialome/links/cluster-b/anopheline-sialome-cds-pep-larger-orf60-50SimCLTL4.txt", 37)</f>
        <v>37</v>
      </c>
      <c r="CB859">
        <f>HYPERLINK("http://exon.niaid.nih.gov/transcriptome/Anopheles_sialome/links/cluster-b/anopheline-sialome-cds-pep-larger-orf65-50SimCLU16.txt", 16)</f>
        <v>16</v>
      </c>
      <c r="CC859">
        <f>HYPERLINK("http://exon.niaid.nih.gov/transcriptome/Anopheles_sialome/links/cluster-b/anopheline-sialome-cds-pep-larger-orf65-50SimCLTL16.txt", 18)</f>
        <v>18</v>
      </c>
      <c r="CD859">
        <f>HYPERLINK("http://exon.niaid.nih.gov/transcriptome/Anopheles_sialome/links/cluster-b/anopheline-sialome-cds-pep-larger-orf70-50SimCLU23.txt", 23)</f>
        <v>23</v>
      </c>
      <c r="CE859">
        <f>HYPERLINK("http://exon.niaid.nih.gov/transcriptome/Anopheles_sialome/links/cluster-b/anopheline-sialome-cds-pep-larger-orf70-50SimCLTL23.txt", 16)</f>
        <v>16</v>
      </c>
      <c r="CF859">
        <f>HYPERLINK("http://exon.niaid.nih.gov/transcriptome/Anopheles_sialome/links/cluster-b/anopheline-sialome-cds-pep-larger-orf75-50SimCLU24.txt", 24)</f>
        <v>24</v>
      </c>
      <c r="CG859">
        <f>HYPERLINK("http://exon.niaid.nih.gov/transcriptome/Anopheles_sialome/links/cluster-b/anopheline-sialome-cds-pep-larger-orf75-50SimCLTL24.txt", 14)</f>
        <v>14</v>
      </c>
      <c r="CH859">
        <f>HYPERLINK("http://exon.niaid.nih.gov/transcriptome/Anopheles_sialome/links/cluster-b/anopheline-sialome-cds-pep-larger-orf80-50SimCLU20.txt", 20)</f>
        <v>20</v>
      </c>
      <c r="CI859">
        <f>HYPERLINK("http://exon.niaid.nih.gov/transcriptome/Anopheles_sialome/links/cluster-b/anopheline-sialome-cds-pep-larger-orf80-50SimCLTL20.txt", 13)</f>
        <v>13</v>
      </c>
      <c r="CJ859">
        <f>HYPERLINK("http://exon.niaid.nih.gov/transcriptome/Anopheles_sialome/links/cluster-b/anopheline-sialome-cds-pep-larger-orf85-50SimCLU21.txt", 21)</f>
        <v>21</v>
      </c>
      <c r="CK859">
        <f>HYPERLINK("http://exon.niaid.nih.gov/transcriptome/Anopheles_sialome/links/cluster-b/anopheline-sialome-cds-pep-larger-orf85-50SimCLTL21.txt", 8)</f>
        <v>8</v>
      </c>
      <c r="CL859">
        <f>HYPERLINK("http://exon.niaid.nih.gov/transcriptome/Anopheles_sialome/links/cluster-b/anopheline-sialome-cds-pep-larger-orf90-50SimCLU37.txt", 37)</f>
        <v>37</v>
      </c>
      <c r="CM859">
        <f>HYPERLINK("http://exon.niaid.nih.gov/transcriptome/Anopheles_sialome/links/cluster-b/anopheline-sialome-cds-pep-larger-orf90-50SimCLTL37.txt", 6)</f>
        <v>6</v>
      </c>
      <c r="CN859">
        <f>HYPERLINK("http://exon.niaid.nih.gov/transcriptome/Anopheles_sialome/links/cluster-b/anopheline-sialome-cds-pep-larger-orf95-50SimCLU28.txt", 28)</f>
        <v>28</v>
      </c>
      <c r="CO859">
        <f>HYPERLINK("http://exon.niaid.nih.gov/transcriptome/Anopheles_sialome/links/cluster-b/anopheline-sialome-cds-pep-larger-orf95-50SimCLTL28.txt", 6)</f>
        <v>6</v>
      </c>
    </row>
    <row r="860" spans="1:93">
      <c r="A860" s="2" t="str">
        <f>HYPERLINK("http://exon.niaid.nih.gov/transcriptome/Anopheles_sialome/links/cds/anomel_SG7-cds.txt","anomel_SG7")</f>
        <v>anomel_SG7</v>
      </c>
      <c r="B860">
        <v>432</v>
      </c>
      <c r="C860" t="s">
        <v>571</v>
      </c>
      <c r="D860" t="s">
        <v>4</v>
      </c>
      <c r="E860" t="s">
        <v>5</v>
      </c>
      <c r="F860" t="s">
        <v>1</v>
      </c>
      <c r="G860" t="str">
        <f>HYPERLINK("http://exon.niaid.nih.gov/transcriptome/Anopheles_sialome/links/pep/anomel_SG7-pep.txt","anomel_SG7")</f>
        <v>anomel_SG7</v>
      </c>
      <c r="H860">
        <v>143</v>
      </c>
      <c r="I860">
        <v>0</v>
      </c>
      <c r="J860" s="3" t="str">
        <f>HYPERLINK("http://exon.niaid.nih.gov/transcriptome/Anopheles_sialome/links/Sigp/anomel_SG7-SigP.txt","SIG")</f>
        <v>SIG</v>
      </c>
      <c r="K860" t="s">
        <v>834</v>
      </c>
      <c r="L860">
        <v>16.218</v>
      </c>
      <c r="M860">
        <v>8.7899999999999991</v>
      </c>
      <c r="N860">
        <v>13.457000000000001</v>
      </c>
      <c r="O860">
        <v>8.67</v>
      </c>
      <c r="P860" t="s">
        <v>2089</v>
      </c>
      <c r="Q860" s="3">
        <v>0</v>
      </c>
      <c r="R860" t="s">
        <v>128</v>
      </c>
      <c r="S860" t="s">
        <v>128</v>
      </c>
      <c r="T860" t="s">
        <v>128</v>
      </c>
      <c r="U860" t="s">
        <v>128</v>
      </c>
      <c r="V860" t="s">
        <v>128</v>
      </c>
      <c r="W860" s="3" t="str">
        <f>HYPERLINK("http://exon.niaid.nih.gov/transcriptome/Anopheles_sialome/links/netoglyc/anomel_SG7-netoglyc.txt","0")</f>
        <v>0</v>
      </c>
      <c r="X860">
        <v>11.2</v>
      </c>
      <c r="Y860">
        <v>2.8</v>
      </c>
      <c r="Z860">
        <v>4.2</v>
      </c>
      <c r="AA860" t="s">
        <v>654</v>
      </c>
      <c r="AB860" t="s">
        <v>128</v>
      </c>
      <c r="AC860" s="2" t="str">
        <f>HYPERLINK("http://exon.niaid.nih.gov/transcriptome/Anopheles_sialome/links/DIPTERA/anomel_SG7-DIPTERA.txt","gSG7 protein")</f>
        <v>gSG7 protein</v>
      </c>
      <c r="AD860" t="str">
        <f>HYPERLINK("http://www.ncbi.nlm.nih.gov/sutils/blink.cgi?pid=13537668","1E-073")</f>
        <v>1E-073</v>
      </c>
      <c r="AE860" t="str">
        <f>HYPERLINK("http://www.ncbi.nlm.nih.gov/protein/13537668","gi|13537668")</f>
        <v>gi|13537668</v>
      </c>
      <c r="AF860">
        <v>93</v>
      </c>
      <c r="AG860">
        <v>95</v>
      </c>
      <c r="AH860">
        <v>99</v>
      </c>
      <c r="AI860" t="s">
        <v>2254</v>
      </c>
      <c r="AJ860" s="2" t="str">
        <f>HYPERLINK("http://exon.niaid.nih.gov/transcriptome/Anopheles_sialome/links/CULICOMORPHA/anomel_SG7-CULICOMORPHA.txt","gSG7 protein")</f>
        <v>gSG7 protein</v>
      </c>
      <c r="AK860" t="str">
        <f>HYPERLINK("http://www.ncbi.nlm.nih.gov/sutils/blink.cgi?pid=13537668","3E-074")</f>
        <v>3E-074</v>
      </c>
      <c r="AL860" t="str">
        <f>HYPERLINK("http://www.ncbi.nlm.nih.gov/protein/13537668","gi|13537668")</f>
        <v>gi|13537668</v>
      </c>
      <c r="AM860">
        <v>93</v>
      </c>
      <c r="AN860">
        <v>95</v>
      </c>
      <c r="AO860">
        <v>99</v>
      </c>
      <c r="AP860" t="s">
        <v>2254</v>
      </c>
      <c r="AQ860" s="2" t="str">
        <f>HYPERLINK("http://exon.niaid.nih.gov/transcriptome/Anopheles_sialome/links/NR-LIGHT/anomel_SG7-NR-LIGHT.txt","gSG7 protein")</f>
        <v>gSG7 protein</v>
      </c>
      <c r="AR860" t="str">
        <f>HYPERLINK("http://www.ncbi.nlm.nih.gov/sutils/blink.cgi?pid=13537668","4E-073")</f>
        <v>4E-073</v>
      </c>
      <c r="AS860" t="str">
        <f>HYPERLINK("http://www.ncbi.nlm.nih.gov/protein/13537668","gi|13537668")</f>
        <v>gi|13537668</v>
      </c>
      <c r="AT860">
        <v>93</v>
      </c>
      <c r="AU860">
        <v>95</v>
      </c>
      <c r="AV860">
        <v>99</v>
      </c>
      <c r="AW860" t="s">
        <v>2254</v>
      </c>
      <c r="AX860" s="2" t="str">
        <f>HYPERLINK("http://exon.niaid.nih.gov/transcriptome/Anopheles_sialome/links/CDD/anomel_SG7-CDD.txt","PLN02889")</f>
        <v>PLN02889</v>
      </c>
      <c r="AY860" t="str">
        <f>HYPERLINK("http://www.ncbi.nlm.nih.gov/Structure/cdd/cddsrv.cgi?uid=PLN02889&amp;version=v4.0","0.17")</f>
        <v>0.17</v>
      </c>
      <c r="AZ860" t="s">
        <v>3063</v>
      </c>
      <c r="BA860" s="2" t="str">
        <f>HYPERLINK("http://exon.niaid.nih.gov/transcriptome/Anopheles_sialome/links/KOG/anomel_SG7-KOG.txt","Ca2+ transporting ATPase")</f>
        <v>Ca2+ transporting ATPase</v>
      </c>
      <c r="BB860" t="str">
        <f>HYPERLINK("http://www.ncbi.nlm.nih.gov/Structure/cdd/cddsrv.cgi?uid=KOG0202","4.3")</f>
        <v>4.3</v>
      </c>
      <c r="BC860" t="s">
        <v>2447</v>
      </c>
      <c r="BD860" t="str">
        <f>HYPERLINK("http://exon.niaid.nih.gov/transcriptome/Anopheles_sialome/links/KOG/anomel_SG7-KOG.txt","KOG0202")</f>
        <v>KOG0202</v>
      </c>
      <c r="BE860" t="str">
        <f>HYPERLINK("http://exon.niaid.nih.gov/transcriptome/Anopheles_sialome/links/PFAM/anomel_SG7-PFAM.txt","DUF4179")</f>
        <v>DUF4179</v>
      </c>
      <c r="BF860" t="str">
        <f>HYPERLINK("http://pfam.sanger.ac.uk/family?acc=PF13786","0.63")</f>
        <v>0.63</v>
      </c>
      <c r="BG860" s="2" t="str">
        <f>HYPERLINK("http://exon.niaid.nih.gov/transcriptome/Anopheles_sialome/links/SMART/anomel_SG7-SMART.txt","NUC")</f>
        <v>NUC</v>
      </c>
      <c r="BH860" t="str">
        <f>HYPERLINK("http://smart.embl-heidelberg.de/smart/do_annotation.pl?DOMAIN=NUC&amp;BLAST=DUMMY","0.10")</f>
        <v>0.10</v>
      </c>
      <c r="BI860" t="str">
        <f>HYPERLINK("http://exon.niaid.nih.gov/transcriptome/Anopheles_sialome/links/TICK-BLOCKS/anomel_SG7-TICK-BLOCKS.txt","Anopheles_gSG7 |")</f>
        <v>Anopheles_gSG7 |</v>
      </c>
      <c r="BJ860" s="2" t="s">
        <v>3058</v>
      </c>
      <c r="BK860" t="s">
        <v>2088</v>
      </c>
      <c r="BL860">
        <f>HYPERLINK("http://exon.niaid.nih.gov/transcriptome/Anopheles_sialome/links/cluster-b/anopheline-sialome-cds-pep-larger-orf25-50SimCLU2.txt", 2)</f>
        <v>2</v>
      </c>
      <c r="BM860">
        <f>HYPERLINK("http://exon.niaid.nih.gov/transcriptome/Anopheles_sialome/links/cluster-b/anopheline-sialome-cds-pep-larger-orf25-50SimCLTL2.txt", 120)</f>
        <v>120</v>
      </c>
      <c r="BN860">
        <f>HYPERLINK("http://exon.niaid.nih.gov/transcriptome/Anopheles_sialome/links/cluster-b/anopheline-sialome-cds-pep-larger-orf30-50SimCLU2.txt", 2)</f>
        <v>2</v>
      </c>
      <c r="BO860">
        <f>HYPERLINK("http://exon.niaid.nih.gov/transcriptome/Anopheles_sialome/links/cluster-b/anopheline-sialome-cds-pep-larger-orf30-50SimCLTL2.txt", 120)</f>
        <v>120</v>
      </c>
      <c r="BP860">
        <f>HYPERLINK("http://exon.niaid.nih.gov/transcriptome/Anopheles_sialome/links/cluster-b/anopheline-sialome-cds-pep-larger-orf35-50SimCLU1.txt", 1)</f>
        <v>1</v>
      </c>
      <c r="BQ860">
        <f>HYPERLINK("http://exon.niaid.nih.gov/transcriptome/Anopheles_sialome/links/cluster-b/anopheline-sialome-cds-pep-larger-orf35-50SimCLTL1.txt", 120)</f>
        <v>120</v>
      </c>
      <c r="BR860">
        <f>HYPERLINK("http://exon.niaid.nih.gov/transcriptome/Anopheles_sialome/links/cluster-b/anopheline-sialome-cds-pep-larger-orf40-50SimCLU7.txt", 7)</f>
        <v>7</v>
      </c>
      <c r="BS860">
        <f>HYPERLINK("http://exon.niaid.nih.gov/transcriptome/Anopheles_sialome/links/cluster-b/anopheline-sialome-cds-pep-larger-orf40-50SimCLTL7.txt", 37)</f>
        <v>37</v>
      </c>
      <c r="BT860">
        <f>HYPERLINK("http://exon.niaid.nih.gov/transcriptome/Anopheles_sialome/links/cluster-b/anopheline-sialome-cds-pep-larger-orf45-50SimCLU6.txt", 6)</f>
        <v>6</v>
      </c>
      <c r="BU860">
        <f>HYPERLINK("http://exon.niaid.nih.gov/transcriptome/Anopheles_sialome/links/cluster-b/anopheline-sialome-cds-pep-larger-orf45-50SimCLTL6.txt", 37)</f>
        <v>37</v>
      </c>
      <c r="BV860">
        <f>HYPERLINK("http://exon.niaid.nih.gov/transcriptome/Anopheles_sialome/links/cluster-b/anopheline-sialome-cds-pep-larger-orf50-50SimCLU6.txt", 6)</f>
        <v>6</v>
      </c>
      <c r="BW860">
        <f>HYPERLINK("http://exon.niaid.nih.gov/transcriptome/Anopheles_sialome/links/cluster-b/anopheline-sialome-cds-pep-larger-orf50-50SimCLTL6.txt", 37)</f>
        <v>37</v>
      </c>
      <c r="BX860">
        <f>HYPERLINK("http://exon.niaid.nih.gov/transcriptome/Anopheles_sialome/links/cluster-b/anopheline-sialome-cds-pep-larger-orf55-50SimCLU5.txt", 5)</f>
        <v>5</v>
      </c>
      <c r="BY860">
        <f>HYPERLINK("http://exon.niaid.nih.gov/transcriptome/Anopheles_sialome/links/cluster-b/anopheline-sialome-cds-pep-larger-orf55-50SimCLTL5.txt", 37)</f>
        <v>37</v>
      </c>
      <c r="BZ860">
        <f>HYPERLINK("http://exon.niaid.nih.gov/transcriptome/Anopheles_sialome/links/cluster-b/anopheline-sialome-cds-pep-larger-orf60-50SimCLU4.txt", 4)</f>
        <v>4</v>
      </c>
      <c r="CA860">
        <f>HYPERLINK("http://exon.niaid.nih.gov/transcriptome/Anopheles_sialome/links/cluster-b/anopheline-sialome-cds-pep-larger-orf60-50SimCLTL4.txt", 37)</f>
        <v>37</v>
      </c>
      <c r="CB860">
        <f>HYPERLINK("http://exon.niaid.nih.gov/transcriptome/Anopheles_sialome/links/cluster-b/anopheline-sialome-cds-pep-larger-orf65-50SimCLU16.txt", 16)</f>
        <v>16</v>
      </c>
      <c r="CC860">
        <f>HYPERLINK("http://exon.niaid.nih.gov/transcriptome/Anopheles_sialome/links/cluster-b/anopheline-sialome-cds-pep-larger-orf65-50SimCLTL16.txt", 18)</f>
        <v>18</v>
      </c>
      <c r="CD860">
        <f>HYPERLINK("http://exon.niaid.nih.gov/transcriptome/Anopheles_sialome/links/cluster-b/anopheline-sialome-cds-pep-larger-orf70-50SimCLU23.txt", 23)</f>
        <v>23</v>
      </c>
      <c r="CE860">
        <f>HYPERLINK("http://exon.niaid.nih.gov/transcriptome/Anopheles_sialome/links/cluster-b/anopheline-sialome-cds-pep-larger-orf70-50SimCLTL23.txt", 16)</f>
        <v>16</v>
      </c>
      <c r="CF860">
        <f>HYPERLINK("http://exon.niaid.nih.gov/transcriptome/Anopheles_sialome/links/cluster-b/anopheline-sialome-cds-pep-larger-orf75-50SimCLU24.txt", 24)</f>
        <v>24</v>
      </c>
      <c r="CG860">
        <f>HYPERLINK("http://exon.niaid.nih.gov/transcriptome/Anopheles_sialome/links/cluster-b/anopheline-sialome-cds-pep-larger-orf75-50SimCLTL24.txt", 14)</f>
        <v>14</v>
      </c>
      <c r="CH860">
        <f>HYPERLINK("http://exon.niaid.nih.gov/transcriptome/Anopheles_sialome/links/cluster-b/anopheline-sialome-cds-pep-larger-orf80-50SimCLU20.txt", 20)</f>
        <v>20</v>
      </c>
      <c r="CI860">
        <f>HYPERLINK("http://exon.niaid.nih.gov/transcriptome/Anopheles_sialome/links/cluster-b/anopheline-sialome-cds-pep-larger-orf80-50SimCLTL20.txt", 13)</f>
        <v>13</v>
      </c>
      <c r="CJ860">
        <f>HYPERLINK("http://exon.niaid.nih.gov/transcriptome/Anopheles_sialome/links/cluster-b/anopheline-sialome-cds-pep-larger-orf85-50SimCLU21.txt", 21)</f>
        <v>21</v>
      </c>
      <c r="CK860">
        <f>HYPERLINK("http://exon.niaid.nih.gov/transcriptome/Anopheles_sialome/links/cluster-b/anopheline-sialome-cds-pep-larger-orf85-50SimCLTL21.txt", 8)</f>
        <v>8</v>
      </c>
      <c r="CL860">
        <f>HYPERLINK("http://exon.niaid.nih.gov/transcriptome/Anopheles_sialome/links/cluster-b/anopheline-sialome-cds-pep-larger-orf90-50SimCLU37.txt", 37)</f>
        <v>37</v>
      </c>
      <c r="CM860">
        <f>HYPERLINK("http://exon.niaid.nih.gov/transcriptome/Anopheles_sialome/links/cluster-b/anopheline-sialome-cds-pep-larger-orf90-50SimCLTL37.txt", 6)</f>
        <v>6</v>
      </c>
      <c r="CN860">
        <f>HYPERLINK("http://exon.niaid.nih.gov/transcriptome/Anopheles_sialome/links/cluster-b/anopheline-sialome-cds-pep-larger-orf95-50SimCLU28.txt", 28)</f>
        <v>28</v>
      </c>
      <c r="CO860">
        <f>HYPERLINK("http://exon.niaid.nih.gov/transcriptome/Anopheles_sialome/links/cluster-b/anopheline-sialome-cds-pep-larger-orf95-50SimCLTL28.txt", 6)</f>
        <v>6</v>
      </c>
    </row>
    <row r="861" spans="1:93">
      <c r="A861" s="2" t="str">
        <f>HYPERLINK("http://exon.niaid.nih.gov/transcriptome/Anopheles_sialome/links/cds/anochris_SG7-cds.txt","anochris_SG7")</f>
        <v>anochris_SG7</v>
      </c>
      <c r="B861">
        <v>435</v>
      </c>
      <c r="C861" t="s">
        <v>572</v>
      </c>
      <c r="D861" t="s">
        <v>4</v>
      </c>
      <c r="E861" t="s">
        <v>5</v>
      </c>
      <c r="F861" t="s">
        <v>1</v>
      </c>
      <c r="G861" t="str">
        <f>HYPERLINK("http://exon.niaid.nih.gov/transcriptome/Anopheles_sialome/links/pep/anochris_SG7-pep.txt","anochris_SG7")</f>
        <v>anochris_SG7</v>
      </c>
      <c r="H861">
        <v>144</v>
      </c>
      <c r="I861">
        <v>0</v>
      </c>
      <c r="J861" s="3" t="str">
        <f>HYPERLINK("http://exon.niaid.nih.gov/transcriptome/Anopheles_sialome/links/Sigp/anochris_SG7-SigP.txt","SIG")</f>
        <v>SIG</v>
      </c>
      <c r="K861" t="s">
        <v>787</v>
      </c>
      <c r="L861">
        <v>16.407</v>
      </c>
      <c r="M861">
        <v>6.88</v>
      </c>
      <c r="N861">
        <v>13.734</v>
      </c>
      <c r="O861">
        <v>6.05</v>
      </c>
      <c r="P861" t="s">
        <v>2091</v>
      </c>
      <c r="Q861" s="3">
        <v>0</v>
      </c>
      <c r="R861" t="s">
        <v>128</v>
      </c>
      <c r="S861" t="s">
        <v>128</v>
      </c>
      <c r="T861" t="s">
        <v>128</v>
      </c>
      <c r="U861" t="s">
        <v>128</v>
      </c>
      <c r="V861" t="s">
        <v>128</v>
      </c>
      <c r="W861" s="3" t="str">
        <f>HYPERLINK("http://exon.niaid.nih.gov/transcriptome/Anopheles_sialome/links/netoglyc/anochris_SG7-netoglyc.txt","1")</f>
        <v>1</v>
      </c>
      <c r="X861">
        <v>13.2</v>
      </c>
      <c r="Y861">
        <v>2.1</v>
      </c>
      <c r="Z861">
        <v>2.8</v>
      </c>
      <c r="AA861" t="s">
        <v>654</v>
      </c>
      <c r="AB861" t="s">
        <v>128</v>
      </c>
      <c r="AC861" s="2" t="str">
        <f>HYPERLINK("http://exon.niaid.nih.gov/transcriptome/Anopheles_sialome/links/DIPTERA/anochris_SG7-DIPTERA.txt","gSG7 protein")</f>
        <v>gSG7 protein</v>
      </c>
      <c r="AD861" t="str">
        <f>HYPERLINK("http://www.ncbi.nlm.nih.gov/sutils/blink.cgi?pid=13537668","2E-061")</f>
        <v>2E-061</v>
      </c>
      <c r="AE861" t="str">
        <f>HYPERLINK("http://www.ncbi.nlm.nih.gov/protein/13537668","gi|13537668")</f>
        <v>gi|13537668</v>
      </c>
      <c r="AF861">
        <v>77</v>
      </c>
      <c r="AG861">
        <v>86</v>
      </c>
      <c r="AH861">
        <v>99</v>
      </c>
      <c r="AI861" t="s">
        <v>2254</v>
      </c>
      <c r="AJ861" s="2" t="str">
        <f>HYPERLINK("http://exon.niaid.nih.gov/transcriptome/Anopheles_sialome/links/CULICOMORPHA/anochris_SG7-CULICOMORPHA.txt","gSG7 protein")</f>
        <v>gSG7 protein</v>
      </c>
      <c r="AK861" t="str">
        <f>HYPERLINK("http://www.ncbi.nlm.nih.gov/sutils/blink.cgi?pid=13537668","3E-062")</f>
        <v>3E-062</v>
      </c>
      <c r="AL861" t="str">
        <f>HYPERLINK("http://www.ncbi.nlm.nih.gov/protein/13537668","gi|13537668")</f>
        <v>gi|13537668</v>
      </c>
      <c r="AM861">
        <v>77</v>
      </c>
      <c r="AN861">
        <v>86</v>
      </c>
      <c r="AO861">
        <v>99</v>
      </c>
      <c r="AP861" t="s">
        <v>2254</v>
      </c>
      <c r="AQ861" s="2" t="str">
        <f>HYPERLINK("http://exon.niaid.nih.gov/transcriptome/Anopheles_sialome/links/NR-LIGHT/anochris_SG7-NR-LIGHT.txt","gSG7 protein")</f>
        <v>gSG7 protein</v>
      </c>
      <c r="AR861" t="str">
        <f>HYPERLINK("http://www.ncbi.nlm.nih.gov/sutils/blink.cgi?pid=13537668","4E-061")</f>
        <v>4E-061</v>
      </c>
      <c r="AS861" t="str">
        <f>HYPERLINK("http://www.ncbi.nlm.nih.gov/protein/13537668","gi|13537668")</f>
        <v>gi|13537668</v>
      </c>
      <c r="AT861">
        <v>77</v>
      </c>
      <c r="AU861">
        <v>86</v>
      </c>
      <c r="AV861">
        <v>99</v>
      </c>
      <c r="AW861" t="s">
        <v>2254</v>
      </c>
      <c r="AX861" s="2" t="str">
        <f>HYPERLINK("http://exon.niaid.nih.gov/transcriptome/Anopheles_sialome/links/CDD/anochris_SG7-CDD.txt","DUF4090")</f>
        <v>DUF4090</v>
      </c>
      <c r="AY861" t="str">
        <f>HYPERLINK("http://www.ncbi.nlm.nih.gov/Structure/cdd/cddsrv.cgi?uid=pfam13319&amp;version=v4.0","0.058")</f>
        <v>0.058</v>
      </c>
      <c r="AZ861" t="s">
        <v>3064</v>
      </c>
      <c r="BA861" s="2" t="str">
        <f>HYPERLINK("http://exon.niaid.nih.gov/transcriptome/Anopheles_sialome/links/KOG/anochris_SG7-KOG.txt","Uncharacterized conserved protein")</f>
        <v>Uncharacterized conserved protein</v>
      </c>
      <c r="BB861" t="str">
        <f>HYPERLINK("http://www.ncbi.nlm.nih.gov/Structure/cdd/cddsrv.cgi?uid=KOG2610","2.3")</f>
        <v>2.3</v>
      </c>
      <c r="BC861" t="s">
        <v>2304</v>
      </c>
      <c r="BD861" t="str">
        <f>HYPERLINK("http://exon.niaid.nih.gov/transcriptome/Anopheles_sialome/links/KOG/anochris_SG7-KOG.txt","KOG2610")</f>
        <v>KOG2610</v>
      </c>
      <c r="BE861" t="str">
        <f>HYPERLINK("http://exon.niaid.nih.gov/transcriptome/Anopheles_sialome/links/PFAM/anochris_SG7-PFAM.txt","DUF4090")</f>
        <v>DUF4090</v>
      </c>
      <c r="BF861" t="str">
        <f>HYPERLINK("http://pfam.sanger.ac.uk/family?acc=PF13319","0.014")</f>
        <v>0.014</v>
      </c>
      <c r="BG861" s="2" t="str">
        <f>HYPERLINK("http://exon.niaid.nih.gov/transcriptome/Anopheles_sialome/links/SMART/anochris_SG7-SMART.txt","LNS2")</f>
        <v>LNS2</v>
      </c>
      <c r="BH861" t="str">
        <f>HYPERLINK("http://smart.embl-heidelberg.de/smart/do_annotation.pl?DOMAIN=LNS2&amp;BLAST=DUMMY","0.65")</f>
        <v>0.65</v>
      </c>
      <c r="BI861" t="s">
        <v>128</v>
      </c>
      <c r="BJ861" s="2" t="s">
        <v>128</v>
      </c>
      <c r="BK861" t="s">
        <v>2090</v>
      </c>
      <c r="BL861">
        <f>HYPERLINK("http://exon.niaid.nih.gov/transcriptome/Anopheles_sialome/links/cluster-b/anopheline-sialome-cds-pep-larger-orf25-50SimCLU2.txt", 2)</f>
        <v>2</v>
      </c>
      <c r="BM861">
        <f>HYPERLINK("http://exon.niaid.nih.gov/transcriptome/Anopheles_sialome/links/cluster-b/anopheline-sialome-cds-pep-larger-orf25-50SimCLTL2.txt", 120)</f>
        <v>120</v>
      </c>
      <c r="BN861">
        <f>HYPERLINK("http://exon.niaid.nih.gov/transcriptome/Anopheles_sialome/links/cluster-b/anopheline-sialome-cds-pep-larger-orf30-50SimCLU2.txt", 2)</f>
        <v>2</v>
      </c>
      <c r="BO861">
        <f>HYPERLINK("http://exon.niaid.nih.gov/transcriptome/Anopheles_sialome/links/cluster-b/anopheline-sialome-cds-pep-larger-orf30-50SimCLTL2.txt", 120)</f>
        <v>120</v>
      </c>
      <c r="BP861">
        <f>HYPERLINK("http://exon.niaid.nih.gov/transcriptome/Anopheles_sialome/links/cluster-b/anopheline-sialome-cds-pep-larger-orf35-50SimCLU1.txt", 1)</f>
        <v>1</v>
      </c>
      <c r="BQ861">
        <f>HYPERLINK("http://exon.niaid.nih.gov/transcriptome/Anopheles_sialome/links/cluster-b/anopheline-sialome-cds-pep-larger-orf35-50SimCLTL1.txt", 120)</f>
        <v>120</v>
      </c>
      <c r="BR861">
        <f>HYPERLINK("http://exon.niaid.nih.gov/transcriptome/Anopheles_sialome/links/cluster-b/anopheline-sialome-cds-pep-larger-orf40-50SimCLU7.txt", 7)</f>
        <v>7</v>
      </c>
      <c r="BS861">
        <f>HYPERLINK("http://exon.niaid.nih.gov/transcriptome/Anopheles_sialome/links/cluster-b/anopheline-sialome-cds-pep-larger-orf40-50SimCLTL7.txt", 37)</f>
        <v>37</v>
      </c>
      <c r="BT861">
        <f>HYPERLINK("http://exon.niaid.nih.gov/transcriptome/Anopheles_sialome/links/cluster-b/anopheline-sialome-cds-pep-larger-orf45-50SimCLU6.txt", 6)</f>
        <v>6</v>
      </c>
      <c r="BU861">
        <f>HYPERLINK("http://exon.niaid.nih.gov/transcriptome/Anopheles_sialome/links/cluster-b/anopheline-sialome-cds-pep-larger-orf45-50SimCLTL6.txt", 37)</f>
        <v>37</v>
      </c>
      <c r="BV861">
        <f>HYPERLINK("http://exon.niaid.nih.gov/transcriptome/Anopheles_sialome/links/cluster-b/anopheline-sialome-cds-pep-larger-orf50-50SimCLU6.txt", 6)</f>
        <v>6</v>
      </c>
      <c r="BW861">
        <f>HYPERLINK("http://exon.niaid.nih.gov/transcriptome/Anopheles_sialome/links/cluster-b/anopheline-sialome-cds-pep-larger-orf50-50SimCLTL6.txt", 37)</f>
        <v>37</v>
      </c>
      <c r="BX861">
        <f>HYPERLINK("http://exon.niaid.nih.gov/transcriptome/Anopheles_sialome/links/cluster-b/anopheline-sialome-cds-pep-larger-orf55-50SimCLU5.txt", 5)</f>
        <v>5</v>
      </c>
      <c r="BY861">
        <f>HYPERLINK("http://exon.niaid.nih.gov/transcriptome/Anopheles_sialome/links/cluster-b/anopheline-sialome-cds-pep-larger-orf55-50SimCLTL5.txt", 37)</f>
        <v>37</v>
      </c>
      <c r="BZ861">
        <f>HYPERLINK("http://exon.niaid.nih.gov/transcriptome/Anopheles_sialome/links/cluster-b/anopheline-sialome-cds-pep-larger-orf60-50SimCLU4.txt", 4)</f>
        <v>4</v>
      </c>
      <c r="CA861">
        <f>HYPERLINK("http://exon.niaid.nih.gov/transcriptome/Anopheles_sialome/links/cluster-b/anopheline-sialome-cds-pep-larger-orf60-50SimCLTL4.txt", 37)</f>
        <v>37</v>
      </c>
      <c r="CB861">
        <f>HYPERLINK("http://exon.niaid.nih.gov/transcriptome/Anopheles_sialome/links/cluster-b/anopheline-sialome-cds-pep-larger-orf65-50SimCLU16.txt", 16)</f>
        <v>16</v>
      </c>
      <c r="CC861">
        <f>HYPERLINK("http://exon.niaid.nih.gov/transcriptome/Anopheles_sialome/links/cluster-b/anopheline-sialome-cds-pep-larger-orf65-50SimCLTL16.txt", 18)</f>
        <v>18</v>
      </c>
      <c r="CD861">
        <f>HYPERLINK("http://exon.niaid.nih.gov/transcriptome/Anopheles_sialome/links/cluster-b/anopheline-sialome-cds-pep-larger-orf70-50SimCLU23.txt", 23)</f>
        <v>23</v>
      </c>
      <c r="CE861">
        <f>HYPERLINK("http://exon.niaid.nih.gov/transcriptome/Anopheles_sialome/links/cluster-b/anopheline-sialome-cds-pep-larger-orf70-50SimCLTL23.txt", 16)</f>
        <v>16</v>
      </c>
      <c r="CF861">
        <f>HYPERLINK("http://exon.niaid.nih.gov/transcriptome/Anopheles_sialome/links/cluster-b/anopheline-sialome-cds-pep-larger-orf75-50SimCLU24.txt", 24)</f>
        <v>24</v>
      </c>
      <c r="CG861">
        <f>HYPERLINK("http://exon.niaid.nih.gov/transcriptome/Anopheles_sialome/links/cluster-b/anopheline-sialome-cds-pep-larger-orf75-50SimCLTL24.txt", 14)</f>
        <v>14</v>
      </c>
      <c r="CH861">
        <f>HYPERLINK("http://exon.niaid.nih.gov/transcriptome/Anopheles_sialome/links/cluster-b/anopheline-sialome-cds-pep-larger-orf80-50SimCLU20.txt", 20)</f>
        <v>20</v>
      </c>
      <c r="CI861">
        <f>HYPERLINK("http://exon.niaid.nih.gov/transcriptome/Anopheles_sialome/links/cluster-b/anopheline-sialome-cds-pep-larger-orf80-50SimCLTL20.txt", 13)</f>
        <v>13</v>
      </c>
      <c r="CJ861">
        <f>HYPERLINK("http://exon.niaid.nih.gov/transcriptome/Anopheles_sialome/links/cluster-b/anopheline-sialome-cds-pep-larger-orf85-50SimCLU21.txt", 21)</f>
        <v>21</v>
      </c>
      <c r="CK861">
        <f>HYPERLINK("http://exon.niaid.nih.gov/transcriptome/Anopheles_sialome/links/cluster-b/anopheline-sialome-cds-pep-larger-orf85-50SimCLTL21.txt", 8)</f>
        <v>8</v>
      </c>
      <c r="CL861">
        <v>417</v>
      </c>
      <c r="CM861">
        <v>1</v>
      </c>
      <c r="CN861">
        <v>514</v>
      </c>
      <c r="CO861">
        <v>1</v>
      </c>
    </row>
    <row r="862" spans="1:93">
      <c r="A862" s="2" t="str">
        <f>HYPERLINK("http://exon.niaid.nih.gov/transcriptome/Anopheles_sialome/links/cds/anoepi_SG7-cds.txt","anoepi_SG7")</f>
        <v>anoepi_SG7</v>
      </c>
      <c r="B862">
        <v>435</v>
      </c>
      <c r="C862" t="s">
        <v>573</v>
      </c>
      <c r="D862" t="s">
        <v>7</v>
      </c>
      <c r="E862" t="s">
        <v>5</v>
      </c>
      <c r="F862" t="s">
        <v>1</v>
      </c>
      <c r="G862" t="str">
        <f>HYPERLINK("http://exon.niaid.nih.gov/transcriptome/Anopheles_sialome/links/pep/anoepi_SG7-pep.txt","anoepi_SG7")</f>
        <v>anoepi_SG7</v>
      </c>
      <c r="H862">
        <v>144</v>
      </c>
      <c r="I862">
        <v>0</v>
      </c>
      <c r="J862" s="3" t="str">
        <f>HYPERLINK("http://exon.niaid.nih.gov/transcriptome/Anopheles_sialome/links/Sigp/anoepi_SG7-SigP.txt","SIG")</f>
        <v>SIG</v>
      </c>
      <c r="K862" t="s">
        <v>787</v>
      </c>
      <c r="L862">
        <v>16.13</v>
      </c>
      <c r="M862">
        <v>8.7899999999999991</v>
      </c>
      <c r="N862">
        <v>13.536</v>
      </c>
      <c r="O862">
        <v>8.36</v>
      </c>
      <c r="P862" t="s">
        <v>2093</v>
      </c>
      <c r="Q862" s="3" t="str">
        <f>HYPERLINK("http://exon.niaid.nih.gov/transcriptome/Anopheles_sialome/links/tmhmm/anoepi_SG7-tmhmm.txt","1")</f>
        <v>1</v>
      </c>
      <c r="R862">
        <v>11.8</v>
      </c>
      <c r="S862">
        <v>84.7</v>
      </c>
      <c r="T862">
        <v>3.5</v>
      </c>
      <c r="U862" t="s">
        <v>128</v>
      </c>
      <c r="V862">
        <v>122</v>
      </c>
      <c r="W862" s="3" t="str">
        <f>HYPERLINK("http://exon.niaid.nih.gov/transcriptome/Anopheles_sialome/links/netoglyc/anoepi_SG7-netoglyc.txt","0")</f>
        <v>0</v>
      </c>
      <c r="X862">
        <v>9.6999999999999993</v>
      </c>
      <c r="Y862">
        <v>4.9000000000000004</v>
      </c>
      <c r="Z862">
        <v>2.8</v>
      </c>
      <c r="AA862" t="s">
        <v>654</v>
      </c>
      <c r="AB862" t="s">
        <v>128</v>
      </c>
      <c r="AC862" s="2" t="str">
        <f>HYPERLINK("http://exon.niaid.nih.gov/transcriptome/Anopheles_sialome/links/DIPTERA/anoepi_SG7-DIPTERA.txt","AGAP008216-PA")</f>
        <v>AGAP008216-PA</v>
      </c>
      <c r="AD862" t="str">
        <f>HYPERLINK("http://www.ncbi.nlm.nih.gov/sutils/blink.cgi?pid=55237472","2E-054")</f>
        <v>2E-054</v>
      </c>
      <c r="AE862" t="str">
        <f>HYPERLINK("http://www.ncbi.nlm.nih.gov/protein/55237472","gi|55237472")</f>
        <v>gi|55237472</v>
      </c>
      <c r="AF862">
        <v>68</v>
      </c>
      <c r="AG862">
        <v>81</v>
      </c>
      <c r="AH862">
        <v>99</v>
      </c>
      <c r="AI862" t="s">
        <v>2285</v>
      </c>
      <c r="AJ862" s="2" t="str">
        <f>HYPERLINK("http://exon.niaid.nih.gov/transcriptome/Anopheles_sialome/links/CULICOMORPHA/anoepi_SG7-CULICOMORPHA.txt","AGAP008216-PA")</f>
        <v>AGAP008216-PA</v>
      </c>
      <c r="AK862" t="str">
        <f>HYPERLINK("http://www.ncbi.nlm.nih.gov/sutils/blink.cgi?pid=55237472","5E-055")</f>
        <v>5E-055</v>
      </c>
      <c r="AL862" t="str">
        <f>HYPERLINK("http://www.ncbi.nlm.nih.gov/protein/55237472","gi|55237472")</f>
        <v>gi|55237472</v>
      </c>
      <c r="AM862">
        <v>68</v>
      </c>
      <c r="AN862">
        <v>81</v>
      </c>
      <c r="AO862">
        <v>99</v>
      </c>
      <c r="AP862" t="s">
        <v>2285</v>
      </c>
      <c r="AQ862" s="2" t="str">
        <f>HYPERLINK("http://exon.niaid.nih.gov/transcriptome/Anopheles_sialome/links/NR-LIGHT/anoepi_SG7-NR-LIGHT.txt","AGAP008216-PA")</f>
        <v>AGAP008216-PA</v>
      </c>
      <c r="AR862" t="str">
        <f>HYPERLINK("http://www.ncbi.nlm.nih.gov/sutils/blink.cgi?pid=58389748","7E-054")</f>
        <v>7E-054</v>
      </c>
      <c r="AS862" t="str">
        <f>HYPERLINK("http://www.ncbi.nlm.nih.gov/protein/58389748","gi|58389748")</f>
        <v>gi|58389748</v>
      </c>
      <c r="AT862">
        <v>68</v>
      </c>
      <c r="AU862">
        <v>81</v>
      </c>
      <c r="AV862">
        <v>99</v>
      </c>
      <c r="AW862" t="s">
        <v>2285</v>
      </c>
      <c r="AX862" s="2" t="str">
        <f>HYPERLINK("http://exon.niaid.nih.gov/transcriptome/Anopheles_sialome/links/CDD/anoepi_SG7-CDD.txt","C2A_Munc13-like")</f>
        <v>C2A_Munc13-like</v>
      </c>
      <c r="AY862" t="str">
        <f>HYPERLINK("http://www.ncbi.nlm.nih.gov/Structure/cdd/cddsrv.cgi?uid=cd08676&amp;version=v4.0","0.14")</f>
        <v>0.14</v>
      </c>
      <c r="AZ862" t="s">
        <v>3065</v>
      </c>
      <c r="BA862" s="2" t="str">
        <f>HYPERLINK("http://exon.niaid.nih.gov/transcriptome/Anopheles_sialome/links/KOG/anoepi_SG7-KOG.txt","Ca2+-permeable cation channel OSM-9 and related channels (OTRPC family)")</f>
        <v>Ca2+-permeable cation channel OSM-9 and related channels (OTRPC family)</v>
      </c>
      <c r="BB862" t="str">
        <f>HYPERLINK("http://www.ncbi.nlm.nih.gov/Structure/cdd/cddsrv.cgi?uid=KOG3676","2.5")</f>
        <v>2.5</v>
      </c>
      <c r="BC862" t="s">
        <v>2649</v>
      </c>
      <c r="BD862" t="str">
        <f>HYPERLINK("http://exon.niaid.nih.gov/transcriptome/Anopheles_sialome/links/KOG/anoepi_SG7-KOG.txt","KOG3676")</f>
        <v>KOG3676</v>
      </c>
      <c r="BE862" t="str">
        <f>HYPERLINK("http://exon.niaid.nih.gov/transcriptome/Anopheles_sialome/links/PFAM/anoepi_SG7-PFAM.txt","Herpes_UL55")</f>
        <v>Herpes_UL55</v>
      </c>
      <c r="BF862" t="str">
        <f>HYPERLINK("http://pfam.sanger.ac.uk/family?acc=PF04537","0.36")</f>
        <v>0.36</v>
      </c>
      <c r="BG862" s="2" t="str">
        <f>HYPERLINK("http://exon.niaid.nih.gov/transcriptome/Anopheles_sialome/links/SMART/anoepi_SG7-SMART.txt","LNS2")</f>
        <v>LNS2</v>
      </c>
      <c r="BH862" t="str">
        <f>HYPERLINK("http://smart.embl-heidelberg.de/smart/do_annotation.pl?DOMAIN=LNS2&amp;BLAST=DUMMY","1.8")</f>
        <v>1.8</v>
      </c>
      <c r="BI862" t="s">
        <v>128</v>
      </c>
      <c r="BJ862" s="2" t="s">
        <v>128</v>
      </c>
      <c r="BK862" t="s">
        <v>2092</v>
      </c>
      <c r="BL862">
        <f>HYPERLINK("http://exon.niaid.nih.gov/transcriptome/Anopheles_sialome/links/cluster-b/anopheline-sialome-cds-pep-larger-orf25-50SimCLU2.txt", 2)</f>
        <v>2</v>
      </c>
      <c r="BM862">
        <f>HYPERLINK("http://exon.niaid.nih.gov/transcriptome/Anopheles_sialome/links/cluster-b/anopheline-sialome-cds-pep-larger-orf25-50SimCLTL2.txt", 120)</f>
        <v>120</v>
      </c>
      <c r="BN862">
        <f>HYPERLINK("http://exon.niaid.nih.gov/transcriptome/Anopheles_sialome/links/cluster-b/anopheline-sialome-cds-pep-larger-orf30-50SimCLU2.txt", 2)</f>
        <v>2</v>
      </c>
      <c r="BO862">
        <f>HYPERLINK("http://exon.niaid.nih.gov/transcriptome/Anopheles_sialome/links/cluster-b/anopheline-sialome-cds-pep-larger-orf30-50SimCLTL2.txt", 120)</f>
        <v>120</v>
      </c>
      <c r="BP862">
        <f>HYPERLINK("http://exon.niaid.nih.gov/transcriptome/Anopheles_sialome/links/cluster-b/anopheline-sialome-cds-pep-larger-orf35-50SimCLU1.txt", 1)</f>
        <v>1</v>
      </c>
      <c r="BQ862">
        <f>HYPERLINK("http://exon.niaid.nih.gov/transcriptome/Anopheles_sialome/links/cluster-b/anopheline-sialome-cds-pep-larger-orf35-50SimCLTL1.txt", 120)</f>
        <v>120</v>
      </c>
      <c r="BR862">
        <f>HYPERLINK("http://exon.niaid.nih.gov/transcriptome/Anopheles_sialome/links/cluster-b/anopheline-sialome-cds-pep-larger-orf40-50SimCLU7.txt", 7)</f>
        <v>7</v>
      </c>
      <c r="BS862">
        <f>HYPERLINK("http://exon.niaid.nih.gov/transcriptome/Anopheles_sialome/links/cluster-b/anopheline-sialome-cds-pep-larger-orf40-50SimCLTL7.txt", 37)</f>
        <v>37</v>
      </c>
      <c r="BT862">
        <f>HYPERLINK("http://exon.niaid.nih.gov/transcriptome/Anopheles_sialome/links/cluster-b/anopheline-sialome-cds-pep-larger-orf45-50SimCLU6.txt", 6)</f>
        <v>6</v>
      </c>
      <c r="BU862">
        <f>HYPERLINK("http://exon.niaid.nih.gov/transcriptome/Anopheles_sialome/links/cluster-b/anopheline-sialome-cds-pep-larger-orf45-50SimCLTL6.txt", 37)</f>
        <v>37</v>
      </c>
      <c r="BV862">
        <f>HYPERLINK("http://exon.niaid.nih.gov/transcriptome/Anopheles_sialome/links/cluster-b/anopheline-sialome-cds-pep-larger-orf50-50SimCLU6.txt", 6)</f>
        <v>6</v>
      </c>
      <c r="BW862">
        <f>HYPERLINK("http://exon.niaid.nih.gov/transcriptome/Anopheles_sialome/links/cluster-b/anopheline-sialome-cds-pep-larger-orf50-50SimCLTL6.txt", 37)</f>
        <v>37</v>
      </c>
      <c r="BX862">
        <f>HYPERLINK("http://exon.niaid.nih.gov/transcriptome/Anopheles_sialome/links/cluster-b/anopheline-sialome-cds-pep-larger-orf55-50SimCLU5.txt", 5)</f>
        <v>5</v>
      </c>
      <c r="BY862">
        <f>HYPERLINK("http://exon.niaid.nih.gov/transcriptome/Anopheles_sialome/links/cluster-b/anopheline-sialome-cds-pep-larger-orf55-50SimCLTL5.txt", 37)</f>
        <v>37</v>
      </c>
      <c r="BZ862">
        <f>HYPERLINK("http://exon.niaid.nih.gov/transcriptome/Anopheles_sialome/links/cluster-b/anopheline-sialome-cds-pep-larger-orf60-50SimCLU4.txt", 4)</f>
        <v>4</v>
      </c>
      <c r="CA862">
        <f>HYPERLINK("http://exon.niaid.nih.gov/transcriptome/Anopheles_sialome/links/cluster-b/anopheline-sialome-cds-pep-larger-orf60-50SimCLTL4.txt", 37)</f>
        <v>37</v>
      </c>
      <c r="CB862">
        <f>HYPERLINK("http://exon.niaid.nih.gov/transcriptome/Anopheles_sialome/links/cluster-b/anopheline-sialome-cds-pep-larger-orf65-50SimCLU16.txt", 16)</f>
        <v>16</v>
      </c>
      <c r="CC862">
        <f>HYPERLINK("http://exon.niaid.nih.gov/transcriptome/Anopheles_sialome/links/cluster-b/anopheline-sialome-cds-pep-larger-orf65-50SimCLTL16.txt", 18)</f>
        <v>18</v>
      </c>
      <c r="CD862">
        <f>HYPERLINK("http://exon.niaid.nih.gov/transcriptome/Anopheles_sialome/links/cluster-b/anopheline-sialome-cds-pep-larger-orf70-50SimCLU23.txt", 23)</f>
        <v>23</v>
      </c>
      <c r="CE862">
        <f>HYPERLINK("http://exon.niaid.nih.gov/transcriptome/Anopheles_sialome/links/cluster-b/anopheline-sialome-cds-pep-larger-orf70-50SimCLTL23.txt", 16)</f>
        <v>16</v>
      </c>
      <c r="CF862">
        <f>HYPERLINK("http://exon.niaid.nih.gov/transcriptome/Anopheles_sialome/links/cluster-b/anopheline-sialome-cds-pep-larger-orf75-50SimCLU24.txt", 24)</f>
        <v>24</v>
      </c>
      <c r="CG862">
        <f>HYPERLINK("http://exon.niaid.nih.gov/transcriptome/Anopheles_sialome/links/cluster-b/anopheline-sialome-cds-pep-larger-orf75-50SimCLTL24.txt", 14)</f>
        <v>14</v>
      </c>
      <c r="CH862">
        <f>HYPERLINK("http://exon.niaid.nih.gov/transcriptome/Anopheles_sialome/links/cluster-b/anopheline-sialome-cds-pep-larger-orf80-50SimCLU20.txt", 20)</f>
        <v>20</v>
      </c>
      <c r="CI862">
        <f>HYPERLINK("http://exon.niaid.nih.gov/transcriptome/Anopheles_sialome/links/cluster-b/anopheline-sialome-cds-pep-larger-orf80-50SimCLTL20.txt", 13)</f>
        <v>13</v>
      </c>
      <c r="CJ862">
        <f>HYPERLINK("http://exon.niaid.nih.gov/transcriptome/Anopheles_sialome/links/cluster-b/anopheline-sialome-cds-pep-larger-orf85-50SimCLU21.txt", 21)</f>
        <v>21</v>
      </c>
      <c r="CK862">
        <f>HYPERLINK("http://exon.niaid.nih.gov/transcriptome/Anopheles_sialome/links/cluster-b/anopheline-sialome-cds-pep-larger-orf85-50SimCLTL21.txt", 8)</f>
        <v>8</v>
      </c>
      <c r="CL862">
        <v>418</v>
      </c>
      <c r="CM862">
        <v>1</v>
      </c>
      <c r="CN862">
        <v>515</v>
      </c>
      <c r="CO862">
        <v>1</v>
      </c>
    </row>
    <row r="863" spans="1:93">
      <c r="A863" s="2" t="str">
        <f>HYPERLINK("http://exon.niaid.nih.gov/transcriptome/Anopheles_sialome/links/cds/anofun_SG7-cds.txt","anofun_SG7")</f>
        <v>anofun_SG7</v>
      </c>
      <c r="B863">
        <v>429</v>
      </c>
      <c r="C863" t="s">
        <v>574</v>
      </c>
      <c r="D863" t="s">
        <v>7</v>
      </c>
      <c r="E863" t="s">
        <v>5</v>
      </c>
      <c r="F863" t="s">
        <v>1</v>
      </c>
      <c r="G863" t="str">
        <f>HYPERLINK("http://exon.niaid.nih.gov/transcriptome/Anopheles_sialome/links/pep/anofun_SG7-pep.txt","anofun_SG7")</f>
        <v>anofun_SG7</v>
      </c>
      <c r="H863">
        <v>142</v>
      </c>
      <c r="I863">
        <v>0</v>
      </c>
      <c r="J863" s="3" t="str">
        <f>HYPERLINK("http://exon.niaid.nih.gov/transcriptome/Anopheles_sialome/links/Sigp/anofun_SG7-SigP.txt","SIG")</f>
        <v>SIG</v>
      </c>
      <c r="K863" t="s">
        <v>787</v>
      </c>
      <c r="L863">
        <v>16.151</v>
      </c>
      <c r="M863">
        <v>6.81</v>
      </c>
      <c r="N863">
        <v>13.506</v>
      </c>
      <c r="O863">
        <v>7.03</v>
      </c>
      <c r="P863" t="s">
        <v>2095</v>
      </c>
      <c r="Q863" s="3" t="str">
        <f>HYPERLINK("http://exon.niaid.nih.gov/transcriptome/Anopheles_sialome/links/tmhmm/anofun_SG7-tmhmm.txt","1")</f>
        <v>1</v>
      </c>
      <c r="R863">
        <v>15.5</v>
      </c>
      <c r="S863">
        <v>81</v>
      </c>
      <c r="T863">
        <v>3.5</v>
      </c>
      <c r="U863" t="s">
        <v>128</v>
      </c>
      <c r="V863">
        <v>115</v>
      </c>
      <c r="W863" s="3" t="str">
        <f>HYPERLINK("http://exon.niaid.nih.gov/transcriptome/Anopheles_sialome/links/netoglyc/anofun_SG7-netoglyc.txt","1")</f>
        <v>1</v>
      </c>
      <c r="X863">
        <v>12</v>
      </c>
      <c r="Y863">
        <v>3.5</v>
      </c>
      <c r="Z863">
        <v>4.2</v>
      </c>
      <c r="AA863" t="s">
        <v>654</v>
      </c>
      <c r="AB863" t="s">
        <v>128</v>
      </c>
      <c r="AC863" s="2" t="str">
        <f>HYPERLINK("http://exon.niaid.nih.gov/transcriptome/Anopheles_sialome/links/DIPTERA/anofun_SG7-DIPTERA.txt","gSG7 salivary protein")</f>
        <v>gSG7 salivary protein</v>
      </c>
      <c r="AD863" t="str">
        <f>HYPERLINK("http://www.ncbi.nlm.nih.gov/sutils/blink.cgi?pid=114864855","9E-076")</f>
        <v>9E-076</v>
      </c>
      <c r="AE863" t="str">
        <f>HYPERLINK("http://www.ncbi.nlm.nih.gov/protein/114864855","gi|114864855")</f>
        <v>gi|114864855</v>
      </c>
      <c r="AF863">
        <v>97</v>
      </c>
      <c r="AG863">
        <v>97</v>
      </c>
      <c r="AH863">
        <v>100</v>
      </c>
      <c r="AI863" t="s">
        <v>2266</v>
      </c>
      <c r="AJ863" s="2" t="str">
        <f>HYPERLINK("http://exon.niaid.nih.gov/transcriptome/Anopheles_sialome/links/CULICOMORPHA/anofun_SG7-CULICOMORPHA.txt","gSG7 salivary protein")</f>
        <v>gSG7 salivary protein</v>
      </c>
      <c r="AK863" t="str">
        <f>HYPERLINK("http://www.ncbi.nlm.nih.gov/sutils/blink.cgi?pid=114864855","2E-076")</f>
        <v>2E-076</v>
      </c>
      <c r="AL863" t="str">
        <f>HYPERLINK("http://www.ncbi.nlm.nih.gov/protein/114864855","gi|114864855")</f>
        <v>gi|114864855</v>
      </c>
      <c r="AM863">
        <v>97</v>
      </c>
      <c r="AN863">
        <v>97</v>
      </c>
      <c r="AO863">
        <v>100</v>
      </c>
      <c r="AP863" t="s">
        <v>2266</v>
      </c>
      <c r="AQ863" s="2" t="str">
        <f>HYPERLINK("http://exon.niaid.nih.gov/transcriptome/Anopheles_sialome/links/NR-LIGHT/anofun_SG7-NR-LIGHT.txt","gSG7 salivary protein")</f>
        <v>gSG7 salivary protein</v>
      </c>
      <c r="AR863" t="str">
        <f>HYPERLINK("http://www.ncbi.nlm.nih.gov/sutils/blink.cgi?pid=114864855","2E-075")</f>
        <v>2E-075</v>
      </c>
      <c r="AS863" t="str">
        <f>HYPERLINK("http://www.ncbi.nlm.nih.gov/protein/114864855","gi|114864855")</f>
        <v>gi|114864855</v>
      </c>
      <c r="AT863">
        <v>97</v>
      </c>
      <c r="AU863">
        <v>97</v>
      </c>
      <c r="AV863">
        <v>100</v>
      </c>
      <c r="AW863" t="s">
        <v>2266</v>
      </c>
      <c r="AX863" s="2" t="str">
        <f>HYPERLINK("http://exon.niaid.nih.gov/transcriptome/Anopheles_sialome/links/CDD/anofun_SG7-CDD.txt","conserved_hypot")</f>
        <v>conserved_hypot</v>
      </c>
      <c r="AY863" t="str">
        <f>HYPERLINK("http://www.ncbi.nlm.nih.gov/Structure/cdd/cddsrv.cgi?uid=TIGR04371&amp;version=v4.0","0.19")</f>
        <v>0.19</v>
      </c>
      <c r="AZ863" t="s">
        <v>3066</v>
      </c>
      <c r="BA863" s="2" t="str">
        <f>HYPERLINK("http://exon.niaid.nih.gov/transcriptome/Anopheles_sialome/links/KOG/anofun_SG7-KOG.txt","Uncharacterized conserved protein")</f>
        <v>Uncharacterized conserved protein</v>
      </c>
      <c r="BB863" t="str">
        <f>HYPERLINK("http://www.ncbi.nlm.nih.gov/Structure/cdd/cddsrv.cgi?uid=KOG4595","2.7")</f>
        <v>2.7</v>
      </c>
      <c r="BC863" t="s">
        <v>2304</v>
      </c>
      <c r="BD863" t="str">
        <f>HYPERLINK("http://exon.niaid.nih.gov/transcriptome/Anopheles_sialome/links/KOG/anofun_SG7-KOG.txt","KOG4595")</f>
        <v>KOG4595</v>
      </c>
      <c r="BE863" t="str">
        <f>HYPERLINK("http://exon.niaid.nih.gov/transcriptome/Anopheles_sialome/links/PFAM/anofun_SG7-PFAM.txt","DUF4179")</f>
        <v>DUF4179</v>
      </c>
      <c r="BF863" t="str">
        <f>HYPERLINK("http://pfam.sanger.ac.uk/family?acc=PF13786","0.62")</f>
        <v>0.62</v>
      </c>
      <c r="BG863" s="2" t="str">
        <f>HYPERLINK("http://exon.niaid.nih.gov/transcriptome/Anopheles_sialome/links/SMART/anofun_SG7-SMART.txt","LNS2")</f>
        <v>LNS2</v>
      </c>
      <c r="BH863" t="str">
        <f>HYPERLINK("http://smart.embl-heidelberg.de/smart/do_annotation.pl?DOMAIN=LNS2&amp;BLAST=DUMMY","0.23")</f>
        <v>0.23</v>
      </c>
      <c r="BI863" t="str">
        <f>HYPERLINK("http://exon.niaid.nih.gov/transcriptome/Anopheles_sialome/links/TICK-BLOCKS/anofun_SG7-TICK-BLOCKS.txt","Anopheles_gSG7 |")</f>
        <v>Anopheles_gSG7 |</v>
      </c>
      <c r="BJ863" s="2" t="s">
        <v>3058</v>
      </c>
      <c r="BK863" t="s">
        <v>2094</v>
      </c>
      <c r="BL863">
        <f>HYPERLINK("http://exon.niaid.nih.gov/transcriptome/Anopheles_sialome/links/cluster-b/anopheline-sialome-cds-pep-larger-orf25-50SimCLU2.txt", 2)</f>
        <v>2</v>
      </c>
      <c r="BM863">
        <f>HYPERLINK("http://exon.niaid.nih.gov/transcriptome/Anopheles_sialome/links/cluster-b/anopheline-sialome-cds-pep-larger-orf25-50SimCLTL2.txt", 120)</f>
        <v>120</v>
      </c>
      <c r="BN863">
        <f>HYPERLINK("http://exon.niaid.nih.gov/transcriptome/Anopheles_sialome/links/cluster-b/anopheline-sialome-cds-pep-larger-orf30-50SimCLU2.txt", 2)</f>
        <v>2</v>
      </c>
      <c r="BO863">
        <f>HYPERLINK("http://exon.niaid.nih.gov/transcriptome/Anopheles_sialome/links/cluster-b/anopheline-sialome-cds-pep-larger-orf30-50SimCLTL2.txt", 120)</f>
        <v>120</v>
      </c>
      <c r="BP863">
        <f>HYPERLINK("http://exon.niaid.nih.gov/transcriptome/Anopheles_sialome/links/cluster-b/anopheline-sialome-cds-pep-larger-orf35-50SimCLU1.txt", 1)</f>
        <v>1</v>
      </c>
      <c r="BQ863">
        <f>HYPERLINK("http://exon.niaid.nih.gov/transcriptome/Anopheles_sialome/links/cluster-b/anopheline-sialome-cds-pep-larger-orf35-50SimCLTL1.txt", 120)</f>
        <v>120</v>
      </c>
      <c r="BR863">
        <f>HYPERLINK("http://exon.niaid.nih.gov/transcriptome/Anopheles_sialome/links/cluster-b/anopheline-sialome-cds-pep-larger-orf40-50SimCLU7.txt", 7)</f>
        <v>7</v>
      </c>
      <c r="BS863">
        <f>HYPERLINK("http://exon.niaid.nih.gov/transcriptome/Anopheles_sialome/links/cluster-b/anopheline-sialome-cds-pep-larger-orf40-50SimCLTL7.txt", 37)</f>
        <v>37</v>
      </c>
      <c r="BT863">
        <f>HYPERLINK("http://exon.niaid.nih.gov/transcriptome/Anopheles_sialome/links/cluster-b/anopheline-sialome-cds-pep-larger-orf45-50SimCLU6.txt", 6)</f>
        <v>6</v>
      </c>
      <c r="BU863">
        <f>HYPERLINK("http://exon.niaid.nih.gov/transcriptome/Anopheles_sialome/links/cluster-b/anopheline-sialome-cds-pep-larger-orf45-50SimCLTL6.txt", 37)</f>
        <v>37</v>
      </c>
      <c r="BV863">
        <f>HYPERLINK("http://exon.niaid.nih.gov/transcriptome/Anopheles_sialome/links/cluster-b/anopheline-sialome-cds-pep-larger-orf50-50SimCLU6.txt", 6)</f>
        <v>6</v>
      </c>
      <c r="BW863">
        <f>HYPERLINK("http://exon.niaid.nih.gov/transcriptome/Anopheles_sialome/links/cluster-b/anopheline-sialome-cds-pep-larger-orf50-50SimCLTL6.txt", 37)</f>
        <v>37</v>
      </c>
      <c r="BX863">
        <f>HYPERLINK("http://exon.niaid.nih.gov/transcriptome/Anopheles_sialome/links/cluster-b/anopheline-sialome-cds-pep-larger-orf55-50SimCLU5.txt", 5)</f>
        <v>5</v>
      </c>
      <c r="BY863">
        <f>HYPERLINK("http://exon.niaid.nih.gov/transcriptome/Anopheles_sialome/links/cluster-b/anopheline-sialome-cds-pep-larger-orf55-50SimCLTL5.txt", 37)</f>
        <v>37</v>
      </c>
      <c r="BZ863">
        <f>HYPERLINK("http://exon.niaid.nih.gov/transcriptome/Anopheles_sialome/links/cluster-b/anopheline-sialome-cds-pep-larger-orf60-50SimCLU4.txt", 4)</f>
        <v>4</v>
      </c>
      <c r="CA863">
        <f>HYPERLINK("http://exon.niaid.nih.gov/transcriptome/Anopheles_sialome/links/cluster-b/anopheline-sialome-cds-pep-larger-orf60-50SimCLTL4.txt", 37)</f>
        <v>37</v>
      </c>
      <c r="CB863">
        <f>HYPERLINK("http://exon.niaid.nih.gov/transcriptome/Anopheles_sialome/links/cluster-b/anopheline-sialome-cds-pep-larger-orf65-50SimCLU16.txt", 16)</f>
        <v>16</v>
      </c>
      <c r="CC863">
        <f>HYPERLINK("http://exon.niaid.nih.gov/transcriptome/Anopheles_sialome/links/cluster-b/anopheline-sialome-cds-pep-larger-orf65-50SimCLTL16.txt", 18)</f>
        <v>18</v>
      </c>
      <c r="CD863">
        <f>HYPERLINK("http://exon.niaid.nih.gov/transcriptome/Anopheles_sialome/links/cluster-b/anopheline-sialome-cds-pep-larger-orf70-50SimCLU23.txt", 23)</f>
        <v>23</v>
      </c>
      <c r="CE863">
        <f>HYPERLINK("http://exon.niaid.nih.gov/transcriptome/Anopheles_sialome/links/cluster-b/anopheline-sialome-cds-pep-larger-orf70-50SimCLTL23.txt", 16)</f>
        <v>16</v>
      </c>
      <c r="CF863">
        <f>HYPERLINK("http://exon.niaid.nih.gov/transcriptome/Anopheles_sialome/links/cluster-b/anopheline-sialome-cds-pep-larger-orf75-50SimCLU24.txt", 24)</f>
        <v>24</v>
      </c>
      <c r="CG863">
        <f>HYPERLINK("http://exon.niaid.nih.gov/transcriptome/Anopheles_sialome/links/cluster-b/anopheline-sialome-cds-pep-larger-orf75-50SimCLTL24.txt", 14)</f>
        <v>14</v>
      </c>
      <c r="CH863">
        <f>HYPERLINK("http://exon.niaid.nih.gov/transcriptome/Anopheles_sialome/links/cluster-b/anopheline-sialome-cds-pep-larger-orf80-50SimCLU20.txt", 20)</f>
        <v>20</v>
      </c>
      <c r="CI863">
        <f>HYPERLINK("http://exon.niaid.nih.gov/transcriptome/Anopheles_sialome/links/cluster-b/anopheline-sialome-cds-pep-larger-orf80-50SimCLTL20.txt", 13)</f>
        <v>13</v>
      </c>
      <c r="CJ863">
        <f>HYPERLINK("http://exon.niaid.nih.gov/transcriptome/Anopheles_sialome/links/cluster-b/anopheline-sialome-cds-pep-larger-orf85-50SimCLU52.txt", 52)</f>
        <v>52</v>
      </c>
      <c r="CK863">
        <f>HYPERLINK("http://exon.niaid.nih.gov/transcriptome/Anopheles_sialome/links/cluster-b/anopheline-sialome-cds-pep-larger-orf85-50SimCLTL52.txt", 5)</f>
        <v>5</v>
      </c>
      <c r="CL863">
        <v>419</v>
      </c>
      <c r="CM863">
        <v>1</v>
      </c>
      <c r="CN863">
        <v>516</v>
      </c>
      <c r="CO863">
        <v>1</v>
      </c>
    </row>
    <row r="864" spans="1:93">
      <c r="A864" s="2" t="str">
        <f>HYPERLINK("http://exon.niaid.nih.gov/transcriptome/Anopheles_sialome/links/cds/anomin_SG7-cds.txt","anomin_SG7")</f>
        <v>anomin_SG7</v>
      </c>
      <c r="B864">
        <v>429</v>
      </c>
      <c r="C864" t="s">
        <v>575</v>
      </c>
      <c r="D864" t="s">
        <v>7</v>
      </c>
      <c r="E864" t="s">
        <v>5</v>
      </c>
      <c r="F864" t="s">
        <v>1</v>
      </c>
      <c r="G864" t="str">
        <f>HYPERLINK("http://exon.niaid.nih.gov/transcriptome/Anopheles_sialome/links/pep/anomin_SG7-pep.txt","anomin_SG7")</f>
        <v>anomin_SG7</v>
      </c>
      <c r="H864">
        <v>142</v>
      </c>
      <c r="I864">
        <v>0</v>
      </c>
      <c r="J864" s="3" t="str">
        <f>HYPERLINK("http://exon.niaid.nih.gov/transcriptome/Anopheles_sialome/links/Sigp/anomin_SG7-SigP.txt","SIG")</f>
        <v>SIG</v>
      </c>
      <c r="K864" t="s">
        <v>787</v>
      </c>
      <c r="L864">
        <v>16.158999999999999</v>
      </c>
      <c r="M864">
        <v>8.8800000000000008</v>
      </c>
      <c r="N864">
        <v>13.451000000000001</v>
      </c>
      <c r="O864">
        <v>8.9700000000000006</v>
      </c>
      <c r="P864" t="s">
        <v>2097</v>
      </c>
      <c r="Q864" s="3">
        <v>0</v>
      </c>
      <c r="R864" t="s">
        <v>128</v>
      </c>
      <c r="S864" t="s">
        <v>128</v>
      </c>
      <c r="T864" t="s">
        <v>128</v>
      </c>
      <c r="U864" t="s">
        <v>128</v>
      </c>
      <c r="V864" t="s">
        <v>128</v>
      </c>
      <c r="W864" s="3" t="str">
        <f>HYPERLINK("http://exon.niaid.nih.gov/transcriptome/Anopheles_sialome/links/netoglyc/anomin_SG7-netoglyc.txt","1")</f>
        <v>1</v>
      </c>
      <c r="X864">
        <v>12</v>
      </c>
      <c r="Y864">
        <v>5.6</v>
      </c>
      <c r="Z864">
        <v>4.2</v>
      </c>
      <c r="AA864" t="s">
        <v>654</v>
      </c>
      <c r="AB864" t="s">
        <v>128</v>
      </c>
      <c r="AC864" s="2" t="str">
        <f>HYPERLINK("http://exon.niaid.nih.gov/transcriptome/Anopheles_sialome/links/DIPTERA/anomin_SG7-DIPTERA.txt","gSG7 salivary protein")</f>
        <v>gSG7 salivary protein</v>
      </c>
      <c r="AD864" t="str">
        <f>HYPERLINK("http://www.ncbi.nlm.nih.gov/sutils/blink.cgi?pid=114864855","5E-064")</f>
        <v>5E-064</v>
      </c>
      <c r="AE864" t="str">
        <f>HYPERLINK("http://www.ncbi.nlm.nih.gov/protein/114864855","gi|114864855")</f>
        <v>gi|114864855</v>
      </c>
      <c r="AF864">
        <v>82</v>
      </c>
      <c r="AG864">
        <v>87</v>
      </c>
      <c r="AH864">
        <v>99</v>
      </c>
      <c r="AI864" t="s">
        <v>2266</v>
      </c>
      <c r="AJ864" s="2" t="str">
        <f>HYPERLINK("http://exon.niaid.nih.gov/transcriptome/Anopheles_sialome/links/CULICOMORPHA/anomin_SG7-CULICOMORPHA.txt","gSG7 salivary protein")</f>
        <v>gSG7 salivary protein</v>
      </c>
      <c r="AK864" t="str">
        <f>HYPERLINK("http://www.ncbi.nlm.nih.gov/sutils/blink.cgi?pid=114864855","9E-065")</f>
        <v>9E-065</v>
      </c>
      <c r="AL864" t="str">
        <f>HYPERLINK("http://www.ncbi.nlm.nih.gov/protein/114864855","gi|114864855")</f>
        <v>gi|114864855</v>
      </c>
      <c r="AM864">
        <v>82</v>
      </c>
      <c r="AN864">
        <v>87</v>
      </c>
      <c r="AO864">
        <v>99</v>
      </c>
      <c r="AP864" t="s">
        <v>2266</v>
      </c>
      <c r="AQ864" s="2" t="str">
        <f>HYPERLINK("http://exon.niaid.nih.gov/transcriptome/Anopheles_sialome/links/NR-LIGHT/anomin_SG7-NR-LIGHT.txt","gSG7 salivary protein")</f>
        <v>gSG7 salivary protein</v>
      </c>
      <c r="AR864" t="str">
        <f>HYPERLINK("http://www.ncbi.nlm.nih.gov/sutils/blink.cgi?pid=114864855","1E-063")</f>
        <v>1E-063</v>
      </c>
      <c r="AS864" t="str">
        <f>HYPERLINK("http://www.ncbi.nlm.nih.gov/protein/114864855","gi|114864855")</f>
        <v>gi|114864855</v>
      </c>
      <c r="AT864">
        <v>82</v>
      </c>
      <c r="AU864">
        <v>87</v>
      </c>
      <c r="AV864">
        <v>99</v>
      </c>
      <c r="AW864" t="s">
        <v>2266</v>
      </c>
      <c r="AX864" s="2" t="str">
        <f>HYPERLINK("http://exon.niaid.nih.gov/transcriptome/Anopheles_sialome/links/CDD/anomin_SG7-CDD.txt","FcbT3")</f>
        <v>FcbT3</v>
      </c>
      <c r="AY864" t="str">
        <f>HYPERLINK("http://www.ncbi.nlm.nih.gov/Structure/cdd/cddsrv.cgi?uid=COG4664&amp;version=v4.0","0.32")</f>
        <v>0.32</v>
      </c>
      <c r="AZ864" t="s">
        <v>3067</v>
      </c>
      <c r="BA864" s="2" t="str">
        <f>HYPERLINK("http://exon.niaid.nih.gov/transcriptome/Anopheles_sialome/links/KOG/anomin_SG7-KOG.txt","Uncharacterized conserved protein")</f>
        <v>Uncharacterized conserved protein</v>
      </c>
      <c r="BB864" t="str">
        <f>HYPERLINK("http://www.ncbi.nlm.nih.gov/Structure/cdd/cddsrv.cgi?uid=KOG4595","0.47")</f>
        <v>0.47</v>
      </c>
      <c r="BC864" t="s">
        <v>2304</v>
      </c>
      <c r="BD864" t="str">
        <f>HYPERLINK("http://exon.niaid.nih.gov/transcriptome/Anopheles_sialome/links/KOG/anomin_SG7-KOG.txt","KOG4595")</f>
        <v>KOG4595</v>
      </c>
      <c r="BE864" t="str">
        <f>HYPERLINK("http://exon.niaid.nih.gov/transcriptome/Anopheles_sialome/links/PFAM/anomin_SG7-PFAM.txt","Vac_ImportDeg")</f>
        <v>Vac_ImportDeg</v>
      </c>
      <c r="BF864" t="str">
        <f>HYPERLINK("http://pfam.sanger.ac.uk/family?acc=PF09783","2.7")</f>
        <v>2.7</v>
      </c>
      <c r="BG864" s="2" t="str">
        <f>HYPERLINK("http://exon.niaid.nih.gov/transcriptome/Anopheles_sialome/links/SMART/anomin_SG7-SMART.txt","Glyco_18")</f>
        <v>Glyco_18</v>
      </c>
      <c r="BH864" t="str">
        <f>HYPERLINK("http://smart.embl-heidelberg.de/smart/do_annotation.pl?DOMAIN=Glyco_18&amp;BLAST=DUMMY","1.0")</f>
        <v>1.0</v>
      </c>
      <c r="BI864" t="str">
        <f>HYPERLINK("http://exon.niaid.nih.gov/transcriptome/Anopheles_sialome/links/TICK-BLOCKS/anomin_SG7-TICK-BLOCKS.txt","Anopheles_gSG7 |")</f>
        <v>Anopheles_gSG7 |</v>
      </c>
      <c r="BJ864" s="2" t="s">
        <v>3058</v>
      </c>
      <c r="BK864" t="s">
        <v>2096</v>
      </c>
      <c r="BL864">
        <f>HYPERLINK("http://exon.niaid.nih.gov/transcriptome/Anopheles_sialome/links/cluster-b/anopheline-sialome-cds-pep-larger-orf25-50SimCLU2.txt", 2)</f>
        <v>2</v>
      </c>
      <c r="BM864">
        <f>HYPERLINK("http://exon.niaid.nih.gov/transcriptome/Anopheles_sialome/links/cluster-b/anopheline-sialome-cds-pep-larger-orf25-50SimCLTL2.txt", 120)</f>
        <v>120</v>
      </c>
      <c r="BN864">
        <f>HYPERLINK("http://exon.niaid.nih.gov/transcriptome/Anopheles_sialome/links/cluster-b/anopheline-sialome-cds-pep-larger-orf30-50SimCLU2.txt", 2)</f>
        <v>2</v>
      </c>
      <c r="BO864">
        <f>HYPERLINK("http://exon.niaid.nih.gov/transcriptome/Anopheles_sialome/links/cluster-b/anopheline-sialome-cds-pep-larger-orf30-50SimCLTL2.txt", 120)</f>
        <v>120</v>
      </c>
      <c r="BP864">
        <f>HYPERLINK("http://exon.niaid.nih.gov/transcriptome/Anopheles_sialome/links/cluster-b/anopheline-sialome-cds-pep-larger-orf35-50SimCLU1.txt", 1)</f>
        <v>1</v>
      </c>
      <c r="BQ864">
        <f>HYPERLINK("http://exon.niaid.nih.gov/transcriptome/Anopheles_sialome/links/cluster-b/anopheline-sialome-cds-pep-larger-orf35-50SimCLTL1.txt", 120)</f>
        <v>120</v>
      </c>
      <c r="BR864">
        <f>HYPERLINK("http://exon.niaid.nih.gov/transcriptome/Anopheles_sialome/links/cluster-b/anopheline-sialome-cds-pep-larger-orf40-50SimCLU7.txt", 7)</f>
        <v>7</v>
      </c>
      <c r="BS864">
        <f>HYPERLINK("http://exon.niaid.nih.gov/transcriptome/Anopheles_sialome/links/cluster-b/anopheline-sialome-cds-pep-larger-orf40-50SimCLTL7.txt", 37)</f>
        <v>37</v>
      </c>
      <c r="BT864">
        <f>HYPERLINK("http://exon.niaid.nih.gov/transcriptome/Anopheles_sialome/links/cluster-b/anopheline-sialome-cds-pep-larger-orf45-50SimCLU6.txt", 6)</f>
        <v>6</v>
      </c>
      <c r="BU864">
        <f>HYPERLINK("http://exon.niaid.nih.gov/transcriptome/Anopheles_sialome/links/cluster-b/anopheline-sialome-cds-pep-larger-orf45-50SimCLTL6.txt", 37)</f>
        <v>37</v>
      </c>
      <c r="BV864">
        <f>HYPERLINK("http://exon.niaid.nih.gov/transcriptome/Anopheles_sialome/links/cluster-b/anopheline-sialome-cds-pep-larger-orf50-50SimCLU6.txt", 6)</f>
        <v>6</v>
      </c>
      <c r="BW864">
        <f>HYPERLINK("http://exon.niaid.nih.gov/transcriptome/Anopheles_sialome/links/cluster-b/anopheline-sialome-cds-pep-larger-orf50-50SimCLTL6.txt", 37)</f>
        <v>37</v>
      </c>
      <c r="BX864">
        <f>HYPERLINK("http://exon.niaid.nih.gov/transcriptome/Anopheles_sialome/links/cluster-b/anopheline-sialome-cds-pep-larger-orf55-50SimCLU5.txt", 5)</f>
        <v>5</v>
      </c>
      <c r="BY864">
        <f>HYPERLINK("http://exon.niaid.nih.gov/transcriptome/Anopheles_sialome/links/cluster-b/anopheline-sialome-cds-pep-larger-orf55-50SimCLTL5.txt", 37)</f>
        <v>37</v>
      </c>
      <c r="BZ864">
        <f>HYPERLINK("http://exon.niaid.nih.gov/transcriptome/Anopheles_sialome/links/cluster-b/anopheline-sialome-cds-pep-larger-orf60-50SimCLU4.txt", 4)</f>
        <v>4</v>
      </c>
      <c r="CA864">
        <f>HYPERLINK("http://exon.niaid.nih.gov/transcriptome/Anopheles_sialome/links/cluster-b/anopheline-sialome-cds-pep-larger-orf60-50SimCLTL4.txt", 37)</f>
        <v>37</v>
      </c>
      <c r="CB864">
        <f>HYPERLINK("http://exon.niaid.nih.gov/transcriptome/Anopheles_sialome/links/cluster-b/anopheline-sialome-cds-pep-larger-orf65-50SimCLU16.txt", 16)</f>
        <v>16</v>
      </c>
      <c r="CC864">
        <f>HYPERLINK("http://exon.niaid.nih.gov/transcriptome/Anopheles_sialome/links/cluster-b/anopheline-sialome-cds-pep-larger-orf65-50SimCLTL16.txt", 18)</f>
        <v>18</v>
      </c>
      <c r="CD864">
        <f>HYPERLINK("http://exon.niaid.nih.gov/transcriptome/Anopheles_sialome/links/cluster-b/anopheline-sialome-cds-pep-larger-orf70-50SimCLU23.txt", 23)</f>
        <v>23</v>
      </c>
      <c r="CE864">
        <f>HYPERLINK("http://exon.niaid.nih.gov/transcriptome/Anopheles_sialome/links/cluster-b/anopheline-sialome-cds-pep-larger-orf70-50SimCLTL23.txt", 16)</f>
        <v>16</v>
      </c>
      <c r="CF864">
        <f>HYPERLINK("http://exon.niaid.nih.gov/transcriptome/Anopheles_sialome/links/cluster-b/anopheline-sialome-cds-pep-larger-orf75-50SimCLU24.txt", 24)</f>
        <v>24</v>
      </c>
      <c r="CG864">
        <f>HYPERLINK("http://exon.niaid.nih.gov/transcriptome/Anopheles_sialome/links/cluster-b/anopheline-sialome-cds-pep-larger-orf75-50SimCLTL24.txt", 14)</f>
        <v>14</v>
      </c>
      <c r="CH864">
        <f>HYPERLINK("http://exon.niaid.nih.gov/transcriptome/Anopheles_sialome/links/cluster-b/anopheline-sialome-cds-pep-larger-orf80-50SimCLU20.txt", 20)</f>
        <v>20</v>
      </c>
      <c r="CI864">
        <f>HYPERLINK("http://exon.niaid.nih.gov/transcriptome/Anopheles_sialome/links/cluster-b/anopheline-sialome-cds-pep-larger-orf80-50SimCLTL20.txt", 13)</f>
        <v>13</v>
      </c>
      <c r="CJ864">
        <f>HYPERLINK("http://exon.niaid.nih.gov/transcriptome/Anopheles_sialome/links/cluster-b/anopheline-sialome-cds-pep-larger-orf85-50SimCLU52.txt", 52)</f>
        <v>52</v>
      </c>
      <c r="CK864">
        <f>HYPERLINK("http://exon.niaid.nih.gov/transcriptome/Anopheles_sialome/links/cluster-b/anopheline-sialome-cds-pep-larger-orf85-50SimCLTL52.txt", 5)</f>
        <v>5</v>
      </c>
      <c r="CL864">
        <f>HYPERLINK("http://exon.niaid.nih.gov/transcriptome/Anopheles_sialome/links/cluster-b/anopheline-sialome-cds-pep-larger-orf90-50SimCLU90.txt", 90)</f>
        <v>90</v>
      </c>
      <c r="CM864">
        <f>HYPERLINK("http://exon.niaid.nih.gov/transcriptome/Anopheles_sialome/links/cluster-b/anopheline-sialome-cds-pep-larger-orf90-50SimCLTL90.txt", 2)</f>
        <v>2</v>
      </c>
      <c r="CN864">
        <v>517</v>
      </c>
      <c r="CO864">
        <v>1</v>
      </c>
    </row>
    <row r="865" spans="1:93">
      <c r="A865" s="2" t="str">
        <f>HYPERLINK("http://exon.niaid.nih.gov/transcriptome/Anopheles_sialome/links/cds/anocul_SG7-cds.txt","anocul_SG7")</f>
        <v>anocul_SG7</v>
      </c>
      <c r="B865">
        <v>429</v>
      </c>
      <c r="C865" t="s">
        <v>576</v>
      </c>
      <c r="D865" t="s">
        <v>7</v>
      </c>
      <c r="E865" t="s">
        <v>5</v>
      </c>
      <c r="F865" t="s">
        <v>1</v>
      </c>
      <c r="G865" t="str">
        <f>HYPERLINK("http://exon.niaid.nih.gov/transcriptome/Anopheles_sialome/links/pep/anocul_SG7-pep.txt","anocul_SG7")</f>
        <v>anocul_SG7</v>
      </c>
      <c r="H865">
        <v>142</v>
      </c>
      <c r="I865">
        <v>0</v>
      </c>
      <c r="J865" s="3" t="str">
        <f>HYPERLINK("http://exon.niaid.nih.gov/transcriptome/Anopheles_sialome/links/Sigp/anocul_SG7-SigP.txt","SIG")</f>
        <v>SIG</v>
      </c>
      <c r="K865" t="s">
        <v>787</v>
      </c>
      <c r="L865">
        <v>16.303999999999998</v>
      </c>
      <c r="M865">
        <v>8.74</v>
      </c>
      <c r="N865">
        <v>13.595000000000001</v>
      </c>
      <c r="O865">
        <v>8.61</v>
      </c>
      <c r="P865" t="s">
        <v>2099</v>
      </c>
      <c r="Q865" s="3">
        <v>0</v>
      </c>
      <c r="R865" t="s">
        <v>128</v>
      </c>
      <c r="S865" t="s">
        <v>128</v>
      </c>
      <c r="T865" t="s">
        <v>128</v>
      </c>
      <c r="U865" t="s">
        <v>128</v>
      </c>
      <c r="V865" t="s">
        <v>128</v>
      </c>
      <c r="W865" s="3" t="str">
        <f>HYPERLINK("http://exon.niaid.nih.gov/transcriptome/Anopheles_sialome/links/netoglyc/anocul_SG7-netoglyc.txt","1")</f>
        <v>1</v>
      </c>
      <c r="X865">
        <v>10.6</v>
      </c>
      <c r="Y865">
        <v>5.6</v>
      </c>
      <c r="Z865">
        <v>3.5</v>
      </c>
      <c r="AA865" t="s">
        <v>654</v>
      </c>
      <c r="AB865" t="s">
        <v>128</v>
      </c>
      <c r="AC865" s="2" t="str">
        <f>HYPERLINK("http://exon.niaid.nih.gov/transcriptome/Anopheles_sialome/links/DIPTERA/anocul_SG7-DIPTERA.txt","gSG7 salivary protein")</f>
        <v>gSG7 salivary protein</v>
      </c>
      <c r="AD865" t="str">
        <f>HYPERLINK("http://www.ncbi.nlm.nih.gov/sutils/blink.cgi?pid=114864855","5E-061")</f>
        <v>5E-061</v>
      </c>
      <c r="AE865" t="str">
        <f>HYPERLINK("http://www.ncbi.nlm.nih.gov/protein/114864855","gi|114864855")</f>
        <v>gi|114864855</v>
      </c>
      <c r="AF865">
        <v>78</v>
      </c>
      <c r="AG865">
        <v>88</v>
      </c>
      <c r="AH865">
        <v>99</v>
      </c>
      <c r="AI865" t="s">
        <v>2266</v>
      </c>
      <c r="AJ865" s="2" t="str">
        <f>HYPERLINK("http://exon.niaid.nih.gov/transcriptome/Anopheles_sialome/links/CULICOMORPHA/anocul_SG7-CULICOMORPHA.txt","gSG7 salivary protein")</f>
        <v>gSG7 salivary protein</v>
      </c>
      <c r="AK865" t="str">
        <f>HYPERLINK("http://www.ncbi.nlm.nih.gov/sutils/blink.cgi?pid=114864855","9E-062")</f>
        <v>9E-062</v>
      </c>
      <c r="AL865" t="str">
        <f>HYPERLINK("http://www.ncbi.nlm.nih.gov/protein/114864855","gi|114864855")</f>
        <v>gi|114864855</v>
      </c>
      <c r="AM865">
        <v>78</v>
      </c>
      <c r="AN865">
        <v>88</v>
      </c>
      <c r="AO865">
        <v>99</v>
      </c>
      <c r="AP865" t="s">
        <v>2266</v>
      </c>
      <c r="AQ865" s="2" t="str">
        <f>HYPERLINK("http://exon.niaid.nih.gov/transcriptome/Anopheles_sialome/links/NR-LIGHT/anocul_SG7-NR-LIGHT.txt","gSG7 salivary protein")</f>
        <v>gSG7 salivary protein</v>
      </c>
      <c r="AR865" t="str">
        <f>HYPERLINK("http://www.ncbi.nlm.nih.gov/sutils/blink.cgi?pid=114864855","1E-060")</f>
        <v>1E-060</v>
      </c>
      <c r="AS865" t="str">
        <f>HYPERLINK("http://www.ncbi.nlm.nih.gov/protein/114864855","gi|114864855")</f>
        <v>gi|114864855</v>
      </c>
      <c r="AT865">
        <v>78</v>
      </c>
      <c r="AU865">
        <v>88</v>
      </c>
      <c r="AV865">
        <v>99</v>
      </c>
      <c r="AW865" t="s">
        <v>2266</v>
      </c>
      <c r="AX865" s="2" t="str">
        <f>HYPERLINK("http://exon.niaid.nih.gov/transcriptome/Anopheles_sialome/links/CDD/anocul_SG7-CDD.txt","PLN02727")</f>
        <v>PLN02727</v>
      </c>
      <c r="AY865" t="str">
        <f>HYPERLINK("http://www.ncbi.nlm.nih.gov/Structure/cdd/cddsrv.cgi?uid=PLN02727&amp;version=v4.0","0.72")</f>
        <v>0.72</v>
      </c>
      <c r="AZ865" t="s">
        <v>3068</v>
      </c>
      <c r="BA865" s="2" t="str">
        <f>HYPERLINK("http://exon.niaid.nih.gov/transcriptome/Anopheles_sialome/links/KOG/anocul_SG7-KOG.txt","Vacuolar import and degradation protein")</f>
        <v>Vacuolar import and degradation protein</v>
      </c>
      <c r="BB865" t="str">
        <f>HYPERLINK("http://www.ncbi.nlm.nih.gov/Structure/cdd/cddsrv.cgi?uid=KOG4635","3.1")</f>
        <v>3.1</v>
      </c>
      <c r="BC865" t="s">
        <v>2487</v>
      </c>
      <c r="BD865" t="str">
        <f>HYPERLINK("http://exon.niaid.nih.gov/transcriptome/Anopheles_sialome/links/KOG/anocul_SG7-KOG.txt","KOG4635")</f>
        <v>KOG4635</v>
      </c>
      <c r="BE865" t="str">
        <f>HYPERLINK("http://exon.niaid.nih.gov/transcriptome/Anopheles_sialome/links/PFAM/anocul_SG7-PFAM.txt","Vac_ImportDeg")</f>
        <v>Vac_ImportDeg</v>
      </c>
      <c r="BF865" t="str">
        <f>HYPERLINK("http://pfam.sanger.ac.uk/family?acc=PF09783","3.3")</f>
        <v>3.3</v>
      </c>
      <c r="BG865" s="2" t="str">
        <f>HYPERLINK("http://exon.niaid.nih.gov/transcriptome/Anopheles_sialome/links/SMART/anocul_SG7-SMART.txt","Telomerase_RBD")</f>
        <v>Telomerase_RBD</v>
      </c>
      <c r="BH865" t="str">
        <f>HYPERLINK("http://smart.embl-heidelberg.de/smart/do_annotation.pl?DOMAIN=Telomerase_RBD&amp;BLAST=DUMMY","4.3")</f>
        <v>4.3</v>
      </c>
      <c r="BI865" t="str">
        <f>HYPERLINK("http://exon.niaid.nih.gov/transcriptome/Anopheles_sialome/links/TICK-BLOCKS/anocul_SG7-TICK-BLOCKS.txt","Anopheles_gSG7 |")</f>
        <v>Anopheles_gSG7 |</v>
      </c>
      <c r="BJ865" s="2" t="s">
        <v>3058</v>
      </c>
      <c r="BK865" t="s">
        <v>2098</v>
      </c>
      <c r="BL865">
        <f>HYPERLINK("http://exon.niaid.nih.gov/transcriptome/Anopheles_sialome/links/cluster-b/anopheline-sialome-cds-pep-larger-orf25-50SimCLU2.txt", 2)</f>
        <v>2</v>
      </c>
      <c r="BM865">
        <f>HYPERLINK("http://exon.niaid.nih.gov/transcriptome/Anopheles_sialome/links/cluster-b/anopheline-sialome-cds-pep-larger-orf25-50SimCLTL2.txt", 120)</f>
        <v>120</v>
      </c>
      <c r="BN865">
        <f>HYPERLINK("http://exon.niaid.nih.gov/transcriptome/Anopheles_sialome/links/cluster-b/anopheline-sialome-cds-pep-larger-orf30-50SimCLU2.txt", 2)</f>
        <v>2</v>
      </c>
      <c r="BO865">
        <f>HYPERLINK("http://exon.niaid.nih.gov/transcriptome/Anopheles_sialome/links/cluster-b/anopheline-sialome-cds-pep-larger-orf30-50SimCLTL2.txt", 120)</f>
        <v>120</v>
      </c>
      <c r="BP865">
        <f>HYPERLINK("http://exon.niaid.nih.gov/transcriptome/Anopheles_sialome/links/cluster-b/anopheline-sialome-cds-pep-larger-orf35-50SimCLU1.txt", 1)</f>
        <v>1</v>
      </c>
      <c r="BQ865">
        <f>HYPERLINK("http://exon.niaid.nih.gov/transcriptome/Anopheles_sialome/links/cluster-b/anopheline-sialome-cds-pep-larger-orf35-50SimCLTL1.txt", 120)</f>
        <v>120</v>
      </c>
      <c r="BR865">
        <f>HYPERLINK("http://exon.niaid.nih.gov/transcriptome/Anopheles_sialome/links/cluster-b/anopheline-sialome-cds-pep-larger-orf40-50SimCLU7.txt", 7)</f>
        <v>7</v>
      </c>
      <c r="BS865">
        <f>HYPERLINK("http://exon.niaid.nih.gov/transcriptome/Anopheles_sialome/links/cluster-b/anopheline-sialome-cds-pep-larger-orf40-50SimCLTL7.txt", 37)</f>
        <v>37</v>
      </c>
      <c r="BT865">
        <f>HYPERLINK("http://exon.niaid.nih.gov/transcriptome/Anopheles_sialome/links/cluster-b/anopheline-sialome-cds-pep-larger-orf45-50SimCLU6.txt", 6)</f>
        <v>6</v>
      </c>
      <c r="BU865">
        <f>HYPERLINK("http://exon.niaid.nih.gov/transcriptome/Anopheles_sialome/links/cluster-b/anopheline-sialome-cds-pep-larger-orf45-50SimCLTL6.txt", 37)</f>
        <v>37</v>
      </c>
      <c r="BV865">
        <f>HYPERLINK("http://exon.niaid.nih.gov/transcriptome/Anopheles_sialome/links/cluster-b/anopheline-sialome-cds-pep-larger-orf50-50SimCLU6.txt", 6)</f>
        <v>6</v>
      </c>
      <c r="BW865">
        <f>HYPERLINK("http://exon.niaid.nih.gov/transcriptome/Anopheles_sialome/links/cluster-b/anopheline-sialome-cds-pep-larger-orf50-50SimCLTL6.txt", 37)</f>
        <v>37</v>
      </c>
      <c r="BX865">
        <f>HYPERLINK("http://exon.niaid.nih.gov/transcriptome/Anopheles_sialome/links/cluster-b/anopheline-sialome-cds-pep-larger-orf55-50SimCLU5.txt", 5)</f>
        <v>5</v>
      </c>
      <c r="BY865">
        <f>HYPERLINK("http://exon.niaid.nih.gov/transcriptome/Anopheles_sialome/links/cluster-b/anopheline-sialome-cds-pep-larger-orf55-50SimCLTL5.txt", 37)</f>
        <v>37</v>
      </c>
      <c r="BZ865">
        <f>HYPERLINK("http://exon.niaid.nih.gov/transcriptome/Anopheles_sialome/links/cluster-b/anopheline-sialome-cds-pep-larger-orf60-50SimCLU4.txt", 4)</f>
        <v>4</v>
      </c>
      <c r="CA865">
        <f>HYPERLINK("http://exon.niaid.nih.gov/transcriptome/Anopheles_sialome/links/cluster-b/anopheline-sialome-cds-pep-larger-orf60-50SimCLTL4.txt", 37)</f>
        <v>37</v>
      </c>
      <c r="CB865">
        <f>HYPERLINK("http://exon.niaid.nih.gov/transcriptome/Anopheles_sialome/links/cluster-b/anopheline-sialome-cds-pep-larger-orf65-50SimCLU16.txt", 16)</f>
        <v>16</v>
      </c>
      <c r="CC865">
        <f>HYPERLINK("http://exon.niaid.nih.gov/transcriptome/Anopheles_sialome/links/cluster-b/anopheline-sialome-cds-pep-larger-orf65-50SimCLTL16.txt", 18)</f>
        <v>18</v>
      </c>
      <c r="CD865">
        <f>HYPERLINK("http://exon.niaid.nih.gov/transcriptome/Anopheles_sialome/links/cluster-b/anopheline-sialome-cds-pep-larger-orf70-50SimCLU23.txt", 23)</f>
        <v>23</v>
      </c>
      <c r="CE865">
        <f>HYPERLINK("http://exon.niaid.nih.gov/transcriptome/Anopheles_sialome/links/cluster-b/anopheline-sialome-cds-pep-larger-orf70-50SimCLTL23.txt", 16)</f>
        <v>16</v>
      </c>
      <c r="CF865">
        <f>HYPERLINK("http://exon.niaid.nih.gov/transcriptome/Anopheles_sialome/links/cluster-b/anopheline-sialome-cds-pep-larger-orf75-50SimCLU24.txt", 24)</f>
        <v>24</v>
      </c>
      <c r="CG865">
        <f>HYPERLINK("http://exon.niaid.nih.gov/transcriptome/Anopheles_sialome/links/cluster-b/anopheline-sialome-cds-pep-larger-orf75-50SimCLTL24.txt", 14)</f>
        <v>14</v>
      </c>
      <c r="CH865">
        <f>HYPERLINK("http://exon.niaid.nih.gov/transcriptome/Anopheles_sialome/links/cluster-b/anopheline-sialome-cds-pep-larger-orf80-50SimCLU20.txt", 20)</f>
        <v>20</v>
      </c>
      <c r="CI865">
        <f>HYPERLINK("http://exon.niaid.nih.gov/transcriptome/Anopheles_sialome/links/cluster-b/anopheline-sialome-cds-pep-larger-orf80-50SimCLTL20.txt", 13)</f>
        <v>13</v>
      </c>
      <c r="CJ865">
        <f>HYPERLINK("http://exon.niaid.nih.gov/transcriptome/Anopheles_sialome/links/cluster-b/anopheline-sialome-cds-pep-larger-orf85-50SimCLU52.txt", 52)</f>
        <v>52</v>
      </c>
      <c r="CK865">
        <f>HYPERLINK("http://exon.niaid.nih.gov/transcriptome/Anopheles_sialome/links/cluster-b/anopheline-sialome-cds-pep-larger-orf85-50SimCLTL52.txt", 5)</f>
        <v>5</v>
      </c>
      <c r="CL865">
        <f>HYPERLINK("http://exon.niaid.nih.gov/transcriptome/Anopheles_sialome/links/cluster-b/anopheline-sialome-cds-pep-larger-orf90-50SimCLU90.txt", 90)</f>
        <v>90</v>
      </c>
      <c r="CM865">
        <f>HYPERLINK("http://exon.niaid.nih.gov/transcriptome/Anopheles_sialome/links/cluster-b/anopheline-sialome-cds-pep-larger-orf90-50SimCLTL90.txt", 2)</f>
        <v>2</v>
      </c>
      <c r="CN865">
        <v>518</v>
      </c>
      <c r="CO865">
        <v>1</v>
      </c>
    </row>
    <row r="866" spans="1:93">
      <c r="A866" s="2" t="str">
        <f>HYPERLINK("http://exon.niaid.nih.gov/transcriptome/Anopheles_sialome/links/cds/anoste_SG7-cds.txt","anoste_SG7")</f>
        <v>anoste_SG7</v>
      </c>
      <c r="B866">
        <v>429</v>
      </c>
      <c r="C866" t="s">
        <v>577</v>
      </c>
      <c r="D866" t="s">
        <v>7</v>
      </c>
      <c r="E866" t="s">
        <v>5</v>
      </c>
      <c r="F866" t="s">
        <v>1</v>
      </c>
      <c r="G866" t="str">
        <f>HYPERLINK("http://exon.niaid.nih.gov/transcriptome/Anopheles_sialome/links/pep/anoste_SG7-pep.txt","anoste_SG7")</f>
        <v>anoste_SG7</v>
      </c>
      <c r="H866">
        <v>142</v>
      </c>
      <c r="I866">
        <v>0</v>
      </c>
      <c r="J866" s="3" t="str">
        <f>HYPERLINK("http://exon.niaid.nih.gov/transcriptome/Anopheles_sialome/links/Sigp/anoste_SG7-SigP.txt","SIG")</f>
        <v>SIG</v>
      </c>
      <c r="K866" t="s">
        <v>787</v>
      </c>
      <c r="L866">
        <v>16.111999999999998</v>
      </c>
      <c r="M866">
        <v>8.19</v>
      </c>
      <c r="N866">
        <v>13.500999999999999</v>
      </c>
      <c r="O866">
        <v>8.65</v>
      </c>
      <c r="P866" t="s">
        <v>2101</v>
      </c>
      <c r="Q866" s="3">
        <v>0</v>
      </c>
      <c r="R866" t="s">
        <v>128</v>
      </c>
      <c r="S866" t="s">
        <v>128</v>
      </c>
      <c r="T866" t="s">
        <v>128</v>
      </c>
      <c r="U866" t="s">
        <v>128</v>
      </c>
      <c r="V866" t="s">
        <v>128</v>
      </c>
      <c r="W866" s="3" t="str">
        <f>HYPERLINK("http://exon.niaid.nih.gov/transcriptome/Anopheles_sialome/links/netoglyc/anoste_SG7-netoglyc.txt","1")</f>
        <v>1</v>
      </c>
      <c r="X866">
        <v>10.6</v>
      </c>
      <c r="Y866">
        <v>3.5</v>
      </c>
      <c r="Z866">
        <v>3.5</v>
      </c>
      <c r="AA866" t="s">
        <v>654</v>
      </c>
      <c r="AB866" t="s">
        <v>128</v>
      </c>
      <c r="AC866" s="2" t="str">
        <f>HYPERLINK("http://exon.niaid.nih.gov/transcriptome/Anopheles_sialome/links/DIPTERA/anoste_SG7-DIPTERA.txt","anophensin")</f>
        <v>anophensin</v>
      </c>
      <c r="AD866" t="str">
        <f>HYPERLINK("http://www.ncbi.nlm.nih.gov/sutils/blink.cgi?pid=148189823","9E-076")</f>
        <v>9E-076</v>
      </c>
      <c r="AE866" t="str">
        <f>HYPERLINK("http://www.ncbi.nlm.nih.gov/protein/148189823","gi|148189823")</f>
        <v>gi|148189823</v>
      </c>
      <c r="AF866">
        <v>97</v>
      </c>
      <c r="AG866">
        <v>97</v>
      </c>
      <c r="AH866">
        <v>100</v>
      </c>
      <c r="AI866" t="s">
        <v>2271</v>
      </c>
      <c r="AJ866" s="2" t="str">
        <f>HYPERLINK("http://exon.niaid.nih.gov/transcriptome/Anopheles_sialome/links/CULICOMORPHA/anoste_SG7-CULICOMORPHA.txt","anophensin")</f>
        <v>anophensin</v>
      </c>
      <c r="AK866" t="str">
        <f>HYPERLINK("http://www.ncbi.nlm.nih.gov/sutils/blink.cgi?pid=148189823","2E-076")</f>
        <v>2E-076</v>
      </c>
      <c r="AL866" t="str">
        <f>HYPERLINK("http://www.ncbi.nlm.nih.gov/protein/148189823","gi|148189823")</f>
        <v>gi|148189823</v>
      </c>
      <c r="AM866">
        <v>97</v>
      </c>
      <c r="AN866">
        <v>97</v>
      </c>
      <c r="AO866">
        <v>100</v>
      </c>
      <c r="AP866" t="s">
        <v>2271</v>
      </c>
      <c r="AQ866" s="2" t="str">
        <f>HYPERLINK("http://exon.niaid.nih.gov/transcriptome/Anopheles_sialome/links/NR-LIGHT/anoste_SG7-NR-LIGHT.txt","anophensin")</f>
        <v>anophensin</v>
      </c>
      <c r="AR866" t="str">
        <f>HYPERLINK("http://www.ncbi.nlm.nih.gov/sutils/blink.cgi?pid=148189823","2E-075")</f>
        <v>2E-075</v>
      </c>
      <c r="AS866" t="str">
        <f>HYPERLINK("http://www.ncbi.nlm.nih.gov/protein/148189823","gi|148189823")</f>
        <v>gi|148189823</v>
      </c>
      <c r="AT866">
        <v>97</v>
      </c>
      <c r="AU866">
        <v>97</v>
      </c>
      <c r="AV866">
        <v>100</v>
      </c>
      <c r="AW866" t="s">
        <v>2271</v>
      </c>
      <c r="AX866" s="2" t="str">
        <f>HYPERLINK("http://exon.niaid.nih.gov/transcriptome/Anopheles_sialome/links/CDD/anoste_SG7-CDD.txt","PLN02236")</f>
        <v>PLN02236</v>
      </c>
      <c r="AY866" t="str">
        <f>HYPERLINK("http://www.ncbi.nlm.nih.gov/Structure/cdd/cddsrv.cgi?uid=PLN02236&amp;version=v4.0","0.42")</f>
        <v>0.42</v>
      </c>
      <c r="AZ866" t="s">
        <v>3069</v>
      </c>
      <c r="BA866" s="2" t="str">
        <f>HYPERLINK("http://exon.niaid.nih.gov/transcriptome/Anopheles_sialome/links/KOG/anoste_SG7-KOG.txt","R-kappa-B and related transcription factors")</f>
        <v>R-kappa-B and related transcription factors</v>
      </c>
      <c r="BB866" t="str">
        <f>HYPERLINK("http://www.ncbi.nlm.nih.gov/Structure/cdd/cddsrv.cgi?uid=KOG1927","1.2")</f>
        <v>1.2</v>
      </c>
      <c r="BC866" t="s">
        <v>2262</v>
      </c>
      <c r="BD866" t="str">
        <f>HYPERLINK("http://exon.niaid.nih.gov/transcriptome/Anopheles_sialome/links/KOG/anoste_SG7-KOG.txt","KOG1927")</f>
        <v>KOG1927</v>
      </c>
      <c r="BE866" t="str">
        <f>HYPERLINK("http://exon.niaid.nih.gov/transcriptome/Anopheles_sialome/links/PFAM/anoste_SG7-PFAM.txt","Ribophorin_II")</f>
        <v>Ribophorin_II</v>
      </c>
      <c r="BF866" t="str">
        <f>HYPERLINK("http://pfam.sanger.ac.uk/family?acc=PF05817","0.29")</f>
        <v>0.29</v>
      </c>
      <c r="BG866" s="2" t="str">
        <f>HYPERLINK("http://exon.niaid.nih.gov/transcriptome/Anopheles_sialome/links/SMART/anoste_SG7-SMART.txt","LNS2")</f>
        <v>LNS2</v>
      </c>
      <c r="BH866" t="str">
        <f>HYPERLINK("http://smart.embl-heidelberg.de/smart/do_annotation.pl?DOMAIN=LNS2&amp;BLAST=DUMMY","0.32")</f>
        <v>0.32</v>
      </c>
      <c r="BI866" t="str">
        <f>HYPERLINK("http://exon.niaid.nih.gov/transcriptome/Anopheles_sialome/links/TICK-BLOCKS/anoste_SG7-TICK-BLOCKS.txt","Anopheles_gSG7 |")</f>
        <v>Anopheles_gSG7 |</v>
      </c>
      <c r="BJ866" s="2" t="s">
        <v>3058</v>
      </c>
      <c r="BK866" t="s">
        <v>2100</v>
      </c>
      <c r="BL866">
        <f>HYPERLINK("http://exon.niaid.nih.gov/transcriptome/Anopheles_sialome/links/cluster-b/anopheline-sialome-cds-pep-larger-orf25-50SimCLU2.txt", 2)</f>
        <v>2</v>
      </c>
      <c r="BM866">
        <f>HYPERLINK("http://exon.niaid.nih.gov/transcriptome/Anopheles_sialome/links/cluster-b/anopheline-sialome-cds-pep-larger-orf25-50SimCLTL2.txt", 120)</f>
        <v>120</v>
      </c>
      <c r="BN866">
        <f>HYPERLINK("http://exon.niaid.nih.gov/transcriptome/Anopheles_sialome/links/cluster-b/anopheline-sialome-cds-pep-larger-orf30-50SimCLU2.txt", 2)</f>
        <v>2</v>
      </c>
      <c r="BO866">
        <f>HYPERLINK("http://exon.niaid.nih.gov/transcriptome/Anopheles_sialome/links/cluster-b/anopheline-sialome-cds-pep-larger-orf30-50SimCLTL2.txt", 120)</f>
        <v>120</v>
      </c>
      <c r="BP866">
        <f>HYPERLINK("http://exon.niaid.nih.gov/transcriptome/Anopheles_sialome/links/cluster-b/anopheline-sialome-cds-pep-larger-orf35-50SimCLU1.txt", 1)</f>
        <v>1</v>
      </c>
      <c r="BQ866">
        <f>HYPERLINK("http://exon.niaid.nih.gov/transcriptome/Anopheles_sialome/links/cluster-b/anopheline-sialome-cds-pep-larger-orf35-50SimCLTL1.txt", 120)</f>
        <v>120</v>
      </c>
      <c r="BR866">
        <f>HYPERLINK("http://exon.niaid.nih.gov/transcriptome/Anopheles_sialome/links/cluster-b/anopheline-sialome-cds-pep-larger-orf40-50SimCLU7.txt", 7)</f>
        <v>7</v>
      </c>
      <c r="BS866">
        <f>HYPERLINK("http://exon.niaid.nih.gov/transcriptome/Anopheles_sialome/links/cluster-b/anopheline-sialome-cds-pep-larger-orf40-50SimCLTL7.txt", 37)</f>
        <v>37</v>
      </c>
      <c r="BT866">
        <f>HYPERLINK("http://exon.niaid.nih.gov/transcriptome/Anopheles_sialome/links/cluster-b/anopheline-sialome-cds-pep-larger-orf45-50SimCLU6.txt", 6)</f>
        <v>6</v>
      </c>
      <c r="BU866">
        <f>HYPERLINK("http://exon.niaid.nih.gov/transcriptome/Anopheles_sialome/links/cluster-b/anopheline-sialome-cds-pep-larger-orf45-50SimCLTL6.txt", 37)</f>
        <v>37</v>
      </c>
      <c r="BV866">
        <f>HYPERLINK("http://exon.niaid.nih.gov/transcriptome/Anopheles_sialome/links/cluster-b/anopheline-sialome-cds-pep-larger-orf50-50SimCLU6.txt", 6)</f>
        <v>6</v>
      </c>
      <c r="BW866">
        <f>HYPERLINK("http://exon.niaid.nih.gov/transcriptome/Anopheles_sialome/links/cluster-b/anopheline-sialome-cds-pep-larger-orf50-50SimCLTL6.txt", 37)</f>
        <v>37</v>
      </c>
      <c r="BX866">
        <f>HYPERLINK("http://exon.niaid.nih.gov/transcriptome/Anopheles_sialome/links/cluster-b/anopheline-sialome-cds-pep-larger-orf55-50SimCLU5.txt", 5)</f>
        <v>5</v>
      </c>
      <c r="BY866">
        <f>HYPERLINK("http://exon.niaid.nih.gov/transcriptome/Anopheles_sialome/links/cluster-b/anopheline-sialome-cds-pep-larger-orf55-50SimCLTL5.txt", 37)</f>
        <v>37</v>
      </c>
      <c r="BZ866">
        <f>HYPERLINK("http://exon.niaid.nih.gov/transcriptome/Anopheles_sialome/links/cluster-b/anopheline-sialome-cds-pep-larger-orf60-50SimCLU4.txt", 4)</f>
        <v>4</v>
      </c>
      <c r="CA866">
        <f>HYPERLINK("http://exon.niaid.nih.gov/transcriptome/Anopheles_sialome/links/cluster-b/anopheline-sialome-cds-pep-larger-orf60-50SimCLTL4.txt", 37)</f>
        <v>37</v>
      </c>
      <c r="CB866">
        <f>HYPERLINK("http://exon.niaid.nih.gov/transcriptome/Anopheles_sialome/links/cluster-b/anopheline-sialome-cds-pep-larger-orf65-50SimCLU16.txt", 16)</f>
        <v>16</v>
      </c>
      <c r="CC866">
        <f>HYPERLINK("http://exon.niaid.nih.gov/transcriptome/Anopheles_sialome/links/cluster-b/anopheline-sialome-cds-pep-larger-orf65-50SimCLTL16.txt", 18)</f>
        <v>18</v>
      </c>
      <c r="CD866">
        <f>HYPERLINK("http://exon.niaid.nih.gov/transcriptome/Anopheles_sialome/links/cluster-b/anopheline-sialome-cds-pep-larger-orf70-50SimCLU23.txt", 23)</f>
        <v>23</v>
      </c>
      <c r="CE866">
        <f>HYPERLINK("http://exon.niaid.nih.gov/transcriptome/Anopheles_sialome/links/cluster-b/anopheline-sialome-cds-pep-larger-orf70-50SimCLTL23.txt", 16)</f>
        <v>16</v>
      </c>
      <c r="CF866">
        <f>HYPERLINK("http://exon.niaid.nih.gov/transcriptome/Anopheles_sialome/links/cluster-b/anopheline-sialome-cds-pep-larger-orf75-50SimCLU24.txt", 24)</f>
        <v>24</v>
      </c>
      <c r="CG866">
        <f>HYPERLINK("http://exon.niaid.nih.gov/transcriptome/Anopheles_sialome/links/cluster-b/anopheline-sialome-cds-pep-larger-orf75-50SimCLTL24.txt", 14)</f>
        <v>14</v>
      </c>
      <c r="CH866">
        <f>HYPERLINK("http://exon.niaid.nih.gov/transcriptome/Anopheles_sialome/links/cluster-b/anopheline-sialome-cds-pep-larger-orf80-50SimCLU20.txt", 20)</f>
        <v>20</v>
      </c>
      <c r="CI866">
        <f>HYPERLINK("http://exon.niaid.nih.gov/transcriptome/Anopheles_sialome/links/cluster-b/anopheline-sialome-cds-pep-larger-orf80-50SimCLTL20.txt", 13)</f>
        <v>13</v>
      </c>
      <c r="CJ866">
        <f>HYPERLINK("http://exon.niaid.nih.gov/transcriptome/Anopheles_sialome/links/cluster-b/anopheline-sialome-cds-pep-larger-orf85-50SimCLU52.txt", 52)</f>
        <v>52</v>
      </c>
      <c r="CK866">
        <f>HYPERLINK("http://exon.niaid.nih.gov/transcriptome/Anopheles_sialome/links/cluster-b/anopheline-sialome-cds-pep-larger-orf85-50SimCLTL52.txt", 5)</f>
        <v>5</v>
      </c>
      <c r="CL866">
        <f>HYPERLINK("http://exon.niaid.nih.gov/transcriptome/Anopheles_sialome/links/cluster-b/anopheline-sialome-cds-pep-larger-orf90-50SimCLU91.txt", 91)</f>
        <v>91</v>
      </c>
      <c r="CM866">
        <f>HYPERLINK("http://exon.niaid.nih.gov/transcriptome/Anopheles_sialome/links/cluster-b/anopheline-sialome-cds-pep-larger-orf90-50SimCLTL91.txt", 2)</f>
        <v>2</v>
      </c>
      <c r="CN866">
        <v>519</v>
      </c>
      <c r="CO866">
        <v>1</v>
      </c>
    </row>
    <row r="867" spans="1:93">
      <c r="A867" s="2" t="str">
        <f>HYPERLINK("http://exon.niaid.nih.gov/transcriptome/Anopheles_sialome/links/cds/anomac_SG7-cds.txt","anomac_SG7")</f>
        <v>anomac_SG7</v>
      </c>
      <c r="B867">
        <v>429</v>
      </c>
      <c r="C867" t="s">
        <v>578</v>
      </c>
      <c r="D867" t="s">
        <v>7</v>
      </c>
      <c r="E867" t="s">
        <v>5</v>
      </c>
      <c r="F867" t="s">
        <v>1</v>
      </c>
      <c r="G867" t="str">
        <f>HYPERLINK("http://exon.niaid.nih.gov/transcriptome/Anopheles_sialome/links/pep/anomac_SG7-pep.txt","anomac_SG7")</f>
        <v>anomac_SG7</v>
      </c>
      <c r="H867">
        <v>142</v>
      </c>
      <c r="I867">
        <v>0</v>
      </c>
      <c r="J867" s="3" t="str">
        <f>HYPERLINK("http://exon.niaid.nih.gov/transcriptome/Anopheles_sialome/links/Sigp/anomac_SG7-SigP.txt","SIG")</f>
        <v>SIG</v>
      </c>
      <c r="K867" t="s">
        <v>787</v>
      </c>
      <c r="L867">
        <v>16.032</v>
      </c>
      <c r="M867">
        <v>8.51</v>
      </c>
      <c r="N867">
        <v>13.435</v>
      </c>
      <c r="O867">
        <v>8.68</v>
      </c>
      <c r="P867" t="s">
        <v>2103</v>
      </c>
      <c r="Q867" s="3">
        <v>0</v>
      </c>
      <c r="R867" t="s">
        <v>128</v>
      </c>
      <c r="S867" t="s">
        <v>128</v>
      </c>
      <c r="T867" t="s">
        <v>128</v>
      </c>
      <c r="U867" t="s">
        <v>128</v>
      </c>
      <c r="V867" t="s">
        <v>128</v>
      </c>
      <c r="W867" s="3" t="str">
        <f>HYPERLINK("http://exon.niaid.nih.gov/transcriptome/Anopheles_sialome/links/netoglyc/anomac_SG7-netoglyc.txt","1")</f>
        <v>1</v>
      </c>
      <c r="X867">
        <v>12</v>
      </c>
      <c r="Y867">
        <v>4.2</v>
      </c>
      <c r="Z867">
        <v>4.2</v>
      </c>
      <c r="AA867" t="s">
        <v>654</v>
      </c>
      <c r="AB867" t="s">
        <v>128</v>
      </c>
      <c r="AC867" s="2" t="str">
        <f>HYPERLINK("http://exon.niaid.nih.gov/transcriptome/Anopheles_sialome/links/DIPTERA/anomac_SG7-DIPTERA.txt","anophensin")</f>
        <v>anophensin</v>
      </c>
      <c r="AD867" t="str">
        <f>HYPERLINK("http://www.ncbi.nlm.nih.gov/sutils/blink.cgi?pid=148189823","2E-066")</f>
        <v>2E-066</v>
      </c>
      <c r="AE867" t="str">
        <f>HYPERLINK("http://www.ncbi.nlm.nih.gov/protein/148189823","gi|148189823")</f>
        <v>gi|148189823</v>
      </c>
      <c r="AF867">
        <v>85</v>
      </c>
      <c r="AG867">
        <v>92</v>
      </c>
      <c r="AH867">
        <v>100</v>
      </c>
      <c r="AI867" t="s">
        <v>2271</v>
      </c>
      <c r="AJ867" s="2" t="str">
        <f>HYPERLINK("http://exon.niaid.nih.gov/transcriptome/Anopheles_sialome/links/CULICOMORPHA/anomac_SG7-CULICOMORPHA.txt","anophensin")</f>
        <v>anophensin</v>
      </c>
      <c r="AK867" t="str">
        <f>HYPERLINK("http://www.ncbi.nlm.nih.gov/sutils/blink.cgi?pid=148189823","4E-067")</f>
        <v>4E-067</v>
      </c>
      <c r="AL867" t="str">
        <f>HYPERLINK("http://www.ncbi.nlm.nih.gov/protein/148189823","gi|148189823")</f>
        <v>gi|148189823</v>
      </c>
      <c r="AM867">
        <v>85</v>
      </c>
      <c r="AN867">
        <v>92</v>
      </c>
      <c r="AO867">
        <v>100</v>
      </c>
      <c r="AP867" t="s">
        <v>2271</v>
      </c>
      <c r="AQ867" s="2" t="str">
        <f>HYPERLINK("http://exon.niaid.nih.gov/transcriptome/Anopheles_sialome/links/NR-LIGHT/anomac_SG7-NR-LIGHT.txt","anophensin")</f>
        <v>anophensin</v>
      </c>
      <c r="AR867" t="str">
        <f>HYPERLINK("http://www.ncbi.nlm.nih.gov/sutils/blink.cgi?pid=148189823","6E-066")</f>
        <v>6E-066</v>
      </c>
      <c r="AS867" t="str">
        <f>HYPERLINK("http://www.ncbi.nlm.nih.gov/protein/148189823","gi|148189823")</f>
        <v>gi|148189823</v>
      </c>
      <c r="AT867">
        <v>85</v>
      </c>
      <c r="AU867">
        <v>92</v>
      </c>
      <c r="AV867">
        <v>100</v>
      </c>
      <c r="AW867" t="s">
        <v>2271</v>
      </c>
      <c r="AX867" s="2" t="str">
        <f>HYPERLINK("http://exon.niaid.nih.gov/transcriptome/Anopheles_sialome/links/CDD/anomac_SG7-CDD.txt","PRK10790")</f>
        <v>PRK10790</v>
      </c>
      <c r="AY867" t="str">
        <f>HYPERLINK("http://www.ncbi.nlm.nih.gov/Structure/cdd/cddsrv.cgi?uid=PRK10790&amp;version=v4.0","0.41")</f>
        <v>0.41</v>
      </c>
      <c r="AZ867" t="s">
        <v>3070</v>
      </c>
      <c r="BA867" s="2" t="str">
        <f>HYPERLINK("http://exon.niaid.nih.gov/transcriptome/Anopheles_sialome/links/KOG/anomac_SG7-KOG.txt","Uncharacterized conserved protein")</f>
        <v>Uncharacterized conserved protein</v>
      </c>
      <c r="BB867" t="str">
        <f>HYPERLINK("http://www.ncbi.nlm.nih.gov/Structure/cdd/cddsrv.cgi?uid=KOG4698","3.0")</f>
        <v>3.0</v>
      </c>
      <c r="BC867" t="s">
        <v>2304</v>
      </c>
      <c r="BD867" t="str">
        <f>HYPERLINK("http://exon.niaid.nih.gov/transcriptome/Anopheles_sialome/links/KOG/anomac_SG7-KOG.txt","KOG4698")</f>
        <v>KOG4698</v>
      </c>
      <c r="BE867" t="str">
        <f>HYPERLINK("http://exon.niaid.nih.gov/transcriptome/Anopheles_sialome/links/PFAM/anomac_SG7-PFAM.txt","NotI")</f>
        <v>NotI</v>
      </c>
      <c r="BF867" t="str">
        <f>HYPERLINK("http://pfam.sanger.ac.uk/family?acc=PF12183","0.24")</f>
        <v>0.24</v>
      </c>
      <c r="BG867" s="2" t="str">
        <f>HYPERLINK("http://exon.niaid.nih.gov/transcriptome/Anopheles_sialome/links/SMART/anomac_SG7-SMART.txt","LNS2")</f>
        <v>LNS2</v>
      </c>
      <c r="BH867" t="str">
        <f>HYPERLINK("http://smart.embl-heidelberg.de/smart/do_annotation.pl?DOMAIN=LNS2&amp;BLAST=DUMMY","0.094")</f>
        <v>0.094</v>
      </c>
      <c r="BI867" t="str">
        <f>HYPERLINK("http://exon.niaid.nih.gov/transcriptome/Anopheles_sialome/links/TICK-BLOCKS/anomac_SG7-TICK-BLOCKS.txt","Anopheles_gSG7 |")</f>
        <v>Anopheles_gSG7 |</v>
      </c>
      <c r="BJ867" s="2" t="s">
        <v>3058</v>
      </c>
      <c r="BK867" t="s">
        <v>2102</v>
      </c>
      <c r="BL867">
        <f>HYPERLINK("http://exon.niaid.nih.gov/transcriptome/Anopheles_sialome/links/cluster-b/anopheline-sialome-cds-pep-larger-orf25-50SimCLU2.txt", 2)</f>
        <v>2</v>
      </c>
      <c r="BM867">
        <f>HYPERLINK("http://exon.niaid.nih.gov/transcriptome/Anopheles_sialome/links/cluster-b/anopheline-sialome-cds-pep-larger-orf25-50SimCLTL2.txt", 120)</f>
        <v>120</v>
      </c>
      <c r="BN867">
        <f>HYPERLINK("http://exon.niaid.nih.gov/transcriptome/Anopheles_sialome/links/cluster-b/anopheline-sialome-cds-pep-larger-orf30-50SimCLU2.txt", 2)</f>
        <v>2</v>
      </c>
      <c r="BO867">
        <f>HYPERLINK("http://exon.niaid.nih.gov/transcriptome/Anopheles_sialome/links/cluster-b/anopheline-sialome-cds-pep-larger-orf30-50SimCLTL2.txt", 120)</f>
        <v>120</v>
      </c>
      <c r="BP867">
        <f>HYPERLINK("http://exon.niaid.nih.gov/transcriptome/Anopheles_sialome/links/cluster-b/anopheline-sialome-cds-pep-larger-orf35-50SimCLU1.txt", 1)</f>
        <v>1</v>
      </c>
      <c r="BQ867">
        <f>HYPERLINK("http://exon.niaid.nih.gov/transcriptome/Anopheles_sialome/links/cluster-b/anopheline-sialome-cds-pep-larger-orf35-50SimCLTL1.txt", 120)</f>
        <v>120</v>
      </c>
      <c r="BR867">
        <f>HYPERLINK("http://exon.niaid.nih.gov/transcriptome/Anopheles_sialome/links/cluster-b/anopheline-sialome-cds-pep-larger-orf40-50SimCLU7.txt", 7)</f>
        <v>7</v>
      </c>
      <c r="BS867">
        <f>HYPERLINK("http://exon.niaid.nih.gov/transcriptome/Anopheles_sialome/links/cluster-b/anopheline-sialome-cds-pep-larger-orf40-50SimCLTL7.txt", 37)</f>
        <v>37</v>
      </c>
      <c r="BT867">
        <f>HYPERLINK("http://exon.niaid.nih.gov/transcriptome/Anopheles_sialome/links/cluster-b/anopheline-sialome-cds-pep-larger-orf45-50SimCLU6.txt", 6)</f>
        <v>6</v>
      </c>
      <c r="BU867">
        <f>HYPERLINK("http://exon.niaid.nih.gov/transcriptome/Anopheles_sialome/links/cluster-b/anopheline-sialome-cds-pep-larger-orf45-50SimCLTL6.txt", 37)</f>
        <v>37</v>
      </c>
      <c r="BV867">
        <f>HYPERLINK("http://exon.niaid.nih.gov/transcriptome/Anopheles_sialome/links/cluster-b/anopheline-sialome-cds-pep-larger-orf50-50SimCLU6.txt", 6)</f>
        <v>6</v>
      </c>
      <c r="BW867">
        <f>HYPERLINK("http://exon.niaid.nih.gov/transcriptome/Anopheles_sialome/links/cluster-b/anopheline-sialome-cds-pep-larger-orf50-50SimCLTL6.txt", 37)</f>
        <v>37</v>
      </c>
      <c r="BX867">
        <f>HYPERLINK("http://exon.niaid.nih.gov/transcriptome/Anopheles_sialome/links/cluster-b/anopheline-sialome-cds-pep-larger-orf55-50SimCLU5.txt", 5)</f>
        <v>5</v>
      </c>
      <c r="BY867">
        <f>HYPERLINK("http://exon.niaid.nih.gov/transcriptome/Anopheles_sialome/links/cluster-b/anopheline-sialome-cds-pep-larger-orf55-50SimCLTL5.txt", 37)</f>
        <v>37</v>
      </c>
      <c r="BZ867">
        <f>HYPERLINK("http://exon.niaid.nih.gov/transcriptome/Anopheles_sialome/links/cluster-b/anopheline-sialome-cds-pep-larger-orf60-50SimCLU4.txt", 4)</f>
        <v>4</v>
      </c>
      <c r="CA867">
        <f>HYPERLINK("http://exon.niaid.nih.gov/transcriptome/Anopheles_sialome/links/cluster-b/anopheline-sialome-cds-pep-larger-orf60-50SimCLTL4.txt", 37)</f>
        <v>37</v>
      </c>
      <c r="CB867">
        <f>HYPERLINK("http://exon.niaid.nih.gov/transcriptome/Anopheles_sialome/links/cluster-b/anopheline-sialome-cds-pep-larger-orf65-50SimCLU16.txt", 16)</f>
        <v>16</v>
      </c>
      <c r="CC867">
        <f>HYPERLINK("http://exon.niaid.nih.gov/transcriptome/Anopheles_sialome/links/cluster-b/anopheline-sialome-cds-pep-larger-orf65-50SimCLTL16.txt", 18)</f>
        <v>18</v>
      </c>
      <c r="CD867">
        <f>HYPERLINK("http://exon.niaid.nih.gov/transcriptome/Anopheles_sialome/links/cluster-b/anopheline-sialome-cds-pep-larger-orf70-50SimCLU23.txt", 23)</f>
        <v>23</v>
      </c>
      <c r="CE867">
        <f>HYPERLINK("http://exon.niaid.nih.gov/transcriptome/Anopheles_sialome/links/cluster-b/anopheline-sialome-cds-pep-larger-orf70-50SimCLTL23.txt", 16)</f>
        <v>16</v>
      </c>
      <c r="CF867">
        <f>HYPERLINK("http://exon.niaid.nih.gov/transcriptome/Anopheles_sialome/links/cluster-b/anopheline-sialome-cds-pep-larger-orf75-50SimCLU24.txt", 24)</f>
        <v>24</v>
      </c>
      <c r="CG867">
        <f>HYPERLINK("http://exon.niaid.nih.gov/transcriptome/Anopheles_sialome/links/cluster-b/anopheline-sialome-cds-pep-larger-orf75-50SimCLTL24.txt", 14)</f>
        <v>14</v>
      </c>
      <c r="CH867">
        <f>HYPERLINK("http://exon.niaid.nih.gov/transcriptome/Anopheles_sialome/links/cluster-b/anopheline-sialome-cds-pep-larger-orf80-50SimCLU20.txt", 20)</f>
        <v>20</v>
      </c>
      <c r="CI867">
        <f>HYPERLINK("http://exon.niaid.nih.gov/transcriptome/Anopheles_sialome/links/cluster-b/anopheline-sialome-cds-pep-larger-orf80-50SimCLTL20.txt", 13)</f>
        <v>13</v>
      </c>
      <c r="CJ867">
        <f>HYPERLINK("http://exon.niaid.nih.gov/transcriptome/Anopheles_sialome/links/cluster-b/anopheline-sialome-cds-pep-larger-orf85-50SimCLU52.txt", 52)</f>
        <v>52</v>
      </c>
      <c r="CK867">
        <f>HYPERLINK("http://exon.niaid.nih.gov/transcriptome/Anopheles_sialome/links/cluster-b/anopheline-sialome-cds-pep-larger-orf85-50SimCLTL52.txt", 5)</f>
        <v>5</v>
      </c>
      <c r="CL867">
        <f>HYPERLINK("http://exon.niaid.nih.gov/transcriptome/Anopheles_sialome/links/cluster-b/anopheline-sialome-cds-pep-larger-orf90-50SimCLU91.txt", 91)</f>
        <v>91</v>
      </c>
      <c r="CM867">
        <f>HYPERLINK("http://exon.niaid.nih.gov/transcriptome/Anopheles_sialome/links/cluster-b/anopheline-sialome-cds-pep-larger-orf90-50SimCLTL91.txt", 2)</f>
        <v>2</v>
      </c>
      <c r="CN867">
        <v>520</v>
      </c>
      <c r="CO867">
        <v>1</v>
      </c>
    </row>
    <row r="868" spans="1:93">
      <c r="A868" s="2" t="str">
        <f>HYPERLINK("http://exon.niaid.nih.gov/transcriptome/Anopheles_sialome/links/cds/anofar_SG7-cds.txt","anofar_SG7")</f>
        <v>anofar_SG7</v>
      </c>
      <c r="B868">
        <v>429</v>
      </c>
      <c r="C868" t="s">
        <v>579</v>
      </c>
      <c r="D868" t="s">
        <v>4</v>
      </c>
      <c r="E868" t="s">
        <v>5</v>
      </c>
      <c r="F868" t="s">
        <v>1</v>
      </c>
      <c r="G868" t="str">
        <f>HYPERLINK("http://exon.niaid.nih.gov/transcriptome/Anopheles_sialome/links/pep/anofar_SG7-pep.txt","anofar_SG7")</f>
        <v>anofar_SG7</v>
      </c>
      <c r="H868">
        <v>142</v>
      </c>
      <c r="I868">
        <v>0</v>
      </c>
      <c r="J868" s="3" t="str">
        <f>HYPERLINK("http://exon.niaid.nih.gov/transcriptome/Anopheles_sialome/links/Sigp/anofar_SG7-SigP.txt","SIG")</f>
        <v>SIG</v>
      </c>
      <c r="K868" t="s">
        <v>787</v>
      </c>
      <c r="L868">
        <v>16.169</v>
      </c>
      <c r="M868">
        <v>8.25</v>
      </c>
      <c r="N868">
        <v>13.4</v>
      </c>
      <c r="O868">
        <v>8.33</v>
      </c>
      <c r="P868" t="s">
        <v>2105</v>
      </c>
      <c r="Q868" s="3">
        <v>0</v>
      </c>
      <c r="R868" t="s">
        <v>128</v>
      </c>
      <c r="S868" t="s">
        <v>128</v>
      </c>
      <c r="T868" t="s">
        <v>128</v>
      </c>
      <c r="U868" t="s">
        <v>128</v>
      </c>
      <c r="V868" t="s">
        <v>128</v>
      </c>
      <c r="W868" s="3" t="str">
        <f>HYPERLINK("http://exon.niaid.nih.gov/transcriptome/Anopheles_sialome/links/netoglyc/anofar_SG7-netoglyc.txt","0")</f>
        <v>0</v>
      </c>
      <c r="X868">
        <v>11.3</v>
      </c>
      <c r="Y868">
        <v>4.9000000000000004</v>
      </c>
      <c r="Z868">
        <v>3.5</v>
      </c>
      <c r="AA868" t="s">
        <v>654</v>
      </c>
      <c r="AB868" t="s">
        <v>128</v>
      </c>
      <c r="AC868" s="2" t="str">
        <f>HYPERLINK("http://exon.niaid.nih.gov/transcriptome/Anopheles_sialome/links/DIPTERA/anofar_SG7-DIPTERA.txt","anophensin")</f>
        <v>anophensin</v>
      </c>
      <c r="AD868" t="str">
        <f>HYPERLINK("http://www.ncbi.nlm.nih.gov/sutils/blink.cgi?pid=148189823","2E-044")</f>
        <v>2E-044</v>
      </c>
      <c r="AE868" t="str">
        <f>HYPERLINK("http://www.ncbi.nlm.nih.gov/protein/148189823","gi|148189823")</f>
        <v>gi|148189823</v>
      </c>
      <c r="AF868">
        <v>60</v>
      </c>
      <c r="AG868">
        <v>74</v>
      </c>
      <c r="AH868">
        <v>100</v>
      </c>
      <c r="AI868" t="s">
        <v>2271</v>
      </c>
      <c r="AJ868" s="2" t="str">
        <f>HYPERLINK("http://exon.niaid.nih.gov/transcriptome/Anopheles_sialome/links/CULICOMORPHA/anofar_SG7-CULICOMORPHA.txt","anophensin")</f>
        <v>anophensin</v>
      </c>
      <c r="AK868" t="str">
        <f>HYPERLINK("http://www.ncbi.nlm.nih.gov/sutils/blink.cgi?pid=148189823","5E-045")</f>
        <v>5E-045</v>
      </c>
      <c r="AL868" t="str">
        <f>HYPERLINK("http://www.ncbi.nlm.nih.gov/protein/148189823","gi|148189823")</f>
        <v>gi|148189823</v>
      </c>
      <c r="AM868">
        <v>60</v>
      </c>
      <c r="AN868">
        <v>74</v>
      </c>
      <c r="AO868">
        <v>100</v>
      </c>
      <c r="AP868" t="s">
        <v>2271</v>
      </c>
      <c r="AQ868" s="2" t="str">
        <f>HYPERLINK("http://exon.niaid.nih.gov/transcriptome/Anopheles_sialome/links/NR-LIGHT/anofar_SG7-NR-LIGHT.txt","anophensin")</f>
        <v>anophensin</v>
      </c>
      <c r="AR868" t="str">
        <f>HYPERLINK("http://www.ncbi.nlm.nih.gov/sutils/blink.cgi?pid=148189823","7E-044")</f>
        <v>7E-044</v>
      </c>
      <c r="AS868" t="str">
        <f>HYPERLINK("http://www.ncbi.nlm.nih.gov/protein/148189823","gi|148189823")</f>
        <v>gi|148189823</v>
      </c>
      <c r="AT868">
        <v>60</v>
      </c>
      <c r="AU868">
        <v>74</v>
      </c>
      <c r="AV868">
        <v>100</v>
      </c>
      <c r="AW868" t="s">
        <v>2271</v>
      </c>
      <c r="AX868" s="2" t="str">
        <f>HYPERLINK("http://exon.niaid.nih.gov/transcriptome/Anopheles_sialome/links/CDD/anofar_SG7-CDD.txt","Orbi_NS3")</f>
        <v>Orbi_NS3</v>
      </c>
      <c r="AY868" t="str">
        <f>HYPERLINK("http://www.ncbi.nlm.nih.gov/Structure/cdd/cddsrv.cgi?uid=pfam01616&amp;version=v4.0","0.007")</f>
        <v>0.007</v>
      </c>
      <c r="AZ868" t="s">
        <v>3071</v>
      </c>
      <c r="BA868" s="2" t="str">
        <f>HYPERLINK("http://exon.niaid.nih.gov/transcriptome/Anopheles_sialome/links/KOG/anofar_SG7-KOG.txt","Uncharacterized conserved protein")</f>
        <v>Uncharacterized conserved protein</v>
      </c>
      <c r="BB868" t="str">
        <f>HYPERLINK("http://www.ncbi.nlm.nih.gov/Structure/cdd/cddsrv.cgi?uid=KOG2939","0.16")</f>
        <v>0.16</v>
      </c>
      <c r="BC868" t="s">
        <v>2304</v>
      </c>
      <c r="BD868" t="str">
        <f>HYPERLINK("http://exon.niaid.nih.gov/transcriptome/Anopheles_sialome/links/KOG/anofar_SG7-KOG.txt","KOG2939")</f>
        <v>KOG2939</v>
      </c>
      <c r="BE868" t="str">
        <f>HYPERLINK("http://exon.niaid.nih.gov/transcriptome/Anopheles_sialome/links/PFAM/anofar_SG7-PFAM.txt","Orbi_NS3")</f>
        <v>Orbi_NS3</v>
      </c>
      <c r="BF868" t="str">
        <f>HYPERLINK("http://pfam.sanger.ac.uk/family?acc=PF01616","0.002")</f>
        <v>0.002</v>
      </c>
      <c r="BG868" s="2" t="str">
        <f>HYPERLINK("http://exon.niaid.nih.gov/transcriptome/Anopheles_sialome/links/SMART/anofar_SG7-SMART.txt","LNS2")</f>
        <v>LNS2</v>
      </c>
      <c r="BH868" t="str">
        <f>HYPERLINK("http://smart.embl-heidelberg.de/smart/do_annotation.pl?DOMAIN=LNS2&amp;BLAST=DUMMY","0.29")</f>
        <v>0.29</v>
      </c>
      <c r="BI868" t="s">
        <v>128</v>
      </c>
      <c r="BJ868" s="2" t="s">
        <v>128</v>
      </c>
      <c r="BK868" t="s">
        <v>2104</v>
      </c>
      <c r="BL868">
        <f>HYPERLINK("http://exon.niaid.nih.gov/transcriptome/Anopheles_sialome/links/cluster-b/anopheline-sialome-cds-pep-larger-orf25-50SimCLU2.txt", 2)</f>
        <v>2</v>
      </c>
      <c r="BM868">
        <f>HYPERLINK("http://exon.niaid.nih.gov/transcriptome/Anopheles_sialome/links/cluster-b/anopheline-sialome-cds-pep-larger-orf25-50SimCLTL2.txt", 120)</f>
        <v>120</v>
      </c>
      <c r="BN868">
        <f>HYPERLINK("http://exon.niaid.nih.gov/transcriptome/Anopheles_sialome/links/cluster-b/anopheline-sialome-cds-pep-larger-orf30-50SimCLU2.txt", 2)</f>
        <v>2</v>
      </c>
      <c r="BO868">
        <f>HYPERLINK("http://exon.niaid.nih.gov/transcriptome/Anopheles_sialome/links/cluster-b/anopheline-sialome-cds-pep-larger-orf30-50SimCLTL2.txt", 120)</f>
        <v>120</v>
      </c>
      <c r="BP868">
        <f>HYPERLINK("http://exon.niaid.nih.gov/transcriptome/Anopheles_sialome/links/cluster-b/anopheline-sialome-cds-pep-larger-orf35-50SimCLU1.txt", 1)</f>
        <v>1</v>
      </c>
      <c r="BQ868">
        <f>HYPERLINK("http://exon.niaid.nih.gov/transcriptome/Anopheles_sialome/links/cluster-b/anopheline-sialome-cds-pep-larger-orf35-50SimCLTL1.txt", 120)</f>
        <v>120</v>
      </c>
      <c r="BR868">
        <f>HYPERLINK("http://exon.niaid.nih.gov/transcriptome/Anopheles_sialome/links/cluster-b/anopheline-sialome-cds-pep-larger-orf40-50SimCLU7.txt", 7)</f>
        <v>7</v>
      </c>
      <c r="BS868">
        <f>HYPERLINK("http://exon.niaid.nih.gov/transcriptome/Anopheles_sialome/links/cluster-b/anopheline-sialome-cds-pep-larger-orf40-50SimCLTL7.txt", 37)</f>
        <v>37</v>
      </c>
      <c r="BT868">
        <f>HYPERLINK("http://exon.niaid.nih.gov/transcriptome/Anopheles_sialome/links/cluster-b/anopheline-sialome-cds-pep-larger-orf45-50SimCLU6.txt", 6)</f>
        <v>6</v>
      </c>
      <c r="BU868">
        <f>HYPERLINK("http://exon.niaid.nih.gov/transcriptome/Anopheles_sialome/links/cluster-b/anopheline-sialome-cds-pep-larger-orf45-50SimCLTL6.txt", 37)</f>
        <v>37</v>
      </c>
      <c r="BV868">
        <f>HYPERLINK("http://exon.niaid.nih.gov/transcriptome/Anopheles_sialome/links/cluster-b/anopheline-sialome-cds-pep-larger-orf50-50SimCLU6.txt", 6)</f>
        <v>6</v>
      </c>
      <c r="BW868">
        <f>HYPERLINK("http://exon.niaid.nih.gov/transcriptome/Anopheles_sialome/links/cluster-b/anopheline-sialome-cds-pep-larger-orf50-50SimCLTL6.txt", 37)</f>
        <v>37</v>
      </c>
      <c r="BX868">
        <f>HYPERLINK("http://exon.niaid.nih.gov/transcriptome/Anopheles_sialome/links/cluster-b/anopheline-sialome-cds-pep-larger-orf55-50SimCLU5.txt", 5)</f>
        <v>5</v>
      </c>
      <c r="BY868">
        <f>HYPERLINK("http://exon.niaid.nih.gov/transcriptome/Anopheles_sialome/links/cluster-b/anopheline-sialome-cds-pep-larger-orf55-50SimCLTL5.txt", 37)</f>
        <v>37</v>
      </c>
      <c r="BZ868">
        <f>HYPERLINK("http://exon.niaid.nih.gov/transcriptome/Anopheles_sialome/links/cluster-b/anopheline-sialome-cds-pep-larger-orf60-50SimCLU4.txt", 4)</f>
        <v>4</v>
      </c>
      <c r="CA868">
        <f>HYPERLINK("http://exon.niaid.nih.gov/transcriptome/Anopheles_sialome/links/cluster-b/anopheline-sialome-cds-pep-larger-orf60-50SimCLTL4.txt", 37)</f>
        <v>37</v>
      </c>
      <c r="CB868">
        <f>HYPERLINK("http://exon.niaid.nih.gov/transcriptome/Anopheles_sialome/links/cluster-b/anopheline-sialome-cds-pep-larger-orf65-50SimCLU16.txt", 16)</f>
        <v>16</v>
      </c>
      <c r="CC868">
        <f>HYPERLINK("http://exon.niaid.nih.gov/transcriptome/Anopheles_sialome/links/cluster-b/anopheline-sialome-cds-pep-larger-orf65-50SimCLTL16.txt", 18)</f>
        <v>18</v>
      </c>
      <c r="CD868">
        <f>HYPERLINK("http://exon.niaid.nih.gov/transcriptome/Anopheles_sialome/links/cluster-b/anopheline-sialome-cds-pep-larger-orf70-50SimCLU23.txt", 23)</f>
        <v>23</v>
      </c>
      <c r="CE868">
        <f>HYPERLINK("http://exon.niaid.nih.gov/transcriptome/Anopheles_sialome/links/cluster-b/anopheline-sialome-cds-pep-larger-orf70-50SimCLTL23.txt", 16)</f>
        <v>16</v>
      </c>
      <c r="CF868">
        <f>HYPERLINK("http://exon.niaid.nih.gov/transcriptome/Anopheles_sialome/links/cluster-b/anopheline-sialome-cds-pep-larger-orf75-50SimCLU24.txt", 24)</f>
        <v>24</v>
      </c>
      <c r="CG868">
        <f>HYPERLINK("http://exon.niaid.nih.gov/transcriptome/Anopheles_sialome/links/cluster-b/anopheline-sialome-cds-pep-larger-orf75-50SimCLTL24.txt", 14)</f>
        <v>14</v>
      </c>
      <c r="CH868">
        <v>239</v>
      </c>
      <c r="CI868">
        <v>1</v>
      </c>
      <c r="CJ868">
        <v>323</v>
      </c>
      <c r="CK868">
        <v>1</v>
      </c>
      <c r="CL868">
        <v>420</v>
      </c>
      <c r="CM868">
        <v>1</v>
      </c>
      <c r="CN868">
        <v>521</v>
      </c>
      <c r="CO868">
        <v>1</v>
      </c>
    </row>
    <row r="869" spans="1:93">
      <c r="A869" s="2" t="str">
        <f>HYPERLINK("http://exon.niaid.nih.gov/transcriptome/Anopheles_sialome/links/cds/anoatro_SG7-cds.txt","anoatro_SG7")</f>
        <v>anoatro_SG7</v>
      </c>
      <c r="B869">
        <v>438</v>
      </c>
      <c r="C869" t="s">
        <v>580</v>
      </c>
      <c r="D869" t="s">
        <v>7</v>
      </c>
      <c r="E869" t="s">
        <v>5</v>
      </c>
      <c r="F869" t="s">
        <v>1</v>
      </c>
      <c r="G869" t="str">
        <f>HYPERLINK("http://exon.niaid.nih.gov/transcriptome/Anopheles_sialome/links/pep/anoatro_SG7-pep.txt","anoatro_SG7")</f>
        <v>anoatro_SG7</v>
      </c>
      <c r="H869">
        <v>145</v>
      </c>
      <c r="I869">
        <v>1</v>
      </c>
      <c r="J869" s="3" t="str">
        <f>HYPERLINK("http://exon.niaid.nih.gov/transcriptome/Anopheles_sialome/links/Sigp/anoatro_SG7-SigP.txt","SIG")</f>
        <v>SIG</v>
      </c>
      <c r="K869" t="s">
        <v>689</v>
      </c>
      <c r="L869">
        <v>16.564</v>
      </c>
      <c r="M869">
        <v>7.59</v>
      </c>
      <c r="N869">
        <v>14.329000000000001</v>
      </c>
      <c r="O869">
        <v>6.65</v>
      </c>
      <c r="P869" t="s">
        <v>2107</v>
      </c>
      <c r="Q869" s="3">
        <v>0</v>
      </c>
      <c r="R869" t="s">
        <v>128</v>
      </c>
      <c r="S869" t="s">
        <v>128</v>
      </c>
      <c r="T869" t="s">
        <v>128</v>
      </c>
      <c r="U869" t="s">
        <v>128</v>
      </c>
      <c r="V869" t="s">
        <v>128</v>
      </c>
      <c r="W869" s="3" t="str">
        <f>HYPERLINK("http://exon.niaid.nih.gov/transcriptome/Anopheles_sialome/links/netoglyc/anoatro_SG7-netoglyc.txt","1")</f>
        <v>1</v>
      </c>
      <c r="X869">
        <v>15.2</v>
      </c>
      <c r="Y869">
        <v>2.8</v>
      </c>
      <c r="Z869">
        <v>2.8</v>
      </c>
      <c r="AA869" t="s">
        <v>654</v>
      </c>
      <c r="AB869" t="s">
        <v>128</v>
      </c>
      <c r="AC869" s="2" t="str">
        <f>HYPERLINK("http://exon.niaid.nih.gov/transcriptome/Anopheles_sialome/links/DIPTERA/anoatro_SG7-DIPTERA.txt","gSG7 salivary protein")</f>
        <v>gSG7 salivary protein</v>
      </c>
      <c r="AD869" t="str">
        <f>HYPERLINK("http://www.ncbi.nlm.nih.gov/sutils/blink.cgi?pid=668446947","6E-042")</f>
        <v>6E-042</v>
      </c>
      <c r="AE869" t="str">
        <f>HYPERLINK("http://www.ncbi.nlm.nih.gov/protein/668446947","gi|668446947")</f>
        <v>gi|668446947</v>
      </c>
      <c r="AF869">
        <v>60</v>
      </c>
      <c r="AG869">
        <v>76</v>
      </c>
      <c r="AH869">
        <v>97</v>
      </c>
      <c r="AI869" t="s">
        <v>2277</v>
      </c>
      <c r="AJ869" s="2" t="str">
        <f>HYPERLINK("http://exon.niaid.nih.gov/transcriptome/Anopheles_sialome/links/CULICOMORPHA/anoatro_SG7-CULICOMORPHA.txt","gSG7 salivary protein")</f>
        <v>gSG7 salivary protein</v>
      </c>
      <c r="AK869" t="str">
        <f>HYPERLINK("http://www.ncbi.nlm.nih.gov/sutils/blink.cgi?pid=668446947","1E-042")</f>
        <v>1E-042</v>
      </c>
      <c r="AL869" t="str">
        <f>HYPERLINK("http://www.ncbi.nlm.nih.gov/protein/668446947","gi|668446947")</f>
        <v>gi|668446947</v>
      </c>
      <c r="AM869">
        <v>60</v>
      </c>
      <c r="AN869">
        <v>76</v>
      </c>
      <c r="AO869">
        <v>97</v>
      </c>
      <c r="AP869" t="s">
        <v>2277</v>
      </c>
      <c r="AQ869" s="2" t="str">
        <f>HYPERLINK("http://exon.niaid.nih.gov/transcriptome/Anopheles_sialome/links/NR-LIGHT/anoatro_SG7-NR-LIGHT.txt","gSG7 salivary protein")</f>
        <v>gSG7 salivary protein</v>
      </c>
      <c r="AR869" t="str">
        <f>HYPERLINK("http://www.ncbi.nlm.nih.gov/sutils/blink.cgi?pid=668446947","2E-041")</f>
        <v>2E-041</v>
      </c>
      <c r="AS869" t="str">
        <f>HYPERLINK("http://www.ncbi.nlm.nih.gov/protein/668446947","gi|668446947")</f>
        <v>gi|668446947</v>
      </c>
      <c r="AT869">
        <v>60</v>
      </c>
      <c r="AU869">
        <v>76</v>
      </c>
      <c r="AV869">
        <v>97</v>
      </c>
      <c r="AW869" t="s">
        <v>2277</v>
      </c>
      <c r="AX869" s="2" t="str">
        <f>HYPERLINK("http://exon.niaid.nih.gov/transcriptome/Anopheles_sialome/links/CDD/anoatro_SG7-CDD.txt","PIR")</f>
        <v>PIR</v>
      </c>
      <c r="AY869" t="str">
        <f>HYPERLINK("http://www.ncbi.nlm.nih.gov/Structure/cdd/cddsrv.cgi?uid=PLN03099&amp;version=v4.0","1.2")</f>
        <v>1.2</v>
      </c>
      <c r="AZ869" t="s">
        <v>3072</v>
      </c>
      <c r="BA869" s="2" t="str">
        <f>HYPERLINK("http://exon.niaid.nih.gov/transcriptome/Anopheles_sialome/links/KOG/anoatro_SG7-KOG.txt","Uncharacterized conserved protein")</f>
        <v>Uncharacterized conserved protein</v>
      </c>
      <c r="BB869" t="str">
        <f>HYPERLINK("http://www.ncbi.nlm.nih.gov/Structure/cdd/cddsrv.cgi?uid=KOG3740","0.14")</f>
        <v>0.14</v>
      </c>
      <c r="BC869" t="s">
        <v>2304</v>
      </c>
      <c r="BD869" t="str">
        <f>HYPERLINK("http://exon.niaid.nih.gov/transcriptome/Anopheles_sialome/links/KOG/anoatro_SG7-KOG.txt","KOG3740")</f>
        <v>KOG3740</v>
      </c>
      <c r="BE869" t="str">
        <f>HYPERLINK("http://exon.niaid.nih.gov/transcriptome/Anopheles_sialome/links/PFAM/anoatro_SG7-PFAM.txt","RGP")</f>
        <v>RGP</v>
      </c>
      <c r="BF869" t="str">
        <f>HYPERLINK("http://pfam.sanger.ac.uk/family?acc=PF03214","2.1")</f>
        <v>2.1</v>
      </c>
      <c r="BG869" s="2" t="str">
        <f>HYPERLINK("http://exon.niaid.nih.gov/transcriptome/Anopheles_sialome/links/SMART/anoatro_SG7-SMART.txt","LNS2")</f>
        <v>LNS2</v>
      </c>
      <c r="BH869" t="str">
        <f>HYPERLINK("http://smart.embl-heidelberg.de/smart/do_annotation.pl?DOMAIN=LNS2&amp;BLAST=DUMMY","0.65")</f>
        <v>0.65</v>
      </c>
      <c r="BI869" t="s">
        <v>128</v>
      </c>
      <c r="BJ869" s="2" t="s">
        <v>128</v>
      </c>
      <c r="BK869" t="s">
        <v>2106</v>
      </c>
      <c r="BL869">
        <f>HYPERLINK("http://exon.niaid.nih.gov/transcriptome/Anopheles_sialome/links/cluster-b/anopheline-sialome-cds-pep-larger-orf25-50SimCLU2.txt", 2)</f>
        <v>2</v>
      </c>
      <c r="BM869">
        <f>HYPERLINK("http://exon.niaid.nih.gov/transcriptome/Anopheles_sialome/links/cluster-b/anopheline-sialome-cds-pep-larger-orf25-50SimCLTL2.txt", 120)</f>
        <v>120</v>
      </c>
      <c r="BN869">
        <f>HYPERLINK("http://exon.niaid.nih.gov/transcriptome/Anopheles_sialome/links/cluster-b/anopheline-sialome-cds-pep-larger-orf30-50SimCLU2.txt", 2)</f>
        <v>2</v>
      </c>
      <c r="BO869">
        <f>HYPERLINK("http://exon.niaid.nih.gov/transcriptome/Anopheles_sialome/links/cluster-b/anopheline-sialome-cds-pep-larger-orf30-50SimCLTL2.txt", 120)</f>
        <v>120</v>
      </c>
      <c r="BP869">
        <f>HYPERLINK("http://exon.niaid.nih.gov/transcriptome/Anopheles_sialome/links/cluster-b/anopheline-sialome-cds-pep-larger-orf35-50SimCLU1.txt", 1)</f>
        <v>1</v>
      </c>
      <c r="BQ869">
        <f>HYPERLINK("http://exon.niaid.nih.gov/transcriptome/Anopheles_sialome/links/cluster-b/anopheline-sialome-cds-pep-larger-orf35-50SimCLTL1.txt", 120)</f>
        <v>120</v>
      </c>
      <c r="BR869">
        <f>HYPERLINK("http://exon.niaid.nih.gov/transcriptome/Anopheles_sialome/links/cluster-b/anopheline-sialome-cds-pep-larger-orf40-50SimCLU7.txt", 7)</f>
        <v>7</v>
      </c>
      <c r="BS869">
        <f>HYPERLINK("http://exon.niaid.nih.gov/transcriptome/Anopheles_sialome/links/cluster-b/anopheline-sialome-cds-pep-larger-orf40-50SimCLTL7.txt", 37)</f>
        <v>37</v>
      </c>
      <c r="BT869">
        <f>HYPERLINK("http://exon.niaid.nih.gov/transcriptome/Anopheles_sialome/links/cluster-b/anopheline-sialome-cds-pep-larger-orf45-50SimCLU6.txt", 6)</f>
        <v>6</v>
      </c>
      <c r="BU869">
        <f>HYPERLINK("http://exon.niaid.nih.gov/transcriptome/Anopheles_sialome/links/cluster-b/anopheline-sialome-cds-pep-larger-orf45-50SimCLTL6.txt", 37)</f>
        <v>37</v>
      </c>
      <c r="BV869">
        <f>HYPERLINK("http://exon.niaid.nih.gov/transcriptome/Anopheles_sialome/links/cluster-b/anopheline-sialome-cds-pep-larger-orf50-50SimCLU6.txt", 6)</f>
        <v>6</v>
      </c>
      <c r="BW869">
        <f>HYPERLINK("http://exon.niaid.nih.gov/transcriptome/Anopheles_sialome/links/cluster-b/anopheline-sialome-cds-pep-larger-orf50-50SimCLTL6.txt", 37)</f>
        <v>37</v>
      </c>
      <c r="BX869">
        <f>HYPERLINK("http://exon.niaid.nih.gov/transcriptome/Anopheles_sialome/links/cluster-b/anopheline-sialome-cds-pep-larger-orf55-50SimCLU5.txt", 5)</f>
        <v>5</v>
      </c>
      <c r="BY869">
        <f>HYPERLINK("http://exon.niaid.nih.gov/transcriptome/Anopheles_sialome/links/cluster-b/anopheline-sialome-cds-pep-larger-orf55-50SimCLTL5.txt", 37)</f>
        <v>37</v>
      </c>
      <c r="BZ869">
        <f>HYPERLINK("http://exon.niaid.nih.gov/transcriptome/Anopheles_sialome/links/cluster-b/anopheline-sialome-cds-pep-larger-orf60-50SimCLU4.txt", 4)</f>
        <v>4</v>
      </c>
      <c r="CA869">
        <f>HYPERLINK("http://exon.niaid.nih.gov/transcriptome/Anopheles_sialome/links/cluster-b/anopheline-sialome-cds-pep-larger-orf60-50SimCLTL4.txt", 37)</f>
        <v>37</v>
      </c>
      <c r="CB869">
        <f>HYPERLINK("http://exon.niaid.nih.gov/transcriptome/Anopheles_sialome/links/cluster-b/anopheline-sialome-cds-pep-larger-orf65-50SimCLU16.txt", 16)</f>
        <v>16</v>
      </c>
      <c r="CC869">
        <f>HYPERLINK("http://exon.niaid.nih.gov/transcriptome/Anopheles_sialome/links/cluster-b/anopheline-sialome-cds-pep-larger-orf65-50SimCLTL16.txt", 18)</f>
        <v>18</v>
      </c>
      <c r="CD869">
        <f>HYPERLINK("http://exon.niaid.nih.gov/transcriptome/Anopheles_sialome/links/cluster-b/anopheline-sialome-cds-pep-larger-orf70-50SimCLU23.txt", 23)</f>
        <v>23</v>
      </c>
      <c r="CE869">
        <f>HYPERLINK("http://exon.niaid.nih.gov/transcriptome/Anopheles_sialome/links/cluster-b/anopheline-sialome-cds-pep-larger-orf70-50SimCLTL23.txt", 16)</f>
        <v>16</v>
      </c>
      <c r="CF869">
        <v>167</v>
      </c>
      <c r="CG869">
        <v>1</v>
      </c>
      <c r="CH869">
        <v>240</v>
      </c>
      <c r="CI869">
        <v>1</v>
      </c>
      <c r="CJ869">
        <v>324</v>
      </c>
      <c r="CK869">
        <v>1</v>
      </c>
      <c r="CL869">
        <v>421</v>
      </c>
      <c r="CM869">
        <v>1</v>
      </c>
      <c r="CN869">
        <v>522</v>
      </c>
      <c r="CO869">
        <v>1</v>
      </c>
    </row>
    <row r="870" spans="1:93">
      <c r="A870" s="2" t="str">
        <f>HYPERLINK("http://exon.niaid.nih.gov/transcriptome/Anopheles_sialome/links/cds/anosin_SG7-cds.txt","anosin_SG7")</f>
        <v>anosin_SG7</v>
      </c>
      <c r="B870">
        <v>432</v>
      </c>
      <c r="C870" t="s">
        <v>581</v>
      </c>
      <c r="D870" t="s">
        <v>7</v>
      </c>
      <c r="E870" t="s">
        <v>5</v>
      </c>
      <c r="F870" t="s">
        <v>1</v>
      </c>
      <c r="G870" t="str">
        <f>HYPERLINK("http://exon.niaid.nih.gov/transcriptome/Anopheles_sialome/links/pep/anosin_SG7-pep.txt","anosin_SG7")</f>
        <v>anosin_SG7</v>
      </c>
      <c r="H870">
        <v>143</v>
      </c>
      <c r="I870">
        <v>0</v>
      </c>
      <c r="J870" s="3" t="str">
        <f>HYPERLINK("http://exon.niaid.nih.gov/transcriptome/Anopheles_sialome/links/Sigp/anosin_SG7-SigP.txt","SIG")</f>
        <v>SIG</v>
      </c>
      <c r="K870" t="s">
        <v>787</v>
      </c>
      <c r="L870">
        <v>16.161999999999999</v>
      </c>
      <c r="M870">
        <v>5.43</v>
      </c>
      <c r="N870">
        <v>13.513999999999999</v>
      </c>
      <c r="O870">
        <v>5.21</v>
      </c>
      <c r="P870" t="s">
        <v>2109</v>
      </c>
      <c r="Q870" s="3">
        <v>0</v>
      </c>
      <c r="R870" t="s">
        <v>128</v>
      </c>
      <c r="S870" t="s">
        <v>128</v>
      </c>
      <c r="T870" t="s">
        <v>128</v>
      </c>
      <c r="U870" t="s">
        <v>128</v>
      </c>
      <c r="V870" t="s">
        <v>128</v>
      </c>
      <c r="W870" s="3" t="str">
        <f>HYPERLINK("http://exon.niaid.nih.gov/transcriptome/Anopheles_sialome/links/netoglyc/anosin_SG7-netoglyc.txt","0")</f>
        <v>0</v>
      </c>
      <c r="X870">
        <v>12.6</v>
      </c>
      <c r="Y870">
        <v>4.9000000000000004</v>
      </c>
      <c r="Z870">
        <v>3.5</v>
      </c>
      <c r="AA870" t="s">
        <v>654</v>
      </c>
      <c r="AB870" t="s">
        <v>128</v>
      </c>
      <c r="AC870" s="2" t="str">
        <f>HYPERLINK("http://exon.niaid.nih.gov/transcriptome/Anopheles_sialome/links/DIPTERA/anosin_SG7-DIPTERA.txt","gSG7 salivary protein")</f>
        <v>gSG7 salivary protein</v>
      </c>
      <c r="AD870" t="str">
        <f>HYPERLINK("http://www.ncbi.nlm.nih.gov/sutils/blink.cgi?pid=668446947","1E-077")</f>
        <v>1E-077</v>
      </c>
      <c r="AE870" t="str">
        <f>HYPERLINK("http://www.ncbi.nlm.nih.gov/protein/668446947","gi|668446947")</f>
        <v>gi|668446947</v>
      </c>
      <c r="AF870">
        <v>99</v>
      </c>
      <c r="AG870">
        <v>99</v>
      </c>
      <c r="AH870">
        <v>98</v>
      </c>
      <c r="AI870" t="s">
        <v>2277</v>
      </c>
      <c r="AJ870" s="2" t="str">
        <f>HYPERLINK("http://exon.niaid.nih.gov/transcriptome/Anopheles_sialome/links/CULICOMORPHA/anosin_SG7-CULICOMORPHA.txt","gSG7 salivary protein")</f>
        <v>gSG7 salivary protein</v>
      </c>
      <c r="AK870" t="str">
        <f>HYPERLINK("http://www.ncbi.nlm.nih.gov/sutils/blink.cgi?pid=668446947","2E-078")</f>
        <v>2E-078</v>
      </c>
      <c r="AL870" t="str">
        <f>HYPERLINK("http://www.ncbi.nlm.nih.gov/protein/668446947","gi|668446947")</f>
        <v>gi|668446947</v>
      </c>
      <c r="AM870">
        <v>99</v>
      </c>
      <c r="AN870">
        <v>99</v>
      </c>
      <c r="AO870">
        <v>98</v>
      </c>
      <c r="AP870" t="s">
        <v>2277</v>
      </c>
      <c r="AQ870" s="2" t="str">
        <f>HYPERLINK("http://exon.niaid.nih.gov/transcriptome/Anopheles_sialome/links/NR-LIGHT/anosin_SG7-NR-LIGHT.txt","gSG7 salivary protein")</f>
        <v>gSG7 salivary protein</v>
      </c>
      <c r="AR870" t="str">
        <f>HYPERLINK("http://www.ncbi.nlm.nih.gov/sutils/blink.cgi?pid=668446947","3E-077")</f>
        <v>3E-077</v>
      </c>
      <c r="AS870" t="str">
        <f>HYPERLINK("http://www.ncbi.nlm.nih.gov/protein/668446947","gi|668446947")</f>
        <v>gi|668446947</v>
      </c>
      <c r="AT870">
        <v>99</v>
      </c>
      <c r="AU870">
        <v>99</v>
      </c>
      <c r="AV870">
        <v>98</v>
      </c>
      <c r="AW870" t="s">
        <v>2277</v>
      </c>
      <c r="AX870" s="2" t="str">
        <f>HYPERLINK("http://exon.niaid.nih.gov/transcriptome/Anopheles_sialome/links/CDD/anosin_SG7-CDD.txt","Orbi_NS3")</f>
        <v>Orbi_NS3</v>
      </c>
      <c r="AY870" t="str">
        <f>HYPERLINK("http://www.ncbi.nlm.nih.gov/Structure/cdd/cddsrv.cgi?uid=pfam01616&amp;version=v4.0","2.4")</f>
        <v>2.4</v>
      </c>
      <c r="AZ870" t="s">
        <v>3073</v>
      </c>
      <c r="BA870" s="2" t="str">
        <f>HYPERLINK("http://exon.niaid.nih.gov/transcriptome/Anopheles_sialome/links/KOG/anosin_SG7-KOG.txt","Cactin")</f>
        <v>Cactin</v>
      </c>
      <c r="BB870" t="str">
        <f>HYPERLINK("http://www.ncbi.nlm.nih.gov/Structure/cdd/cddsrv.cgi?uid=KOG2370","0.31")</f>
        <v>0.31</v>
      </c>
      <c r="BC870" t="s">
        <v>2292</v>
      </c>
      <c r="BD870" t="str">
        <f>HYPERLINK("http://exon.niaid.nih.gov/transcriptome/Anopheles_sialome/links/KOG/anosin_SG7-KOG.txt","KOG2370")</f>
        <v>KOG2370</v>
      </c>
      <c r="BE870" t="str">
        <f>HYPERLINK("http://exon.niaid.nih.gov/transcriptome/Anopheles_sialome/links/PFAM/anosin_SG7-PFAM.txt","Orbi_NS3")</f>
        <v>Orbi_NS3</v>
      </c>
      <c r="BF870" t="str">
        <f>HYPERLINK("http://pfam.sanger.ac.uk/family?acc=PF01616","0.56")</f>
        <v>0.56</v>
      </c>
      <c r="BG870" s="2" t="str">
        <f>HYPERLINK("http://exon.niaid.nih.gov/transcriptome/Anopheles_sialome/links/SMART/anosin_SG7-SMART.txt","YqgFc")</f>
        <v>YqgFc</v>
      </c>
      <c r="BH870" t="str">
        <f>HYPERLINK("http://smart.embl-heidelberg.de/smart/do_annotation.pl?DOMAIN=YqgFc&amp;BLAST=DUMMY","0.63")</f>
        <v>0.63</v>
      </c>
      <c r="BI870" t="s">
        <v>128</v>
      </c>
      <c r="BJ870" s="2" t="s">
        <v>128</v>
      </c>
      <c r="BK870" t="s">
        <v>2108</v>
      </c>
      <c r="BL870">
        <f>HYPERLINK("http://exon.niaid.nih.gov/transcriptome/Anopheles_sialome/links/cluster-b/anopheline-sialome-cds-pep-larger-orf25-50SimCLU2.txt", 2)</f>
        <v>2</v>
      </c>
      <c r="BM870">
        <f>HYPERLINK("http://exon.niaid.nih.gov/transcriptome/Anopheles_sialome/links/cluster-b/anopheline-sialome-cds-pep-larger-orf25-50SimCLTL2.txt", 120)</f>
        <v>120</v>
      </c>
      <c r="BN870">
        <f>HYPERLINK("http://exon.niaid.nih.gov/transcriptome/Anopheles_sialome/links/cluster-b/anopheline-sialome-cds-pep-larger-orf30-50SimCLU2.txt", 2)</f>
        <v>2</v>
      </c>
      <c r="BO870">
        <f>HYPERLINK("http://exon.niaid.nih.gov/transcriptome/Anopheles_sialome/links/cluster-b/anopheline-sialome-cds-pep-larger-orf30-50SimCLTL2.txt", 120)</f>
        <v>120</v>
      </c>
      <c r="BP870">
        <f>HYPERLINK("http://exon.niaid.nih.gov/transcriptome/Anopheles_sialome/links/cluster-b/anopheline-sialome-cds-pep-larger-orf35-50SimCLU1.txt", 1)</f>
        <v>1</v>
      </c>
      <c r="BQ870">
        <f>HYPERLINK("http://exon.niaid.nih.gov/transcriptome/Anopheles_sialome/links/cluster-b/anopheline-sialome-cds-pep-larger-orf35-50SimCLTL1.txt", 120)</f>
        <v>120</v>
      </c>
      <c r="BR870">
        <f>HYPERLINK("http://exon.niaid.nih.gov/transcriptome/Anopheles_sialome/links/cluster-b/anopheline-sialome-cds-pep-larger-orf40-50SimCLU7.txt", 7)</f>
        <v>7</v>
      </c>
      <c r="BS870">
        <f>HYPERLINK("http://exon.niaid.nih.gov/transcriptome/Anopheles_sialome/links/cluster-b/anopheline-sialome-cds-pep-larger-orf40-50SimCLTL7.txt", 37)</f>
        <v>37</v>
      </c>
      <c r="BT870">
        <f>HYPERLINK("http://exon.niaid.nih.gov/transcriptome/Anopheles_sialome/links/cluster-b/anopheline-sialome-cds-pep-larger-orf45-50SimCLU6.txt", 6)</f>
        <v>6</v>
      </c>
      <c r="BU870">
        <f>HYPERLINK("http://exon.niaid.nih.gov/transcriptome/Anopheles_sialome/links/cluster-b/anopheline-sialome-cds-pep-larger-orf45-50SimCLTL6.txt", 37)</f>
        <v>37</v>
      </c>
      <c r="BV870">
        <f>HYPERLINK("http://exon.niaid.nih.gov/transcriptome/Anopheles_sialome/links/cluster-b/anopheline-sialome-cds-pep-larger-orf50-50SimCLU6.txt", 6)</f>
        <v>6</v>
      </c>
      <c r="BW870">
        <f>HYPERLINK("http://exon.niaid.nih.gov/transcriptome/Anopheles_sialome/links/cluster-b/anopheline-sialome-cds-pep-larger-orf50-50SimCLTL6.txt", 37)</f>
        <v>37</v>
      </c>
      <c r="BX870">
        <f>HYPERLINK("http://exon.niaid.nih.gov/transcriptome/Anopheles_sialome/links/cluster-b/anopheline-sialome-cds-pep-larger-orf55-50SimCLU5.txt", 5)</f>
        <v>5</v>
      </c>
      <c r="BY870">
        <f>HYPERLINK("http://exon.niaid.nih.gov/transcriptome/Anopheles_sialome/links/cluster-b/anopheline-sialome-cds-pep-larger-orf55-50SimCLTL5.txt", 37)</f>
        <v>37</v>
      </c>
      <c r="BZ870">
        <f>HYPERLINK("http://exon.niaid.nih.gov/transcriptome/Anopheles_sialome/links/cluster-b/anopheline-sialome-cds-pep-larger-orf60-50SimCLU4.txt", 4)</f>
        <v>4</v>
      </c>
      <c r="CA870">
        <f>HYPERLINK("http://exon.niaid.nih.gov/transcriptome/Anopheles_sialome/links/cluster-b/anopheline-sialome-cds-pep-larger-orf60-50SimCLTL4.txt", 37)</f>
        <v>37</v>
      </c>
      <c r="CB870">
        <f>HYPERLINK("http://exon.niaid.nih.gov/transcriptome/Anopheles_sialome/links/cluster-b/anopheline-sialome-cds-pep-larger-orf65-50SimCLU16.txt", 16)</f>
        <v>16</v>
      </c>
      <c r="CC870">
        <f>HYPERLINK("http://exon.niaid.nih.gov/transcriptome/Anopheles_sialome/links/cluster-b/anopheline-sialome-cds-pep-larger-orf65-50SimCLTL16.txt", 18)</f>
        <v>18</v>
      </c>
      <c r="CD870">
        <f>HYPERLINK("http://exon.niaid.nih.gov/transcriptome/Anopheles_sialome/links/cluster-b/anopheline-sialome-cds-pep-larger-orf70-50SimCLU23.txt", 23)</f>
        <v>23</v>
      </c>
      <c r="CE870">
        <f>HYPERLINK("http://exon.niaid.nih.gov/transcriptome/Anopheles_sialome/links/cluster-b/anopheline-sialome-cds-pep-larger-orf70-50SimCLTL23.txt", 16)</f>
        <v>16</v>
      </c>
      <c r="CF870">
        <v>168</v>
      </c>
      <c r="CG870">
        <v>1</v>
      </c>
      <c r="CH870">
        <v>241</v>
      </c>
      <c r="CI870">
        <v>1</v>
      </c>
      <c r="CJ870">
        <v>325</v>
      </c>
      <c r="CK870">
        <v>1</v>
      </c>
      <c r="CL870">
        <v>422</v>
      </c>
      <c r="CM870">
        <v>1</v>
      </c>
      <c r="CN870">
        <v>523</v>
      </c>
      <c r="CO870">
        <v>1</v>
      </c>
    </row>
    <row r="871" spans="1:93">
      <c r="A871" s="2" t="str">
        <f>HYPERLINK("http://exon.niaid.nih.gov/transcriptome/Anopheles_sialome/links/cds/anoalb_SG7-cds.txt","anoalb_SG7")</f>
        <v>anoalb_SG7</v>
      </c>
      <c r="B871">
        <v>429</v>
      </c>
      <c r="C871" t="s">
        <v>582</v>
      </c>
      <c r="D871" t="s">
        <v>7</v>
      </c>
      <c r="E871" t="s">
        <v>5</v>
      </c>
      <c r="F871" t="s">
        <v>1</v>
      </c>
      <c r="G871" t="str">
        <f>HYPERLINK("http://exon.niaid.nih.gov/transcriptome/Anopheles_sialome/links/pep/anoalb_SG7-pep.txt","anoalb_SG7")</f>
        <v>anoalb_SG7</v>
      </c>
      <c r="H871">
        <v>142</v>
      </c>
      <c r="I871">
        <v>0</v>
      </c>
      <c r="J871" s="3" t="str">
        <f>HYPERLINK("http://exon.niaid.nih.gov/transcriptome/Anopheles_sialome/links/Sigp/anoalb_SG7-SigP.txt","SIG")</f>
        <v>SIG</v>
      </c>
      <c r="K871" t="s">
        <v>1182</v>
      </c>
      <c r="L871">
        <v>16.198</v>
      </c>
      <c r="M871">
        <v>5.45</v>
      </c>
      <c r="N871">
        <v>13.459</v>
      </c>
      <c r="O871">
        <v>5.43</v>
      </c>
      <c r="P871" t="s">
        <v>2111</v>
      </c>
      <c r="Q871" s="3">
        <v>0</v>
      </c>
      <c r="R871" t="s">
        <v>128</v>
      </c>
      <c r="S871" t="s">
        <v>128</v>
      </c>
      <c r="T871" t="s">
        <v>128</v>
      </c>
      <c r="U871" t="s">
        <v>128</v>
      </c>
      <c r="V871" t="s">
        <v>128</v>
      </c>
      <c r="W871" s="3" t="str">
        <f>HYPERLINK("http://exon.niaid.nih.gov/transcriptome/Anopheles_sialome/links/netoglyc/anoalb_SG7-netoglyc.txt","0")</f>
        <v>0</v>
      </c>
      <c r="X871">
        <v>12</v>
      </c>
      <c r="Y871">
        <v>2.8</v>
      </c>
      <c r="Z871">
        <v>3.5</v>
      </c>
      <c r="AA871">
        <v>2.1</v>
      </c>
      <c r="AB871" t="s">
        <v>128</v>
      </c>
      <c r="AC871" s="2" t="str">
        <f>HYPERLINK("http://exon.niaid.nih.gov/transcriptome/Anopheles_sialome/links/DIPTERA/anoalb_SG7-DIPTERA.txt","gSG7 salivary protein")</f>
        <v>gSG7 salivary protein</v>
      </c>
      <c r="AD871" t="str">
        <f>HYPERLINK("http://www.ncbi.nlm.nih.gov/sutils/blink.cgi?pid=208657683","9E-063")</f>
        <v>9E-063</v>
      </c>
      <c r="AE871" t="str">
        <f>HYPERLINK("http://www.ncbi.nlm.nih.gov/protein/208657683","gi|208657683")</f>
        <v>gi|208657683</v>
      </c>
      <c r="AF871">
        <v>78</v>
      </c>
      <c r="AG871">
        <v>93</v>
      </c>
      <c r="AH871">
        <v>100</v>
      </c>
      <c r="AI871" t="s">
        <v>2283</v>
      </c>
      <c r="AJ871" s="2" t="str">
        <f>HYPERLINK("http://exon.niaid.nih.gov/transcriptome/Anopheles_sialome/links/CULICOMORPHA/anoalb_SG7-CULICOMORPHA.txt","gSG7 salivary protein")</f>
        <v>gSG7 salivary protein</v>
      </c>
      <c r="AK871" t="str">
        <f>HYPERLINK("http://www.ncbi.nlm.nih.gov/sutils/blink.cgi?pid=208657683","2E-063")</f>
        <v>2E-063</v>
      </c>
      <c r="AL871" t="str">
        <f>HYPERLINK("http://www.ncbi.nlm.nih.gov/protein/208657683","gi|208657683")</f>
        <v>gi|208657683</v>
      </c>
      <c r="AM871">
        <v>78</v>
      </c>
      <c r="AN871">
        <v>93</v>
      </c>
      <c r="AO871">
        <v>100</v>
      </c>
      <c r="AP871" t="s">
        <v>2283</v>
      </c>
      <c r="AQ871" s="2" t="str">
        <f>HYPERLINK("http://exon.niaid.nih.gov/transcriptome/Anopheles_sialome/links/NR-LIGHT/anoalb_SG7-NR-LIGHT.txt","gSG7 salivary protein")</f>
        <v>gSG7 salivary protein</v>
      </c>
      <c r="AR871" t="str">
        <f>HYPERLINK("http://www.ncbi.nlm.nih.gov/sutils/blink.cgi?pid=114864855","3E-030")</f>
        <v>3E-030</v>
      </c>
      <c r="AS871" t="str">
        <f>HYPERLINK("http://www.ncbi.nlm.nih.gov/protein/114864855","gi|114864855")</f>
        <v>gi|114864855</v>
      </c>
      <c r="AT871">
        <v>46</v>
      </c>
      <c r="AU871">
        <v>66</v>
      </c>
      <c r="AV871">
        <v>94</v>
      </c>
      <c r="AW871" t="s">
        <v>2266</v>
      </c>
      <c r="AX871" s="2" t="str">
        <f>HYPERLINK("http://exon.niaid.nih.gov/transcriptome/Anopheles_sialome/links/CDD/anoalb_SG7-CDD.txt","PRK07066")</f>
        <v>PRK07066</v>
      </c>
      <c r="AY871" t="str">
        <f>HYPERLINK("http://www.ncbi.nlm.nih.gov/Structure/cdd/cddsrv.cgi?uid=PRK07066&amp;version=v4.0","0.48")</f>
        <v>0.48</v>
      </c>
      <c r="AZ871" t="s">
        <v>3074</v>
      </c>
      <c r="BA871" s="2" t="str">
        <f>HYPERLINK("http://exon.niaid.nih.gov/transcriptome/Anopheles_sialome/links/KOG/anoalb_SG7-KOG.txt","Uncharacterized conserved protein")</f>
        <v>Uncharacterized conserved protein</v>
      </c>
      <c r="BB871" t="str">
        <f>HYPERLINK("http://www.ncbi.nlm.nih.gov/Structure/cdd/cddsrv.cgi?uid=KOG4100","0.28")</f>
        <v>0.28</v>
      </c>
      <c r="BC871" t="s">
        <v>2304</v>
      </c>
      <c r="BD871" t="str">
        <f>HYPERLINK("http://exon.niaid.nih.gov/transcriptome/Anopheles_sialome/links/KOG/anoalb_SG7-KOG.txt","KOG4100")</f>
        <v>KOG4100</v>
      </c>
      <c r="BE871" t="str">
        <f>HYPERLINK("http://exon.niaid.nih.gov/transcriptome/Anopheles_sialome/links/PFAM/anoalb_SG7-PFAM.txt","PI3Ka")</f>
        <v>PI3Ka</v>
      </c>
      <c r="BF871" t="str">
        <f>HYPERLINK("http://pfam.sanger.ac.uk/family?acc=PF00613","0.36")</f>
        <v>0.36</v>
      </c>
      <c r="BG871" s="2" t="str">
        <f>HYPERLINK("http://exon.niaid.nih.gov/transcriptome/Anopheles_sialome/links/SMART/anoalb_SG7-SMART.txt","PI3Ka")</f>
        <v>PI3Ka</v>
      </c>
      <c r="BH871" t="str">
        <f>HYPERLINK("http://smart.embl-heidelberg.de/smart/do_annotation.pl?DOMAIN=PI3Ka&amp;BLAST=DUMMY","0.034")</f>
        <v>0.034</v>
      </c>
      <c r="BI871" t="s">
        <v>128</v>
      </c>
      <c r="BJ871" s="2" t="s">
        <v>128</v>
      </c>
      <c r="BK871" t="s">
        <v>2110</v>
      </c>
      <c r="BL871">
        <f>HYPERLINK("http://exon.niaid.nih.gov/transcriptome/Anopheles_sialome/links/cluster-b/anopheline-sialome-cds-pep-larger-orf25-50SimCLU2.txt", 2)</f>
        <v>2</v>
      </c>
      <c r="BM871">
        <f>HYPERLINK("http://exon.niaid.nih.gov/transcriptome/Anopheles_sialome/links/cluster-b/anopheline-sialome-cds-pep-larger-orf25-50SimCLTL2.txt", 120)</f>
        <v>120</v>
      </c>
      <c r="BN871">
        <f>HYPERLINK("http://exon.niaid.nih.gov/transcriptome/Anopheles_sialome/links/cluster-b/anopheline-sialome-cds-pep-larger-orf30-50SimCLU2.txt", 2)</f>
        <v>2</v>
      </c>
      <c r="BO871">
        <f>HYPERLINK("http://exon.niaid.nih.gov/transcriptome/Anopheles_sialome/links/cluster-b/anopheline-sialome-cds-pep-larger-orf30-50SimCLTL2.txt", 120)</f>
        <v>120</v>
      </c>
      <c r="BP871">
        <f>HYPERLINK("http://exon.niaid.nih.gov/transcriptome/Anopheles_sialome/links/cluster-b/anopheline-sialome-cds-pep-larger-orf35-50SimCLU1.txt", 1)</f>
        <v>1</v>
      </c>
      <c r="BQ871">
        <f>HYPERLINK("http://exon.niaid.nih.gov/transcriptome/Anopheles_sialome/links/cluster-b/anopheline-sialome-cds-pep-larger-orf35-50SimCLTL1.txt", 120)</f>
        <v>120</v>
      </c>
      <c r="BR871">
        <f>HYPERLINK("http://exon.niaid.nih.gov/transcriptome/Anopheles_sialome/links/cluster-b/anopheline-sialome-cds-pep-larger-orf40-50SimCLU7.txt", 7)</f>
        <v>7</v>
      </c>
      <c r="BS871">
        <f>HYPERLINK("http://exon.niaid.nih.gov/transcriptome/Anopheles_sialome/links/cluster-b/anopheline-sialome-cds-pep-larger-orf40-50SimCLTL7.txt", 37)</f>
        <v>37</v>
      </c>
      <c r="BT871">
        <f>HYPERLINK("http://exon.niaid.nih.gov/transcriptome/Anopheles_sialome/links/cluster-b/anopheline-sialome-cds-pep-larger-orf45-50SimCLU6.txt", 6)</f>
        <v>6</v>
      </c>
      <c r="BU871">
        <f>HYPERLINK("http://exon.niaid.nih.gov/transcriptome/Anopheles_sialome/links/cluster-b/anopheline-sialome-cds-pep-larger-orf45-50SimCLTL6.txt", 37)</f>
        <v>37</v>
      </c>
      <c r="BV871">
        <f>HYPERLINK("http://exon.niaid.nih.gov/transcriptome/Anopheles_sialome/links/cluster-b/anopheline-sialome-cds-pep-larger-orf50-50SimCLU6.txt", 6)</f>
        <v>6</v>
      </c>
      <c r="BW871">
        <f>HYPERLINK("http://exon.niaid.nih.gov/transcriptome/Anopheles_sialome/links/cluster-b/anopheline-sialome-cds-pep-larger-orf50-50SimCLTL6.txt", 37)</f>
        <v>37</v>
      </c>
      <c r="BX871">
        <f>HYPERLINK("http://exon.niaid.nih.gov/transcriptome/Anopheles_sialome/links/cluster-b/anopheline-sialome-cds-pep-larger-orf55-50SimCLU5.txt", 5)</f>
        <v>5</v>
      </c>
      <c r="BY871">
        <f>HYPERLINK("http://exon.niaid.nih.gov/transcriptome/Anopheles_sialome/links/cluster-b/anopheline-sialome-cds-pep-larger-orf55-50SimCLTL5.txt", 37)</f>
        <v>37</v>
      </c>
      <c r="BZ871">
        <f>HYPERLINK("http://exon.niaid.nih.gov/transcriptome/Anopheles_sialome/links/cluster-b/anopheline-sialome-cds-pep-larger-orf60-50SimCLU4.txt", 4)</f>
        <v>4</v>
      </c>
      <c r="CA871">
        <f>HYPERLINK("http://exon.niaid.nih.gov/transcriptome/Anopheles_sialome/links/cluster-b/anopheline-sialome-cds-pep-larger-orf60-50SimCLTL4.txt", 37)</f>
        <v>37</v>
      </c>
      <c r="CB871">
        <f>HYPERLINK("http://exon.niaid.nih.gov/transcriptome/Anopheles_sialome/links/cluster-b/anopheline-sialome-cds-pep-larger-orf65-50SimCLU16.txt", 16)</f>
        <v>16</v>
      </c>
      <c r="CC871">
        <f>HYPERLINK("http://exon.niaid.nih.gov/transcriptome/Anopheles_sialome/links/cluster-b/anopheline-sialome-cds-pep-larger-orf65-50SimCLTL16.txt", 18)</f>
        <v>18</v>
      </c>
      <c r="CD871">
        <f>HYPERLINK("http://exon.niaid.nih.gov/transcriptome/Anopheles_sialome/links/cluster-b/anopheline-sialome-cds-pep-larger-orf70-50SimCLU70.txt", 70)</f>
        <v>70</v>
      </c>
      <c r="CE871">
        <f>HYPERLINK("http://exon.niaid.nih.gov/transcriptome/Anopheles_sialome/links/cluster-b/anopheline-sialome-cds-pep-larger-orf70-50SimCLTL70.txt", 2)</f>
        <v>2</v>
      </c>
      <c r="CF871">
        <f>HYPERLINK("http://exon.niaid.nih.gov/transcriptome/Anopheles_sialome/links/cluster-b/anopheline-sialome-cds-pep-larger-orf75-50SimCLU87.txt", 87)</f>
        <v>87</v>
      </c>
      <c r="CG871">
        <f>HYPERLINK("http://exon.niaid.nih.gov/transcriptome/Anopheles_sialome/links/cluster-b/anopheline-sialome-cds-pep-larger-orf75-50SimCLTL87.txt", 2)</f>
        <v>2</v>
      </c>
      <c r="CH871">
        <f>HYPERLINK("http://exon.niaid.nih.gov/transcriptome/Anopheles_sialome/links/cluster-b/anopheline-sialome-cds-pep-larger-orf80-50SimCLU105.txt", 105)</f>
        <v>105</v>
      </c>
      <c r="CI871">
        <f>HYPERLINK("http://exon.niaid.nih.gov/transcriptome/Anopheles_sialome/links/cluster-b/anopheline-sialome-cds-pep-larger-orf80-50SimCLTL105.txt", 2)</f>
        <v>2</v>
      </c>
      <c r="CJ871">
        <f>HYPERLINK("http://exon.niaid.nih.gov/transcriptome/Anopheles_sialome/links/cluster-b/anopheline-sialome-cds-pep-larger-orf85-50SimCLU104.txt", 104)</f>
        <v>104</v>
      </c>
      <c r="CK871">
        <f>HYPERLINK("http://exon.niaid.nih.gov/transcriptome/Anopheles_sialome/links/cluster-b/anopheline-sialome-cds-pep-larger-orf85-50SimCLTL104.txt", 2)</f>
        <v>2</v>
      </c>
      <c r="CL871">
        <f>HYPERLINK("http://exon.niaid.nih.gov/transcriptome/Anopheles_sialome/links/cluster-b/anopheline-sialome-cds-pep-larger-orf90-50SimCLU92.txt", 92)</f>
        <v>92</v>
      </c>
      <c r="CM871">
        <f>HYPERLINK("http://exon.niaid.nih.gov/transcriptome/Anopheles_sialome/links/cluster-b/anopheline-sialome-cds-pep-larger-orf90-50SimCLTL92.txt", 2)</f>
        <v>2</v>
      </c>
      <c r="CN871">
        <v>524</v>
      </c>
      <c r="CO871">
        <v>1</v>
      </c>
    </row>
    <row r="872" spans="1:93">
      <c r="A872" s="2" t="str">
        <f>HYPERLINK("http://exon.niaid.nih.gov/transcriptome/Anopheles_sialome/links/cds/anodar_SG7-cds.txt","anodar_SG7")</f>
        <v>anodar_SG7</v>
      </c>
      <c r="B872">
        <v>429</v>
      </c>
      <c r="C872" t="s">
        <v>583</v>
      </c>
      <c r="D872" t="s">
        <v>4</v>
      </c>
      <c r="E872" t="s">
        <v>5</v>
      </c>
      <c r="F872" t="s">
        <v>1</v>
      </c>
      <c r="G872" t="str">
        <f>HYPERLINK("http://exon.niaid.nih.gov/transcriptome/Anopheles_sialome/links/pep/anodar_SG7-pep.txt","anodar_SG7")</f>
        <v>anodar_SG7</v>
      </c>
      <c r="H872">
        <v>142</v>
      </c>
      <c r="I872">
        <v>1</v>
      </c>
      <c r="J872" s="3" t="str">
        <f>HYPERLINK("http://exon.niaid.nih.gov/transcriptome/Anopheles_sialome/links/Sigp/anodar_SG7-SigP.txt","SIG")</f>
        <v>SIG</v>
      </c>
      <c r="K872" t="s">
        <v>1182</v>
      </c>
      <c r="L872">
        <v>16.140999999999998</v>
      </c>
      <c r="M872">
        <v>6.31</v>
      </c>
      <c r="N872">
        <v>13.401999999999999</v>
      </c>
      <c r="O872">
        <v>6.36</v>
      </c>
      <c r="P872" t="s">
        <v>2113</v>
      </c>
      <c r="Q872" s="3">
        <v>0</v>
      </c>
      <c r="R872" t="s">
        <v>128</v>
      </c>
      <c r="S872" t="s">
        <v>128</v>
      </c>
      <c r="T872" t="s">
        <v>128</v>
      </c>
      <c r="U872" t="s">
        <v>128</v>
      </c>
      <c r="V872" t="s">
        <v>128</v>
      </c>
      <c r="W872" s="3" t="str">
        <f>HYPERLINK("http://exon.niaid.nih.gov/transcriptome/Anopheles_sialome/links/netoglyc/anodar_SG7-netoglyc.txt","0")</f>
        <v>0</v>
      </c>
      <c r="X872">
        <v>10.6</v>
      </c>
      <c r="Y872">
        <v>3.5</v>
      </c>
      <c r="Z872">
        <v>3.5</v>
      </c>
      <c r="AA872" t="s">
        <v>654</v>
      </c>
      <c r="AB872" t="s">
        <v>128</v>
      </c>
      <c r="AC872" s="2" t="str">
        <f>HYPERLINK("http://exon.niaid.nih.gov/transcriptome/Anopheles_sialome/links/DIPTERA/anodar_SG7-DIPTERA.txt","gSG7 salivary protein")</f>
        <v>gSG7 salivary protein</v>
      </c>
      <c r="AD872" t="str">
        <f>HYPERLINK("http://www.ncbi.nlm.nih.gov/sutils/blink.cgi?pid=208657683","5E-076")</f>
        <v>5E-076</v>
      </c>
      <c r="AE872" t="str">
        <f>HYPERLINK("http://www.ncbi.nlm.nih.gov/protein/208657683","gi|208657683")</f>
        <v>gi|208657683</v>
      </c>
      <c r="AF872">
        <v>100</v>
      </c>
      <c r="AG872">
        <v>100</v>
      </c>
      <c r="AH872">
        <v>100</v>
      </c>
      <c r="AI872" t="s">
        <v>2283</v>
      </c>
      <c r="AJ872" s="2" t="str">
        <f>HYPERLINK("http://exon.niaid.nih.gov/transcriptome/Anopheles_sialome/links/CULICOMORPHA/anodar_SG7-CULICOMORPHA.txt","gSG7 salivary protein")</f>
        <v>gSG7 salivary protein</v>
      </c>
      <c r="AK872" t="str">
        <f>HYPERLINK("http://www.ncbi.nlm.nih.gov/sutils/blink.cgi?pid=208657683","1E-076")</f>
        <v>1E-076</v>
      </c>
      <c r="AL872" t="str">
        <f>HYPERLINK("http://www.ncbi.nlm.nih.gov/protein/208657683","gi|208657683")</f>
        <v>gi|208657683</v>
      </c>
      <c r="AM872">
        <v>100</v>
      </c>
      <c r="AN872">
        <v>100</v>
      </c>
      <c r="AO872">
        <v>100</v>
      </c>
      <c r="AP872" t="s">
        <v>2283</v>
      </c>
      <c r="AQ872" s="2" t="str">
        <f>HYPERLINK("http://exon.niaid.nih.gov/transcriptome/Anopheles_sialome/links/NR-LIGHT/anodar_SG7-NR-LIGHT.txt","hypothetical protein AND_002979, partial")</f>
        <v>hypothetical protein AND_002979, partial</v>
      </c>
      <c r="AR872" t="str">
        <f>HYPERLINK("http://www.ncbi.nlm.nih.gov/sutils/blink.cgi?pid=568256834","1E-035")</f>
        <v>1E-035</v>
      </c>
      <c r="AS872" t="str">
        <f>HYPERLINK("http://www.ncbi.nlm.nih.gov/protein/568256834","gi|568256834")</f>
        <v>gi|568256834</v>
      </c>
      <c r="AT872">
        <v>97</v>
      </c>
      <c r="AU872">
        <v>97</v>
      </c>
      <c r="AV872">
        <v>100</v>
      </c>
      <c r="AW872" t="s">
        <v>2283</v>
      </c>
      <c r="AX872" s="2" t="str">
        <f>HYPERLINK("http://exon.niaid.nih.gov/transcriptome/Anopheles_sialome/links/CDD/anodar_SG7-CDD.txt","putative_protei")</f>
        <v>putative_protei</v>
      </c>
      <c r="AY872" t="str">
        <f>HYPERLINK("http://www.ncbi.nlm.nih.gov/Structure/cdd/cddsrv.cgi?uid=TIGR01627&amp;version=v4.0","0.48")</f>
        <v>0.48</v>
      </c>
      <c r="AZ872" t="s">
        <v>3075</v>
      </c>
      <c r="BA872" s="2" t="str">
        <f>HYPERLINK("http://exon.niaid.nih.gov/transcriptome/Anopheles_sialome/links/KOG/anodar_SG7-KOG.txt","60S acidic ribosomal protein P0")</f>
        <v>60S acidic ribosomal protein P0</v>
      </c>
      <c r="BB872" t="str">
        <f>HYPERLINK("http://www.ncbi.nlm.nih.gov/Structure/cdd/cddsrv.cgi?uid=KOG0815","0.77")</f>
        <v>0.77</v>
      </c>
      <c r="BC872" t="s">
        <v>2260</v>
      </c>
      <c r="BD872" t="str">
        <f>HYPERLINK("http://exon.niaid.nih.gov/transcriptome/Anopheles_sialome/links/KOG/anodar_SG7-KOG.txt","KOG0815")</f>
        <v>KOG0815</v>
      </c>
      <c r="BE872" t="str">
        <f>HYPERLINK("http://exon.niaid.nih.gov/transcriptome/Anopheles_sialome/links/PFAM/anodar_SG7-PFAM.txt","GCS")</f>
        <v>GCS</v>
      </c>
      <c r="BF872" t="str">
        <f>HYPERLINK("http://pfam.sanger.ac.uk/family?acc=PF03074","1.5")</f>
        <v>1.5</v>
      </c>
      <c r="BG872" s="2" t="str">
        <f>HYPERLINK("http://exon.niaid.nih.gov/transcriptome/Anopheles_sialome/links/SMART/anodar_SG7-SMART.txt","TAP_C")</f>
        <v>TAP_C</v>
      </c>
      <c r="BH872" t="str">
        <f>HYPERLINK("http://smart.embl-heidelberg.de/smart/do_annotation.pl?DOMAIN=TAP_C&amp;BLAST=DUMMY","0.33")</f>
        <v>0.33</v>
      </c>
      <c r="BI872" t="str">
        <f>HYPERLINK("http://exon.niaid.nih.gov/transcriptome/Anopheles_sialome/links/TICK-BLOCKS/anodar_SG7-TICK-BLOCKS.txt","Anopheles_gSG7 |")</f>
        <v>Anopheles_gSG7 |</v>
      </c>
      <c r="BJ872" s="2" t="s">
        <v>3058</v>
      </c>
      <c r="BK872" t="s">
        <v>2112</v>
      </c>
      <c r="BL872">
        <f>HYPERLINK("http://exon.niaid.nih.gov/transcriptome/Anopheles_sialome/links/cluster-b/anopheline-sialome-cds-pep-larger-orf25-50SimCLU2.txt", 2)</f>
        <v>2</v>
      </c>
      <c r="BM872">
        <f>HYPERLINK("http://exon.niaid.nih.gov/transcriptome/Anopheles_sialome/links/cluster-b/anopheline-sialome-cds-pep-larger-orf25-50SimCLTL2.txt", 120)</f>
        <v>120</v>
      </c>
      <c r="BN872">
        <f>HYPERLINK("http://exon.niaid.nih.gov/transcriptome/Anopheles_sialome/links/cluster-b/anopheline-sialome-cds-pep-larger-orf30-50SimCLU2.txt", 2)</f>
        <v>2</v>
      </c>
      <c r="BO872">
        <f>HYPERLINK("http://exon.niaid.nih.gov/transcriptome/Anopheles_sialome/links/cluster-b/anopheline-sialome-cds-pep-larger-orf30-50SimCLTL2.txt", 120)</f>
        <v>120</v>
      </c>
      <c r="BP872">
        <f>HYPERLINK("http://exon.niaid.nih.gov/transcriptome/Anopheles_sialome/links/cluster-b/anopheline-sialome-cds-pep-larger-orf35-50SimCLU1.txt", 1)</f>
        <v>1</v>
      </c>
      <c r="BQ872">
        <f>HYPERLINK("http://exon.niaid.nih.gov/transcriptome/Anopheles_sialome/links/cluster-b/anopheline-sialome-cds-pep-larger-orf35-50SimCLTL1.txt", 120)</f>
        <v>120</v>
      </c>
      <c r="BR872">
        <f>HYPERLINK("http://exon.niaid.nih.gov/transcriptome/Anopheles_sialome/links/cluster-b/anopheline-sialome-cds-pep-larger-orf40-50SimCLU7.txt", 7)</f>
        <v>7</v>
      </c>
      <c r="BS872">
        <f>HYPERLINK("http://exon.niaid.nih.gov/transcriptome/Anopheles_sialome/links/cluster-b/anopheline-sialome-cds-pep-larger-orf40-50SimCLTL7.txt", 37)</f>
        <v>37</v>
      </c>
      <c r="BT872">
        <f>HYPERLINK("http://exon.niaid.nih.gov/transcriptome/Anopheles_sialome/links/cluster-b/anopheline-sialome-cds-pep-larger-orf45-50SimCLU6.txt", 6)</f>
        <v>6</v>
      </c>
      <c r="BU872">
        <f>HYPERLINK("http://exon.niaid.nih.gov/transcriptome/Anopheles_sialome/links/cluster-b/anopheline-sialome-cds-pep-larger-orf45-50SimCLTL6.txt", 37)</f>
        <v>37</v>
      </c>
      <c r="BV872">
        <f>HYPERLINK("http://exon.niaid.nih.gov/transcriptome/Anopheles_sialome/links/cluster-b/anopheline-sialome-cds-pep-larger-orf50-50SimCLU6.txt", 6)</f>
        <v>6</v>
      </c>
      <c r="BW872">
        <f>HYPERLINK("http://exon.niaid.nih.gov/transcriptome/Anopheles_sialome/links/cluster-b/anopheline-sialome-cds-pep-larger-orf50-50SimCLTL6.txt", 37)</f>
        <v>37</v>
      </c>
      <c r="BX872">
        <f>HYPERLINK("http://exon.niaid.nih.gov/transcriptome/Anopheles_sialome/links/cluster-b/anopheline-sialome-cds-pep-larger-orf55-50SimCLU5.txt", 5)</f>
        <v>5</v>
      </c>
      <c r="BY872">
        <f>HYPERLINK("http://exon.niaid.nih.gov/transcriptome/Anopheles_sialome/links/cluster-b/anopheline-sialome-cds-pep-larger-orf55-50SimCLTL5.txt", 37)</f>
        <v>37</v>
      </c>
      <c r="BZ872">
        <f>HYPERLINK("http://exon.niaid.nih.gov/transcriptome/Anopheles_sialome/links/cluster-b/anopheline-sialome-cds-pep-larger-orf60-50SimCLU4.txt", 4)</f>
        <v>4</v>
      </c>
      <c r="CA872">
        <f>HYPERLINK("http://exon.niaid.nih.gov/transcriptome/Anopheles_sialome/links/cluster-b/anopheline-sialome-cds-pep-larger-orf60-50SimCLTL4.txt", 37)</f>
        <v>37</v>
      </c>
      <c r="CB872">
        <f>HYPERLINK("http://exon.niaid.nih.gov/transcriptome/Anopheles_sialome/links/cluster-b/anopheline-sialome-cds-pep-larger-orf65-50SimCLU16.txt", 16)</f>
        <v>16</v>
      </c>
      <c r="CC872">
        <f>HYPERLINK("http://exon.niaid.nih.gov/transcriptome/Anopheles_sialome/links/cluster-b/anopheline-sialome-cds-pep-larger-orf65-50SimCLTL16.txt", 18)</f>
        <v>18</v>
      </c>
      <c r="CD872">
        <f>HYPERLINK("http://exon.niaid.nih.gov/transcriptome/Anopheles_sialome/links/cluster-b/anopheline-sialome-cds-pep-larger-orf70-50SimCLU70.txt", 70)</f>
        <v>70</v>
      </c>
      <c r="CE872">
        <f>HYPERLINK("http://exon.niaid.nih.gov/transcriptome/Anopheles_sialome/links/cluster-b/anopheline-sialome-cds-pep-larger-orf70-50SimCLTL70.txt", 2)</f>
        <v>2</v>
      </c>
      <c r="CF872">
        <f>HYPERLINK("http://exon.niaid.nih.gov/transcriptome/Anopheles_sialome/links/cluster-b/anopheline-sialome-cds-pep-larger-orf75-50SimCLU87.txt", 87)</f>
        <v>87</v>
      </c>
      <c r="CG872">
        <f>HYPERLINK("http://exon.niaid.nih.gov/transcriptome/Anopheles_sialome/links/cluster-b/anopheline-sialome-cds-pep-larger-orf75-50SimCLTL87.txt", 2)</f>
        <v>2</v>
      </c>
      <c r="CH872">
        <f>HYPERLINK("http://exon.niaid.nih.gov/transcriptome/Anopheles_sialome/links/cluster-b/anopheline-sialome-cds-pep-larger-orf80-50SimCLU105.txt", 105)</f>
        <v>105</v>
      </c>
      <c r="CI872">
        <f>HYPERLINK("http://exon.niaid.nih.gov/transcriptome/Anopheles_sialome/links/cluster-b/anopheline-sialome-cds-pep-larger-orf80-50SimCLTL105.txt", 2)</f>
        <v>2</v>
      </c>
      <c r="CJ872">
        <f>HYPERLINK("http://exon.niaid.nih.gov/transcriptome/Anopheles_sialome/links/cluster-b/anopheline-sialome-cds-pep-larger-orf85-50SimCLU104.txt", 104)</f>
        <v>104</v>
      </c>
      <c r="CK872">
        <f>HYPERLINK("http://exon.niaid.nih.gov/transcriptome/Anopheles_sialome/links/cluster-b/anopheline-sialome-cds-pep-larger-orf85-50SimCLTL104.txt", 2)</f>
        <v>2</v>
      </c>
      <c r="CL872">
        <f>HYPERLINK("http://exon.niaid.nih.gov/transcriptome/Anopheles_sialome/links/cluster-b/anopheline-sialome-cds-pep-larger-orf90-50SimCLU92.txt", 92)</f>
        <v>92</v>
      </c>
      <c r="CM872">
        <f>HYPERLINK("http://exon.niaid.nih.gov/transcriptome/Anopheles_sialome/links/cluster-b/anopheline-sialome-cds-pep-larger-orf90-50SimCLTL92.txt", 2)</f>
        <v>2</v>
      </c>
      <c r="CN872">
        <v>525</v>
      </c>
      <c r="CO872">
        <v>1</v>
      </c>
    </row>
    <row r="873" spans="1:93">
      <c r="A873" s="6" t="s">
        <v>3187</v>
      </c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</row>
    <row r="874" spans="1:93">
      <c r="A874" s="2" t="str">
        <f>HYPERLINK("http://exon.niaid.nih.gov/transcriptome/Anopheles_sialome/links/cds/anoga_SG7-2-cds.txt","anoga_SG7-2")</f>
        <v>anoga_SG7-2</v>
      </c>
      <c r="B874">
        <v>426</v>
      </c>
      <c r="C874" t="s">
        <v>584</v>
      </c>
      <c r="D874" t="s">
        <v>4</v>
      </c>
      <c r="E874" t="s">
        <v>5</v>
      </c>
      <c r="F874" t="s">
        <v>1</v>
      </c>
      <c r="G874" t="str">
        <f>HYPERLINK("http://exon.niaid.nih.gov/transcriptome/Anopheles_sialome/links/pep/anoga_SG7-2-pep.txt","anoga_SG7-2")</f>
        <v>anoga_SG7-2</v>
      </c>
      <c r="H874">
        <v>141</v>
      </c>
      <c r="I874">
        <v>0</v>
      </c>
      <c r="J874" s="3" t="str">
        <f>HYPERLINK("http://exon.niaid.nih.gov/transcriptome/Anopheles_sialome/links/Sigp/anoga_SG7-2-SigP.txt","SIG")</f>
        <v>SIG</v>
      </c>
      <c r="K874" t="s">
        <v>787</v>
      </c>
      <c r="L874">
        <v>16.388999999999999</v>
      </c>
      <c r="M874">
        <v>9.73</v>
      </c>
      <c r="N874">
        <v>13.603</v>
      </c>
      <c r="O874">
        <v>9.8800000000000008</v>
      </c>
      <c r="P874" t="s">
        <v>2115</v>
      </c>
      <c r="Q874" s="3">
        <v>0</v>
      </c>
      <c r="R874" t="s">
        <v>128</v>
      </c>
      <c r="S874" t="s">
        <v>128</v>
      </c>
      <c r="T874" t="s">
        <v>128</v>
      </c>
      <c r="U874" t="s">
        <v>128</v>
      </c>
      <c r="V874" t="s">
        <v>128</v>
      </c>
      <c r="W874" s="3" t="str">
        <f>HYPERLINK("http://exon.niaid.nih.gov/transcriptome/Anopheles_sialome/links/netoglyc/anoga_SG7-2-netoglyc.txt","0")</f>
        <v>0</v>
      </c>
      <c r="X874">
        <v>8.5</v>
      </c>
      <c r="Y874">
        <v>4.3</v>
      </c>
      <c r="Z874">
        <v>3.5</v>
      </c>
      <c r="AA874" t="s">
        <v>654</v>
      </c>
      <c r="AB874" t="s">
        <v>128</v>
      </c>
      <c r="AC874" s="2" t="str">
        <f>HYPERLINK("http://exon.niaid.nih.gov/transcriptome/Anopheles_sialome/links/DIPTERA/anoga_SG7-2-DIPTERA.txt","gSG7-2 salivary protein")</f>
        <v>gSG7-2 salivary protein</v>
      </c>
      <c r="AD874" t="str">
        <f>HYPERLINK("http://www.ncbi.nlm.nih.gov/sutils/blink.cgi?pid=114864865","1E-053")</f>
        <v>1E-053</v>
      </c>
      <c r="AE874" t="str">
        <f>HYPERLINK("http://www.ncbi.nlm.nih.gov/protein/114864865","gi|114864865")</f>
        <v>gi|114864865</v>
      </c>
      <c r="AF874">
        <v>66</v>
      </c>
      <c r="AG874">
        <v>83</v>
      </c>
      <c r="AH874">
        <v>100</v>
      </c>
      <c r="AI874" t="s">
        <v>2266</v>
      </c>
      <c r="AJ874" s="2" t="str">
        <f>HYPERLINK("http://exon.niaid.nih.gov/transcriptome/Anopheles_sialome/links/CULICOMORPHA/anoga_SG7-2-CULICOMORPHA.txt","gSG7-2 salivary protein")</f>
        <v>gSG7-2 salivary protein</v>
      </c>
      <c r="AK874" t="str">
        <f>HYPERLINK("http://www.ncbi.nlm.nih.gov/sutils/blink.cgi?pid=114864865","2E-054")</f>
        <v>2E-054</v>
      </c>
      <c r="AL874" t="str">
        <f>HYPERLINK("http://www.ncbi.nlm.nih.gov/protein/114864865","gi|114864865")</f>
        <v>gi|114864865</v>
      </c>
      <c r="AM874">
        <v>66</v>
      </c>
      <c r="AN874">
        <v>83</v>
      </c>
      <c r="AO874">
        <v>100</v>
      </c>
      <c r="AP874" t="s">
        <v>2266</v>
      </c>
      <c r="AQ874" s="2" t="str">
        <f>HYPERLINK("http://exon.niaid.nih.gov/transcriptome/Anopheles_sialome/links/NR-LIGHT/anoga_SG7-2-NR-LIGHT.txt","gSG7-2 salivary protein")</f>
        <v>gSG7-2 salivary protein</v>
      </c>
      <c r="AR874" t="str">
        <f>HYPERLINK("http://www.ncbi.nlm.nih.gov/sutils/blink.cgi?pid=114864865","3E-053")</f>
        <v>3E-053</v>
      </c>
      <c r="AS874" t="str">
        <f>HYPERLINK("http://www.ncbi.nlm.nih.gov/protein/114864865","gi|114864865")</f>
        <v>gi|114864865</v>
      </c>
      <c r="AT874">
        <v>66</v>
      </c>
      <c r="AU874">
        <v>83</v>
      </c>
      <c r="AV874">
        <v>100</v>
      </c>
      <c r="AW874" t="s">
        <v>2266</v>
      </c>
      <c r="AX874" s="2" t="str">
        <f>HYPERLINK("http://exon.niaid.nih.gov/transcriptome/Anopheles_sialome/links/CDD/anoga_SG7-2-CDD.txt","Herpes_PAP")</f>
        <v>Herpes_PAP</v>
      </c>
      <c r="AY874" t="str">
        <f>HYPERLINK("http://www.ncbi.nlm.nih.gov/Structure/cdd/cddsrv.cgi?uid=pfam03325&amp;version=v4.0","0.061")</f>
        <v>0.061</v>
      </c>
      <c r="AZ874" t="s">
        <v>3076</v>
      </c>
      <c r="BA874" s="2" t="str">
        <f>HYPERLINK("http://exon.niaid.nih.gov/transcriptome/Anopheles_sialome/links/KOG/anoga_SG7-2-KOG.txt","Nucleoside phosphatase")</f>
        <v>Nucleoside phosphatase</v>
      </c>
      <c r="BB874" t="str">
        <f>HYPERLINK("http://www.ncbi.nlm.nih.gov/Structure/cdd/cddsrv.cgi?uid=KOG1385","0.44")</f>
        <v>0.44</v>
      </c>
      <c r="BC874" t="s">
        <v>2398</v>
      </c>
      <c r="BD874" t="str">
        <f>HYPERLINK("http://exon.niaid.nih.gov/transcriptome/Anopheles_sialome/links/KOG/anoga_SG7-2-KOG.txt","KOG1385")</f>
        <v>KOG1385</v>
      </c>
      <c r="BE874" t="str">
        <f>HYPERLINK("http://exon.niaid.nih.gov/transcriptome/Anopheles_sialome/links/PFAM/anoga_SG7-2-PFAM.txt","Herpes_PAP")</f>
        <v>Herpes_PAP</v>
      </c>
      <c r="BF874" t="str">
        <f>HYPERLINK("http://pfam.sanger.ac.uk/family?acc=PF03325","0.015")</f>
        <v>0.015</v>
      </c>
      <c r="BG874" s="2" t="str">
        <f>HYPERLINK("http://exon.niaid.nih.gov/transcriptome/Anopheles_sialome/links/SMART/anoga_SG7-2-SMART.txt","TAP_C")</f>
        <v>TAP_C</v>
      </c>
      <c r="BH874" t="str">
        <f>HYPERLINK("http://smart.embl-heidelberg.de/smart/do_annotation.pl?DOMAIN=TAP_C&amp;BLAST=DUMMY","1.1")</f>
        <v>1.1</v>
      </c>
      <c r="BI874" t="str">
        <f>HYPERLINK("http://exon.niaid.nih.gov/transcriptome/Anopheles_sialome/links/TICK-BLOCKS/anoga_SG7-2-TICK-BLOCKS.txt","Anopheles_gSG7 |")</f>
        <v>Anopheles_gSG7 |</v>
      </c>
      <c r="BJ874" s="2" t="s">
        <v>3058</v>
      </c>
      <c r="BK874" t="s">
        <v>2114</v>
      </c>
      <c r="BL874">
        <f>HYPERLINK("http://exon.niaid.nih.gov/transcriptome/Anopheles_sialome/links/cluster-b/anopheline-sialome-cds-pep-larger-orf25-50SimCLU2.txt", 2)</f>
        <v>2</v>
      </c>
      <c r="BM874">
        <f>HYPERLINK("http://exon.niaid.nih.gov/transcriptome/Anopheles_sialome/links/cluster-b/anopheline-sialome-cds-pep-larger-orf25-50SimCLTL2.txt", 120)</f>
        <v>120</v>
      </c>
      <c r="BN874">
        <f>HYPERLINK("http://exon.niaid.nih.gov/transcriptome/Anopheles_sialome/links/cluster-b/anopheline-sialome-cds-pep-larger-orf30-50SimCLU2.txt", 2)</f>
        <v>2</v>
      </c>
      <c r="BO874">
        <f>HYPERLINK("http://exon.niaid.nih.gov/transcriptome/Anopheles_sialome/links/cluster-b/anopheline-sialome-cds-pep-larger-orf30-50SimCLTL2.txt", 120)</f>
        <v>120</v>
      </c>
      <c r="BP874">
        <f>HYPERLINK("http://exon.niaid.nih.gov/transcriptome/Anopheles_sialome/links/cluster-b/anopheline-sialome-cds-pep-larger-orf35-50SimCLU1.txt", 1)</f>
        <v>1</v>
      </c>
      <c r="BQ874">
        <f>HYPERLINK("http://exon.niaid.nih.gov/transcriptome/Anopheles_sialome/links/cluster-b/anopheline-sialome-cds-pep-larger-orf35-50SimCLTL1.txt", 120)</f>
        <v>120</v>
      </c>
      <c r="BR874">
        <f>HYPERLINK("http://exon.niaid.nih.gov/transcriptome/Anopheles_sialome/links/cluster-b/anopheline-sialome-cds-pep-larger-orf40-50SimCLU7.txt", 7)</f>
        <v>7</v>
      </c>
      <c r="BS874">
        <f>HYPERLINK("http://exon.niaid.nih.gov/transcriptome/Anopheles_sialome/links/cluster-b/anopheline-sialome-cds-pep-larger-orf40-50SimCLTL7.txt", 37)</f>
        <v>37</v>
      </c>
      <c r="BT874">
        <f>HYPERLINK("http://exon.niaid.nih.gov/transcriptome/Anopheles_sialome/links/cluster-b/anopheline-sialome-cds-pep-larger-orf45-50SimCLU6.txt", 6)</f>
        <v>6</v>
      </c>
      <c r="BU874">
        <f>HYPERLINK("http://exon.niaid.nih.gov/transcriptome/Anopheles_sialome/links/cluster-b/anopheline-sialome-cds-pep-larger-orf45-50SimCLTL6.txt", 37)</f>
        <v>37</v>
      </c>
      <c r="BV874">
        <f>HYPERLINK("http://exon.niaid.nih.gov/transcriptome/Anopheles_sialome/links/cluster-b/anopheline-sialome-cds-pep-larger-orf50-50SimCLU6.txt", 6)</f>
        <v>6</v>
      </c>
      <c r="BW874">
        <f>HYPERLINK("http://exon.niaid.nih.gov/transcriptome/Anopheles_sialome/links/cluster-b/anopheline-sialome-cds-pep-larger-orf50-50SimCLTL6.txt", 37)</f>
        <v>37</v>
      </c>
      <c r="BX874">
        <f>HYPERLINK("http://exon.niaid.nih.gov/transcriptome/Anopheles_sialome/links/cluster-b/anopheline-sialome-cds-pep-larger-orf55-50SimCLU5.txt", 5)</f>
        <v>5</v>
      </c>
      <c r="BY874">
        <f>HYPERLINK("http://exon.niaid.nih.gov/transcriptome/Anopheles_sialome/links/cluster-b/anopheline-sialome-cds-pep-larger-orf55-50SimCLTL5.txt", 37)</f>
        <v>37</v>
      </c>
      <c r="BZ874">
        <f>HYPERLINK("http://exon.niaid.nih.gov/transcriptome/Anopheles_sialome/links/cluster-b/anopheline-sialome-cds-pep-larger-orf60-50SimCLU4.txt", 4)</f>
        <v>4</v>
      </c>
      <c r="CA874">
        <f>HYPERLINK("http://exon.niaid.nih.gov/transcriptome/Anopheles_sialome/links/cluster-b/anopheline-sialome-cds-pep-larger-orf60-50SimCLTL4.txt", 37)</f>
        <v>37</v>
      </c>
      <c r="CB874">
        <f>HYPERLINK("http://exon.niaid.nih.gov/transcriptome/Anopheles_sialome/links/cluster-b/anopheline-sialome-cds-pep-larger-orf65-50SimCLU17.txt", 17)</f>
        <v>17</v>
      </c>
      <c r="CC874">
        <f>HYPERLINK("http://exon.niaid.nih.gov/transcriptome/Anopheles_sialome/links/cluster-b/anopheline-sialome-cds-pep-larger-orf65-50SimCLTL17.txt", 18)</f>
        <v>18</v>
      </c>
      <c r="CD874">
        <f>HYPERLINK("http://exon.niaid.nih.gov/transcriptome/Anopheles_sialome/links/cluster-b/anopheline-sialome-cds-pep-larger-orf70-50SimCLU16.txt", 16)</f>
        <v>16</v>
      </c>
      <c r="CE874">
        <f>HYPERLINK("http://exon.niaid.nih.gov/transcriptome/Anopheles_sialome/links/cluster-b/anopheline-sialome-cds-pep-larger-orf70-50SimCLTL16.txt", 18)</f>
        <v>18</v>
      </c>
      <c r="CF874">
        <f>HYPERLINK("http://exon.niaid.nih.gov/transcriptome/Anopheles_sialome/links/cluster-b/anopheline-sialome-cds-pep-larger-orf75-50SimCLU10.txt", 10)</f>
        <v>10</v>
      </c>
      <c r="CG874">
        <f>HYPERLINK("http://exon.niaid.nih.gov/transcriptome/Anopheles_sialome/links/cluster-b/anopheline-sialome-cds-pep-larger-orf75-50SimCLTL10.txt", 18)</f>
        <v>18</v>
      </c>
      <c r="CH874">
        <f>HYPERLINK("http://exon.niaid.nih.gov/transcriptome/Anopheles_sialome/links/cluster-b/anopheline-sialome-cds-pep-larger-orf80-50SimCLU15.txt", 15)</f>
        <v>15</v>
      </c>
      <c r="CI874">
        <f>HYPERLINK("http://exon.niaid.nih.gov/transcriptome/Anopheles_sialome/links/cluster-b/anopheline-sialome-cds-pep-larger-orf80-50SimCLTL15.txt", 14)</f>
        <v>14</v>
      </c>
      <c r="CJ874">
        <f>HYPERLINK("http://exon.niaid.nih.gov/transcriptome/Anopheles_sialome/links/cluster-b/anopheline-sialome-cds-pep-larger-orf85-50SimCLU10.txt", 10)</f>
        <v>10</v>
      </c>
      <c r="CK874">
        <f>HYPERLINK("http://exon.niaid.nih.gov/transcriptome/Anopheles_sialome/links/cluster-b/anopheline-sialome-cds-pep-larger-orf85-50SimCLTL10.txt", 14)</f>
        <v>14</v>
      </c>
      <c r="CL874">
        <f>HYPERLINK("http://exon.niaid.nih.gov/transcriptome/Anopheles_sialome/links/cluster-b/anopheline-sialome-cds-pep-larger-orf90-50SimCLU11.txt", 11)</f>
        <v>11</v>
      </c>
      <c r="CM874">
        <f>HYPERLINK("http://exon.niaid.nih.gov/transcriptome/Anopheles_sialome/links/cluster-b/anopheline-sialome-cds-pep-larger-orf90-50SimCLTL11.txt", 8)</f>
        <v>8</v>
      </c>
      <c r="CN874">
        <f>HYPERLINK("http://exon.niaid.nih.gov/transcriptome/Anopheles_sialome/links/cluster-b/anopheline-sialome-cds-pep-larger-orf95-50SimCLU29.txt", 29)</f>
        <v>29</v>
      </c>
      <c r="CO874">
        <f>HYPERLINK("http://exon.niaid.nih.gov/transcriptome/Anopheles_sialome/links/cluster-b/anopheline-sialome-cds-pep-larger-orf95-50SimCLTL29.txt", 6)</f>
        <v>6</v>
      </c>
    </row>
    <row r="875" spans="1:93">
      <c r="A875" s="2" t="str">
        <f>HYPERLINK("http://exon.niaid.nih.gov/transcriptome/Anopheles_sialome/links/cds/anoga_SG7-3-cds.txt","anoga_SG7-3")</f>
        <v>anoga_SG7-3</v>
      </c>
      <c r="B875">
        <v>435</v>
      </c>
      <c r="C875" t="s">
        <v>594</v>
      </c>
      <c r="D875" t="s">
        <v>4</v>
      </c>
      <c r="E875" t="s">
        <v>5</v>
      </c>
      <c r="F875" t="s">
        <v>1</v>
      </c>
      <c r="G875" t="str">
        <f>HYPERLINK("http://exon.niaid.nih.gov/transcriptome/Anopheles_sialome/links/pep/anoga_SG7-3-pep.txt","anoga_SG7-3")</f>
        <v>anoga_SG7-3</v>
      </c>
      <c r="H875">
        <v>144</v>
      </c>
      <c r="I875">
        <v>0</v>
      </c>
      <c r="J875" s="3" t="str">
        <f>HYPERLINK("http://exon.niaid.nih.gov/transcriptome/Anopheles_sialome/links/Sigp/anoga_SG7-3-SigP.txt","SIG")</f>
        <v>SIG</v>
      </c>
      <c r="K875" t="s">
        <v>787</v>
      </c>
      <c r="L875">
        <v>16.741</v>
      </c>
      <c r="M875">
        <v>9.4</v>
      </c>
      <c r="N875">
        <v>14.103</v>
      </c>
      <c r="O875">
        <v>9.56</v>
      </c>
      <c r="P875" t="s">
        <v>2148</v>
      </c>
      <c r="Q875" s="3">
        <v>0</v>
      </c>
      <c r="R875" t="s">
        <v>128</v>
      </c>
      <c r="S875" t="s">
        <v>128</v>
      </c>
      <c r="T875" t="s">
        <v>128</v>
      </c>
      <c r="U875" t="s">
        <v>128</v>
      </c>
      <c r="V875" t="s">
        <v>128</v>
      </c>
      <c r="W875" s="3" t="str">
        <f>HYPERLINK("http://exon.niaid.nih.gov/transcriptome/Anopheles_sialome/links/netoglyc/anoga_SG7-3-netoglyc.txt","0")</f>
        <v>0</v>
      </c>
      <c r="X875">
        <v>13.9</v>
      </c>
      <c r="Y875">
        <v>3.5</v>
      </c>
      <c r="Z875">
        <v>3.5</v>
      </c>
      <c r="AA875" t="s">
        <v>654</v>
      </c>
      <c r="AB875" t="s">
        <v>128</v>
      </c>
      <c r="AC875" s="2" t="str">
        <f>HYPERLINK("http://exon.niaid.nih.gov/transcriptome/Anopheles_sialome/links/DIPTERA/anoga_SG7-3-DIPTERA.txt","putative salivary protein gSG7")</f>
        <v>putative salivary protein gSG7</v>
      </c>
      <c r="AD875" t="str">
        <f>HYPERLINK("http://www.ncbi.nlm.nih.gov/sutils/blink.cgi?pid=27372909","1E-047")</f>
        <v>1E-047</v>
      </c>
      <c r="AE875" t="str">
        <f>HYPERLINK("http://www.ncbi.nlm.nih.gov/protein/27372909","gi|27372909")</f>
        <v>gi|27372909</v>
      </c>
      <c r="AF875">
        <v>62</v>
      </c>
      <c r="AG875">
        <v>80</v>
      </c>
      <c r="AH875">
        <v>101</v>
      </c>
      <c r="AI875" t="s">
        <v>2271</v>
      </c>
      <c r="AJ875" s="2" t="str">
        <f>HYPERLINK("http://exon.niaid.nih.gov/transcriptome/Anopheles_sialome/links/CULICOMORPHA/anoga_SG7-3-CULICOMORPHA.txt","putative salivary protein gSG7")</f>
        <v>putative salivary protein gSG7</v>
      </c>
      <c r="AK875" t="str">
        <f>HYPERLINK("http://www.ncbi.nlm.nih.gov/sutils/blink.cgi?pid=27372909","3E-048")</f>
        <v>3E-048</v>
      </c>
      <c r="AL875" t="str">
        <f>HYPERLINK("http://www.ncbi.nlm.nih.gov/protein/27372909","gi|27372909")</f>
        <v>gi|27372909</v>
      </c>
      <c r="AM875">
        <v>62</v>
      </c>
      <c r="AN875">
        <v>80</v>
      </c>
      <c r="AO875">
        <v>101</v>
      </c>
      <c r="AP875" t="s">
        <v>2271</v>
      </c>
      <c r="AQ875" s="2" t="str">
        <f>HYPERLINK("http://exon.niaid.nih.gov/transcriptome/Anopheles_sialome/links/NR-LIGHT/anoga_SG7-3-NR-LIGHT.txt","putative salivary protein gSG7")</f>
        <v>putative salivary protein gSG7</v>
      </c>
      <c r="AR875" t="str">
        <f>HYPERLINK("http://www.ncbi.nlm.nih.gov/sutils/blink.cgi?pid=27372909","4E-047")</f>
        <v>4E-047</v>
      </c>
      <c r="AS875" t="str">
        <f>HYPERLINK("http://www.ncbi.nlm.nih.gov/protein/27372909","gi|27372909")</f>
        <v>gi|27372909</v>
      </c>
      <c r="AT875">
        <v>62</v>
      </c>
      <c r="AU875">
        <v>80</v>
      </c>
      <c r="AV875">
        <v>101</v>
      </c>
      <c r="AW875" t="s">
        <v>2271</v>
      </c>
      <c r="AX875" s="2" t="str">
        <f>HYPERLINK("http://exon.niaid.nih.gov/transcriptome/Anopheles_sialome/links/CDD/anoga_SG7-3-CDD.txt","PTZ00402")</f>
        <v>PTZ00402</v>
      </c>
      <c r="AY875" t="str">
        <f>HYPERLINK("http://www.ncbi.nlm.nih.gov/Structure/cdd/cddsrv.cgi?uid=PTZ00402&amp;version=v4.0","0.56")</f>
        <v>0.56</v>
      </c>
      <c r="AZ875" t="s">
        <v>3093</v>
      </c>
      <c r="BA875" s="2" t="str">
        <f>HYPERLINK("http://exon.niaid.nih.gov/transcriptome/Anopheles_sialome/links/KOG/anoga_SG7-3-KOG.txt","Helicase of the DEAD superfamily")</f>
        <v>Helicase of the DEAD superfamily</v>
      </c>
      <c r="BB875" t="str">
        <f>HYPERLINK("http://www.ncbi.nlm.nih.gov/Structure/cdd/cddsrv.cgi?uid=KOG1133","0.69")</f>
        <v>0.69</v>
      </c>
      <c r="BC875" t="s">
        <v>2290</v>
      </c>
      <c r="BD875" t="str">
        <f>HYPERLINK("http://exon.niaid.nih.gov/transcriptome/Anopheles_sialome/links/KOG/anoga_SG7-3-KOG.txt","KOG1133")</f>
        <v>KOG1133</v>
      </c>
      <c r="BE875" t="str">
        <f>HYPERLINK("http://exon.niaid.nih.gov/transcriptome/Anopheles_sialome/links/PFAM/anoga_SG7-3-PFAM.txt","Npa1")</f>
        <v>Npa1</v>
      </c>
      <c r="BF875" t="str">
        <f>HYPERLINK("http://pfam.sanger.ac.uk/family?acc=PF11707","0.55")</f>
        <v>0.55</v>
      </c>
      <c r="BG875" s="2" t="str">
        <f>HYPERLINK("http://exon.niaid.nih.gov/transcriptome/Anopheles_sialome/links/SMART/anoga_SG7-3-SMART.txt","Beach")</f>
        <v>Beach</v>
      </c>
      <c r="BH875" t="str">
        <f>HYPERLINK("http://smart.embl-heidelberg.de/smart/do_annotation.pl?DOMAIN=Beach&amp;BLAST=DUMMY","0.073")</f>
        <v>0.073</v>
      </c>
      <c r="BI875" t="s">
        <v>128</v>
      </c>
      <c r="BJ875" s="2" t="s">
        <v>128</v>
      </c>
      <c r="BK875" t="s">
        <v>2147</v>
      </c>
      <c r="BL875">
        <f>HYPERLINK("http://exon.niaid.nih.gov/transcriptome/Anopheles_sialome/links/cluster-b/anopheline-sialome-cds-pep-larger-orf25-50SimCLU2.txt", 2)</f>
        <v>2</v>
      </c>
      <c r="BM875">
        <f>HYPERLINK("http://exon.niaid.nih.gov/transcriptome/Anopheles_sialome/links/cluster-b/anopheline-sialome-cds-pep-larger-orf25-50SimCLTL2.txt", 120)</f>
        <v>120</v>
      </c>
      <c r="BN875">
        <f>HYPERLINK("http://exon.niaid.nih.gov/transcriptome/Anopheles_sialome/links/cluster-b/anopheline-sialome-cds-pep-larger-orf30-50SimCLU2.txt", 2)</f>
        <v>2</v>
      </c>
      <c r="BO875">
        <f>HYPERLINK("http://exon.niaid.nih.gov/transcriptome/Anopheles_sialome/links/cluster-b/anopheline-sialome-cds-pep-larger-orf30-50SimCLTL2.txt", 120)</f>
        <v>120</v>
      </c>
      <c r="BP875">
        <f>HYPERLINK("http://exon.niaid.nih.gov/transcriptome/Anopheles_sialome/links/cluster-b/anopheline-sialome-cds-pep-larger-orf35-50SimCLU1.txt", 1)</f>
        <v>1</v>
      </c>
      <c r="BQ875">
        <f>HYPERLINK("http://exon.niaid.nih.gov/transcriptome/Anopheles_sialome/links/cluster-b/anopheline-sialome-cds-pep-larger-orf35-50SimCLTL1.txt", 120)</f>
        <v>120</v>
      </c>
      <c r="BR875">
        <f>HYPERLINK("http://exon.niaid.nih.gov/transcriptome/Anopheles_sialome/links/cluster-b/anopheline-sialome-cds-pep-larger-orf40-50SimCLU7.txt", 7)</f>
        <v>7</v>
      </c>
      <c r="BS875">
        <f>HYPERLINK("http://exon.niaid.nih.gov/transcriptome/Anopheles_sialome/links/cluster-b/anopheline-sialome-cds-pep-larger-orf40-50SimCLTL7.txt", 37)</f>
        <v>37</v>
      </c>
      <c r="BT875">
        <f>HYPERLINK("http://exon.niaid.nih.gov/transcriptome/Anopheles_sialome/links/cluster-b/anopheline-sialome-cds-pep-larger-orf45-50SimCLU6.txt", 6)</f>
        <v>6</v>
      </c>
      <c r="BU875">
        <f>HYPERLINK("http://exon.niaid.nih.gov/transcriptome/Anopheles_sialome/links/cluster-b/anopheline-sialome-cds-pep-larger-orf45-50SimCLTL6.txt", 37)</f>
        <v>37</v>
      </c>
      <c r="BV875">
        <f>HYPERLINK("http://exon.niaid.nih.gov/transcriptome/Anopheles_sialome/links/cluster-b/anopheline-sialome-cds-pep-larger-orf50-50SimCLU6.txt", 6)</f>
        <v>6</v>
      </c>
      <c r="BW875">
        <f>HYPERLINK("http://exon.niaid.nih.gov/transcriptome/Anopheles_sialome/links/cluster-b/anopheline-sialome-cds-pep-larger-orf50-50SimCLTL6.txt", 37)</f>
        <v>37</v>
      </c>
      <c r="BX875">
        <f>HYPERLINK("http://exon.niaid.nih.gov/transcriptome/Anopheles_sialome/links/cluster-b/anopheline-sialome-cds-pep-larger-orf55-50SimCLU5.txt", 5)</f>
        <v>5</v>
      </c>
      <c r="BY875">
        <f>HYPERLINK("http://exon.niaid.nih.gov/transcriptome/Anopheles_sialome/links/cluster-b/anopheline-sialome-cds-pep-larger-orf55-50SimCLTL5.txt", 37)</f>
        <v>37</v>
      </c>
      <c r="BZ875">
        <f>HYPERLINK("http://exon.niaid.nih.gov/transcriptome/Anopheles_sialome/links/cluster-b/anopheline-sialome-cds-pep-larger-orf60-50SimCLU4.txt", 4)</f>
        <v>4</v>
      </c>
      <c r="CA875">
        <f>HYPERLINK("http://exon.niaid.nih.gov/transcriptome/Anopheles_sialome/links/cluster-b/anopheline-sialome-cds-pep-larger-orf60-50SimCLTL4.txt", 37)</f>
        <v>37</v>
      </c>
      <c r="CB875">
        <f>HYPERLINK("http://exon.niaid.nih.gov/transcriptome/Anopheles_sialome/links/cluster-b/anopheline-sialome-cds-pep-larger-orf65-50SimCLU17.txt", 17)</f>
        <v>17</v>
      </c>
      <c r="CC875">
        <f>HYPERLINK("http://exon.niaid.nih.gov/transcriptome/Anopheles_sialome/links/cluster-b/anopheline-sialome-cds-pep-larger-orf65-50SimCLTL17.txt", 18)</f>
        <v>18</v>
      </c>
      <c r="CD875">
        <f>HYPERLINK("http://exon.niaid.nih.gov/transcriptome/Anopheles_sialome/links/cluster-b/anopheline-sialome-cds-pep-larger-orf70-50SimCLU16.txt", 16)</f>
        <v>16</v>
      </c>
      <c r="CE875">
        <f>HYPERLINK("http://exon.niaid.nih.gov/transcriptome/Anopheles_sialome/links/cluster-b/anopheline-sialome-cds-pep-larger-orf70-50SimCLTL16.txt", 18)</f>
        <v>18</v>
      </c>
      <c r="CF875">
        <f>HYPERLINK("http://exon.niaid.nih.gov/transcriptome/Anopheles_sialome/links/cluster-b/anopheline-sialome-cds-pep-larger-orf75-50SimCLU10.txt", 10)</f>
        <v>10</v>
      </c>
      <c r="CG875">
        <f>HYPERLINK("http://exon.niaid.nih.gov/transcriptome/Anopheles_sialome/links/cluster-b/anopheline-sialome-cds-pep-larger-orf75-50SimCLTL10.txt", 18)</f>
        <v>18</v>
      </c>
      <c r="CH875">
        <f>HYPERLINK("http://exon.niaid.nih.gov/transcriptome/Anopheles_sialome/links/cluster-b/anopheline-sialome-cds-pep-larger-orf80-50SimCLU15.txt", 15)</f>
        <v>15</v>
      </c>
      <c r="CI875">
        <f>HYPERLINK("http://exon.niaid.nih.gov/transcriptome/Anopheles_sialome/links/cluster-b/anopheline-sialome-cds-pep-larger-orf80-50SimCLTL15.txt", 14)</f>
        <v>14</v>
      </c>
      <c r="CJ875">
        <f>HYPERLINK("http://exon.niaid.nih.gov/transcriptome/Anopheles_sialome/links/cluster-b/anopheline-sialome-cds-pep-larger-orf85-50SimCLU10.txt", 10)</f>
        <v>10</v>
      </c>
      <c r="CK875">
        <f>HYPERLINK("http://exon.niaid.nih.gov/transcriptome/Anopheles_sialome/links/cluster-b/anopheline-sialome-cds-pep-larger-orf85-50SimCLTL10.txt", 14)</f>
        <v>14</v>
      </c>
      <c r="CL875">
        <f>HYPERLINK("http://exon.niaid.nih.gov/transcriptome/Anopheles_sialome/links/cluster-b/anopheline-sialome-cds-pep-larger-orf90-50SimCLU93.txt", 93)</f>
        <v>93</v>
      </c>
      <c r="CM875">
        <f>HYPERLINK("http://exon.niaid.nih.gov/transcriptome/Anopheles_sialome/links/cluster-b/anopheline-sialome-cds-pep-larger-orf90-50SimCLTL93.txt", 2)</f>
        <v>2</v>
      </c>
      <c r="CN875">
        <f>HYPERLINK("http://exon.niaid.nih.gov/transcriptome/Anopheles_sialome/links/cluster-b/anopheline-sialome-cds-pep-larger-orf95-50SimCLU69.txt", 69)</f>
        <v>69</v>
      </c>
      <c r="CO875">
        <f>HYPERLINK("http://exon.niaid.nih.gov/transcriptome/Anopheles_sialome/links/cluster-b/anopheline-sialome-cds-pep-larger-orf95-50SimCLTL69.txt", 2)</f>
        <v>2</v>
      </c>
    </row>
    <row r="876" spans="1:93">
      <c r="A876" s="2" t="str">
        <f>HYPERLINK("http://exon.niaid.nih.gov/transcriptome/Anopheles_sialome/links/cds/anocol_SG7-2-cds.txt","anocol_SG7-2")</f>
        <v>anocol_SG7-2</v>
      </c>
      <c r="B876">
        <v>426</v>
      </c>
      <c r="C876" t="s">
        <v>585</v>
      </c>
      <c r="D876" t="s">
        <v>7</v>
      </c>
      <c r="E876" t="s">
        <v>5</v>
      </c>
      <c r="F876" t="s">
        <v>1</v>
      </c>
      <c r="G876" t="str">
        <f>HYPERLINK("http://exon.niaid.nih.gov/transcriptome/Anopheles_sialome/links/pep/anocol_SG7-2-pep.txt","anocol_SG7-2")</f>
        <v>anocol_SG7-2</v>
      </c>
      <c r="H876">
        <v>141</v>
      </c>
      <c r="I876">
        <v>0</v>
      </c>
      <c r="J876" s="3" t="str">
        <f>HYPERLINK("http://exon.niaid.nih.gov/transcriptome/Anopheles_sialome/links/Sigp/anocol_SG7-2-SigP.txt","SIG")</f>
        <v>SIG</v>
      </c>
      <c r="K876" t="s">
        <v>787</v>
      </c>
      <c r="L876">
        <v>16.446999999999999</v>
      </c>
      <c r="M876">
        <v>9.73</v>
      </c>
      <c r="N876">
        <v>13.661</v>
      </c>
      <c r="O876">
        <v>9.8800000000000008</v>
      </c>
      <c r="P876" t="s">
        <v>2117</v>
      </c>
      <c r="Q876" s="3">
        <v>0</v>
      </c>
      <c r="R876" t="s">
        <v>128</v>
      </c>
      <c r="S876" t="s">
        <v>128</v>
      </c>
      <c r="T876" t="s">
        <v>128</v>
      </c>
      <c r="U876" t="s">
        <v>128</v>
      </c>
      <c r="V876" t="s">
        <v>128</v>
      </c>
      <c r="W876" s="3" t="str">
        <f>HYPERLINK("http://exon.niaid.nih.gov/transcriptome/Anopheles_sialome/links/netoglyc/anocol_SG7-2-netoglyc.txt","0")</f>
        <v>0</v>
      </c>
      <c r="X876">
        <v>9.1999999999999993</v>
      </c>
      <c r="Y876">
        <v>3.5</v>
      </c>
      <c r="Z876">
        <v>3.5</v>
      </c>
      <c r="AA876" t="s">
        <v>654</v>
      </c>
      <c r="AB876" t="s">
        <v>128</v>
      </c>
      <c r="AC876" s="2" t="str">
        <f>HYPERLINK("http://exon.niaid.nih.gov/transcriptome/Anopheles_sialome/links/DIPTERA/anocol_SG7-2-DIPTERA.txt","gSG7-2 salivary protein")</f>
        <v>gSG7-2 salivary protein</v>
      </c>
      <c r="AD876" t="str">
        <f>HYPERLINK("http://www.ncbi.nlm.nih.gov/sutils/blink.cgi?pid=114864865","4E-054")</f>
        <v>4E-054</v>
      </c>
      <c r="AE876" t="str">
        <f>HYPERLINK("http://www.ncbi.nlm.nih.gov/protein/114864865","gi|114864865")</f>
        <v>gi|114864865</v>
      </c>
      <c r="AF876">
        <v>66</v>
      </c>
      <c r="AG876">
        <v>84</v>
      </c>
      <c r="AH876">
        <v>100</v>
      </c>
      <c r="AI876" t="s">
        <v>2266</v>
      </c>
      <c r="AJ876" s="2" t="str">
        <f>HYPERLINK("http://exon.niaid.nih.gov/transcriptome/Anopheles_sialome/links/CULICOMORPHA/anocol_SG7-2-CULICOMORPHA.txt","gSG7-2 salivary protein")</f>
        <v>gSG7-2 salivary protein</v>
      </c>
      <c r="AK876" t="str">
        <f>HYPERLINK("http://www.ncbi.nlm.nih.gov/sutils/blink.cgi?pid=114864865","8E-055")</f>
        <v>8E-055</v>
      </c>
      <c r="AL876" t="str">
        <f>HYPERLINK("http://www.ncbi.nlm.nih.gov/protein/114864865","gi|114864865")</f>
        <v>gi|114864865</v>
      </c>
      <c r="AM876">
        <v>66</v>
      </c>
      <c r="AN876">
        <v>84</v>
      </c>
      <c r="AO876">
        <v>100</v>
      </c>
      <c r="AP876" t="s">
        <v>2266</v>
      </c>
      <c r="AQ876" s="2" t="str">
        <f>HYPERLINK("http://exon.niaid.nih.gov/transcriptome/Anopheles_sialome/links/NR-LIGHT/anocol_SG7-2-NR-LIGHT.txt","gSG7-2 salivary protein")</f>
        <v>gSG7-2 salivary protein</v>
      </c>
      <c r="AR876" t="str">
        <f>HYPERLINK("http://www.ncbi.nlm.nih.gov/sutils/blink.cgi?pid=114864865","1E-053")</f>
        <v>1E-053</v>
      </c>
      <c r="AS876" t="str">
        <f>HYPERLINK("http://www.ncbi.nlm.nih.gov/protein/114864865","gi|114864865")</f>
        <v>gi|114864865</v>
      </c>
      <c r="AT876">
        <v>66</v>
      </c>
      <c r="AU876">
        <v>84</v>
      </c>
      <c r="AV876">
        <v>100</v>
      </c>
      <c r="AW876" t="s">
        <v>2266</v>
      </c>
      <c r="AX876" s="2" t="str">
        <f>HYPERLINK("http://exon.niaid.nih.gov/transcriptome/Anopheles_sialome/links/CDD/anocol_SG7-2-CDD.txt","Herpes_PAP")</f>
        <v>Herpes_PAP</v>
      </c>
      <c r="AY876" t="str">
        <f>HYPERLINK("http://www.ncbi.nlm.nih.gov/Structure/cdd/cddsrv.cgi?uid=pfam03325&amp;version=v4.0","0.065")</f>
        <v>0.065</v>
      </c>
      <c r="AZ876" t="s">
        <v>3077</v>
      </c>
      <c r="BA876" s="2" t="str">
        <f>HYPERLINK("http://exon.niaid.nih.gov/transcriptome/Anopheles_sialome/links/KOG/anocol_SG7-2-KOG.txt","Nucleoside phosphatase")</f>
        <v>Nucleoside phosphatase</v>
      </c>
      <c r="BB876" t="str">
        <f>HYPERLINK("http://www.ncbi.nlm.nih.gov/Structure/cdd/cddsrv.cgi?uid=KOG1385","0.34")</f>
        <v>0.34</v>
      </c>
      <c r="BC876" t="s">
        <v>2398</v>
      </c>
      <c r="BD876" t="str">
        <f>HYPERLINK("http://exon.niaid.nih.gov/transcriptome/Anopheles_sialome/links/KOG/anocol_SG7-2-KOG.txt","KOG1385")</f>
        <v>KOG1385</v>
      </c>
      <c r="BE876" t="str">
        <f>HYPERLINK("http://exon.niaid.nih.gov/transcriptome/Anopheles_sialome/links/PFAM/anocol_SG7-2-PFAM.txt","Herpes_PAP")</f>
        <v>Herpes_PAP</v>
      </c>
      <c r="BF876" t="str">
        <f>HYPERLINK("http://pfam.sanger.ac.uk/family?acc=PF03325","0.015")</f>
        <v>0.015</v>
      </c>
      <c r="BG876" s="2" t="str">
        <f>HYPERLINK("http://exon.niaid.nih.gov/transcriptome/Anopheles_sialome/links/SMART/anocol_SG7-2-SMART.txt","ALAD")</f>
        <v>ALAD</v>
      </c>
      <c r="BH876" t="str">
        <f>HYPERLINK("http://smart.embl-heidelberg.de/smart/do_annotation.pl?DOMAIN=ALAD&amp;BLAST=DUMMY","1.3")</f>
        <v>1.3</v>
      </c>
      <c r="BI876" t="str">
        <f>HYPERLINK("http://exon.niaid.nih.gov/transcriptome/Anopheles_sialome/links/TICK-BLOCKS/anocol_SG7-2-TICK-BLOCKS.txt","Anopheles_gSG7 |")</f>
        <v>Anopheles_gSG7 |</v>
      </c>
      <c r="BJ876" s="2" t="s">
        <v>3058</v>
      </c>
      <c r="BK876" t="s">
        <v>2116</v>
      </c>
      <c r="BL876">
        <f>HYPERLINK("http://exon.niaid.nih.gov/transcriptome/Anopheles_sialome/links/cluster-b/anopheline-sialome-cds-pep-larger-orf25-50SimCLU2.txt", 2)</f>
        <v>2</v>
      </c>
      <c r="BM876">
        <f>HYPERLINK("http://exon.niaid.nih.gov/transcriptome/Anopheles_sialome/links/cluster-b/anopheline-sialome-cds-pep-larger-orf25-50SimCLTL2.txt", 120)</f>
        <v>120</v>
      </c>
      <c r="BN876">
        <f>HYPERLINK("http://exon.niaid.nih.gov/transcriptome/Anopheles_sialome/links/cluster-b/anopheline-sialome-cds-pep-larger-orf30-50SimCLU2.txt", 2)</f>
        <v>2</v>
      </c>
      <c r="BO876">
        <f>HYPERLINK("http://exon.niaid.nih.gov/transcriptome/Anopheles_sialome/links/cluster-b/anopheline-sialome-cds-pep-larger-orf30-50SimCLTL2.txt", 120)</f>
        <v>120</v>
      </c>
      <c r="BP876">
        <f>HYPERLINK("http://exon.niaid.nih.gov/transcriptome/Anopheles_sialome/links/cluster-b/anopheline-sialome-cds-pep-larger-orf35-50SimCLU1.txt", 1)</f>
        <v>1</v>
      </c>
      <c r="BQ876">
        <f>HYPERLINK("http://exon.niaid.nih.gov/transcriptome/Anopheles_sialome/links/cluster-b/anopheline-sialome-cds-pep-larger-orf35-50SimCLTL1.txt", 120)</f>
        <v>120</v>
      </c>
      <c r="BR876">
        <f>HYPERLINK("http://exon.niaid.nih.gov/transcriptome/Anopheles_sialome/links/cluster-b/anopheline-sialome-cds-pep-larger-orf40-50SimCLU7.txt", 7)</f>
        <v>7</v>
      </c>
      <c r="BS876">
        <f>HYPERLINK("http://exon.niaid.nih.gov/transcriptome/Anopheles_sialome/links/cluster-b/anopheline-sialome-cds-pep-larger-orf40-50SimCLTL7.txt", 37)</f>
        <v>37</v>
      </c>
      <c r="BT876">
        <f>HYPERLINK("http://exon.niaid.nih.gov/transcriptome/Anopheles_sialome/links/cluster-b/anopheline-sialome-cds-pep-larger-orf45-50SimCLU6.txt", 6)</f>
        <v>6</v>
      </c>
      <c r="BU876">
        <f>HYPERLINK("http://exon.niaid.nih.gov/transcriptome/Anopheles_sialome/links/cluster-b/anopheline-sialome-cds-pep-larger-orf45-50SimCLTL6.txt", 37)</f>
        <v>37</v>
      </c>
      <c r="BV876">
        <f>HYPERLINK("http://exon.niaid.nih.gov/transcriptome/Anopheles_sialome/links/cluster-b/anopheline-sialome-cds-pep-larger-orf50-50SimCLU6.txt", 6)</f>
        <v>6</v>
      </c>
      <c r="BW876">
        <f>HYPERLINK("http://exon.niaid.nih.gov/transcriptome/Anopheles_sialome/links/cluster-b/anopheline-sialome-cds-pep-larger-orf50-50SimCLTL6.txt", 37)</f>
        <v>37</v>
      </c>
      <c r="BX876">
        <f>HYPERLINK("http://exon.niaid.nih.gov/transcriptome/Anopheles_sialome/links/cluster-b/anopheline-sialome-cds-pep-larger-orf55-50SimCLU5.txt", 5)</f>
        <v>5</v>
      </c>
      <c r="BY876">
        <f>HYPERLINK("http://exon.niaid.nih.gov/transcriptome/Anopheles_sialome/links/cluster-b/anopheline-sialome-cds-pep-larger-orf55-50SimCLTL5.txt", 37)</f>
        <v>37</v>
      </c>
      <c r="BZ876">
        <f>HYPERLINK("http://exon.niaid.nih.gov/transcriptome/Anopheles_sialome/links/cluster-b/anopheline-sialome-cds-pep-larger-orf60-50SimCLU4.txt", 4)</f>
        <v>4</v>
      </c>
      <c r="CA876">
        <f>HYPERLINK("http://exon.niaid.nih.gov/transcriptome/Anopheles_sialome/links/cluster-b/anopheline-sialome-cds-pep-larger-orf60-50SimCLTL4.txt", 37)</f>
        <v>37</v>
      </c>
      <c r="CB876">
        <f>HYPERLINK("http://exon.niaid.nih.gov/transcriptome/Anopheles_sialome/links/cluster-b/anopheline-sialome-cds-pep-larger-orf65-50SimCLU17.txt", 17)</f>
        <v>17</v>
      </c>
      <c r="CC876">
        <f>HYPERLINK("http://exon.niaid.nih.gov/transcriptome/Anopheles_sialome/links/cluster-b/anopheline-sialome-cds-pep-larger-orf65-50SimCLTL17.txt", 18)</f>
        <v>18</v>
      </c>
      <c r="CD876">
        <f>HYPERLINK("http://exon.niaid.nih.gov/transcriptome/Anopheles_sialome/links/cluster-b/anopheline-sialome-cds-pep-larger-orf70-50SimCLU16.txt", 16)</f>
        <v>16</v>
      </c>
      <c r="CE876">
        <f>HYPERLINK("http://exon.niaid.nih.gov/transcriptome/Anopheles_sialome/links/cluster-b/anopheline-sialome-cds-pep-larger-orf70-50SimCLTL16.txt", 18)</f>
        <v>18</v>
      </c>
      <c r="CF876">
        <f>HYPERLINK("http://exon.niaid.nih.gov/transcriptome/Anopheles_sialome/links/cluster-b/anopheline-sialome-cds-pep-larger-orf75-50SimCLU10.txt", 10)</f>
        <v>10</v>
      </c>
      <c r="CG876">
        <f>HYPERLINK("http://exon.niaid.nih.gov/transcriptome/Anopheles_sialome/links/cluster-b/anopheline-sialome-cds-pep-larger-orf75-50SimCLTL10.txt", 18)</f>
        <v>18</v>
      </c>
      <c r="CH876">
        <f>HYPERLINK("http://exon.niaid.nih.gov/transcriptome/Anopheles_sialome/links/cluster-b/anopheline-sialome-cds-pep-larger-orf80-50SimCLU15.txt", 15)</f>
        <v>15</v>
      </c>
      <c r="CI876">
        <f>HYPERLINK("http://exon.niaid.nih.gov/transcriptome/Anopheles_sialome/links/cluster-b/anopheline-sialome-cds-pep-larger-orf80-50SimCLTL15.txt", 14)</f>
        <v>14</v>
      </c>
      <c r="CJ876">
        <f>HYPERLINK("http://exon.niaid.nih.gov/transcriptome/Anopheles_sialome/links/cluster-b/anopheline-sialome-cds-pep-larger-orf85-50SimCLU10.txt", 10)</f>
        <v>10</v>
      </c>
      <c r="CK876">
        <f>HYPERLINK("http://exon.niaid.nih.gov/transcriptome/Anopheles_sialome/links/cluster-b/anopheline-sialome-cds-pep-larger-orf85-50SimCLTL10.txt", 14)</f>
        <v>14</v>
      </c>
      <c r="CL876">
        <f>HYPERLINK("http://exon.niaid.nih.gov/transcriptome/Anopheles_sialome/links/cluster-b/anopheline-sialome-cds-pep-larger-orf90-50SimCLU11.txt", 11)</f>
        <v>11</v>
      </c>
      <c r="CM876">
        <f>HYPERLINK("http://exon.niaid.nih.gov/transcriptome/Anopheles_sialome/links/cluster-b/anopheline-sialome-cds-pep-larger-orf90-50SimCLTL11.txt", 8)</f>
        <v>8</v>
      </c>
      <c r="CN876">
        <f>HYPERLINK("http://exon.niaid.nih.gov/transcriptome/Anopheles_sialome/links/cluster-b/anopheline-sialome-cds-pep-larger-orf95-50SimCLU29.txt", 29)</f>
        <v>29</v>
      </c>
      <c r="CO876">
        <f>HYPERLINK("http://exon.niaid.nih.gov/transcriptome/Anopheles_sialome/links/cluster-b/anopheline-sialome-cds-pep-larger-orf95-50SimCLTL29.txt", 6)</f>
        <v>6</v>
      </c>
    </row>
    <row r="877" spans="1:93">
      <c r="A877" s="2" t="str">
        <f>HYPERLINK("http://exon.niaid.nih.gov/transcriptome/Anopheles_sialome/links/cds/anocol_SG7-3-cds.txt","anocol_SG7-3")</f>
        <v>anocol_SG7-3</v>
      </c>
      <c r="B877">
        <v>435</v>
      </c>
      <c r="C877" t="s">
        <v>585</v>
      </c>
      <c r="D877" t="s">
        <v>7</v>
      </c>
      <c r="E877" t="s">
        <v>5</v>
      </c>
      <c r="F877" t="s">
        <v>1</v>
      </c>
      <c r="G877" t="str">
        <f>HYPERLINK("http://exon.niaid.nih.gov/transcriptome/Anopheles_sialome/links/pep/anocol_SG7-3-pep.txt","anocol_SG7-3")</f>
        <v>anocol_SG7-3</v>
      </c>
      <c r="H877">
        <v>144</v>
      </c>
      <c r="I877">
        <v>0</v>
      </c>
      <c r="J877" s="3" t="str">
        <f>HYPERLINK("http://exon.niaid.nih.gov/transcriptome/Anopheles_sialome/links/Sigp/anocol_SG7-3-SigP.txt","SIG")</f>
        <v>SIG</v>
      </c>
      <c r="K877" t="s">
        <v>787</v>
      </c>
      <c r="L877">
        <v>16.766999999999999</v>
      </c>
      <c r="M877">
        <v>9.4700000000000006</v>
      </c>
      <c r="N877">
        <v>14.128</v>
      </c>
      <c r="O877">
        <v>9.6199999999999992</v>
      </c>
      <c r="P877" t="s">
        <v>2148</v>
      </c>
      <c r="Q877" s="3">
        <v>0</v>
      </c>
      <c r="R877" t="s">
        <v>128</v>
      </c>
      <c r="S877" t="s">
        <v>128</v>
      </c>
      <c r="T877" t="s">
        <v>128</v>
      </c>
      <c r="U877" t="s">
        <v>128</v>
      </c>
      <c r="V877" t="s">
        <v>128</v>
      </c>
      <c r="W877" s="3" t="str">
        <f>HYPERLINK("http://exon.niaid.nih.gov/transcriptome/Anopheles_sialome/links/netoglyc/anocol_SG7-3-netoglyc.txt","0")</f>
        <v>0</v>
      </c>
      <c r="X877">
        <v>12.5</v>
      </c>
      <c r="Y877">
        <v>3.5</v>
      </c>
      <c r="Z877">
        <v>3.5</v>
      </c>
      <c r="AA877" t="s">
        <v>654</v>
      </c>
      <c r="AB877" t="s">
        <v>128</v>
      </c>
      <c r="AC877" s="2" t="str">
        <f>HYPERLINK("http://exon.niaid.nih.gov/transcriptome/Anopheles_sialome/links/DIPTERA/anocol_SG7-3-DIPTERA.txt","putative salivary protein gSG7")</f>
        <v>putative salivary protein gSG7</v>
      </c>
      <c r="AD877" t="str">
        <f>HYPERLINK("http://www.ncbi.nlm.nih.gov/sutils/blink.cgi?pid=27372909","2E-049")</f>
        <v>2E-049</v>
      </c>
      <c r="AE877" t="str">
        <f>HYPERLINK("http://www.ncbi.nlm.nih.gov/protein/27372909","gi|27372909")</f>
        <v>gi|27372909</v>
      </c>
      <c r="AF877">
        <v>63</v>
      </c>
      <c r="AG877">
        <v>82</v>
      </c>
      <c r="AH877">
        <v>101</v>
      </c>
      <c r="AI877" t="s">
        <v>2271</v>
      </c>
      <c r="AJ877" s="2" t="str">
        <f>HYPERLINK("http://exon.niaid.nih.gov/transcriptome/Anopheles_sialome/links/CULICOMORPHA/anocol_SG7-3-CULICOMORPHA.txt","putative salivary protein gSG7")</f>
        <v>putative salivary protein gSG7</v>
      </c>
      <c r="AK877" t="str">
        <f>HYPERLINK("http://www.ncbi.nlm.nih.gov/sutils/blink.cgi?pid=27372909","4E-050")</f>
        <v>4E-050</v>
      </c>
      <c r="AL877" t="str">
        <f>HYPERLINK("http://www.ncbi.nlm.nih.gov/protein/27372909","gi|27372909")</f>
        <v>gi|27372909</v>
      </c>
      <c r="AM877">
        <v>63</v>
      </c>
      <c r="AN877">
        <v>82</v>
      </c>
      <c r="AO877">
        <v>101</v>
      </c>
      <c r="AP877" t="s">
        <v>2271</v>
      </c>
      <c r="AQ877" s="2" t="str">
        <f>HYPERLINK("http://exon.niaid.nih.gov/transcriptome/Anopheles_sialome/links/NR-LIGHT/anocol_SG7-3-NR-LIGHT.txt","putative salivary protein gSG7")</f>
        <v>putative salivary protein gSG7</v>
      </c>
      <c r="AR877" t="str">
        <f>HYPERLINK("http://www.ncbi.nlm.nih.gov/sutils/blink.cgi?pid=27372909","5E-049")</f>
        <v>5E-049</v>
      </c>
      <c r="AS877" t="str">
        <f>HYPERLINK("http://www.ncbi.nlm.nih.gov/protein/27372909","gi|27372909")</f>
        <v>gi|27372909</v>
      </c>
      <c r="AT877">
        <v>63</v>
      </c>
      <c r="AU877">
        <v>82</v>
      </c>
      <c r="AV877">
        <v>101</v>
      </c>
      <c r="AW877" t="s">
        <v>2271</v>
      </c>
      <c r="AX877" s="2" t="str">
        <f>HYPERLINK("http://exon.niaid.nih.gov/transcriptome/Anopheles_sialome/links/CDD/anocol_SG7-3-CDD.txt","PLN03138")</f>
        <v>PLN03138</v>
      </c>
      <c r="AY877" t="str">
        <f>HYPERLINK("http://www.ncbi.nlm.nih.gov/Structure/cdd/cddsrv.cgi?uid=PLN03138&amp;version=v4.0","1.1")</f>
        <v>1.1</v>
      </c>
      <c r="AZ877" t="s">
        <v>3094</v>
      </c>
      <c r="BA877" s="2" t="str">
        <f>HYPERLINK("http://exon.niaid.nih.gov/transcriptome/Anopheles_sialome/links/KOG/anocol_SG7-3-KOG.txt","Protein phosphatase 2A regulatory subunit A and related proteins")</f>
        <v>Protein phosphatase 2A regulatory subunit A and related proteins</v>
      </c>
      <c r="BB877" t="str">
        <f>HYPERLINK("http://www.ncbi.nlm.nih.gov/Structure/cdd/cddsrv.cgi?uid=KOG0211","0.88")</f>
        <v>0.88</v>
      </c>
      <c r="BC877" t="s">
        <v>2292</v>
      </c>
      <c r="BD877" t="str">
        <f>HYPERLINK("http://exon.niaid.nih.gov/transcriptome/Anopheles_sialome/links/KOG/anocol_SG7-3-KOG.txt","KOG0211")</f>
        <v>KOG0211</v>
      </c>
      <c r="BE877" t="str">
        <f>HYPERLINK("http://exon.niaid.nih.gov/transcriptome/Anopheles_sialome/links/PFAM/anocol_SG7-3-PFAM.txt","DUF4403")</f>
        <v>DUF4403</v>
      </c>
      <c r="BF877" t="str">
        <f>HYPERLINK("http://pfam.sanger.ac.uk/family?acc=PF14356","0.74")</f>
        <v>0.74</v>
      </c>
      <c r="BG877" s="2" t="str">
        <f>HYPERLINK("http://exon.niaid.nih.gov/transcriptome/Anopheles_sialome/links/SMART/anocol_SG7-3-SMART.txt","Beach")</f>
        <v>Beach</v>
      </c>
      <c r="BH877" t="str">
        <f>HYPERLINK("http://smart.embl-heidelberg.de/smart/do_annotation.pl?DOMAIN=Beach&amp;BLAST=DUMMY","0.065")</f>
        <v>0.065</v>
      </c>
      <c r="BI877" t="s">
        <v>128</v>
      </c>
      <c r="BJ877" s="2" t="s">
        <v>128</v>
      </c>
      <c r="BK877" t="s">
        <v>2149</v>
      </c>
      <c r="BL877">
        <f>HYPERLINK("http://exon.niaid.nih.gov/transcriptome/Anopheles_sialome/links/cluster-b/anopheline-sialome-cds-pep-larger-orf25-50SimCLU2.txt", 2)</f>
        <v>2</v>
      </c>
      <c r="BM877">
        <f>HYPERLINK("http://exon.niaid.nih.gov/transcriptome/Anopheles_sialome/links/cluster-b/anopheline-sialome-cds-pep-larger-orf25-50SimCLTL2.txt", 120)</f>
        <v>120</v>
      </c>
      <c r="BN877">
        <f>HYPERLINK("http://exon.niaid.nih.gov/transcriptome/Anopheles_sialome/links/cluster-b/anopheline-sialome-cds-pep-larger-orf30-50SimCLU2.txt", 2)</f>
        <v>2</v>
      </c>
      <c r="BO877">
        <f>HYPERLINK("http://exon.niaid.nih.gov/transcriptome/Anopheles_sialome/links/cluster-b/anopheline-sialome-cds-pep-larger-orf30-50SimCLTL2.txt", 120)</f>
        <v>120</v>
      </c>
      <c r="BP877">
        <f>HYPERLINK("http://exon.niaid.nih.gov/transcriptome/Anopheles_sialome/links/cluster-b/anopheline-sialome-cds-pep-larger-orf35-50SimCLU1.txt", 1)</f>
        <v>1</v>
      </c>
      <c r="BQ877">
        <f>HYPERLINK("http://exon.niaid.nih.gov/transcriptome/Anopheles_sialome/links/cluster-b/anopheline-sialome-cds-pep-larger-orf35-50SimCLTL1.txt", 120)</f>
        <v>120</v>
      </c>
      <c r="BR877">
        <f>HYPERLINK("http://exon.niaid.nih.gov/transcriptome/Anopheles_sialome/links/cluster-b/anopheline-sialome-cds-pep-larger-orf40-50SimCLU7.txt", 7)</f>
        <v>7</v>
      </c>
      <c r="BS877">
        <f>HYPERLINK("http://exon.niaid.nih.gov/transcriptome/Anopheles_sialome/links/cluster-b/anopheline-sialome-cds-pep-larger-orf40-50SimCLTL7.txt", 37)</f>
        <v>37</v>
      </c>
      <c r="BT877">
        <f>HYPERLINK("http://exon.niaid.nih.gov/transcriptome/Anopheles_sialome/links/cluster-b/anopheline-sialome-cds-pep-larger-orf45-50SimCLU6.txt", 6)</f>
        <v>6</v>
      </c>
      <c r="BU877">
        <f>HYPERLINK("http://exon.niaid.nih.gov/transcriptome/Anopheles_sialome/links/cluster-b/anopheline-sialome-cds-pep-larger-orf45-50SimCLTL6.txt", 37)</f>
        <v>37</v>
      </c>
      <c r="BV877">
        <f>HYPERLINK("http://exon.niaid.nih.gov/transcriptome/Anopheles_sialome/links/cluster-b/anopheline-sialome-cds-pep-larger-orf50-50SimCLU6.txt", 6)</f>
        <v>6</v>
      </c>
      <c r="BW877">
        <f>HYPERLINK("http://exon.niaid.nih.gov/transcriptome/Anopheles_sialome/links/cluster-b/anopheline-sialome-cds-pep-larger-orf50-50SimCLTL6.txt", 37)</f>
        <v>37</v>
      </c>
      <c r="BX877">
        <f>HYPERLINK("http://exon.niaid.nih.gov/transcriptome/Anopheles_sialome/links/cluster-b/anopheline-sialome-cds-pep-larger-orf55-50SimCLU5.txt", 5)</f>
        <v>5</v>
      </c>
      <c r="BY877">
        <f>HYPERLINK("http://exon.niaid.nih.gov/transcriptome/Anopheles_sialome/links/cluster-b/anopheline-sialome-cds-pep-larger-orf55-50SimCLTL5.txt", 37)</f>
        <v>37</v>
      </c>
      <c r="BZ877">
        <f>HYPERLINK("http://exon.niaid.nih.gov/transcriptome/Anopheles_sialome/links/cluster-b/anopheline-sialome-cds-pep-larger-orf60-50SimCLU4.txt", 4)</f>
        <v>4</v>
      </c>
      <c r="CA877">
        <f>HYPERLINK("http://exon.niaid.nih.gov/transcriptome/Anopheles_sialome/links/cluster-b/anopheline-sialome-cds-pep-larger-orf60-50SimCLTL4.txt", 37)</f>
        <v>37</v>
      </c>
      <c r="CB877">
        <f>HYPERLINK("http://exon.niaid.nih.gov/transcriptome/Anopheles_sialome/links/cluster-b/anopheline-sialome-cds-pep-larger-orf65-50SimCLU17.txt", 17)</f>
        <v>17</v>
      </c>
      <c r="CC877">
        <f>HYPERLINK("http://exon.niaid.nih.gov/transcriptome/Anopheles_sialome/links/cluster-b/anopheline-sialome-cds-pep-larger-orf65-50SimCLTL17.txt", 18)</f>
        <v>18</v>
      </c>
      <c r="CD877">
        <f>HYPERLINK("http://exon.niaid.nih.gov/transcriptome/Anopheles_sialome/links/cluster-b/anopheline-sialome-cds-pep-larger-orf70-50SimCLU16.txt", 16)</f>
        <v>16</v>
      </c>
      <c r="CE877">
        <f>HYPERLINK("http://exon.niaid.nih.gov/transcriptome/Anopheles_sialome/links/cluster-b/anopheline-sialome-cds-pep-larger-orf70-50SimCLTL16.txt", 18)</f>
        <v>18</v>
      </c>
      <c r="CF877">
        <f>HYPERLINK("http://exon.niaid.nih.gov/transcriptome/Anopheles_sialome/links/cluster-b/anopheline-sialome-cds-pep-larger-orf75-50SimCLU10.txt", 10)</f>
        <v>10</v>
      </c>
      <c r="CG877">
        <f>HYPERLINK("http://exon.niaid.nih.gov/transcriptome/Anopheles_sialome/links/cluster-b/anopheline-sialome-cds-pep-larger-orf75-50SimCLTL10.txt", 18)</f>
        <v>18</v>
      </c>
      <c r="CH877">
        <f>HYPERLINK("http://exon.niaid.nih.gov/transcriptome/Anopheles_sialome/links/cluster-b/anopheline-sialome-cds-pep-larger-orf80-50SimCLU15.txt", 15)</f>
        <v>15</v>
      </c>
      <c r="CI877">
        <f>HYPERLINK("http://exon.niaid.nih.gov/transcriptome/Anopheles_sialome/links/cluster-b/anopheline-sialome-cds-pep-larger-orf80-50SimCLTL15.txt", 14)</f>
        <v>14</v>
      </c>
      <c r="CJ877">
        <f>HYPERLINK("http://exon.niaid.nih.gov/transcriptome/Anopheles_sialome/links/cluster-b/anopheline-sialome-cds-pep-larger-orf85-50SimCLU10.txt", 10)</f>
        <v>10</v>
      </c>
      <c r="CK877">
        <f>HYPERLINK("http://exon.niaid.nih.gov/transcriptome/Anopheles_sialome/links/cluster-b/anopheline-sialome-cds-pep-larger-orf85-50SimCLTL10.txt", 14)</f>
        <v>14</v>
      </c>
      <c r="CL877">
        <f>HYPERLINK("http://exon.niaid.nih.gov/transcriptome/Anopheles_sialome/links/cluster-b/anopheline-sialome-cds-pep-larger-orf90-50SimCLU93.txt", 93)</f>
        <v>93</v>
      </c>
      <c r="CM877">
        <f>HYPERLINK("http://exon.niaid.nih.gov/transcriptome/Anopheles_sialome/links/cluster-b/anopheline-sialome-cds-pep-larger-orf90-50SimCLTL93.txt", 2)</f>
        <v>2</v>
      </c>
      <c r="CN877">
        <f>HYPERLINK("http://exon.niaid.nih.gov/transcriptome/Anopheles_sialome/links/cluster-b/anopheline-sialome-cds-pep-larger-orf95-50SimCLU69.txt", 69)</f>
        <v>69</v>
      </c>
      <c r="CO877">
        <f>HYPERLINK("http://exon.niaid.nih.gov/transcriptome/Anopheles_sialome/links/cluster-b/anopheline-sialome-cds-pep-larger-orf95-50SimCLTL69.txt", 2)</f>
        <v>2</v>
      </c>
    </row>
    <row r="878" spans="1:93">
      <c r="A878" s="2" t="str">
        <f>HYPERLINK("http://exon.niaid.nih.gov/transcriptome/Anopheles_sialome/links/cds/anoara_SG7-2-cds.txt","anoara_SG7-2")</f>
        <v>anoara_SG7-2</v>
      </c>
      <c r="B878">
        <v>426</v>
      </c>
      <c r="C878" t="s">
        <v>568</v>
      </c>
      <c r="D878" t="s">
        <v>7</v>
      </c>
      <c r="E878" t="s">
        <v>5</v>
      </c>
      <c r="F878" t="s">
        <v>1</v>
      </c>
      <c r="G878" t="str">
        <f>HYPERLINK("http://exon.niaid.nih.gov/transcriptome/Anopheles_sialome/links/pep/anoara_SG7-2-pep.txt","anoara_SG7-2")</f>
        <v>anoara_SG7-2</v>
      </c>
      <c r="H878">
        <v>141</v>
      </c>
      <c r="I878">
        <v>0</v>
      </c>
      <c r="J878" s="3" t="str">
        <f>HYPERLINK("http://exon.niaid.nih.gov/transcriptome/Anopheles_sialome/links/Sigp/anoara_SG7-2-SigP.txt","SIG")</f>
        <v>SIG</v>
      </c>
      <c r="K878" t="s">
        <v>787</v>
      </c>
      <c r="L878">
        <v>16.5</v>
      </c>
      <c r="M878">
        <v>9.84</v>
      </c>
      <c r="N878">
        <v>13.714</v>
      </c>
      <c r="O878">
        <v>9.99</v>
      </c>
      <c r="P878" t="s">
        <v>2119</v>
      </c>
      <c r="Q878" s="3">
        <v>0</v>
      </c>
      <c r="R878" t="s">
        <v>128</v>
      </c>
      <c r="S878" t="s">
        <v>128</v>
      </c>
      <c r="T878" t="s">
        <v>128</v>
      </c>
      <c r="U878" t="s">
        <v>128</v>
      </c>
      <c r="V878" t="s">
        <v>128</v>
      </c>
      <c r="W878" s="3" t="str">
        <f>HYPERLINK("http://exon.niaid.nih.gov/transcriptome/Anopheles_sialome/links/netoglyc/anoara_SG7-2-netoglyc.txt","0")</f>
        <v>0</v>
      </c>
      <c r="X878">
        <v>9.1999999999999993</v>
      </c>
      <c r="Y878">
        <v>3.5</v>
      </c>
      <c r="Z878">
        <v>3.5</v>
      </c>
      <c r="AA878" t="s">
        <v>654</v>
      </c>
      <c r="AB878" t="s">
        <v>128</v>
      </c>
      <c r="AC878" s="2" t="str">
        <f>HYPERLINK("http://exon.niaid.nih.gov/transcriptome/Anopheles_sialome/links/DIPTERA/anoara_SG7-2-DIPTERA.txt","gSG7-2 salivary protein")</f>
        <v>gSG7-2 salivary protein</v>
      </c>
      <c r="AD878" t="str">
        <f>HYPERLINK("http://www.ncbi.nlm.nih.gov/sutils/blink.cgi?pid=114864865","3E-054")</f>
        <v>3E-054</v>
      </c>
      <c r="AE878" t="str">
        <f t="shared" ref="AE878:AE886" si="268">HYPERLINK("http://www.ncbi.nlm.nih.gov/protein/114864865","gi|114864865")</f>
        <v>gi|114864865</v>
      </c>
      <c r="AF878">
        <v>67</v>
      </c>
      <c r="AG878">
        <v>85</v>
      </c>
      <c r="AH878">
        <v>99</v>
      </c>
      <c r="AI878" t="s">
        <v>2266</v>
      </c>
      <c r="AJ878" s="2" t="str">
        <f>HYPERLINK("http://exon.niaid.nih.gov/transcriptome/Anopheles_sialome/links/CULICOMORPHA/anoara_SG7-2-CULICOMORPHA.txt","gSG7-2 salivary protein")</f>
        <v>gSG7-2 salivary protein</v>
      </c>
      <c r="AK878" t="str">
        <f>HYPERLINK("http://www.ncbi.nlm.nih.gov/sutils/blink.cgi?pid=114864865","5E-055")</f>
        <v>5E-055</v>
      </c>
      <c r="AL878" t="str">
        <f t="shared" ref="AL878:AL886" si="269">HYPERLINK("http://www.ncbi.nlm.nih.gov/protein/114864865","gi|114864865")</f>
        <v>gi|114864865</v>
      </c>
      <c r="AM878">
        <v>67</v>
      </c>
      <c r="AN878">
        <v>85</v>
      </c>
      <c r="AO878">
        <v>99</v>
      </c>
      <c r="AP878" t="s">
        <v>2266</v>
      </c>
      <c r="AQ878" s="2" t="str">
        <f>HYPERLINK("http://exon.niaid.nih.gov/transcriptome/Anopheles_sialome/links/NR-LIGHT/anoara_SG7-2-NR-LIGHT.txt","gSG7-2 salivary protein")</f>
        <v>gSG7-2 salivary protein</v>
      </c>
      <c r="AR878" t="str">
        <f>HYPERLINK("http://www.ncbi.nlm.nih.gov/sutils/blink.cgi?pid=114864865","7E-054")</f>
        <v>7E-054</v>
      </c>
      <c r="AS878" t="str">
        <f t="shared" ref="AS878:AS886" si="270">HYPERLINK("http://www.ncbi.nlm.nih.gov/protein/114864865","gi|114864865")</f>
        <v>gi|114864865</v>
      </c>
      <c r="AT878">
        <v>67</v>
      </c>
      <c r="AU878">
        <v>85</v>
      </c>
      <c r="AV878">
        <v>99</v>
      </c>
      <c r="AW878" t="s">
        <v>2266</v>
      </c>
      <c r="AX878" s="2" t="str">
        <f>HYPERLINK("http://exon.niaid.nih.gov/transcriptome/Anopheles_sialome/links/CDD/anoara_SG7-2-CDD.txt","Herpes_PAP")</f>
        <v>Herpes_PAP</v>
      </c>
      <c r="AY878" t="str">
        <f>HYPERLINK("http://www.ncbi.nlm.nih.gov/Structure/cdd/cddsrv.cgi?uid=pfam03325&amp;version=v4.0","0.066")</f>
        <v>0.066</v>
      </c>
      <c r="AZ878" t="s">
        <v>3078</v>
      </c>
      <c r="BA878" s="2" t="str">
        <f>HYPERLINK("http://exon.niaid.nih.gov/transcriptome/Anopheles_sialome/links/KOG/anoara_SG7-2-KOG.txt","Nucleoside phosphatase")</f>
        <v>Nucleoside phosphatase</v>
      </c>
      <c r="BB878" t="str">
        <f>HYPERLINK("http://www.ncbi.nlm.nih.gov/Structure/cdd/cddsrv.cgi?uid=KOG1385","0.34")</f>
        <v>0.34</v>
      </c>
      <c r="BC878" t="s">
        <v>2398</v>
      </c>
      <c r="BD878" t="str">
        <f>HYPERLINK("http://exon.niaid.nih.gov/transcriptome/Anopheles_sialome/links/KOG/anoara_SG7-2-KOG.txt","KOG1385")</f>
        <v>KOG1385</v>
      </c>
      <c r="BE878" t="str">
        <f>HYPERLINK("http://exon.niaid.nih.gov/transcriptome/Anopheles_sialome/links/PFAM/anoara_SG7-2-PFAM.txt","Herpes_PAP")</f>
        <v>Herpes_PAP</v>
      </c>
      <c r="BF878" t="str">
        <f>HYPERLINK("http://pfam.sanger.ac.uk/family?acc=PF03325","0.016")</f>
        <v>0.016</v>
      </c>
      <c r="BG878" s="2" t="str">
        <f>HYPERLINK("http://exon.niaid.nih.gov/transcriptome/Anopheles_sialome/links/SMART/anoara_SG7-2-SMART.txt","TAP_C")</f>
        <v>TAP_C</v>
      </c>
      <c r="BH878" t="str">
        <f>HYPERLINK("http://smart.embl-heidelberg.de/smart/do_annotation.pl?DOMAIN=TAP_C&amp;BLAST=DUMMY","0.66")</f>
        <v>0.66</v>
      </c>
      <c r="BI878" t="str">
        <f>HYPERLINK("http://exon.niaid.nih.gov/transcriptome/Anopheles_sialome/links/TICK-BLOCKS/anoara_SG7-2-TICK-BLOCKS.txt","Anopheles_gSG7 |")</f>
        <v>Anopheles_gSG7 |</v>
      </c>
      <c r="BJ878" s="2" t="s">
        <v>3058</v>
      </c>
      <c r="BK878" t="s">
        <v>2118</v>
      </c>
      <c r="BL878">
        <f>HYPERLINK("http://exon.niaid.nih.gov/transcriptome/Anopheles_sialome/links/cluster-b/anopheline-sialome-cds-pep-larger-orf25-50SimCLU2.txt", 2)</f>
        <v>2</v>
      </c>
      <c r="BM878">
        <f>HYPERLINK("http://exon.niaid.nih.gov/transcriptome/Anopheles_sialome/links/cluster-b/anopheline-sialome-cds-pep-larger-orf25-50SimCLTL2.txt", 120)</f>
        <v>120</v>
      </c>
      <c r="BN878">
        <f>HYPERLINK("http://exon.niaid.nih.gov/transcriptome/Anopheles_sialome/links/cluster-b/anopheline-sialome-cds-pep-larger-orf30-50SimCLU2.txt", 2)</f>
        <v>2</v>
      </c>
      <c r="BO878">
        <f>HYPERLINK("http://exon.niaid.nih.gov/transcriptome/Anopheles_sialome/links/cluster-b/anopheline-sialome-cds-pep-larger-orf30-50SimCLTL2.txt", 120)</f>
        <v>120</v>
      </c>
      <c r="BP878">
        <f>HYPERLINK("http://exon.niaid.nih.gov/transcriptome/Anopheles_sialome/links/cluster-b/anopheline-sialome-cds-pep-larger-orf35-50SimCLU1.txt", 1)</f>
        <v>1</v>
      </c>
      <c r="BQ878">
        <f>HYPERLINK("http://exon.niaid.nih.gov/transcriptome/Anopheles_sialome/links/cluster-b/anopheline-sialome-cds-pep-larger-orf35-50SimCLTL1.txt", 120)</f>
        <v>120</v>
      </c>
      <c r="BR878">
        <f>HYPERLINK("http://exon.niaid.nih.gov/transcriptome/Anopheles_sialome/links/cluster-b/anopheline-sialome-cds-pep-larger-orf40-50SimCLU7.txt", 7)</f>
        <v>7</v>
      </c>
      <c r="BS878">
        <f>HYPERLINK("http://exon.niaid.nih.gov/transcriptome/Anopheles_sialome/links/cluster-b/anopheline-sialome-cds-pep-larger-orf40-50SimCLTL7.txt", 37)</f>
        <v>37</v>
      </c>
      <c r="BT878">
        <f>HYPERLINK("http://exon.niaid.nih.gov/transcriptome/Anopheles_sialome/links/cluster-b/anopheline-sialome-cds-pep-larger-orf45-50SimCLU6.txt", 6)</f>
        <v>6</v>
      </c>
      <c r="BU878">
        <f>HYPERLINK("http://exon.niaid.nih.gov/transcriptome/Anopheles_sialome/links/cluster-b/anopheline-sialome-cds-pep-larger-orf45-50SimCLTL6.txt", 37)</f>
        <v>37</v>
      </c>
      <c r="BV878">
        <f>HYPERLINK("http://exon.niaid.nih.gov/transcriptome/Anopheles_sialome/links/cluster-b/anopheline-sialome-cds-pep-larger-orf50-50SimCLU6.txt", 6)</f>
        <v>6</v>
      </c>
      <c r="BW878">
        <f>HYPERLINK("http://exon.niaid.nih.gov/transcriptome/Anopheles_sialome/links/cluster-b/anopheline-sialome-cds-pep-larger-orf50-50SimCLTL6.txt", 37)</f>
        <v>37</v>
      </c>
      <c r="BX878">
        <f>HYPERLINK("http://exon.niaid.nih.gov/transcriptome/Anopheles_sialome/links/cluster-b/anopheline-sialome-cds-pep-larger-orf55-50SimCLU5.txt", 5)</f>
        <v>5</v>
      </c>
      <c r="BY878">
        <f>HYPERLINK("http://exon.niaid.nih.gov/transcriptome/Anopheles_sialome/links/cluster-b/anopheline-sialome-cds-pep-larger-orf55-50SimCLTL5.txt", 37)</f>
        <v>37</v>
      </c>
      <c r="BZ878">
        <f>HYPERLINK("http://exon.niaid.nih.gov/transcriptome/Anopheles_sialome/links/cluster-b/anopheline-sialome-cds-pep-larger-orf60-50SimCLU4.txt", 4)</f>
        <v>4</v>
      </c>
      <c r="CA878">
        <f>HYPERLINK("http://exon.niaid.nih.gov/transcriptome/Anopheles_sialome/links/cluster-b/anopheline-sialome-cds-pep-larger-orf60-50SimCLTL4.txt", 37)</f>
        <v>37</v>
      </c>
      <c r="CB878">
        <f>HYPERLINK("http://exon.niaid.nih.gov/transcriptome/Anopheles_sialome/links/cluster-b/anopheline-sialome-cds-pep-larger-orf65-50SimCLU17.txt", 17)</f>
        <v>17</v>
      </c>
      <c r="CC878">
        <f>HYPERLINK("http://exon.niaid.nih.gov/transcriptome/Anopheles_sialome/links/cluster-b/anopheline-sialome-cds-pep-larger-orf65-50SimCLTL17.txt", 18)</f>
        <v>18</v>
      </c>
      <c r="CD878">
        <f>HYPERLINK("http://exon.niaid.nih.gov/transcriptome/Anopheles_sialome/links/cluster-b/anopheline-sialome-cds-pep-larger-orf70-50SimCLU16.txt", 16)</f>
        <v>16</v>
      </c>
      <c r="CE878">
        <f>HYPERLINK("http://exon.niaid.nih.gov/transcriptome/Anopheles_sialome/links/cluster-b/anopheline-sialome-cds-pep-larger-orf70-50SimCLTL16.txt", 18)</f>
        <v>18</v>
      </c>
      <c r="CF878">
        <f>HYPERLINK("http://exon.niaid.nih.gov/transcriptome/Anopheles_sialome/links/cluster-b/anopheline-sialome-cds-pep-larger-orf75-50SimCLU10.txt", 10)</f>
        <v>10</v>
      </c>
      <c r="CG878">
        <f>HYPERLINK("http://exon.niaid.nih.gov/transcriptome/Anopheles_sialome/links/cluster-b/anopheline-sialome-cds-pep-larger-orf75-50SimCLTL10.txt", 18)</f>
        <v>18</v>
      </c>
      <c r="CH878">
        <f>HYPERLINK("http://exon.niaid.nih.gov/transcriptome/Anopheles_sialome/links/cluster-b/anopheline-sialome-cds-pep-larger-orf80-50SimCLU15.txt", 15)</f>
        <v>15</v>
      </c>
      <c r="CI878">
        <f>HYPERLINK("http://exon.niaid.nih.gov/transcriptome/Anopheles_sialome/links/cluster-b/anopheline-sialome-cds-pep-larger-orf80-50SimCLTL15.txt", 14)</f>
        <v>14</v>
      </c>
      <c r="CJ878">
        <f>HYPERLINK("http://exon.niaid.nih.gov/transcriptome/Anopheles_sialome/links/cluster-b/anopheline-sialome-cds-pep-larger-orf85-50SimCLU10.txt", 10)</f>
        <v>10</v>
      </c>
      <c r="CK878">
        <f>HYPERLINK("http://exon.niaid.nih.gov/transcriptome/Anopheles_sialome/links/cluster-b/anopheline-sialome-cds-pep-larger-orf85-50SimCLTL10.txt", 14)</f>
        <v>14</v>
      </c>
      <c r="CL878">
        <f>HYPERLINK("http://exon.niaid.nih.gov/transcriptome/Anopheles_sialome/links/cluster-b/anopheline-sialome-cds-pep-larger-orf90-50SimCLU11.txt", 11)</f>
        <v>11</v>
      </c>
      <c r="CM878">
        <f>HYPERLINK("http://exon.niaid.nih.gov/transcriptome/Anopheles_sialome/links/cluster-b/anopheline-sialome-cds-pep-larger-orf90-50SimCLTL11.txt", 8)</f>
        <v>8</v>
      </c>
      <c r="CN878">
        <f>HYPERLINK("http://exon.niaid.nih.gov/transcriptome/Anopheles_sialome/links/cluster-b/anopheline-sialome-cds-pep-larger-orf95-50SimCLU29.txt", 29)</f>
        <v>29</v>
      </c>
      <c r="CO878">
        <f>HYPERLINK("http://exon.niaid.nih.gov/transcriptome/Anopheles_sialome/links/cluster-b/anopheline-sialome-cds-pep-larger-orf95-50SimCLTL29.txt", 6)</f>
        <v>6</v>
      </c>
    </row>
    <row r="879" spans="1:93">
      <c r="A879" s="2" t="str">
        <f>HYPERLINK("http://exon.niaid.nih.gov/transcriptome/Anopheles_sialome/links/cds/anoqua_SG7-2-cds.txt","anoqua_SG7-2")</f>
        <v>anoqua_SG7-2</v>
      </c>
      <c r="B879">
        <v>426</v>
      </c>
      <c r="C879" t="s">
        <v>569</v>
      </c>
      <c r="D879" t="s">
        <v>7</v>
      </c>
      <c r="E879" t="s">
        <v>5</v>
      </c>
      <c r="F879" t="s">
        <v>1</v>
      </c>
      <c r="G879" t="str">
        <f>HYPERLINK("http://exon.niaid.nih.gov/transcriptome/Anopheles_sialome/links/pep/anoqua_SG7-2-pep.txt","anoqua_SG7-2")</f>
        <v>anoqua_SG7-2</v>
      </c>
      <c r="H879">
        <v>141</v>
      </c>
      <c r="I879">
        <v>0</v>
      </c>
      <c r="J879" s="3" t="str">
        <f>HYPERLINK("http://exon.niaid.nih.gov/transcriptome/Anopheles_sialome/links/Sigp/anoqua_SG7-2-SigP.txt","SIG")</f>
        <v>SIG</v>
      </c>
      <c r="K879" t="s">
        <v>787</v>
      </c>
      <c r="L879">
        <v>16.437999999999999</v>
      </c>
      <c r="M879">
        <v>9.84</v>
      </c>
      <c r="N879">
        <v>13.651999999999999</v>
      </c>
      <c r="O879">
        <v>9.99</v>
      </c>
      <c r="P879" t="s">
        <v>2121</v>
      </c>
      <c r="Q879" s="3">
        <v>0</v>
      </c>
      <c r="R879" t="s">
        <v>128</v>
      </c>
      <c r="S879" t="s">
        <v>128</v>
      </c>
      <c r="T879" t="s">
        <v>128</v>
      </c>
      <c r="U879" t="s">
        <v>128</v>
      </c>
      <c r="V879" t="s">
        <v>128</v>
      </c>
      <c r="W879" s="3" t="str">
        <f>HYPERLINK("http://exon.niaid.nih.gov/transcriptome/Anopheles_sialome/links/netoglyc/anoqua_SG7-2-netoglyc.txt","0")</f>
        <v>0</v>
      </c>
      <c r="X879">
        <v>9.1999999999999993</v>
      </c>
      <c r="Y879">
        <v>3.5</v>
      </c>
      <c r="Z879">
        <v>3.5</v>
      </c>
      <c r="AA879" t="s">
        <v>654</v>
      </c>
      <c r="AB879" t="s">
        <v>128</v>
      </c>
      <c r="AC879" s="2" t="str">
        <f>HYPERLINK("http://exon.niaid.nih.gov/transcriptome/Anopheles_sialome/links/DIPTERA/anoqua_SG7-2-DIPTERA.txt","gSG7-2 salivary protein")</f>
        <v>gSG7-2 salivary protein</v>
      </c>
      <c r="AD879" t="str">
        <f>HYPERLINK("http://www.ncbi.nlm.nih.gov/sutils/blink.cgi?pid=114864865","9E-055")</f>
        <v>9E-055</v>
      </c>
      <c r="AE879" t="str">
        <f t="shared" si="268"/>
        <v>gi|114864865</v>
      </c>
      <c r="AF879">
        <v>67</v>
      </c>
      <c r="AG879">
        <v>85</v>
      </c>
      <c r="AH879">
        <v>100</v>
      </c>
      <c r="AI879" t="s">
        <v>2266</v>
      </c>
      <c r="AJ879" s="2" t="str">
        <f>HYPERLINK("http://exon.niaid.nih.gov/transcriptome/Anopheles_sialome/links/CULICOMORPHA/anoqua_SG7-2-CULICOMORPHA.txt","gSG7-2 salivary protein")</f>
        <v>gSG7-2 salivary protein</v>
      </c>
      <c r="AK879" t="str">
        <f>HYPERLINK("http://www.ncbi.nlm.nih.gov/sutils/blink.cgi?pid=114864865","2E-055")</f>
        <v>2E-055</v>
      </c>
      <c r="AL879" t="str">
        <f t="shared" si="269"/>
        <v>gi|114864865</v>
      </c>
      <c r="AM879">
        <v>67</v>
      </c>
      <c r="AN879">
        <v>85</v>
      </c>
      <c r="AO879">
        <v>100</v>
      </c>
      <c r="AP879" t="s">
        <v>2266</v>
      </c>
      <c r="AQ879" s="2" t="str">
        <f>HYPERLINK("http://exon.niaid.nih.gov/transcriptome/Anopheles_sialome/links/NR-LIGHT/anoqua_SG7-2-NR-LIGHT.txt","gSG7-2 salivary protein")</f>
        <v>gSG7-2 salivary protein</v>
      </c>
      <c r="AR879" t="str">
        <f>HYPERLINK("http://www.ncbi.nlm.nih.gov/sutils/blink.cgi?pid=114864865","2E-054")</f>
        <v>2E-054</v>
      </c>
      <c r="AS879" t="str">
        <f t="shared" si="270"/>
        <v>gi|114864865</v>
      </c>
      <c r="AT879">
        <v>67</v>
      </c>
      <c r="AU879">
        <v>85</v>
      </c>
      <c r="AV879">
        <v>100</v>
      </c>
      <c r="AW879" t="s">
        <v>2266</v>
      </c>
      <c r="AX879" s="2" t="str">
        <f>HYPERLINK("http://exon.niaid.nih.gov/transcriptome/Anopheles_sialome/links/CDD/anoqua_SG7-2-CDD.txt","Herpes_PAP")</f>
        <v>Herpes_PAP</v>
      </c>
      <c r="AY879" t="str">
        <f>HYPERLINK("http://www.ncbi.nlm.nih.gov/Structure/cdd/cddsrv.cgi?uid=pfam03325&amp;version=v4.0","0.067")</f>
        <v>0.067</v>
      </c>
      <c r="AZ879" t="s">
        <v>3079</v>
      </c>
      <c r="BA879" s="2" t="str">
        <f>HYPERLINK("http://exon.niaid.nih.gov/transcriptome/Anopheles_sialome/links/KOG/anoqua_SG7-2-KOG.txt","Nucleoside phosphatase")</f>
        <v>Nucleoside phosphatase</v>
      </c>
      <c r="BB879" t="str">
        <f>HYPERLINK("http://www.ncbi.nlm.nih.gov/Structure/cdd/cddsrv.cgi?uid=KOG1385","0.37")</f>
        <v>0.37</v>
      </c>
      <c r="BC879" t="s">
        <v>2398</v>
      </c>
      <c r="BD879" t="str">
        <f>HYPERLINK("http://exon.niaid.nih.gov/transcriptome/Anopheles_sialome/links/KOG/anoqua_SG7-2-KOG.txt","KOG1385")</f>
        <v>KOG1385</v>
      </c>
      <c r="BE879" t="str">
        <f>HYPERLINK("http://exon.niaid.nih.gov/transcriptome/Anopheles_sialome/links/PFAM/anoqua_SG7-2-PFAM.txt","Herpes_PAP")</f>
        <v>Herpes_PAP</v>
      </c>
      <c r="BF879" t="str">
        <f>HYPERLINK("http://pfam.sanger.ac.uk/family?acc=PF03325","0.016")</f>
        <v>0.016</v>
      </c>
      <c r="BG879" s="2" t="str">
        <f>HYPERLINK("http://exon.niaid.nih.gov/transcriptome/Anopheles_sialome/links/SMART/anoqua_SG7-2-SMART.txt","TAP_C")</f>
        <v>TAP_C</v>
      </c>
      <c r="BH879" t="str">
        <f>HYPERLINK("http://smart.embl-heidelberg.de/smart/do_annotation.pl?DOMAIN=TAP_C&amp;BLAST=DUMMY","1.1")</f>
        <v>1.1</v>
      </c>
      <c r="BI879" t="str">
        <f>HYPERLINK("http://exon.niaid.nih.gov/transcriptome/Anopheles_sialome/links/TICK-BLOCKS/anoqua_SG7-2-TICK-BLOCKS.txt","Anopheles_gSG7 |")</f>
        <v>Anopheles_gSG7 |</v>
      </c>
      <c r="BJ879" s="2" t="s">
        <v>3058</v>
      </c>
      <c r="BK879" t="s">
        <v>2120</v>
      </c>
      <c r="BL879">
        <f>HYPERLINK("http://exon.niaid.nih.gov/transcriptome/Anopheles_sialome/links/cluster-b/anopheline-sialome-cds-pep-larger-orf25-50SimCLU2.txt", 2)</f>
        <v>2</v>
      </c>
      <c r="BM879">
        <f>HYPERLINK("http://exon.niaid.nih.gov/transcriptome/Anopheles_sialome/links/cluster-b/anopheline-sialome-cds-pep-larger-orf25-50SimCLTL2.txt", 120)</f>
        <v>120</v>
      </c>
      <c r="BN879">
        <f>HYPERLINK("http://exon.niaid.nih.gov/transcriptome/Anopheles_sialome/links/cluster-b/anopheline-sialome-cds-pep-larger-orf30-50SimCLU2.txt", 2)</f>
        <v>2</v>
      </c>
      <c r="BO879">
        <f>HYPERLINK("http://exon.niaid.nih.gov/transcriptome/Anopheles_sialome/links/cluster-b/anopheline-sialome-cds-pep-larger-orf30-50SimCLTL2.txt", 120)</f>
        <v>120</v>
      </c>
      <c r="BP879">
        <f>HYPERLINK("http://exon.niaid.nih.gov/transcriptome/Anopheles_sialome/links/cluster-b/anopheline-sialome-cds-pep-larger-orf35-50SimCLU1.txt", 1)</f>
        <v>1</v>
      </c>
      <c r="BQ879">
        <f>HYPERLINK("http://exon.niaid.nih.gov/transcriptome/Anopheles_sialome/links/cluster-b/anopheline-sialome-cds-pep-larger-orf35-50SimCLTL1.txt", 120)</f>
        <v>120</v>
      </c>
      <c r="BR879">
        <f>HYPERLINK("http://exon.niaid.nih.gov/transcriptome/Anopheles_sialome/links/cluster-b/anopheline-sialome-cds-pep-larger-orf40-50SimCLU7.txt", 7)</f>
        <v>7</v>
      </c>
      <c r="BS879">
        <f>HYPERLINK("http://exon.niaid.nih.gov/transcriptome/Anopheles_sialome/links/cluster-b/anopheline-sialome-cds-pep-larger-orf40-50SimCLTL7.txt", 37)</f>
        <v>37</v>
      </c>
      <c r="BT879">
        <f>HYPERLINK("http://exon.niaid.nih.gov/transcriptome/Anopheles_sialome/links/cluster-b/anopheline-sialome-cds-pep-larger-orf45-50SimCLU6.txt", 6)</f>
        <v>6</v>
      </c>
      <c r="BU879">
        <f>HYPERLINK("http://exon.niaid.nih.gov/transcriptome/Anopheles_sialome/links/cluster-b/anopheline-sialome-cds-pep-larger-orf45-50SimCLTL6.txt", 37)</f>
        <v>37</v>
      </c>
      <c r="BV879">
        <f>HYPERLINK("http://exon.niaid.nih.gov/transcriptome/Anopheles_sialome/links/cluster-b/anopheline-sialome-cds-pep-larger-orf50-50SimCLU6.txt", 6)</f>
        <v>6</v>
      </c>
      <c r="BW879">
        <f>HYPERLINK("http://exon.niaid.nih.gov/transcriptome/Anopheles_sialome/links/cluster-b/anopheline-sialome-cds-pep-larger-orf50-50SimCLTL6.txt", 37)</f>
        <v>37</v>
      </c>
      <c r="BX879">
        <f>HYPERLINK("http://exon.niaid.nih.gov/transcriptome/Anopheles_sialome/links/cluster-b/anopheline-sialome-cds-pep-larger-orf55-50SimCLU5.txt", 5)</f>
        <v>5</v>
      </c>
      <c r="BY879">
        <f>HYPERLINK("http://exon.niaid.nih.gov/transcriptome/Anopheles_sialome/links/cluster-b/anopheline-sialome-cds-pep-larger-orf55-50SimCLTL5.txt", 37)</f>
        <v>37</v>
      </c>
      <c r="BZ879">
        <f>HYPERLINK("http://exon.niaid.nih.gov/transcriptome/Anopheles_sialome/links/cluster-b/anopheline-sialome-cds-pep-larger-orf60-50SimCLU4.txt", 4)</f>
        <v>4</v>
      </c>
      <c r="CA879">
        <f>HYPERLINK("http://exon.niaid.nih.gov/transcriptome/Anopheles_sialome/links/cluster-b/anopheline-sialome-cds-pep-larger-orf60-50SimCLTL4.txt", 37)</f>
        <v>37</v>
      </c>
      <c r="CB879">
        <f>HYPERLINK("http://exon.niaid.nih.gov/transcriptome/Anopheles_sialome/links/cluster-b/anopheline-sialome-cds-pep-larger-orf65-50SimCLU17.txt", 17)</f>
        <v>17</v>
      </c>
      <c r="CC879">
        <f>HYPERLINK("http://exon.niaid.nih.gov/transcriptome/Anopheles_sialome/links/cluster-b/anopheline-sialome-cds-pep-larger-orf65-50SimCLTL17.txt", 18)</f>
        <v>18</v>
      </c>
      <c r="CD879">
        <f>HYPERLINK("http://exon.niaid.nih.gov/transcriptome/Anopheles_sialome/links/cluster-b/anopheline-sialome-cds-pep-larger-orf70-50SimCLU16.txt", 16)</f>
        <v>16</v>
      </c>
      <c r="CE879">
        <f>HYPERLINK("http://exon.niaid.nih.gov/transcriptome/Anopheles_sialome/links/cluster-b/anopheline-sialome-cds-pep-larger-orf70-50SimCLTL16.txt", 18)</f>
        <v>18</v>
      </c>
      <c r="CF879">
        <f>HYPERLINK("http://exon.niaid.nih.gov/transcriptome/Anopheles_sialome/links/cluster-b/anopheline-sialome-cds-pep-larger-orf75-50SimCLU10.txt", 10)</f>
        <v>10</v>
      </c>
      <c r="CG879">
        <f>HYPERLINK("http://exon.niaid.nih.gov/transcriptome/Anopheles_sialome/links/cluster-b/anopheline-sialome-cds-pep-larger-orf75-50SimCLTL10.txt", 18)</f>
        <v>18</v>
      </c>
      <c r="CH879">
        <f>HYPERLINK("http://exon.niaid.nih.gov/transcriptome/Anopheles_sialome/links/cluster-b/anopheline-sialome-cds-pep-larger-orf80-50SimCLU15.txt", 15)</f>
        <v>15</v>
      </c>
      <c r="CI879">
        <f>HYPERLINK("http://exon.niaid.nih.gov/transcriptome/Anopheles_sialome/links/cluster-b/anopheline-sialome-cds-pep-larger-orf80-50SimCLTL15.txt", 14)</f>
        <v>14</v>
      </c>
      <c r="CJ879">
        <f>HYPERLINK("http://exon.niaid.nih.gov/transcriptome/Anopheles_sialome/links/cluster-b/anopheline-sialome-cds-pep-larger-orf85-50SimCLU10.txt", 10)</f>
        <v>10</v>
      </c>
      <c r="CK879">
        <f>HYPERLINK("http://exon.niaid.nih.gov/transcriptome/Anopheles_sialome/links/cluster-b/anopheline-sialome-cds-pep-larger-orf85-50SimCLTL10.txt", 14)</f>
        <v>14</v>
      </c>
      <c r="CL879">
        <f>HYPERLINK("http://exon.niaid.nih.gov/transcriptome/Anopheles_sialome/links/cluster-b/anopheline-sialome-cds-pep-larger-orf90-50SimCLU11.txt", 11)</f>
        <v>11</v>
      </c>
      <c r="CM879">
        <f>HYPERLINK("http://exon.niaid.nih.gov/transcriptome/Anopheles_sialome/links/cluster-b/anopheline-sialome-cds-pep-larger-orf90-50SimCLTL11.txt", 8)</f>
        <v>8</v>
      </c>
      <c r="CN879">
        <f>HYPERLINK("http://exon.niaid.nih.gov/transcriptome/Anopheles_sialome/links/cluster-b/anopheline-sialome-cds-pep-larger-orf95-50SimCLU29.txt", 29)</f>
        <v>29</v>
      </c>
      <c r="CO879">
        <f>HYPERLINK("http://exon.niaid.nih.gov/transcriptome/Anopheles_sialome/links/cluster-b/anopheline-sialome-cds-pep-larger-orf95-50SimCLTL29.txt", 6)</f>
        <v>6</v>
      </c>
    </row>
    <row r="880" spans="1:93">
      <c r="A880" s="2" t="str">
        <f>HYPERLINK("http://exon.niaid.nih.gov/transcriptome/Anopheles_sialome/links/cds/anomer_SG7-2-cds.txt","anomer_SG7-2")</f>
        <v>anomer_SG7-2</v>
      </c>
      <c r="B880">
        <v>426</v>
      </c>
      <c r="C880" t="s">
        <v>586</v>
      </c>
      <c r="D880" t="s">
        <v>4</v>
      </c>
      <c r="E880" t="s">
        <v>5</v>
      </c>
      <c r="F880" t="s">
        <v>1</v>
      </c>
      <c r="G880" t="str">
        <f>HYPERLINK("http://exon.niaid.nih.gov/transcriptome/Anopheles_sialome/links/pep/anomer_SG7-2-pep.txt","anomer_SG7-2")</f>
        <v>anomer_SG7-2</v>
      </c>
      <c r="H880">
        <v>141</v>
      </c>
      <c r="I880">
        <v>0</v>
      </c>
      <c r="J880" s="3" t="str">
        <f>HYPERLINK("http://exon.niaid.nih.gov/transcriptome/Anopheles_sialome/links/Sigp/anomer_SG7-2-SigP.txt","SIG")</f>
        <v>SIG</v>
      </c>
      <c r="K880" t="s">
        <v>787</v>
      </c>
      <c r="L880">
        <v>16.408000000000001</v>
      </c>
      <c r="M880">
        <v>9.8000000000000007</v>
      </c>
      <c r="N880">
        <v>13.622</v>
      </c>
      <c r="O880">
        <v>9.9499999999999993</v>
      </c>
      <c r="P880" t="s">
        <v>2115</v>
      </c>
      <c r="Q880" s="3">
        <v>0</v>
      </c>
      <c r="R880" t="s">
        <v>128</v>
      </c>
      <c r="S880" t="s">
        <v>128</v>
      </c>
      <c r="T880" t="s">
        <v>128</v>
      </c>
      <c r="U880" t="s">
        <v>128</v>
      </c>
      <c r="V880" t="s">
        <v>128</v>
      </c>
      <c r="W880" s="3" t="str">
        <f>HYPERLINK("http://exon.niaid.nih.gov/transcriptome/Anopheles_sialome/links/netoglyc/anomer_SG7-2-netoglyc.txt","0")</f>
        <v>0</v>
      </c>
      <c r="X880">
        <v>8.5</v>
      </c>
      <c r="Y880">
        <v>4.3</v>
      </c>
      <c r="Z880">
        <v>3.5</v>
      </c>
      <c r="AA880" t="s">
        <v>654</v>
      </c>
      <c r="AB880" t="s">
        <v>128</v>
      </c>
      <c r="AC880" s="2" t="str">
        <f>HYPERLINK("http://exon.niaid.nih.gov/transcriptome/Anopheles_sialome/links/DIPTERA/anomer_SG7-2-DIPTERA.txt","gSG7-2 salivary protein")</f>
        <v>gSG7-2 salivary protein</v>
      </c>
      <c r="AD880" t="str">
        <f>HYPERLINK("http://www.ncbi.nlm.nih.gov/sutils/blink.cgi?pid=114864865","3E-054")</f>
        <v>3E-054</v>
      </c>
      <c r="AE880" t="str">
        <f t="shared" si="268"/>
        <v>gi|114864865</v>
      </c>
      <c r="AF880">
        <v>67</v>
      </c>
      <c r="AG880">
        <v>84</v>
      </c>
      <c r="AH880">
        <v>100</v>
      </c>
      <c r="AI880" t="s">
        <v>2266</v>
      </c>
      <c r="AJ880" s="2" t="str">
        <f>HYPERLINK("http://exon.niaid.nih.gov/transcriptome/Anopheles_sialome/links/CULICOMORPHA/anomer_SG7-2-CULICOMORPHA.txt","gSG7-2 salivary protein")</f>
        <v>gSG7-2 salivary protein</v>
      </c>
      <c r="AK880" t="str">
        <f>HYPERLINK("http://www.ncbi.nlm.nih.gov/sutils/blink.cgi?pid=114864865","5E-055")</f>
        <v>5E-055</v>
      </c>
      <c r="AL880" t="str">
        <f t="shared" si="269"/>
        <v>gi|114864865</v>
      </c>
      <c r="AM880">
        <v>67</v>
      </c>
      <c r="AN880">
        <v>84</v>
      </c>
      <c r="AO880">
        <v>100</v>
      </c>
      <c r="AP880" t="s">
        <v>2266</v>
      </c>
      <c r="AQ880" s="2" t="str">
        <f>HYPERLINK("http://exon.niaid.nih.gov/transcriptome/Anopheles_sialome/links/NR-LIGHT/anomer_SG7-2-NR-LIGHT.txt","gSG7-2 salivary protein")</f>
        <v>gSG7-2 salivary protein</v>
      </c>
      <c r="AR880" t="str">
        <f>HYPERLINK("http://www.ncbi.nlm.nih.gov/sutils/blink.cgi?pid=114864865","7E-054")</f>
        <v>7E-054</v>
      </c>
      <c r="AS880" t="str">
        <f t="shared" si="270"/>
        <v>gi|114864865</v>
      </c>
      <c r="AT880">
        <v>67</v>
      </c>
      <c r="AU880">
        <v>84</v>
      </c>
      <c r="AV880">
        <v>100</v>
      </c>
      <c r="AW880" t="s">
        <v>2266</v>
      </c>
      <c r="AX880" s="2" t="str">
        <f>HYPERLINK("http://exon.niaid.nih.gov/transcriptome/Anopheles_sialome/links/CDD/anomer_SG7-2-CDD.txt","Herpes_PAP")</f>
        <v>Herpes_PAP</v>
      </c>
      <c r="AY880" t="str">
        <f>HYPERLINK("http://www.ncbi.nlm.nih.gov/Structure/cdd/cddsrv.cgi?uid=pfam03325&amp;version=v4.0","0.056")</f>
        <v>0.056</v>
      </c>
      <c r="AZ880" t="s">
        <v>3080</v>
      </c>
      <c r="BA880" s="2" t="str">
        <f>HYPERLINK("http://exon.niaid.nih.gov/transcriptome/Anopheles_sialome/links/KOG/anomer_SG7-2-KOG.txt","Nucleoside phosphatase")</f>
        <v>Nucleoside phosphatase</v>
      </c>
      <c r="BB880" t="str">
        <f>HYPERLINK("http://www.ncbi.nlm.nih.gov/Structure/cdd/cddsrv.cgi?uid=KOG1385","0.42")</f>
        <v>0.42</v>
      </c>
      <c r="BC880" t="s">
        <v>2398</v>
      </c>
      <c r="BD880" t="str">
        <f>HYPERLINK("http://exon.niaid.nih.gov/transcriptome/Anopheles_sialome/links/KOG/anomer_SG7-2-KOG.txt","KOG1385")</f>
        <v>KOG1385</v>
      </c>
      <c r="BE880" t="str">
        <f>HYPERLINK("http://exon.niaid.nih.gov/transcriptome/Anopheles_sialome/links/PFAM/anomer_SG7-2-PFAM.txt","Herpes_PAP")</f>
        <v>Herpes_PAP</v>
      </c>
      <c r="BF880" t="str">
        <f>HYPERLINK("http://pfam.sanger.ac.uk/family?acc=PF03325","0.013")</f>
        <v>0.013</v>
      </c>
      <c r="BG880" s="2" t="str">
        <f>HYPERLINK("http://exon.niaid.nih.gov/transcriptome/Anopheles_sialome/links/SMART/anomer_SG7-2-SMART.txt","TAP_C")</f>
        <v>TAP_C</v>
      </c>
      <c r="BH880" t="str">
        <f>HYPERLINK("http://smart.embl-heidelberg.de/smart/do_annotation.pl?DOMAIN=TAP_C&amp;BLAST=DUMMY","1.1")</f>
        <v>1.1</v>
      </c>
      <c r="BI880" t="str">
        <f>HYPERLINK("http://exon.niaid.nih.gov/transcriptome/Anopheles_sialome/links/TICK-BLOCKS/anomer_SG7-2-TICK-BLOCKS.txt","Anopheles_gSG7 |")</f>
        <v>Anopheles_gSG7 |</v>
      </c>
      <c r="BJ880" s="2" t="s">
        <v>3058</v>
      </c>
      <c r="BK880" t="s">
        <v>2122</v>
      </c>
      <c r="BL880">
        <f>HYPERLINK("http://exon.niaid.nih.gov/transcriptome/Anopheles_sialome/links/cluster-b/anopheline-sialome-cds-pep-larger-orf25-50SimCLU2.txt", 2)</f>
        <v>2</v>
      </c>
      <c r="BM880">
        <f>HYPERLINK("http://exon.niaid.nih.gov/transcriptome/Anopheles_sialome/links/cluster-b/anopheline-sialome-cds-pep-larger-orf25-50SimCLTL2.txt", 120)</f>
        <v>120</v>
      </c>
      <c r="BN880">
        <f>HYPERLINK("http://exon.niaid.nih.gov/transcriptome/Anopheles_sialome/links/cluster-b/anopheline-sialome-cds-pep-larger-orf30-50SimCLU2.txt", 2)</f>
        <v>2</v>
      </c>
      <c r="BO880">
        <f>HYPERLINK("http://exon.niaid.nih.gov/transcriptome/Anopheles_sialome/links/cluster-b/anopheline-sialome-cds-pep-larger-orf30-50SimCLTL2.txt", 120)</f>
        <v>120</v>
      </c>
      <c r="BP880">
        <f>HYPERLINK("http://exon.niaid.nih.gov/transcriptome/Anopheles_sialome/links/cluster-b/anopheline-sialome-cds-pep-larger-orf35-50SimCLU1.txt", 1)</f>
        <v>1</v>
      </c>
      <c r="BQ880">
        <f>HYPERLINK("http://exon.niaid.nih.gov/transcriptome/Anopheles_sialome/links/cluster-b/anopheline-sialome-cds-pep-larger-orf35-50SimCLTL1.txt", 120)</f>
        <v>120</v>
      </c>
      <c r="BR880">
        <f>HYPERLINK("http://exon.niaid.nih.gov/transcriptome/Anopheles_sialome/links/cluster-b/anopheline-sialome-cds-pep-larger-orf40-50SimCLU7.txt", 7)</f>
        <v>7</v>
      </c>
      <c r="BS880">
        <f>HYPERLINK("http://exon.niaid.nih.gov/transcriptome/Anopheles_sialome/links/cluster-b/anopheline-sialome-cds-pep-larger-orf40-50SimCLTL7.txt", 37)</f>
        <v>37</v>
      </c>
      <c r="BT880">
        <f>HYPERLINK("http://exon.niaid.nih.gov/transcriptome/Anopheles_sialome/links/cluster-b/anopheline-sialome-cds-pep-larger-orf45-50SimCLU6.txt", 6)</f>
        <v>6</v>
      </c>
      <c r="BU880">
        <f>HYPERLINK("http://exon.niaid.nih.gov/transcriptome/Anopheles_sialome/links/cluster-b/anopheline-sialome-cds-pep-larger-orf45-50SimCLTL6.txt", 37)</f>
        <v>37</v>
      </c>
      <c r="BV880">
        <f>HYPERLINK("http://exon.niaid.nih.gov/transcriptome/Anopheles_sialome/links/cluster-b/anopheline-sialome-cds-pep-larger-orf50-50SimCLU6.txt", 6)</f>
        <v>6</v>
      </c>
      <c r="BW880">
        <f>HYPERLINK("http://exon.niaid.nih.gov/transcriptome/Anopheles_sialome/links/cluster-b/anopheline-sialome-cds-pep-larger-orf50-50SimCLTL6.txt", 37)</f>
        <v>37</v>
      </c>
      <c r="BX880">
        <f>HYPERLINK("http://exon.niaid.nih.gov/transcriptome/Anopheles_sialome/links/cluster-b/anopheline-sialome-cds-pep-larger-orf55-50SimCLU5.txt", 5)</f>
        <v>5</v>
      </c>
      <c r="BY880">
        <f>HYPERLINK("http://exon.niaid.nih.gov/transcriptome/Anopheles_sialome/links/cluster-b/anopheline-sialome-cds-pep-larger-orf55-50SimCLTL5.txt", 37)</f>
        <v>37</v>
      </c>
      <c r="BZ880">
        <f>HYPERLINK("http://exon.niaid.nih.gov/transcriptome/Anopheles_sialome/links/cluster-b/anopheline-sialome-cds-pep-larger-orf60-50SimCLU4.txt", 4)</f>
        <v>4</v>
      </c>
      <c r="CA880">
        <f>HYPERLINK("http://exon.niaid.nih.gov/transcriptome/Anopheles_sialome/links/cluster-b/anopheline-sialome-cds-pep-larger-orf60-50SimCLTL4.txt", 37)</f>
        <v>37</v>
      </c>
      <c r="CB880">
        <f>HYPERLINK("http://exon.niaid.nih.gov/transcriptome/Anopheles_sialome/links/cluster-b/anopheline-sialome-cds-pep-larger-orf65-50SimCLU17.txt", 17)</f>
        <v>17</v>
      </c>
      <c r="CC880">
        <f>HYPERLINK("http://exon.niaid.nih.gov/transcriptome/Anopheles_sialome/links/cluster-b/anopheline-sialome-cds-pep-larger-orf65-50SimCLTL17.txt", 18)</f>
        <v>18</v>
      </c>
      <c r="CD880">
        <f>HYPERLINK("http://exon.niaid.nih.gov/transcriptome/Anopheles_sialome/links/cluster-b/anopheline-sialome-cds-pep-larger-orf70-50SimCLU16.txt", 16)</f>
        <v>16</v>
      </c>
      <c r="CE880">
        <f>HYPERLINK("http://exon.niaid.nih.gov/transcriptome/Anopheles_sialome/links/cluster-b/anopheline-sialome-cds-pep-larger-orf70-50SimCLTL16.txt", 18)</f>
        <v>18</v>
      </c>
      <c r="CF880">
        <f>HYPERLINK("http://exon.niaid.nih.gov/transcriptome/Anopheles_sialome/links/cluster-b/anopheline-sialome-cds-pep-larger-orf75-50SimCLU10.txt", 10)</f>
        <v>10</v>
      </c>
      <c r="CG880">
        <f>HYPERLINK("http://exon.niaid.nih.gov/transcriptome/Anopheles_sialome/links/cluster-b/anopheline-sialome-cds-pep-larger-orf75-50SimCLTL10.txt", 18)</f>
        <v>18</v>
      </c>
      <c r="CH880">
        <f>HYPERLINK("http://exon.niaid.nih.gov/transcriptome/Anopheles_sialome/links/cluster-b/anopheline-sialome-cds-pep-larger-orf80-50SimCLU15.txt", 15)</f>
        <v>15</v>
      </c>
      <c r="CI880">
        <f>HYPERLINK("http://exon.niaid.nih.gov/transcriptome/Anopheles_sialome/links/cluster-b/anopheline-sialome-cds-pep-larger-orf80-50SimCLTL15.txt", 14)</f>
        <v>14</v>
      </c>
      <c r="CJ880">
        <f>HYPERLINK("http://exon.niaid.nih.gov/transcriptome/Anopheles_sialome/links/cluster-b/anopheline-sialome-cds-pep-larger-orf85-50SimCLU10.txt", 10)</f>
        <v>10</v>
      </c>
      <c r="CK880">
        <f>HYPERLINK("http://exon.niaid.nih.gov/transcriptome/Anopheles_sialome/links/cluster-b/anopheline-sialome-cds-pep-larger-orf85-50SimCLTL10.txt", 14)</f>
        <v>14</v>
      </c>
      <c r="CL880">
        <f>HYPERLINK("http://exon.niaid.nih.gov/transcriptome/Anopheles_sialome/links/cluster-b/anopheline-sialome-cds-pep-larger-orf90-50SimCLU11.txt", 11)</f>
        <v>11</v>
      </c>
      <c r="CM880">
        <f>HYPERLINK("http://exon.niaid.nih.gov/transcriptome/Anopheles_sialome/links/cluster-b/anopheline-sialome-cds-pep-larger-orf90-50SimCLTL11.txt", 8)</f>
        <v>8</v>
      </c>
      <c r="CN880">
        <f>HYPERLINK("http://exon.niaid.nih.gov/transcriptome/Anopheles_sialome/links/cluster-b/anopheline-sialome-cds-pep-larger-orf95-50SimCLU29.txt", 29)</f>
        <v>29</v>
      </c>
      <c r="CO880">
        <f>HYPERLINK("http://exon.niaid.nih.gov/transcriptome/Anopheles_sialome/links/cluster-b/anopheline-sialome-cds-pep-larger-orf95-50SimCLTL29.txt", 6)</f>
        <v>6</v>
      </c>
    </row>
    <row r="881" spans="1:93">
      <c r="A881" s="2" t="str">
        <f>HYPERLINK("http://exon.niaid.nih.gov/transcriptome/Anopheles_sialome/links/cds/anomel_SG7-2-cds.txt","anomel_SG7-2")</f>
        <v>anomel_SG7-2</v>
      </c>
      <c r="B881">
        <v>426</v>
      </c>
      <c r="C881" t="s">
        <v>587</v>
      </c>
      <c r="D881" t="s">
        <v>7</v>
      </c>
      <c r="E881" t="s">
        <v>5</v>
      </c>
      <c r="F881" t="s">
        <v>1</v>
      </c>
      <c r="G881" t="str">
        <f>HYPERLINK("http://exon.niaid.nih.gov/transcriptome/Anopheles_sialome/links/pep/anomel_SG7-2-pep.txt","anomel_SG7-2")</f>
        <v>anomel_SG7-2</v>
      </c>
      <c r="H881">
        <v>141</v>
      </c>
      <c r="I881">
        <v>0</v>
      </c>
      <c r="J881" s="3" t="str">
        <f>HYPERLINK("http://exon.niaid.nih.gov/transcriptome/Anopheles_sialome/links/Sigp/anomel_SG7-2-SigP.txt","SIG")</f>
        <v>SIG</v>
      </c>
      <c r="K881" t="s">
        <v>787</v>
      </c>
      <c r="L881">
        <v>16.381</v>
      </c>
      <c r="M881">
        <v>9.8000000000000007</v>
      </c>
      <c r="N881">
        <v>13.609</v>
      </c>
      <c r="O881">
        <v>9.9499999999999993</v>
      </c>
      <c r="P881" t="s">
        <v>2124</v>
      </c>
      <c r="Q881" s="3">
        <v>0</v>
      </c>
      <c r="R881" t="s">
        <v>128</v>
      </c>
      <c r="S881" t="s">
        <v>128</v>
      </c>
      <c r="T881" t="s">
        <v>128</v>
      </c>
      <c r="U881" t="s">
        <v>128</v>
      </c>
      <c r="V881" t="s">
        <v>128</v>
      </c>
      <c r="W881" s="3" t="str">
        <f>HYPERLINK("http://exon.niaid.nih.gov/transcriptome/Anopheles_sialome/links/netoglyc/anomel_SG7-2-netoglyc.txt","0")</f>
        <v>0</v>
      </c>
      <c r="X881">
        <v>9.1999999999999993</v>
      </c>
      <c r="Y881">
        <v>4.3</v>
      </c>
      <c r="Z881">
        <v>3.5</v>
      </c>
      <c r="AA881" t="s">
        <v>654</v>
      </c>
      <c r="AB881" t="s">
        <v>128</v>
      </c>
      <c r="AC881" s="2" t="str">
        <f>HYPERLINK("http://exon.niaid.nih.gov/transcriptome/Anopheles_sialome/links/DIPTERA/anomel_SG7-2-DIPTERA.txt","gSG7-2 salivary protein")</f>
        <v>gSG7-2 salivary protein</v>
      </c>
      <c r="AD881" t="str">
        <f>HYPERLINK("http://www.ncbi.nlm.nih.gov/sutils/blink.cgi?pid=114864865","1E-053")</f>
        <v>1E-053</v>
      </c>
      <c r="AE881" t="str">
        <f t="shared" si="268"/>
        <v>gi|114864865</v>
      </c>
      <c r="AF881">
        <v>66</v>
      </c>
      <c r="AG881">
        <v>83</v>
      </c>
      <c r="AH881">
        <v>100</v>
      </c>
      <c r="AI881" t="s">
        <v>2266</v>
      </c>
      <c r="AJ881" s="2" t="str">
        <f>HYPERLINK("http://exon.niaid.nih.gov/transcriptome/Anopheles_sialome/links/CULICOMORPHA/anomel_SG7-2-CULICOMORPHA.txt","gSG7-2 salivary protein")</f>
        <v>gSG7-2 salivary protein</v>
      </c>
      <c r="AK881" t="str">
        <f>HYPERLINK("http://www.ncbi.nlm.nih.gov/sutils/blink.cgi?pid=114864865","2E-054")</f>
        <v>2E-054</v>
      </c>
      <c r="AL881" t="str">
        <f t="shared" si="269"/>
        <v>gi|114864865</v>
      </c>
      <c r="AM881">
        <v>66</v>
      </c>
      <c r="AN881">
        <v>83</v>
      </c>
      <c r="AO881">
        <v>100</v>
      </c>
      <c r="AP881" t="s">
        <v>2266</v>
      </c>
      <c r="AQ881" s="2" t="str">
        <f>HYPERLINK("http://exon.niaid.nih.gov/transcriptome/Anopheles_sialome/links/NR-LIGHT/anomel_SG7-2-NR-LIGHT.txt","gSG7-2 salivary protein")</f>
        <v>gSG7-2 salivary protein</v>
      </c>
      <c r="AR881" t="str">
        <f>HYPERLINK("http://www.ncbi.nlm.nih.gov/sutils/blink.cgi?pid=114864865","3E-053")</f>
        <v>3E-053</v>
      </c>
      <c r="AS881" t="str">
        <f t="shared" si="270"/>
        <v>gi|114864865</v>
      </c>
      <c r="AT881">
        <v>66</v>
      </c>
      <c r="AU881">
        <v>83</v>
      </c>
      <c r="AV881">
        <v>100</v>
      </c>
      <c r="AW881" t="s">
        <v>2266</v>
      </c>
      <c r="AX881" s="2" t="str">
        <f>HYPERLINK("http://exon.niaid.nih.gov/transcriptome/Anopheles_sialome/links/CDD/anomel_SG7-2-CDD.txt","Herpes_PAP")</f>
        <v>Herpes_PAP</v>
      </c>
      <c r="AY881" t="str">
        <f>HYPERLINK("http://www.ncbi.nlm.nih.gov/Structure/cdd/cddsrv.cgi?uid=pfam03325&amp;version=v4.0","0.057")</f>
        <v>0.057</v>
      </c>
      <c r="AZ881" t="s">
        <v>3081</v>
      </c>
      <c r="BA881" s="2" t="str">
        <f>HYPERLINK("http://exon.niaid.nih.gov/transcriptome/Anopheles_sialome/links/KOG/anomel_SG7-2-KOG.txt","Nucleoside phosphatase")</f>
        <v>Nucleoside phosphatase</v>
      </c>
      <c r="BB881" t="str">
        <f>HYPERLINK("http://www.ncbi.nlm.nih.gov/Structure/cdd/cddsrv.cgi?uid=KOG1385","0.44")</f>
        <v>0.44</v>
      </c>
      <c r="BC881" t="s">
        <v>2398</v>
      </c>
      <c r="BD881" t="str">
        <f>HYPERLINK("http://exon.niaid.nih.gov/transcriptome/Anopheles_sialome/links/KOG/anomel_SG7-2-KOG.txt","KOG1385")</f>
        <v>KOG1385</v>
      </c>
      <c r="BE881" t="str">
        <f>HYPERLINK("http://exon.niaid.nih.gov/transcriptome/Anopheles_sialome/links/PFAM/anomel_SG7-2-PFAM.txt","Herpes_PAP")</f>
        <v>Herpes_PAP</v>
      </c>
      <c r="BF881" t="str">
        <f>HYPERLINK("http://pfam.sanger.ac.uk/family?acc=PF03325","0.013")</f>
        <v>0.013</v>
      </c>
      <c r="BG881" s="2" t="str">
        <f>HYPERLINK("http://exon.niaid.nih.gov/transcriptome/Anopheles_sialome/links/SMART/anomel_SG7-2-SMART.txt","CPDc")</f>
        <v>CPDc</v>
      </c>
      <c r="BH881" t="str">
        <f>HYPERLINK("http://smart.embl-heidelberg.de/smart/do_annotation.pl?DOMAIN=CPDc&amp;BLAST=DUMMY","0.53")</f>
        <v>0.53</v>
      </c>
      <c r="BI881" t="str">
        <f>HYPERLINK("http://exon.niaid.nih.gov/transcriptome/Anopheles_sialome/links/TICK-BLOCKS/anomel_SG7-2-TICK-BLOCKS.txt","Anopheles_gSG7 |")</f>
        <v>Anopheles_gSG7 |</v>
      </c>
      <c r="BJ881" s="2" t="s">
        <v>3058</v>
      </c>
      <c r="BK881" t="s">
        <v>2123</v>
      </c>
      <c r="BL881">
        <f>HYPERLINK("http://exon.niaid.nih.gov/transcriptome/Anopheles_sialome/links/cluster-b/anopheline-sialome-cds-pep-larger-orf25-50SimCLU2.txt", 2)</f>
        <v>2</v>
      </c>
      <c r="BM881">
        <f>HYPERLINK("http://exon.niaid.nih.gov/transcriptome/Anopheles_sialome/links/cluster-b/anopheline-sialome-cds-pep-larger-orf25-50SimCLTL2.txt", 120)</f>
        <v>120</v>
      </c>
      <c r="BN881">
        <f>HYPERLINK("http://exon.niaid.nih.gov/transcriptome/Anopheles_sialome/links/cluster-b/anopheline-sialome-cds-pep-larger-orf30-50SimCLU2.txt", 2)</f>
        <v>2</v>
      </c>
      <c r="BO881">
        <f>HYPERLINK("http://exon.niaid.nih.gov/transcriptome/Anopheles_sialome/links/cluster-b/anopheline-sialome-cds-pep-larger-orf30-50SimCLTL2.txt", 120)</f>
        <v>120</v>
      </c>
      <c r="BP881">
        <f>HYPERLINK("http://exon.niaid.nih.gov/transcriptome/Anopheles_sialome/links/cluster-b/anopheline-sialome-cds-pep-larger-orf35-50SimCLU1.txt", 1)</f>
        <v>1</v>
      </c>
      <c r="BQ881">
        <f>HYPERLINK("http://exon.niaid.nih.gov/transcriptome/Anopheles_sialome/links/cluster-b/anopheline-sialome-cds-pep-larger-orf35-50SimCLTL1.txt", 120)</f>
        <v>120</v>
      </c>
      <c r="BR881">
        <f>HYPERLINK("http://exon.niaid.nih.gov/transcriptome/Anopheles_sialome/links/cluster-b/anopheline-sialome-cds-pep-larger-orf40-50SimCLU7.txt", 7)</f>
        <v>7</v>
      </c>
      <c r="BS881">
        <f>HYPERLINK("http://exon.niaid.nih.gov/transcriptome/Anopheles_sialome/links/cluster-b/anopheline-sialome-cds-pep-larger-orf40-50SimCLTL7.txt", 37)</f>
        <v>37</v>
      </c>
      <c r="BT881">
        <f>HYPERLINK("http://exon.niaid.nih.gov/transcriptome/Anopheles_sialome/links/cluster-b/anopheline-sialome-cds-pep-larger-orf45-50SimCLU6.txt", 6)</f>
        <v>6</v>
      </c>
      <c r="BU881">
        <f>HYPERLINK("http://exon.niaid.nih.gov/transcriptome/Anopheles_sialome/links/cluster-b/anopheline-sialome-cds-pep-larger-orf45-50SimCLTL6.txt", 37)</f>
        <v>37</v>
      </c>
      <c r="BV881">
        <f>HYPERLINK("http://exon.niaid.nih.gov/transcriptome/Anopheles_sialome/links/cluster-b/anopheline-sialome-cds-pep-larger-orf50-50SimCLU6.txt", 6)</f>
        <v>6</v>
      </c>
      <c r="BW881">
        <f>HYPERLINK("http://exon.niaid.nih.gov/transcriptome/Anopheles_sialome/links/cluster-b/anopheline-sialome-cds-pep-larger-orf50-50SimCLTL6.txt", 37)</f>
        <v>37</v>
      </c>
      <c r="BX881">
        <f>HYPERLINK("http://exon.niaid.nih.gov/transcriptome/Anopheles_sialome/links/cluster-b/anopheline-sialome-cds-pep-larger-orf55-50SimCLU5.txt", 5)</f>
        <v>5</v>
      </c>
      <c r="BY881">
        <f>HYPERLINK("http://exon.niaid.nih.gov/transcriptome/Anopheles_sialome/links/cluster-b/anopheline-sialome-cds-pep-larger-orf55-50SimCLTL5.txt", 37)</f>
        <v>37</v>
      </c>
      <c r="BZ881">
        <f>HYPERLINK("http://exon.niaid.nih.gov/transcriptome/Anopheles_sialome/links/cluster-b/anopheline-sialome-cds-pep-larger-orf60-50SimCLU4.txt", 4)</f>
        <v>4</v>
      </c>
      <c r="CA881">
        <f>HYPERLINK("http://exon.niaid.nih.gov/transcriptome/Anopheles_sialome/links/cluster-b/anopheline-sialome-cds-pep-larger-orf60-50SimCLTL4.txt", 37)</f>
        <v>37</v>
      </c>
      <c r="CB881">
        <f>HYPERLINK("http://exon.niaid.nih.gov/transcriptome/Anopheles_sialome/links/cluster-b/anopheline-sialome-cds-pep-larger-orf65-50SimCLU17.txt", 17)</f>
        <v>17</v>
      </c>
      <c r="CC881">
        <f>HYPERLINK("http://exon.niaid.nih.gov/transcriptome/Anopheles_sialome/links/cluster-b/anopheline-sialome-cds-pep-larger-orf65-50SimCLTL17.txt", 18)</f>
        <v>18</v>
      </c>
      <c r="CD881">
        <f>HYPERLINK("http://exon.niaid.nih.gov/transcriptome/Anopheles_sialome/links/cluster-b/anopheline-sialome-cds-pep-larger-orf70-50SimCLU16.txt", 16)</f>
        <v>16</v>
      </c>
      <c r="CE881">
        <f>HYPERLINK("http://exon.niaid.nih.gov/transcriptome/Anopheles_sialome/links/cluster-b/anopheline-sialome-cds-pep-larger-orf70-50SimCLTL16.txt", 18)</f>
        <v>18</v>
      </c>
      <c r="CF881">
        <f>HYPERLINK("http://exon.niaid.nih.gov/transcriptome/Anopheles_sialome/links/cluster-b/anopheline-sialome-cds-pep-larger-orf75-50SimCLU10.txt", 10)</f>
        <v>10</v>
      </c>
      <c r="CG881">
        <f>HYPERLINK("http://exon.niaid.nih.gov/transcriptome/Anopheles_sialome/links/cluster-b/anopheline-sialome-cds-pep-larger-orf75-50SimCLTL10.txt", 18)</f>
        <v>18</v>
      </c>
      <c r="CH881">
        <f>HYPERLINK("http://exon.niaid.nih.gov/transcriptome/Anopheles_sialome/links/cluster-b/anopheline-sialome-cds-pep-larger-orf80-50SimCLU15.txt", 15)</f>
        <v>15</v>
      </c>
      <c r="CI881">
        <f>HYPERLINK("http://exon.niaid.nih.gov/transcriptome/Anopheles_sialome/links/cluster-b/anopheline-sialome-cds-pep-larger-orf80-50SimCLTL15.txt", 14)</f>
        <v>14</v>
      </c>
      <c r="CJ881">
        <f>HYPERLINK("http://exon.niaid.nih.gov/transcriptome/Anopheles_sialome/links/cluster-b/anopheline-sialome-cds-pep-larger-orf85-50SimCLU10.txt", 10)</f>
        <v>10</v>
      </c>
      <c r="CK881">
        <f>HYPERLINK("http://exon.niaid.nih.gov/transcriptome/Anopheles_sialome/links/cluster-b/anopheline-sialome-cds-pep-larger-orf85-50SimCLTL10.txt", 14)</f>
        <v>14</v>
      </c>
      <c r="CL881">
        <f>HYPERLINK("http://exon.niaid.nih.gov/transcriptome/Anopheles_sialome/links/cluster-b/anopheline-sialome-cds-pep-larger-orf90-50SimCLU11.txt", 11)</f>
        <v>11</v>
      </c>
      <c r="CM881">
        <f>HYPERLINK("http://exon.niaid.nih.gov/transcriptome/Anopheles_sialome/links/cluster-b/anopheline-sialome-cds-pep-larger-orf90-50SimCLTL11.txt", 8)</f>
        <v>8</v>
      </c>
      <c r="CN881">
        <f>HYPERLINK("http://exon.niaid.nih.gov/transcriptome/Anopheles_sialome/links/cluster-b/anopheline-sialome-cds-pep-larger-orf95-50SimCLU29.txt", 29)</f>
        <v>29</v>
      </c>
      <c r="CO881">
        <f>HYPERLINK("http://exon.niaid.nih.gov/transcriptome/Anopheles_sialome/links/cluster-b/anopheline-sialome-cds-pep-larger-orf95-50SimCLTL29.txt", 6)</f>
        <v>6</v>
      </c>
    </row>
    <row r="882" spans="1:93">
      <c r="A882" s="2" t="str">
        <f>HYPERLINK("http://exon.niaid.nih.gov/transcriptome/Anopheles_sialome/links/cds/anochris_SG7-2-cds.txt","anochris_SG7-2")</f>
        <v>anochris_SG7-2</v>
      </c>
      <c r="B882">
        <v>426</v>
      </c>
      <c r="C882" t="s">
        <v>588</v>
      </c>
      <c r="D882" t="s">
        <v>4</v>
      </c>
      <c r="E882" t="s">
        <v>5</v>
      </c>
      <c r="F882" t="s">
        <v>1</v>
      </c>
      <c r="G882" t="str">
        <f>HYPERLINK("http://exon.niaid.nih.gov/transcriptome/Anopheles_sialome/links/pep/anochris_SG7-2-pep.txt","anochris_SG7-2")</f>
        <v>anochris_SG7-2</v>
      </c>
      <c r="H882">
        <v>141</v>
      </c>
      <c r="I882">
        <v>0</v>
      </c>
      <c r="J882" s="3" t="str">
        <f>HYPERLINK("http://exon.niaid.nih.gov/transcriptome/Anopheles_sialome/links/Sigp/anochris_SG7-2-SigP.txt","SIG")</f>
        <v>SIG</v>
      </c>
      <c r="K882" t="s">
        <v>787</v>
      </c>
      <c r="L882">
        <v>16.715</v>
      </c>
      <c r="M882">
        <v>9.8000000000000007</v>
      </c>
      <c r="N882">
        <v>13.952</v>
      </c>
      <c r="O882">
        <v>9.82</v>
      </c>
      <c r="P882" t="s">
        <v>2126</v>
      </c>
      <c r="Q882" s="3">
        <v>0</v>
      </c>
      <c r="R882" t="s">
        <v>128</v>
      </c>
      <c r="S882" t="s">
        <v>128</v>
      </c>
      <c r="T882" t="s">
        <v>128</v>
      </c>
      <c r="U882" t="s">
        <v>128</v>
      </c>
      <c r="V882" t="s">
        <v>128</v>
      </c>
      <c r="W882" s="3" t="str">
        <f>HYPERLINK("http://exon.niaid.nih.gov/transcriptome/Anopheles_sialome/links/netoglyc/anochris_SG7-2-netoglyc.txt","0")</f>
        <v>0</v>
      </c>
      <c r="X882">
        <v>8.5</v>
      </c>
      <c r="Y882">
        <v>3.5</v>
      </c>
      <c r="Z882">
        <v>4.3</v>
      </c>
      <c r="AA882" t="s">
        <v>654</v>
      </c>
      <c r="AB882" t="s">
        <v>128</v>
      </c>
      <c r="AC882" s="2" t="str">
        <f>HYPERLINK("http://exon.niaid.nih.gov/transcriptome/Anopheles_sialome/links/DIPTERA/anochris_SG7-2-DIPTERA.txt","gSG7-2 salivary protein")</f>
        <v>gSG7-2 salivary protein</v>
      </c>
      <c r="AD882" t="str">
        <f>HYPERLINK("http://www.ncbi.nlm.nih.gov/sutils/blink.cgi?pid=114864865","8E-059")</f>
        <v>8E-059</v>
      </c>
      <c r="AE882" t="str">
        <f t="shared" si="268"/>
        <v>gi|114864865</v>
      </c>
      <c r="AF882">
        <v>72</v>
      </c>
      <c r="AG882">
        <v>87</v>
      </c>
      <c r="AH882">
        <v>99</v>
      </c>
      <c r="AI882" t="s">
        <v>2266</v>
      </c>
      <c r="AJ882" s="2" t="str">
        <f>HYPERLINK("http://exon.niaid.nih.gov/transcriptome/Anopheles_sialome/links/CULICOMORPHA/anochris_SG7-2-CULICOMORPHA.txt","gSG7-2 salivary protein")</f>
        <v>gSG7-2 salivary protein</v>
      </c>
      <c r="AK882" t="str">
        <f>HYPERLINK("http://www.ncbi.nlm.nih.gov/sutils/blink.cgi?pid=114864865","1E-059")</f>
        <v>1E-059</v>
      </c>
      <c r="AL882" t="str">
        <f t="shared" si="269"/>
        <v>gi|114864865</v>
      </c>
      <c r="AM882">
        <v>72</v>
      </c>
      <c r="AN882">
        <v>87</v>
      </c>
      <c r="AO882">
        <v>99</v>
      </c>
      <c r="AP882" t="s">
        <v>2266</v>
      </c>
      <c r="AQ882" s="2" t="str">
        <f>HYPERLINK("http://exon.niaid.nih.gov/transcriptome/Anopheles_sialome/links/NR-LIGHT/anochris_SG7-2-NR-LIGHT.txt","gSG7-2 salivary protein")</f>
        <v>gSG7-2 salivary protein</v>
      </c>
      <c r="AR882" t="str">
        <f>HYPERLINK("http://www.ncbi.nlm.nih.gov/sutils/blink.cgi?pid=114864865","2E-058")</f>
        <v>2E-058</v>
      </c>
      <c r="AS882" t="str">
        <f t="shared" si="270"/>
        <v>gi|114864865</v>
      </c>
      <c r="AT882">
        <v>72</v>
      </c>
      <c r="AU882">
        <v>87</v>
      </c>
      <c r="AV882">
        <v>99</v>
      </c>
      <c r="AW882" t="s">
        <v>2266</v>
      </c>
      <c r="AX882" s="2" t="str">
        <f>HYPERLINK("http://exon.niaid.nih.gov/transcriptome/Anopheles_sialome/links/CDD/anochris_SG7-2-CDD.txt","Herpes_PAP")</f>
        <v>Herpes_PAP</v>
      </c>
      <c r="AY882" t="str">
        <f>HYPERLINK("http://www.ncbi.nlm.nih.gov/Structure/cdd/cddsrv.cgi?uid=pfam03325&amp;version=v4.0","0.11")</f>
        <v>0.11</v>
      </c>
      <c r="AZ882" t="s">
        <v>3082</v>
      </c>
      <c r="BA882" s="2" t="str">
        <f>HYPERLINK("http://exon.niaid.nih.gov/transcriptome/Anopheles_sialome/links/KOG/anochris_SG7-2-KOG.txt","Nucleoside phosphatase")</f>
        <v>Nucleoside phosphatase</v>
      </c>
      <c r="BB882" t="str">
        <f>HYPERLINK("http://www.ncbi.nlm.nih.gov/Structure/cdd/cddsrv.cgi?uid=KOG1385","0.006")</f>
        <v>0.006</v>
      </c>
      <c r="BC882" t="s">
        <v>2398</v>
      </c>
      <c r="BD882" t="str">
        <f>HYPERLINK("http://exon.niaid.nih.gov/transcriptome/Anopheles_sialome/links/KOG/anochris_SG7-2-KOG.txt","KOG1385")</f>
        <v>KOG1385</v>
      </c>
      <c r="BE882" t="str">
        <f>HYPERLINK("http://exon.niaid.nih.gov/transcriptome/Anopheles_sialome/links/PFAM/anochris_SG7-2-PFAM.txt","Herpes_PAP")</f>
        <v>Herpes_PAP</v>
      </c>
      <c r="BF882" t="str">
        <f>HYPERLINK("http://pfam.sanger.ac.uk/family?acc=PF03325","0.025")</f>
        <v>0.025</v>
      </c>
      <c r="BG882" s="2" t="str">
        <f>HYPERLINK("http://exon.niaid.nih.gov/transcriptome/Anopheles_sialome/links/SMART/anochris_SG7-2-SMART.txt","AAA_PrkA")</f>
        <v>AAA_PrkA</v>
      </c>
      <c r="BH882">
        <v>0.46</v>
      </c>
      <c r="BI882" t="str">
        <f>HYPERLINK("http://exon.niaid.nih.gov/transcriptome/Anopheles_sialome/links/TICK-BLOCKS/anochris_SG7-2-TICK-BLOCKS.txt","Anopheles_gSG7 |")</f>
        <v>Anopheles_gSG7 |</v>
      </c>
      <c r="BJ882" s="2" t="s">
        <v>3058</v>
      </c>
      <c r="BK882" t="s">
        <v>2125</v>
      </c>
      <c r="BL882">
        <f>HYPERLINK("http://exon.niaid.nih.gov/transcriptome/Anopheles_sialome/links/cluster-b/anopheline-sialome-cds-pep-larger-orf25-50SimCLU2.txt", 2)</f>
        <v>2</v>
      </c>
      <c r="BM882">
        <f>HYPERLINK("http://exon.niaid.nih.gov/transcriptome/Anopheles_sialome/links/cluster-b/anopheline-sialome-cds-pep-larger-orf25-50SimCLTL2.txt", 120)</f>
        <v>120</v>
      </c>
      <c r="BN882">
        <f>HYPERLINK("http://exon.niaid.nih.gov/transcriptome/Anopheles_sialome/links/cluster-b/anopheline-sialome-cds-pep-larger-orf30-50SimCLU2.txt", 2)</f>
        <v>2</v>
      </c>
      <c r="BO882">
        <f>HYPERLINK("http://exon.niaid.nih.gov/transcriptome/Anopheles_sialome/links/cluster-b/anopheline-sialome-cds-pep-larger-orf30-50SimCLTL2.txt", 120)</f>
        <v>120</v>
      </c>
      <c r="BP882">
        <f>HYPERLINK("http://exon.niaid.nih.gov/transcriptome/Anopheles_sialome/links/cluster-b/anopheline-sialome-cds-pep-larger-orf35-50SimCLU1.txt", 1)</f>
        <v>1</v>
      </c>
      <c r="BQ882">
        <f>HYPERLINK("http://exon.niaid.nih.gov/transcriptome/Anopheles_sialome/links/cluster-b/anopheline-sialome-cds-pep-larger-orf35-50SimCLTL1.txt", 120)</f>
        <v>120</v>
      </c>
      <c r="BR882">
        <f>HYPERLINK("http://exon.niaid.nih.gov/transcriptome/Anopheles_sialome/links/cluster-b/anopheline-sialome-cds-pep-larger-orf40-50SimCLU7.txt", 7)</f>
        <v>7</v>
      </c>
      <c r="BS882">
        <f>HYPERLINK("http://exon.niaid.nih.gov/transcriptome/Anopheles_sialome/links/cluster-b/anopheline-sialome-cds-pep-larger-orf40-50SimCLTL7.txt", 37)</f>
        <v>37</v>
      </c>
      <c r="BT882">
        <f>HYPERLINK("http://exon.niaid.nih.gov/transcriptome/Anopheles_sialome/links/cluster-b/anopheline-sialome-cds-pep-larger-orf45-50SimCLU6.txt", 6)</f>
        <v>6</v>
      </c>
      <c r="BU882">
        <f>HYPERLINK("http://exon.niaid.nih.gov/transcriptome/Anopheles_sialome/links/cluster-b/anopheline-sialome-cds-pep-larger-orf45-50SimCLTL6.txt", 37)</f>
        <v>37</v>
      </c>
      <c r="BV882">
        <f>HYPERLINK("http://exon.niaid.nih.gov/transcriptome/Anopheles_sialome/links/cluster-b/anopheline-sialome-cds-pep-larger-orf50-50SimCLU6.txt", 6)</f>
        <v>6</v>
      </c>
      <c r="BW882">
        <f>HYPERLINK("http://exon.niaid.nih.gov/transcriptome/Anopheles_sialome/links/cluster-b/anopheline-sialome-cds-pep-larger-orf50-50SimCLTL6.txt", 37)</f>
        <v>37</v>
      </c>
      <c r="BX882">
        <f>HYPERLINK("http://exon.niaid.nih.gov/transcriptome/Anopheles_sialome/links/cluster-b/anopheline-sialome-cds-pep-larger-orf55-50SimCLU5.txt", 5)</f>
        <v>5</v>
      </c>
      <c r="BY882">
        <f>HYPERLINK("http://exon.niaid.nih.gov/transcriptome/Anopheles_sialome/links/cluster-b/anopheline-sialome-cds-pep-larger-orf55-50SimCLTL5.txt", 37)</f>
        <v>37</v>
      </c>
      <c r="BZ882">
        <f>HYPERLINK("http://exon.niaid.nih.gov/transcriptome/Anopheles_sialome/links/cluster-b/anopheline-sialome-cds-pep-larger-orf60-50SimCLU4.txt", 4)</f>
        <v>4</v>
      </c>
      <c r="CA882">
        <f>HYPERLINK("http://exon.niaid.nih.gov/transcriptome/Anopheles_sialome/links/cluster-b/anopheline-sialome-cds-pep-larger-orf60-50SimCLTL4.txt", 37)</f>
        <v>37</v>
      </c>
      <c r="CB882">
        <f>HYPERLINK("http://exon.niaid.nih.gov/transcriptome/Anopheles_sialome/links/cluster-b/anopheline-sialome-cds-pep-larger-orf65-50SimCLU17.txt", 17)</f>
        <v>17</v>
      </c>
      <c r="CC882">
        <f>HYPERLINK("http://exon.niaid.nih.gov/transcriptome/Anopheles_sialome/links/cluster-b/anopheline-sialome-cds-pep-larger-orf65-50SimCLTL17.txt", 18)</f>
        <v>18</v>
      </c>
      <c r="CD882">
        <f>HYPERLINK("http://exon.niaid.nih.gov/transcriptome/Anopheles_sialome/links/cluster-b/anopheline-sialome-cds-pep-larger-orf70-50SimCLU16.txt", 16)</f>
        <v>16</v>
      </c>
      <c r="CE882">
        <f>HYPERLINK("http://exon.niaid.nih.gov/transcriptome/Anopheles_sialome/links/cluster-b/anopheline-sialome-cds-pep-larger-orf70-50SimCLTL16.txt", 18)</f>
        <v>18</v>
      </c>
      <c r="CF882">
        <f>HYPERLINK("http://exon.niaid.nih.gov/transcriptome/Anopheles_sialome/links/cluster-b/anopheline-sialome-cds-pep-larger-orf75-50SimCLU10.txt", 10)</f>
        <v>10</v>
      </c>
      <c r="CG882">
        <f>HYPERLINK("http://exon.niaid.nih.gov/transcriptome/Anopheles_sialome/links/cluster-b/anopheline-sialome-cds-pep-larger-orf75-50SimCLTL10.txt", 18)</f>
        <v>18</v>
      </c>
      <c r="CH882">
        <f>HYPERLINK("http://exon.niaid.nih.gov/transcriptome/Anopheles_sialome/links/cluster-b/anopheline-sialome-cds-pep-larger-orf80-50SimCLU15.txt", 15)</f>
        <v>15</v>
      </c>
      <c r="CI882">
        <f>HYPERLINK("http://exon.niaid.nih.gov/transcriptome/Anopheles_sialome/links/cluster-b/anopheline-sialome-cds-pep-larger-orf80-50SimCLTL15.txt", 14)</f>
        <v>14</v>
      </c>
      <c r="CJ882">
        <f>HYPERLINK("http://exon.niaid.nih.gov/transcriptome/Anopheles_sialome/links/cluster-b/anopheline-sialome-cds-pep-larger-orf85-50SimCLU10.txt", 10)</f>
        <v>10</v>
      </c>
      <c r="CK882">
        <f>HYPERLINK("http://exon.niaid.nih.gov/transcriptome/Anopheles_sialome/links/cluster-b/anopheline-sialome-cds-pep-larger-orf85-50SimCLTL10.txt", 14)</f>
        <v>14</v>
      </c>
      <c r="CL882">
        <f>HYPERLINK("http://exon.niaid.nih.gov/transcriptome/Anopheles_sialome/links/cluster-b/anopheline-sialome-cds-pep-larger-orf90-50SimCLU11.txt", 11)</f>
        <v>11</v>
      </c>
      <c r="CM882">
        <f>HYPERLINK("http://exon.niaid.nih.gov/transcriptome/Anopheles_sialome/links/cluster-b/anopheline-sialome-cds-pep-larger-orf90-50SimCLTL11.txt", 8)</f>
        <v>8</v>
      </c>
      <c r="CN882">
        <v>526</v>
      </c>
      <c r="CO882">
        <v>1</v>
      </c>
    </row>
    <row r="883" spans="1:93">
      <c r="A883" s="2" t="str">
        <f>HYPERLINK("http://exon.niaid.nih.gov/transcriptome/Anopheles_sialome/links/cds/anoepi_SG7-2-cds.txt","anoepi_SG7-2")</f>
        <v>anoepi_SG7-2</v>
      </c>
      <c r="B883">
        <v>426</v>
      </c>
      <c r="C883" t="s">
        <v>573</v>
      </c>
      <c r="D883" t="s">
        <v>7</v>
      </c>
      <c r="E883" t="s">
        <v>5</v>
      </c>
      <c r="F883" t="s">
        <v>1</v>
      </c>
      <c r="G883" t="str">
        <f>HYPERLINK("http://exon.niaid.nih.gov/transcriptome/Anopheles_sialome/links/pep/anoepi_SG7-2-pep.txt","anoepi_SG7-2")</f>
        <v>anoepi_SG7-2</v>
      </c>
      <c r="H883">
        <v>141</v>
      </c>
      <c r="I883">
        <v>0</v>
      </c>
      <c r="J883" s="3" t="str">
        <f>HYPERLINK("http://exon.niaid.nih.gov/transcriptome/Anopheles_sialome/links/Sigp/anoepi_SG7-2-SigP.txt","SIG")</f>
        <v>SIG</v>
      </c>
      <c r="K883" t="s">
        <v>787</v>
      </c>
      <c r="L883">
        <v>16.696999999999999</v>
      </c>
      <c r="M883">
        <v>9.6199999999999992</v>
      </c>
      <c r="N883">
        <v>13.885999999999999</v>
      </c>
      <c r="O883">
        <v>9.7100000000000009</v>
      </c>
      <c r="P883" t="s">
        <v>2128</v>
      </c>
      <c r="Q883" s="3" t="str">
        <f>HYPERLINK("http://exon.niaid.nih.gov/transcriptome/Anopheles_sialome/links/tmhmm/anoepi_SG7-2-tmhmm.txt","1")</f>
        <v>1</v>
      </c>
      <c r="R883">
        <v>15.6</v>
      </c>
      <c r="S883">
        <v>79.400000000000006</v>
      </c>
      <c r="T883">
        <v>5</v>
      </c>
      <c r="U883" t="s">
        <v>128</v>
      </c>
      <c r="V883">
        <v>112</v>
      </c>
      <c r="W883" s="3" t="str">
        <f>HYPERLINK("http://exon.niaid.nih.gov/transcriptome/Anopheles_sialome/links/netoglyc/anoepi_SG7-2-netoglyc.txt","0")</f>
        <v>0</v>
      </c>
      <c r="X883">
        <v>9.1999999999999993</v>
      </c>
      <c r="Y883">
        <v>2.8</v>
      </c>
      <c r="Z883">
        <v>3.5</v>
      </c>
      <c r="AA883" t="s">
        <v>654</v>
      </c>
      <c r="AB883" t="s">
        <v>128</v>
      </c>
      <c r="AC883" s="2" t="str">
        <f>HYPERLINK("http://exon.niaid.nih.gov/transcriptome/Anopheles_sialome/links/DIPTERA/anoepi_SG7-2-DIPTERA.txt","gSG7-2 salivary protein")</f>
        <v>gSG7-2 salivary protein</v>
      </c>
      <c r="AD883" t="str">
        <f>HYPERLINK("http://www.ncbi.nlm.nih.gov/sutils/blink.cgi?pid=114864865","5E-060")</f>
        <v>5E-060</v>
      </c>
      <c r="AE883" t="str">
        <f t="shared" si="268"/>
        <v>gi|114864865</v>
      </c>
      <c r="AF883">
        <v>70</v>
      </c>
      <c r="AG883">
        <v>87</v>
      </c>
      <c r="AH883">
        <v>100</v>
      </c>
      <c r="AI883" t="s">
        <v>2266</v>
      </c>
      <c r="AJ883" s="2" t="str">
        <f>HYPERLINK("http://exon.niaid.nih.gov/transcriptome/Anopheles_sialome/links/CULICOMORPHA/anoepi_SG7-2-CULICOMORPHA.txt","gSG7-2 salivary protein")</f>
        <v>gSG7-2 salivary protein</v>
      </c>
      <c r="AK883" t="str">
        <f>HYPERLINK("http://www.ncbi.nlm.nih.gov/sutils/blink.cgi?pid=114864865","1E-060")</f>
        <v>1E-060</v>
      </c>
      <c r="AL883" t="str">
        <f t="shared" si="269"/>
        <v>gi|114864865</v>
      </c>
      <c r="AM883">
        <v>70</v>
      </c>
      <c r="AN883">
        <v>87</v>
      </c>
      <c r="AO883">
        <v>100</v>
      </c>
      <c r="AP883" t="s">
        <v>2266</v>
      </c>
      <c r="AQ883" s="2" t="str">
        <f>HYPERLINK("http://exon.niaid.nih.gov/transcriptome/Anopheles_sialome/links/NR-LIGHT/anoepi_SG7-2-NR-LIGHT.txt","gSG7-2 salivary protein")</f>
        <v>gSG7-2 salivary protein</v>
      </c>
      <c r="AR883" t="str">
        <f>HYPERLINK("http://www.ncbi.nlm.nih.gov/sutils/blink.cgi?pid=114864865","1E-059")</f>
        <v>1E-059</v>
      </c>
      <c r="AS883" t="str">
        <f t="shared" si="270"/>
        <v>gi|114864865</v>
      </c>
      <c r="AT883">
        <v>70</v>
      </c>
      <c r="AU883">
        <v>87</v>
      </c>
      <c r="AV883">
        <v>100</v>
      </c>
      <c r="AW883" t="s">
        <v>2266</v>
      </c>
      <c r="AX883" s="2" t="str">
        <f>HYPERLINK("http://exon.niaid.nih.gov/transcriptome/Anopheles_sialome/links/CDD/anoepi_SG7-2-CDD.txt","Herpes_PAP")</f>
        <v>Herpes_PAP</v>
      </c>
      <c r="AY883" t="str">
        <f>HYPERLINK("http://www.ncbi.nlm.nih.gov/Structure/cdd/cddsrv.cgi?uid=pfam03325&amp;version=v4.0","0.089")</f>
        <v>0.089</v>
      </c>
      <c r="AZ883" t="s">
        <v>3083</v>
      </c>
      <c r="BA883" s="2" t="str">
        <f>HYPERLINK("http://exon.niaid.nih.gov/transcriptome/Anopheles_sialome/links/KOG/anoepi_SG7-2-KOG.txt","Nucleoside phosphatase")</f>
        <v>Nucleoside phosphatase</v>
      </c>
      <c r="BB883" t="str">
        <f>HYPERLINK("http://www.ncbi.nlm.nih.gov/Structure/cdd/cddsrv.cgi?uid=KOG1385","0.002")</f>
        <v>0.002</v>
      </c>
      <c r="BC883" t="s">
        <v>2398</v>
      </c>
      <c r="BD883" t="str">
        <f>HYPERLINK("http://exon.niaid.nih.gov/transcriptome/Anopheles_sialome/links/KOG/anoepi_SG7-2-KOG.txt","KOG1385")</f>
        <v>KOG1385</v>
      </c>
      <c r="BE883" t="str">
        <f>HYPERLINK("http://exon.niaid.nih.gov/transcriptome/Anopheles_sialome/links/PFAM/anoepi_SG7-2-PFAM.txt","Herpes_PAP")</f>
        <v>Herpes_PAP</v>
      </c>
      <c r="BF883" t="str">
        <f>HYPERLINK("http://pfam.sanger.ac.uk/family?acc=PF03325","0.021")</f>
        <v>0.021</v>
      </c>
      <c r="BG883" s="2" t="str">
        <f>HYPERLINK("http://exon.niaid.nih.gov/transcriptome/Anopheles_sialome/links/SMART/anoepi_SG7-2-SMART.txt","AAA_PrkA")</f>
        <v>AAA_PrkA</v>
      </c>
      <c r="BH883">
        <v>6.2E-2</v>
      </c>
      <c r="BI883" t="str">
        <f>HYPERLINK("http://exon.niaid.nih.gov/transcriptome/Anopheles_sialome/links/TICK-BLOCKS/anoepi_SG7-2-TICK-BLOCKS.txt","Anopheles_gSG7 |")</f>
        <v>Anopheles_gSG7 |</v>
      </c>
      <c r="BJ883" s="2" t="s">
        <v>3058</v>
      </c>
      <c r="BK883" t="s">
        <v>2127</v>
      </c>
      <c r="BL883">
        <f>HYPERLINK("http://exon.niaid.nih.gov/transcriptome/Anopheles_sialome/links/cluster-b/anopheline-sialome-cds-pep-larger-orf25-50SimCLU2.txt", 2)</f>
        <v>2</v>
      </c>
      <c r="BM883">
        <f>HYPERLINK("http://exon.niaid.nih.gov/transcriptome/Anopheles_sialome/links/cluster-b/anopheline-sialome-cds-pep-larger-orf25-50SimCLTL2.txt", 120)</f>
        <v>120</v>
      </c>
      <c r="BN883">
        <f>HYPERLINK("http://exon.niaid.nih.gov/transcriptome/Anopheles_sialome/links/cluster-b/anopheline-sialome-cds-pep-larger-orf30-50SimCLU2.txt", 2)</f>
        <v>2</v>
      </c>
      <c r="BO883">
        <f>HYPERLINK("http://exon.niaid.nih.gov/transcriptome/Anopheles_sialome/links/cluster-b/anopheline-sialome-cds-pep-larger-orf30-50SimCLTL2.txt", 120)</f>
        <v>120</v>
      </c>
      <c r="BP883">
        <f>HYPERLINK("http://exon.niaid.nih.gov/transcriptome/Anopheles_sialome/links/cluster-b/anopheline-sialome-cds-pep-larger-orf35-50SimCLU1.txt", 1)</f>
        <v>1</v>
      </c>
      <c r="BQ883">
        <f>HYPERLINK("http://exon.niaid.nih.gov/transcriptome/Anopheles_sialome/links/cluster-b/anopheline-sialome-cds-pep-larger-orf35-50SimCLTL1.txt", 120)</f>
        <v>120</v>
      </c>
      <c r="BR883">
        <f>HYPERLINK("http://exon.niaid.nih.gov/transcriptome/Anopheles_sialome/links/cluster-b/anopheline-sialome-cds-pep-larger-orf40-50SimCLU7.txt", 7)</f>
        <v>7</v>
      </c>
      <c r="BS883">
        <f>HYPERLINK("http://exon.niaid.nih.gov/transcriptome/Anopheles_sialome/links/cluster-b/anopheline-sialome-cds-pep-larger-orf40-50SimCLTL7.txt", 37)</f>
        <v>37</v>
      </c>
      <c r="BT883">
        <f>HYPERLINK("http://exon.niaid.nih.gov/transcriptome/Anopheles_sialome/links/cluster-b/anopheline-sialome-cds-pep-larger-orf45-50SimCLU6.txt", 6)</f>
        <v>6</v>
      </c>
      <c r="BU883">
        <f>HYPERLINK("http://exon.niaid.nih.gov/transcriptome/Anopheles_sialome/links/cluster-b/anopheline-sialome-cds-pep-larger-orf45-50SimCLTL6.txt", 37)</f>
        <v>37</v>
      </c>
      <c r="BV883">
        <f>HYPERLINK("http://exon.niaid.nih.gov/transcriptome/Anopheles_sialome/links/cluster-b/anopheline-sialome-cds-pep-larger-orf50-50SimCLU6.txt", 6)</f>
        <v>6</v>
      </c>
      <c r="BW883">
        <f>HYPERLINK("http://exon.niaid.nih.gov/transcriptome/Anopheles_sialome/links/cluster-b/anopheline-sialome-cds-pep-larger-orf50-50SimCLTL6.txt", 37)</f>
        <v>37</v>
      </c>
      <c r="BX883">
        <f>HYPERLINK("http://exon.niaid.nih.gov/transcriptome/Anopheles_sialome/links/cluster-b/anopheline-sialome-cds-pep-larger-orf55-50SimCLU5.txt", 5)</f>
        <v>5</v>
      </c>
      <c r="BY883">
        <f>HYPERLINK("http://exon.niaid.nih.gov/transcriptome/Anopheles_sialome/links/cluster-b/anopheline-sialome-cds-pep-larger-orf55-50SimCLTL5.txt", 37)</f>
        <v>37</v>
      </c>
      <c r="BZ883">
        <f>HYPERLINK("http://exon.niaid.nih.gov/transcriptome/Anopheles_sialome/links/cluster-b/anopheline-sialome-cds-pep-larger-orf60-50SimCLU4.txt", 4)</f>
        <v>4</v>
      </c>
      <c r="CA883">
        <f>HYPERLINK("http://exon.niaid.nih.gov/transcriptome/Anopheles_sialome/links/cluster-b/anopheline-sialome-cds-pep-larger-orf60-50SimCLTL4.txt", 37)</f>
        <v>37</v>
      </c>
      <c r="CB883">
        <f>HYPERLINK("http://exon.niaid.nih.gov/transcriptome/Anopheles_sialome/links/cluster-b/anopheline-sialome-cds-pep-larger-orf65-50SimCLU17.txt", 17)</f>
        <v>17</v>
      </c>
      <c r="CC883">
        <f>HYPERLINK("http://exon.niaid.nih.gov/transcriptome/Anopheles_sialome/links/cluster-b/anopheline-sialome-cds-pep-larger-orf65-50SimCLTL17.txt", 18)</f>
        <v>18</v>
      </c>
      <c r="CD883">
        <f>HYPERLINK("http://exon.niaid.nih.gov/transcriptome/Anopheles_sialome/links/cluster-b/anopheline-sialome-cds-pep-larger-orf70-50SimCLU16.txt", 16)</f>
        <v>16</v>
      </c>
      <c r="CE883">
        <f>HYPERLINK("http://exon.niaid.nih.gov/transcriptome/Anopheles_sialome/links/cluster-b/anopheline-sialome-cds-pep-larger-orf70-50SimCLTL16.txt", 18)</f>
        <v>18</v>
      </c>
      <c r="CF883">
        <f>HYPERLINK("http://exon.niaid.nih.gov/transcriptome/Anopheles_sialome/links/cluster-b/anopheline-sialome-cds-pep-larger-orf75-50SimCLU10.txt", 10)</f>
        <v>10</v>
      </c>
      <c r="CG883">
        <f>HYPERLINK("http://exon.niaid.nih.gov/transcriptome/Anopheles_sialome/links/cluster-b/anopheline-sialome-cds-pep-larger-orf75-50SimCLTL10.txt", 18)</f>
        <v>18</v>
      </c>
      <c r="CH883">
        <f>HYPERLINK("http://exon.niaid.nih.gov/transcriptome/Anopheles_sialome/links/cluster-b/anopheline-sialome-cds-pep-larger-orf80-50SimCLU15.txt", 15)</f>
        <v>15</v>
      </c>
      <c r="CI883">
        <f>HYPERLINK("http://exon.niaid.nih.gov/transcriptome/Anopheles_sialome/links/cluster-b/anopheline-sialome-cds-pep-larger-orf80-50SimCLTL15.txt", 14)</f>
        <v>14</v>
      </c>
      <c r="CJ883">
        <f>HYPERLINK("http://exon.niaid.nih.gov/transcriptome/Anopheles_sialome/links/cluster-b/anopheline-sialome-cds-pep-larger-orf85-50SimCLU10.txt", 10)</f>
        <v>10</v>
      </c>
      <c r="CK883">
        <f>HYPERLINK("http://exon.niaid.nih.gov/transcriptome/Anopheles_sialome/links/cluster-b/anopheline-sialome-cds-pep-larger-orf85-50SimCLTL10.txt", 14)</f>
        <v>14</v>
      </c>
      <c r="CL883">
        <f>HYPERLINK("http://exon.niaid.nih.gov/transcriptome/Anopheles_sialome/links/cluster-b/anopheline-sialome-cds-pep-larger-orf90-50SimCLU11.txt", 11)</f>
        <v>11</v>
      </c>
      <c r="CM883">
        <f>HYPERLINK("http://exon.niaid.nih.gov/transcriptome/Anopheles_sialome/links/cluster-b/anopheline-sialome-cds-pep-larger-orf90-50SimCLTL11.txt", 8)</f>
        <v>8</v>
      </c>
      <c r="CN883">
        <v>527</v>
      </c>
      <c r="CO883">
        <v>1</v>
      </c>
    </row>
    <row r="884" spans="1:93">
      <c r="A884" s="2" t="str">
        <f>HYPERLINK("http://exon.niaid.nih.gov/transcriptome/Anopheles_sialome/links/cds/anofun_SG7-2-cds.txt","anofun_SG7-2")</f>
        <v>anofun_SG7-2</v>
      </c>
      <c r="B884">
        <v>426</v>
      </c>
      <c r="C884" t="s">
        <v>574</v>
      </c>
      <c r="D884" t="s">
        <v>7</v>
      </c>
      <c r="E884" t="s">
        <v>5</v>
      </c>
      <c r="F884" t="s">
        <v>1</v>
      </c>
      <c r="G884" t="str">
        <f>HYPERLINK("http://exon.niaid.nih.gov/transcriptome/Anopheles_sialome/links/pep/anofun_SG7-2-pep.txt","anofun_SG7-2")</f>
        <v>anofun_SG7-2</v>
      </c>
      <c r="H884">
        <v>141</v>
      </c>
      <c r="I884">
        <v>0</v>
      </c>
      <c r="J884" s="3" t="str">
        <f>HYPERLINK("http://exon.niaid.nih.gov/transcriptome/Anopheles_sialome/links/Sigp/anofun_SG7-2-SigP.txt","SIG")</f>
        <v>SIG</v>
      </c>
      <c r="K884" t="s">
        <v>787</v>
      </c>
      <c r="L884">
        <v>16.696000000000002</v>
      </c>
      <c r="M884">
        <v>9.76</v>
      </c>
      <c r="N884">
        <v>13.976000000000001</v>
      </c>
      <c r="O884">
        <v>9.8699999999999992</v>
      </c>
      <c r="P884" t="s">
        <v>2130</v>
      </c>
      <c r="Q884" s="3">
        <v>0</v>
      </c>
      <c r="R884" t="s">
        <v>128</v>
      </c>
      <c r="S884" t="s">
        <v>128</v>
      </c>
      <c r="T884" t="s">
        <v>128</v>
      </c>
      <c r="U884" t="s">
        <v>128</v>
      </c>
      <c r="V884" t="s">
        <v>128</v>
      </c>
      <c r="W884" s="3" t="str">
        <f>HYPERLINK("http://exon.niaid.nih.gov/transcriptome/Anopheles_sialome/links/netoglyc/anofun_SG7-2-netoglyc.txt","0")</f>
        <v>0</v>
      </c>
      <c r="X884">
        <v>12.8</v>
      </c>
      <c r="Y884">
        <v>2.1</v>
      </c>
      <c r="Z884">
        <v>2.8</v>
      </c>
      <c r="AA884" t="s">
        <v>654</v>
      </c>
      <c r="AB884" t="s">
        <v>128</v>
      </c>
      <c r="AC884" s="2" t="str">
        <f>HYPERLINK("http://exon.niaid.nih.gov/transcriptome/Anopheles_sialome/links/DIPTERA/anofun_SG7-2-DIPTERA.txt","gSG7-2 salivary protein")</f>
        <v>gSG7-2 salivary protein</v>
      </c>
      <c r="AD884" t="str">
        <f>HYPERLINK("http://www.ncbi.nlm.nih.gov/sutils/blink.cgi?pid=114864865","7E-078")</f>
        <v>7E-078</v>
      </c>
      <c r="AE884" t="str">
        <f t="shared" si="268"/>
        <v>gi|114864865</v>
      </c>
      <c r="AF884">
        <v>98</v>
      </c>
      <c r="AG884">
        <v>100</v>
      </c>
      <c r="AH884">
        <v>100</v>
      </c>
      <c r="AI884" t="s">
        <v>2266</v>
      </c>
      <c r="AJ884" s="2" t="str">
        <f>HYPERLINK("http://exon.niaid.nih.gov/transcriptome/Anopheles_sialome/links/CULICOMORPHA/anofun_SG7-2-CULICOMORPHA.txt","gSG7-2 salivary protein")</f>
        <v>gSG7-2 salivary protein</v>
      </c>
      <c r="AK884" t="str">
        <f>HYPERLINK("http://www.ncbi.nlm.nih.gov/sutils/blink.cgi?pid=114864865","1E-078")</f>
        <v>1E-078</v>
      </c>
      <c r="AL884" t="str">
        <f t="shared" si="269"/>
        <v>gi|114864865</v>
      </c>
      <c r="AM884">
        <v>98</v>
      </c>
      <c r="AN884">
        <v>100</v>
      </c>
      <c r="AO884">
        <v>100</v>
      </c>
      <c r="AP884" t="s">
        <v>2266</v>
      </c>
      <c r="AQ884" s="2" t="str">
        <f>HYPERLINK("http://exon.niaid.nih.gov/transcriptome/Anopheles_sialome/links/NR-LIGHT/anofun_SG7-2-NR-LIGHT.txt","gSG7-2 salivary protein")</f>
        <v>gSG7-2 salivary protein</v>
      </c>
      <c r="AR884" t="str">
        <f>HYPERLINK("http://www.ncbi.nlm.nih.gov/sutils/blink.cgi?pid=114864865","2E-077")</f>
        <v>2E-077</v>
      </c>
      <c r="AS884" t="str">
        <f t="shared" si="270"/>
        <v>gi|114864865</v>
      </c>
      <c r="AT884">
        <v>98</v>
      </c>
      <c r="AU884">
        <v>100</v>
      </c>
      <c r="AV884">
        <v>100</v>
      </c>
      <c r="AW884" t="s">
        <v>2266</v>
      </c>
      <c r="AX884" s="2" t="str">
        <f>HYPERLINK("http://exon.niaid.nih.gov/transcriptome/Anopheles_sialome/links/CDD/anofun_SG7-2-CDD.txt","nfrB")</f>
        <v>nfrB</v>
      </c>
      <c r="AY884" t="str">
        <f>HYPERLINK("http://www.ncbi.nlm.nih.gov/Structure/cdd/cddsrv.cgi?uid=PRK11234&amp;version=v4.0","0.72")</f>
        <v>0.72</v>
      </c>
      <c r="AZ884" t="s">
        <v>3084</v>
      </c>
      <c r="BA884" s="2" t="str">
        <f>HYPERLINK("http://exon.niaid.nih.gov/transcriptome/Anopheles_sialome/links/KOG/anofun_SG7-2-KOG.txt","Polycomb-group transcriptional regulator")</f>
        <v>Polycomb-group transcriptional regulator</v>
      </c>
      <c r="BB884" t="str">
        <f>HYPERLINK("http://www.ncbi.nlm.nih.gov/Structure/cdd/cddsrv.cgi?uid=KOG4468","4.7")</f>
        <v>4.7</v>
      </c>
      <c r="BC884" t="s">
        <v>2262</v>
      </c>
      <c r="BD884" t="str">
        <f>HYPERLINK("http://exon.niaid.nih.gov/transcriptome/Anopheles_sialome/links/KOG/anofun_SG7-2-KOG.txt","KOG4468")</f>
        <v>KOG4468</v>
      </c>
      <c r="BE884" t="str">
        <f>HYPERLINK("http://exon.niaid.nih.gov/transcriptome/Anopheles_sialome/links/PFAM/anofun_SG7-2-PFAM.txt","DUF4125")</f>
        <v>DUF4125</v>
      </c>
      <c r="BF884" t="str">
        <f>HYPERLINK("http://pfam.sanger.ac.uk/family?acc=PF13526","0.94")</f>
        <v>0.94</v>
      </c>
      <c r="BG884" s="2" t="str">
        <f>HYPERLINK("http://exon.niaid.nih.gov/transcriptome/Anopheles_sialome/links/SMART/anofun_SG7-2-SMART.txt","LNS2")</f>
        <v>LNS2</v>
      </c>
      <c r="BH884" t="str">
        <f>HYPERLINK("http://smart.embl-heidelberg.de/smart/do_annotation.pl?DOMAIN=LNS2&amp;BLAST=DUMMY","1.8")</f>
        <v>1.8</v>
      </c>
      <c r="BI884" t="str">
        <f>HYPERLINK("http://exon.niaid.nih.gov/transcriptome/Anopheles_sialome/links/TICK-BLOCKS/anofun_SG7-2-TICK-BLOCKS.txt","Anopheles_gSG7 |")</f>
        <v>Anopheles_gSG7 |</v>
      </c>
      <c r="BJ884" s="2" t="s">
        <v>3058</v>
      </c>
      <c r="BK884" t="s">
        <v>2129</v>
      </c>
      <c r="BL884">
        <f>HYPERLINK("http://exon.niaid.nih.gov/transcriptome/Anopheles_sialome/links/cluster-b/anopheline-sialome-cds-pep-larger-orf25-50SimCLU2.txt", 2)</f>
        <v>2</v>
      </c>
      <c r="BM884">
        <f>HYPERLINK("http://exon.niaid.nih.gov/transcriptome/Anopheles_sialome/links/cluster-b/anopheline-sialome-cds-pep-larger-orf25-50SimCLTL2.txt", 120)</f>
        <v>120</v>
      </c>
      <c r="BN884">
        <f>HYPERLINK("http://exon.niaid.nih.gov/transcriptome/Anopheles_sialome/links/cluster-b/anopheline-sialome-cds-pep-larger-orf30-50SimCLU2.txt", 2)</f>
        <v>2</v>
      </c>
      <c r="BO884">
        <f>HYPERLINK("http://exon.niaid.nih.gov/transcriptome/Anopheles_sialome/links/cluster-b/anopheline-sialome-cds-pep-larger-orf30-50SimCLTL2.txt", 120)</f>
        <v>120</v>
      </c>
      <c r="BP884">
        <f>HYPERLINK("http://exon.niaid.nih.gov/transcriptome/Anopheles_sialome/links/cluster-b/anopheline-sialome-cds-pep-larger-orf35-50SimCLU1.txt", 1)</f>
        <v>1</v>
      </c>
      <c r="BQ884">
        <f>HYPERLINK("http://exon.niaid.nih.gov/transcriptome/Anopheles_sialome/links/cluster-b/anopheline-sialome-cds-pep-larger-orf35-50SimCLTL1.txt", 120)</f>
        <v>120</v>
      </c>
      <c r="BR884">
        <f>HYPERLINK("http://exon.niaid.nih.gov/transcriptome/Anopheles_sialome/links/cluster-b/anopheline-sialome-cds-pep-larger-orf40-50SimCLU7.txt", 7)</f>
        <v>7</v>
      </c>
      <c r="BS884">
        <f>HYPERLINK("http://exon.niaid.nih.gov/transcriptome/Anopheles_sialome/links/cluster-b/anopheline-sialome-cds-pep-larger-orf40-50SimCLTL7.txt", 37)</f>
        <v>37</v>
      </c>
      <c r="BT884">
        <f>HYPERLINK("http://exon.niaid.nih.gov/transcriptome/Anopheles_sialome/links/cluster-b/anopheline-sialome-cds-pep-larger-orf45-50SimCLU6.txt", 6)</f>
        <v>6</v>
      </c>
      <c r="BU884">
        <f>HYPERLINK("http://exon.niaid.nih.gov/transcriptome/Anopheles_sialome/links/cluster-b/anopheline-sialome-cds-pep-larger-orf45-50SimCLTL6.txt", 37)</f>
        <v>37</v>
      </c>
      <c r="BV884">
        <f>HYPERLINK("http://exon.niaid.nih.gov/transcriptome/Anopheles_sialome/links/cluster-b/anopheline-sialome-cds-pep-larger-orf50-50SimCLU6.txt", 6)</f>
        <v>6</v>
      </c>
      <c r="BW884">
        <f>HYPERLINK("http://exon.niaid.nih.gov/transcriptome/Anopheles_sialome/links/cluster-b/anopheline-sialome-cds-pep-larger-orf50-50SimCLTL6.txt", 37)</f>
        <v>37</v>
      </c>
      <c r="BX884">
        <f>HYPERLINK("http://exon.niaid.nih.gov/transcriptome/Anopheles_sialome/links/cluster-b/anopheline-sialome-cds-pep-larger-orf55-50SimCLU5.txt", 5)</f>
        <v>5</v>
      </c>
      <c r="BY884">
        <f>HYPERLINK("http://exon.niaid.nih.gov/transcriptome/Anopheles_sialome/links/cluster-b/anopheline-sialome-cds-pep-larger-orf55-50SimCLTL5.txt", 37)</f>
        <v>37</v>
      </c>
      <c r="BZ884">
        <f>HYPERLINK("http://exon.niaid.nih.gov/transcriptome/Anopheles_sialome/links/cluster-b/anopheline-sialome-cds-pep-larger-orf60-50SimCLU4.txt", 4)</f>
        <v>4</v>
      </c>
      <c r="CA884">
        <f>HYPERLINK("http://exon.niaid.nih.gov/transcriptome/Anopheles_sialome/links/cluster-b/anopheline-sialome-cds-pep-larger-orf60-50SimCLTL4.txt", 37)</f>
        <v>37</v>
      </c>
      <c r="CB884">
        <f>HYPERLINK("http://exon.niaid.nih.gov/transcriptome/Anopheles_sialome/links/cluster-b/anopheline-sialome-cds-pep-larger-orf65-50SimCLU17.txt", 17)</f>
        <v>17</v>
      </c>
      <c r="CC884">
        <f>HYPERLINK("http://exon.niaid.nih.gov/transcriptome/Anopheles_sialome/links/cluster-b/anopheline-sialome-cds-pep-larger-orf65-50SimCLTL17.txt", 18)</f>
        <v>18</v>
      </c>
      <c r="CD884">
        <f>HYPERLINK("http://exon.niaid.nih.gov/transcriptome/Anopheles_sialome/links/cluster-b/anopheline-sialome-cds-pep-larger-orf70-50SimCLU16.txt", 16)</f>
        <v>16</v>
      </c>
      <c r="CE884">
        <f>HYPERLINK("http://exon.niaid.nih.gov/transcriptome/Anopheles_sialome/links/cluster-b/anopheline-sialome-cds-pep-larger-orf70-50SimCLTL16.txt", 18)</f>
        <v>18</v>
      </c>
      <c r="CF884">
        <f>HYPERLINK("http://exon.niaid.nih.gov/transcriptome/Anopheles_sialome/links/cluster-b/anopheline-sialome-cds-pep-larger-orf75-50SimCLU10.txt", 10)</f>
        <v>10</v>
      </c>
      <c r="CG884">
        <f>HYPERLINK("http://exon.niaid.nih.gov/transcriptome/Anopheles_sialome/links/cluster-b/anopheline-sialome-cds-pep-larger-orf75-50SimCLTL10.txt", 18)</f>
        <v>18</v>
      </c>
      <c r="CH884">
        <f>HYPERLINK("http://exon.niaid.nih.gov/transcriptome/Anopheles_sialome/links/cluster-b/anopheline-sialome-cds-pep-larger-orf80-50SimCLU15.txt", 15)</f>
        <v>15</v>
      </c>
      <c r="CI884">
        <f>HYPERLINK("http://exon.niaid.nih.gov/transcriptome/Anopheles_sialome/links/cluster-b/anopheline-sialome-cds-pep-larger-orf80-50SimCLTL15.txt", 14)</f>
        <v>14</v>
      </c>
      <c r="CJ884">
        <f>HYPERLINK("http://exon.niaid.nih.gov/transcriptome/Anopheles_sialome/links/cluster-b/anopheline-sialome-cds-pep-larger-orf85-50SimCLU10.txt", 10)</f>
        <v>10</v>
      </c>
      <c r="CK884">
        <f>HYPERLINK("http://exon.niaid.nih.gov/transcriptome/Anopheles_sialome/links/cluster-b/anopheline-sialome-cds-pep-larger-orf85-50SimCLTL10.txt", 14)</f>
        <v>14</v>
      </c>
      <c r="CL884">
        <f>HYPERLINK("http://exon.niaid.nih.gov/transcriptome/Anopheles_sialome/links/cluster-b/anopheline-sialome-cds-pep-larger-orf90-50SimCLU58.txt", 58)</f>
        <v>58</v>
      </c>
      <c r="CM884">
        <f>HYPERLINK("http://exon.niaid.nih.gov/transcriptome/Anopheles_sialome/links/cluster-b/anopheline-sialome-cds-pep-larger-orf90-50SimCLTL58.txt", 3)</f>
        <v>3</v>
      </c>
      <c r="CN884">
        <v>528</v>
      </c>
      <c r="CO884">
        <v>1</v>
      </c>
    </row>
    <row r="885" spans="1:93">
      <c r="A885" s="2" t="str">
        <f>HYPERLINK("http://exon.niaid.nih.gov/transcriptome/Anopheles_sialome/links/cds/anomin_SG7-2-cds.txt","anomin_SG7-2")</f>
        <v>anomin_SG7-2</v>
      </c>
      <c r="B885">
        <v>426</v>
      </c>
      <c r="C885" t="s">
        <v>575</v>
      </c>
      <c r="D885" t="s">
        <v>7</v>
      </c>
      <c r="E885" t="s">
        <v>5</v>
      </c>
      <c r="F885" t="s">
        <v>1</v>
      </c>
      <c r="G885" t="str">
        <f>HYPERLINK("http://exon.niaid.nih.gov/transcriptome/Anopheles_sialome/links/pep/anomin_SG7-2-pep.txt","anomin_SG7-2")</f>
        <v>anomin_SG7-2</v>
      </c>
      <c r="H885">
        <v>141</v>
      </c>
      <c r="I885">
        <v>0</v>
      </c>
      <c r="J885" s="3" t="str">
        <f>HYPERLINK("http://exon.niaid.nih.gov/transcriptome/Anopheles_sialome/links/Sigp/anomin_SG7-2-SigP.txt","SIG")</f>
        <v>SIG</v>
      </c>
      <c r="K885" t="s">
        <v>787</v>
      </c>
      <c r="L885">
        <v>16.510999999999999</v>
      </c>
      <c r="M885">
        <v>9.6300000000000008</v>
      </c>
      <c r="N885">
        <v>13.711</v>
      </c>
      <c r="O885">
        <v>9.73</v>
      </c>
      <c r="P885" t="s">
        <v>2132</v>
      </c>
      <c r="Q885" s="3" t="str">
        <f>HYPERLINK("http://exon.niaid.nih.gov/transcriptome/Anopheles_sialome/links/tmhmm/anomin_SG7-2-tmhmm.txt","1")</f>
        <v>1</v>
      </c>
      <c r="R885">
        <v>15.6</v>
      </c>
      <c r="S885">
        <v>80.900000000000006</v>
      </c>
      <c r="T885">
        <v>3.5</v>
      </c>
      <c r="U885" t="s">
        <v>128</v>
      </c>
      <c r="V885">
        <v>114</v>
      </c>
      <c r="W885" s="3" t="str">
        <f>HYPERLINK("http://exon.niaid.nih.gov/transcriptome/Anopheles_sialome/links/netoglyc/anomin_SG7-2-netoglyc.txt","0")</f>
        <v>0</v>
      </c>
      <c r="X885">
        <v>10.6</v>
      </c>
      <c r="Y885">
        <v>3.5</v>
      </c>
      <c r="Z885">
        <v>2.8</v>
      </c>
      <c r="AA885" t="s">
        <v>654</v>
      </c>
      <c r="AB885" t="s">
        <v>128</v>
      </c>
      <c r="AC885" s="2" t="str">
        <f>HYPERLINK("http://exon.niaid.nih.gov/transcriptome/Anopheles_sialome/links/DIPTERA/anomin_SG7-2-DIPTERA.txt","gSG7-2 salivary protein")</f>
        <v>gSG7-2 salivary protein</v>
      </c>
      <c r="AD885" t="str">
        <f>HYPERLINK("http://www.ncbi.nlm.nih.gov/sutils/blink.cgi?pid=114864865","6E-062")</f>
        <v>6E-062</v>
      </c>
      <c r="AE885" t="str">
        <f t="shared" si="268"/>
        <v>gi|114864865</v>
      </c>
      <c r="AF885">
        <v>77</v>
      </c>
      <c r="AG885">
        <v>89</v>
      </c>
      <c r="AH885">
        <v>100</v>
      </c>
      <c r="AI885" t="s">
        <v>2266</v>
      </c>
      <c r="AJ885" s="2" t="str">
        <f>HYPERLINK("http://exon.niaid.nih.gov/transcriptome/Anopheles_sialome/links/CULICOMORPHA/anomin_SG7-2-CULICOMORPHA.txt","gSG7-2 salivary protein")</f>
        <v>gSG7-2 salivary protein</v>
      </c>
      <c r="AK885" t="str">
        <f>HYPERLINK("http://www.ncbi.nlm.nih.gov/sutils/blink.cgi?pid=114864865","1E-062")</f>
        <v>1E-062</v>
      </c>
      <c r="AL885" t="str">
        <f t="shared" si="269"/>
        <v>gi|114864865</v>
      </c>
      <c r="AM885">
        <v>77</v>
      </c>
      <c r="AN885">
        <v>89</v>
      </c>
      <c r="AO885">
        <v>100</v>
      </c>
      <c r="AP885" t="s">
        <v>2266</v>
      </c>
      <c r="AQ885" s="2" t="str">
        <f>HYPERLINK("http://exon.niaid.nih.gov/transcriptome/Anopheles_sialome/links/NR-LIGHT/anomin_SG7-2-NR-LIGHT.txt","gSG7-2 salivary protein")</f>
        <v>gSG7-2 salivary protein</v>
      </c>
      <c r="AR885" t="str">
        <f>HYPERLINK("http://www.ncbi.nlm.nih.gov/sutils/blink.cgi?pid=114864865","2E-061")</f>
        <v>2E-061</v>
      </c>
      <c r="AS885" t="str">
        <f t="shared" si="270"/>
        <v>gi|114864865</v>
      </c>
      <c r="AT885">
        <v>77</v>
      </c>
      <c r="AU885">
        <v>89</v>
      </c>
      <c r="AV885">
        <v>100</v>
      </c>
      <c r="AW885" t="s">
        <v>2266</v>
      </c>
      <c r="AX885" s="2" t="str">
        <f>HYPERLINK("http://exon.niaid.nih.gov/transcriptome/Anopheles_sialome/links/CDD/anomin_SG7-2-CDD.txt","LepB")</f>
        <v>LepB</v>
      </c>
      <c r="AY885" t="str">
        <f>HYPERLINK("http://www.ncbi.nlm.nih.gov/Structure/cdd/cddsrv.cgi?uid=cd14436&amp;version=v4.0","0.46")</f>
        <v>0.46</v>
      </c>
      <c r="AZ885" t="s">
        <v>3085</v>
      </c>
      <c r="BA885" s="2" t="str">
        <f>HYPERLINK("http://exon.niaid.nih.gov/transcriptome/Anopheles_sialome/links/KOG/anomin_SG7-2-KOG.txt","Polycomb-group transcriptional regulator")</f>
        <v>Polycomb-group transcriptional regulator</v>
      </c>
      <c r="BB885" t="str">
        <f>HYPERLINK("http://www.ncbi.nlm.nih.gov/Structure/cdd/cddsrv.cgi?uid=KOG4468","0.58")</f>
        <v>0.58</v>
      </c>
      <c r="BC885" t="s">
        <v>2262</v>
      </c>
      <c r="BD885" t="str">
        <f>HYPERLINK("http://exon.niaid.nih.gov/transcriptome/Anopheles_sialome/links/KOG/anomin_SG7-2-KOG.txt","KOG4468")</f>
        <v>KOG4468</v>
      </c>
      <c r="BE885" t="str">
        <f>HYPERLINK("http://exon.niaid.nih.gov/transcriptome/Anopheles_sialome/links/PFAM/anomin_SG7-2-PFAM.txt","Arena_nucleocap")</f>
        <v>Arena_nucleocap</v>
      </c>
      <c r="BF885" t="str">
        <f>HYPERLINK("http://pfam.sanger.ac.uk/family?acc=PF00843","1.2")</f>
        <v>1.2</v>
      </c>
      <c r="BG885" s="2" t="str">
        <f>HYPERLINK("http://exon.niaid.nih.gov/transcriptome/Anopheles_sialome/links/SMART/anomin_SG7-2-SMART.txt","LNS2")</f>
        <v>LNS2</v>
      </c>
      <c r="BH885" t="str">
        <f>HYPERLINK("http://smart.embl-heidelberg.de/smart/do_annotation.pl?DOMAIN=LNS2&amp;BLAST=DUMMY","0.88")</f>
        <v>0.88</v>
      </c>
      <c r="BI885" t="str">
        <f>HYPERLINK("http://exon.niaid.nih.gov/transcriptome/Anopheles_sialome/links/TICK-BLOCKS/anomin_SG7-2-TICK-BLOCKS.txt","Anopheles_gSG7 |")</f>
        <v>Anopheles_gSG7 |</v>
      </c>
      <c r="BJ885" s="2" t="s">
        <v>3058</v>
      </c>
      <c r="BK885" t="s">
        <v>2131</v>
      </c>
      <c r="BL885">
        <f>HYPERLINK("http://exon.niaid.nih.gov/transcriptome/Anopheles_sialome/links/cluster-b/anopheline-sialome-cds-pep-larger-orf25-50SimCLU2.txt", 2)</f>
        <v>2</v>
      </c>
      <c r="BM885">
        <f>HYPERLINK("http://exon.niaid.nih.gov/transcriptome/Anopheles_sialome/links/cluster-b/anopheline-sialome-cds-pep-larger-orf25-50SimCLTL2.txt", 120)</f>
        <v>120</v>
      </c>
      <c r="BN885">
        <f>HYPERLINK("http://exon.niaid.nih.gov/transcriptome/Anopheles_sialome/links/cluster-b/anopheline-sialome-cds-pep-larger-orf30-50SimCLU2.txt", 2)</f>
        <v>2</v>
      </c>
      <c r="BO885">
        <f>HYPERLINK("http://exon.niaid.nih.gov/transcriptome/Anopheles_sialome/links/cluster-b/anopheline-sialome-cds-pep-larger-orf30-50SimCLTL2.txt", 120)</f>
        <v>120</v>
      </c>
      <c r="BP885">
        <f>HYPERLINK("http://exon.niaid.nih.gov/transcriptome/Anopheles_sialome/links/cluster-b/anopheline-sialome-cds-pep-larger-orf35-50SimCLU1.txt", 1)</f>
        <v>1</v>
      </c>
      <c r="BQ885">
        <f>HYPERLINK("http://exon.niaid.nih.gov/transcriptome/Anopheles_sialome/links/cluster-b/anopheline-sialome-cds-pep-larger-orf35-50SimCLTL1.txt", 120)</f>
        <v>120</v>
      </c>
      <c r="BR885">
        <f>HYPERLINK("http://exon.niaid.nih.gov/transcriptome/Anopheles_sialome/links/cluster-b/anopheline-sialome-cds-pep-larger-orf40-50SimCLU7.txt", 7)</f>
        <v>7</v>
      </c>
      <c r="BS885">
        <f>HYPERLINK("http://exon.niaid.nih.gov/transcriptome/Anopheles_sialome/links/cluster-b/anopheline-sialome-cds-pep-larger-orf40-50SimCLTL7.txt", 37)</f>
        <v>37</v>
      </c>
      <c r="BT885">
        <f>HYPERLINK("http://exon.niaid.nih.gov/transcriptome/Anopheles_sialome/links/cluster-b/anopheline-sialome-cds-pep-larger-orf45-50SimCLU6.txt", 6)</f>
        <v>6</v>
      </c>
      <c r="BU885">
        <f>HYPERLINK("http://exon.niaid.nih.gov/transcriptome/Anopheles_sialome/links/cluster-b/anopheline-sialome-cds-pep-larger-orf45-50SimCLTL6.txt", 37)</f>
        <v>37</v>
      </c>
      <c r="BV885">
        <f>HYPERLINK("http://exon.niaid.nih.gov/transcriptome/Anopheles_sialome/links/cluster-b/anopheline-sialome-cds-pep-larger-orf50-50SimCLU6.txt", 6)</f>
        <v>6</v>
      </c>
      <c r="BW885">
        <f>HYPERLINK("http://exon.niaid.nih.gov/transcriptome/Anopheles_sialome/links/cluster-b/anopheline-sialome-cds-pep-larger-orf50-50SimCLTL6.txt", 37)</f>
        <v>37</v>
      </c>
      <c r="BX885">
        <f>HYPERLINK("http://exon.niaid.nih.gov/transcriptome/Anopheles_sialome/links/cluster-b/anopheline-sialome-cds-pep-larger-orf55-50SimCLU5.txt", 5)</f>
        <v>5</v>
      </c>
      <c r="BY885">
        <f>HYPERLINK("http://exon.niaid.nih.gov/transcriptome/Anopheles_sialome/links/cluster-b/anopheline-sialome-cds-pep-larger-orf55-50SimCLTL5.txt", 37)</f>
        <v>37</v>
      </c>
      <c r="BZ885">
        <f>HYPERLINK("http://exon.niaid.nih.gov/transcriptome/Anopheles_sialome/links/cluster-b/anopheline-sialome-cds-pep-larger-orf60-50SimCLU4.txt", 4)</f>
        <v>4</v>
      </c>
      <c r="CA885">
        <f>HYPERLINK("http://exon.niaid.nih.gov/transcriptome/Anopheles_sialome/links/cluster-b/anopheline-sialome-cds-pep-larger-orf60-50SimCLTL4.txt", 37)</f>
        <v>37</v>
      </c>
      <c r="CB885">
        <f>HYPERLINK("http://exon.niaid.nih.gov/transcriptome/Anopheles_sialome/links/cluster-b/anopheline-sialome-cds-pep-larger-orf65-50SimCLU17.txt", 17)</f>
        <v>17</v>
      </c>
      <c r="CC885">
        <f>HYPERLINK("http://exon.niaid.nih.gov/transcriptome/Anopheles_sialome/links/cluster-b/anopheline-sialome-cds-pep-larger-orf65-50SimCLTL17.txt", 18)</f>
        <v>18</v>
      </c>
      <c r="CD885">
        <f>HYPERLINK("http://exon.niaid.nih.gov/transcriptome/Anopheles_sialome/links/cluster-b/anopheline-sialome-cds-pep-larger-orf70-50SimCLU16.txt", 16)</f>
        <v>16</v>
      </c>
      <c r="CE885">
        <f>HYPERLINK("http://exon.niaid.nih.gov/transcriptome/Anopheles_sialome/links/cluster-b/anopheline-sialome-cds-pep-larger-orf70-50SimCLTL16.txt", 18)</f>
        <v>18</v>
      </c>
      <c r="CF885">
        <f>HYPERLINK("http://exon.niaid.nih.gov/transcriptome/Anopheles_sialome/links/cluster-b/anopheline-sialome-cds-pep-larger-orf75-50SimCLU10.txt", 10)</f>
        <v>10</v>
      </c>
      <c r="CG885">
        <f>HYPERLINK("http://exon.niaid.nih.gov/transcriptome/Anopheles_sialome/links/cluster-b/anopheline-sialome-cds-pep-larger-orf75-50SimCLTL10.txt", 18)</f>
        <v>18</v>
      </c>
      <c r="CH885">
        <f>HYPERLINK("http://exon.niaid.nih.gov/transcriptome/Anopheles_sialome/links/cluster-b/anopheline-sialome-cds-pep-larger-orf80-50SimCLU15.txt", 15)</f>
        <v>15</v>
      </c>
      <c r="CI885">
        <f>HYPERLINK("http://exon.niaid.nih.gov/transcriptome/Anopheles_sialome/links/cluster-b/anopheline-sialome-cds-pep-larger-orf80-50SimCLTL15.txt", 14)</f>
        <v>14</v>
      </c>
      <c r="CJ885">
        <f>HYPERLINK("http://exon.niaid.nih.gov/transcriptome/Anopheles_sialome/links/cluster-b/anopheline-sialome-cds-pep-larger-orf85-50SimCLU10.txt", 10)</f>
        <v>10</v>
      </c>
      <c r="CK885">
        <f>HYPERLINK("http://exon.niaid.nih.gov/transcriptome/Anopheles_sialome/links/cluster-b/anopheline-sialome-cds-pep-larger-orf85-50SimCLTL10.txt", 14)</f>
        <v>14</v>
      </c>
      <c r="CL885">
        <f>HYPERLINK("http://exon.niaid.nih.gov/transcriptome/Anopheles_sialome/links/cluster-b/anopheline-sialome-cds-pep-larger-orf90-50SimCLU58.txt", 58)</f>
        <v>58</v>
      </c>
      <c r="CM885">
        <f>HYPERLINK("http://exon.niaid.nih.gov/transcriptome/Anopheles_sialome/links/cluster-b/anopheline-sialome-cds-pep-larger-orf90-50SimCLTL58.txt", 3)</f>
        <v>3</v>
      </c>
      <c r="CN885">
        <v>529</v>
      </c>
      <c r="CO885">
        <v>1</v>
      </c>
    </row>
    <row r="886" spans="1:93">
      <c r="A886" s="2" t="str">
        <f>HYPERLINK("http://exon.niaid.nih.gov/transcriptome/Anopheles_sialome/links/cds/anocul_SG7-2-cds.txt","anocul_SG7-2")</f>
        <v>anocul_SG7-2</v>
      </c>
      <c r="B886">
        <v>426</v>
      </c>
      <c r="C886" t="s">
        <v>589</v>
      </c>
      <c r="D886" t="s">
        <v>4</v>
      </c>
      <c r="E886" t="s">
        <v>5</v>
      </c>
      <c r="F886" t="s">
        <v>1</v>
      </c>
      <c r="G886" t="str">
        <f>HYPERLINK("http://exon.niaid.nih.gov/transcriptome/Anopheles_sialome/links/pep/anocul_SG7-2-pep.txt","anocul_SG7-2")</f>
        <v>anocul_SG7-2</v>
      </c>
      <c r="H886">
        <v>141</v>
      </c>
      <c r="I886">
        <v>0</v>
      </c>
      <c r="J886" s="3" t="str">
        <f>HYPERLINK("http://exon.niaid.nih.gov/transcriptome/Anopheles_sialome/links/Sigp/anocul_SG7-2-SigP.txt","SIG")</f>
        <v>SIG</v>
      </c>
      <c r="K886" t="s">
        <v>787</v>
      </c>
      <c r="L886">
        <v>16.661000000000001</v>
      </c>
      <c r="M886">
        <v>9.7100000000000009</v>
      </c>
      <c r="N886">
        <v>13.818</v>
      </c>
      <c r="O886">
        <v>9.73</v>
      </c>
      <c r="P886" t="s">
        <v>2134</v>
      </c>
      <c r="Q886" s="3" t="str">
        <f>HYPERLINK("http://exon.niaid.nih.gov/transcriptome/Anopheles_sialome/links/tmhmm/anocul_SG7-2-tmhmm.txt","1")</f>
        <v>1</v>
      </c>
      <c r="R886">
        <v>15.6</v>
      </c>
      <c r="S886">
        <v>80.900000000000006</v>
      </c>
      <c r="T886">
        <v>3.5</v>
      </c>
      <c r="U886" t="s">
        <v>128</v>
      </c>
      <c r="V886">
        <v>114</v>
      </c>
      <c r="W886" s="3" t="str">
        <f>HYPERLINK("http://exon.niaid.nih.gov/transcriptome/Anopheles_sialome/links/netoglyc/anocul_SG7-2-netoglyc.txt","0")</f>
        <v>0</v>
      </c>
      <c r="X886">
        <v>10.6</v>
      </c>
      <c r="Y886">
        <v>2.1</v>
      </c>
      <c r="Z886">
        <v>3.5</v>
      </c>
      <c r="AA886" t="s">
        <v>654</v>
      </c>
      <c r="AB886" t="s">
        <v>128</v>
      </c>
      <c r="AC886" s="2" t="str">
        <f>HYPERLINK("http://exon.niaid.nih.gov/transcriptome/Anopheles_sialome/links/DIPTERA/anocul_SG7-2-DIPTERA.txt","gSG7-2 salivary protein")</f>
        <v>gSG7-2 salivary protein</v>
      </c>
      <c r="AD886" t="str">
        <f>HYPERLINK("http://www.ncbi.nlm.nih.gov/sutils/blink.cgi?pid=114864865","2E-065")</f>
        <v>2E-065</v>
      </c>
      <c r="AE886" t="str">
        <f t="shared" si="268"/>
        <v>gi|114864865</v>
      </c>
      <c r="AF886">
        <v>80</v>
      </c>
      <c r="AG886">
        <v>90</v>
      </c>
      <c r="AH886">
        <v>100</v>
      </c>
      <c r="AI886" t="s">
        <v>2266</v>
      </c>
      <c r="AJ886" s="2" t="str">
        <f>HYPERLINK("http://exon.niaid.nih.gov/transcriptome/Anopheles_sialome/links/CULICOMORPHA/anocul_SG7-2-CULICOMORPHA.txt","gSG7-2 salivary protein")</f>
        <v>gSG7-2 salivary protein</v>
      </c>
      <c r="AK886" t="str">
        <f>HYPERLINK("http://www.ncbi.nlm.nih.gov/sutils/blink.cgi?pid=114864865","5E-066")</f>
        <v>5E-066</v>
      </c>
      <c r="AL886" t="str">
        <f t="shared" si="269"/>
        <v>gi|114864865</v>
      </c>
      <c r="AM886">
        <v>80</v>
      </c>
      <c r="AN886">
        <v>90</v>
      </c>
      <c r="AO886">
        <v>100</v>
      </c>
      <c r="AP886" t="s">
        <v>2266</v>
      </c>
      <c r="AQ886" s="2" t="str">
        <f>HYPERLINK("http://exon.niaid.nih.gov/transcriptome/Anopheles_sialome/links/NR-LIGHT/anocul_SG7-2-NR-LIGHT.txt","gSG7-2 salivary protein")</f>
        <v>gSG7-2 salivary protein</v>
      </c>
      <c r="AR886" t="str">
        <f>HYPERLINK("http://www.ncbi.nlm.nih.gov/sutils/blink.cgi?pid=114864865","7E-065")</f>
        <v>7E-065</v>
      </c>
      <c r="AS886" t="str">
        <f t="shared" si="270"/>
        <v>gi|114864865</v>
      </c>
      <c r="AT886">
        <v>80</v>
      </c>
      <c r="AU886">
        <v>90</v>
      </c>
      <c r="AV886">
        <v>100</v>
      </c>
      <c r="AW886" t="s">
        <v>2266</v>
      </c>
      <c r="AX886" s="2" t="str">
        <f>HYPERLINK("http://exon.niaid.nih.gov/transcriptome/Anopheles_sialome/links/CDD/anocul_SG7-2-CDD.txt","LigD_Pol_like_2")</f>
        <v>LigD_Pol_like_2</v>
      </c>
      <c r="AY886" t="str">
        <f>HYPERLINK("http://www.ncbi.nlm.nih.gov/Structure/cdd/cddsrv.cgi?uid=cd04865&amp;version=v4.0","0.22")</f>
        <v>0.22</v>
      </c>
      <c r="AZ886" t="s">
        <v>3086</v>
      </c>
      <c r="BA886" s="2" t="str">
        <f>HYPERLINK("http://exon.niaid.nih.gov/transcriptome/Anopheles_sialome/links/KOG/anocul_SG7-2-KOG.txt","Centromere-associated protein HEC1")</f>
        <v>Centromere-associated protein HEC1</v>
      </c>
      <c r="BB886" t="str">
        <f>HYPERLINK("http://www.ncbi.nlm.nih.gov/Structure/cdd/cddsrv.cgi?uid=KOG0995","0.70")</f>
        <v>0.70</v>
      </c>
      <c r="BC886" t="s">
        <v>2256</v>
      </c>
      <c r="BD886" t="str">
        <f>HYPERLINK("http://exon.niaid.nih.gov/transcriptome/Anopheles_sialome/links/KOG/anocul_SG7-2-KOG.txt","KOG0995")</f>
        <v>KOG0995</v>
      </c>
      <c r="BE886" t="str">
        <f>HYPERLINK("http://exon.niaid.nih.gov/transcriptome/Anopheles_sialome/links/PFAM/anocul_SG7-2-PFAM.txt","MVIN")</f>
        <v>MVIN</v>
      </c>
      <c r="BF886" t="str">
        <f>HYPERLINK("http://pfam.sanger.ac.uk/family?acc=PF03023","2.0")</f>
        <v>2.0</v>
      </c>
      <c r="BG886" s="2" t="str">
        <f>HYPERLINK("http://exon.niaid.nih.gov/transcriptome/Anopheles_sialome/links/SMART/anocul_SG7-2-SMART.txt","AWS")</f>
        <v>AWS</v>
      </c>
      <c r="BH886" t="str">
        <f>HYPERLINK("http://smart.embl-heidelberg.de/smart/do_annotation.pl?DOMAIN=AWS&amp;BLAST=DUMMY","2.5")</f>
        <v>2.5</v>
      </c>
      <c r="BI886" t="str">
        <f>HYPERLINK("http://exon.niaid.nih.gov/transcriptome/Anopheles_sialome/links/TICK-BLOCKS/anocul_SG7-2-TICK-BLOCKS.txt","Anopheles_gSG7 |")</f>
        <v>Anopheles_gSG7 |</v>
      </c>
      <c r="BJ886" s="2" t="s">
        <v>3058</v>
      </c>
      <c r="BK886" t="s">
        <v>2133</v>
      </c>
      <c r="BL886">
        <f>HYPERLINK("http://exon.niaid.nih.gov/transcriptome/Anopheles_sialome/links/cluster-b/anopheline-sialome-cds-pep-larger-orf25-50SimCLU2.txt", 2)</f>
        <v>2</v>
      </c>
      <c r="BM886">
        <f>HYPERLINK("http://exon.niaid.nih.gov/transcriptome/Anopheles_sialome/links/cluster-b/anopheline-sialome-cds-pep-larger-orf25-50SimCLTL2.txt", 120)</f>
        <v>120</v>
      </c>
      <c r="BN886">
        <f>HYPERLINK("http://exon.niaid.nih.gov/transcriptome/Anopheles_sialome/links/cluster-b/anopheline-sialome-cds-pep-larger-orf30-50SimCLU2.txt", 2)</f>
        <v>2</v>
      </c>
      <c r="BO886">
        <f>HYPERLINK("http://exon.niaid.nih.gov/transcriptome/Anopheles_sialome/links/cluster-b/anopheline-sialome-cds-pep-larger-orf30-50SimCLTL2.txt", 120)</f>
        <v>120</v>
      </c>
      <c r="BP886">
        <f>HYPERLINK("http://exon.niaid.nih.gov/transcriptome/Anopheles_sialome/links/cluster-b/anopheline-sialome-cds-pep-larger-orf35-50SimCLU1.txt", 1)</f>
        <v>1</v>
      </c>
      <c r="BQ886">
        <f>HYPERLINK("http://exon.niaid.nih.gov/transcriptome/Anopheles_sialome/links/cluster-b/anopheline-sialome-cds-pep-larger-orf35-50SimCLTL1.txt", 120)</f>
        <v>120</v>
      </c>
      <c r="BR886">
        <f>HYPERLINK("http://exon.niaid.nih.gov/transcriptome/Anopheles_sialome/links/cluster-b/anopheline-sialome-cds-pep-larger-orf40-50SimCLU7.txt", 7)</f>
        <v>7</v>
      </c>
      <c r="BS886">
        <f>HYPERLINK("http://exon.niaid.nih.gov/transcriptome/Anopheles_sialome/links/cluster-b/anopheline-sialome-cds-pep-larger-orf40-50SimCLTL7.txt", 37)</f>
        <v>37</v>
      </c>
      <c r="BT886">
        <f>HYPERLINK("http://exon.niaid.nih.gov/transcriptome/Anopheles_sialome/links/cluster-b/anopheline-sialome-cds-pep-larger-orf45-50SimCLU6.txt", 6)</f>
        <v>6</v>
      </c>
      <c r="BU886">
        <f>HYPERLINK("http://exon.niaid.nih.gov/transcriptome/Anopheles_sialome/links/cluster-b/anopheline-sialome-cds-pep-larger-orf45-50SimCLTL6.txt", 37)</f>
        <v>37</v>
      </c>
      <c r="BV886">
        <f>HYPERLINK("http://exon.niaid.nih.gov/transcriptome/Anopheles_sialome/links/cluster-b/anopheline-sialome-cds-pep-larger-orf50-50SimCLU6.txt", 6)</f>
        <v>6</v>
      </c>
      <c r="BW886">
        <f>HYPERLINK("http://exon.niaid.nih.gov/transcriptome/Anopheles_sialome/links/cluster-b/anopheline-sialome-cds-pep-larger-orf50-50SimCLTL6.txt", 37)</f>
        <v>37</v>
      </c>
      <c r="BX886">
        <f>HYPERLINK("http://exon.niaid.nih.gov/transcriptome/Anopheles_sialome/links/cluster-b/anopheline-sialome-cds-pep-larger-orf55-50SimCLU5.txt", 5)</f>
        <v>5</v>
      </c>
      <c r="BY886">
        <f>HYPERLINK("http://exon.niaid.nih.gov/transcriptome/Anopheles_sialome/links/cluster-b/anopheline-sialome-cds-pep-larger-orf55-50SimCLTL5.txt", 37)</f>
        <v>37</v>
      </c>
      <c r="BZ886">
        <f>HYPERLINK("http://exon.niaid.nih.gov/transcriptome/Anopheles_sialome/links/cluster-b/anopheline-sialome-cds-pep-larger-orf60-50SimCLU4.txt", 4)</f>
        <v>4</v>
      </c>
      <c r="CA886">
        <f>HYPERLINK("http://exon.niaid.nih.gov/transcriptome/Anopheles_sialome/links/cluster-b/anopheline-sialome-cds-pep-larger-orf60-50SimCLTL4.txt", 37)</f>
        <v>37</v>
      </c>
      <c r="CB886">
        <f>HYPERLINK("http://exon.niaid.nih.gov/transcriptome/Anopheles_sialome/links/cluster-b/anopheline-sialome-cds-pep-larger-orf65-50SimCLU17.txt", 17)</f>
        <v>17</v>
      </c>
      <c r="CC886">
        <f>HYPERLINK("http://exon.niaid.nih.gov/transcriptome/Anopheles_sialome/links/cluster-b/anopheline-sialome-cds-pep-larger-orf65-50SimCLTL17.txt", 18)</f>
        <v>18</v>
      </c>
      <c r="CD886">
        <f>HYPERLINK("http://exon.niaid.nih.gov/transcriptome/Anopheles_sialome/links/cluster-b/anopheline-sialome-cds-pep-larger-orf70-50SimCLU16.txt", 16)</f>
        <v>16</v>
      </c>
      <c r="CE886">
        <f>HYPERLINK("http://exon.niaid.nih.gov/transcriptome/Anopheles_sialome/links/cluster-b/anopheline-sialome-cds-pep-larger-orf70-50SimCLTL16.txt", 18)</f>
        <v>18</v>
      </c>
      <c r="CF886">
        <f>HYPERLINK("http://exon.niaid.nih.gov/transcriptome/Anopheles_sialome/links/cluster-b/anopheline-sialome-cds-pep-larger-orf75-50SimCLU10.txt", 10)</f>
        <v>10</v>
      </c>
      <c r="CG886">
        <f>HYPERLINK("http://exon.niaid.nih.gov/transcriptome/Anopheles_sialome/links/cluster-b/anopheline-sialome-cds-pep-larger-orf75-50SimCLTL10.txt", 18)</f>
        <v>18</v>
      </c>
      <c r="CH886">
        <f>HYPERLINK("http://exon.niaid.nih.gov/transcriptome/Anopheles_sialome/links/cluster-b/anopheline-sialome-cds-pep-larger-orf80-50SimCLU15.txt", 15)</f>
        <v>15</v>
      </c>
      <c r="CI886">
        <f>HYPERLINK("http://exon.niaid.nih.gov/transcriptome/Anopheles_sialome/links/cluster-b/anopheline-sialome-cds-pep-larger-orf80-50SimCLTL15.txt", 14)</f>
        <v>14</v>
      </c>
      <c r="CJ886">
        <f>HYPERLINK("http://exon.niaid.nih.gov/transcriptome/Anopheles_sialome/links/cluster-b/anopheline-sialome-cds-pep-larger-orf85-50SimCLU10.txt", 10)</f>
        <v>10</v>
      </c>
      <c r="CK886">
        <f>HYPERLINK("http://exon.niaid.nih.gov/transcriptome/Anopheles_sialome/links/cluster-b/anopheline-sialome-cds-pep-larger-orf85-50SimCLTL10.txt", 14)</f>
        <v>14</v>
      </c>
      <c r="CL886">
        <f>HYPERLINK("http://exon.niaid.nih.gov/transcriptome/Anopheles_sialome/links/cluster-b/anopheline-sialome-cds-pep-larger-orf90-50SimCLU58.txt", 58)</f>
        <v>58</v>
      </c>
      <c r="CM886">
        <f>HYPERLINK("http://exon.niaid.nih.gov/transcriptome/Anopheles_sialome/links/cluster-b/anopheline-sialome-cds-pep-larger-orf90-50SimCLTL58.txt", 3)</f>
        <v>3</v>
      </c>
      <c r="CN886">
        <v>530</v>
      </c>
      <c r="CO886">
        <v>1</v>
      </c>
    </row>
    <row r="887" spans="1:93">
      <c r="A887" s="2" t="str">
        <f>HYPERLINK("http://exon.niaid.nih.gov/transcriptome/Anopheles_sialome/links/cds/anoste_SG7-2-cds.txt","anoste_SG7-2")</f>
        <v>anoste_SG7-2</v>
      </c>
      <c r="B887">
        <v>426</v>
      </c>
      <c r="C887" t="s">
        <v>577</v>
      </c>
      <c r="D887" t="s">
        <v>7</v>
      </c>
      <c r="E887" t="s">
        <v>5</v>
      </c>
      <c r="F887" t="s">
        <v>1</v>
      </c>
      <c r="G887" t="str">
        <f>HYPERLINK("http://exon.niaid.nih.gov/transcriptome/Anopheles_sialome/links/pep/anoste_SG7-2-pep.txt","anoste_SG7-2")</f>
        <v>anoste_SG7-2</v>
      </c>
      <c r="H887">
        <v>141</v>
      </c>
      <c r="I887">
        <v>0</v>
      </c>
      <c r="J887" s="3" t="str">
        <f>HYPERLINK("http://exon.niaid.nih.gov/transcriptome/Anopheles_sialome/links/Sigp/anoste_SG7-2-SigP.txt","SIG")</f>
        <v>SIG</v>
      </c>
      <c r="K887" t="s">
        <v>787</v>
      </c>
      <c r="L887">
        <v>16.524999999999999</v>
      </c>
      <c r="M887">
        <v>9.67</v>
      </c>
      <c r="N887">
        <v>13.855</v>
      </c>
      <c r="O887">
        <v>9.76</v>
      </c>
      <c r="P887" t="s">
        <v>2136</v>
      </c>
      <c r="Q887" s="3" t="str">
        <f>HYPERLINK("http://exon.niaid.nih.gov/transcriptome/Anopheles_sialome/links/tmhmm/anoste_SG7-2-tmhmm.txt","1")</f>
        <v>1</v>
      </c>
      <c r="R887">
        <v>15.6</v>
      </c>
      <c r="S887">
        <v>79.400000000000006</v>
      </c>
      <c r="T887">
        <v>5</v>
      </c>
      <c r="U887" t="s">
        <v>128</v>
      </c>
      <c r="V887">
        <v>112</v>
      </c>
      <c r="W887" s="3" t="str">
        <f>HYPERLINK("http://exon.niaid.nih.gov/transcriptome/Anopheles_sialome/links/netoglyc/anoste_SG7-2-netoglyc.txt","0")</f>
        <v>0</v>
      </c>
      <c r="X887">
        <v>10.6</v>
      </c>
      <c r="Y887">
        <v>2.1</v>
      </c>
      <c r="Z887">
        <v>3.5</v>
      </c>
      <c r="AA887" t="s">
        <v>654</v>
      </c>
      <c r="AB887" t="s">
        <v>128</v>
      </c>
      <c r="AC887" s="2" t="str">
        <f>HYPERLINK("http://exon.niaid.nih.gov/transcriptome/Anopheles_sialome/links/DIPTERA/anoste_SG7-2-DIPTERA.txt","putative salivary protein gSG7")</f>
        <v>putative salivary protein gSG7</v>
      </c>
      <c r="AD887" t="str">
        <f>HYPERLINK("http://www.ncbi.nlm.nih.gov/sutils/blink.cgi?pid=27372909","5E-077")</f>
        <v>5E-077</v>
      </c>
      <c r="AE887" t="str">
        <f>HYPERLINK("http://www.ncbi.nlm.nih.gov/protein/27372909","gi|27372909")</f>
        <v>gi|27372909</v>
      </c>
      <c r="AF887">
        <v>97</v>
      </c>
      <c r="AG887">
        <v>98</v>
      </c>
      <c r="AH887">
        <v>99</v>
      </c>
      <c r="AI887" t="s">
        <v>2271</v>
      </c>
      <c r="AJ887" s="2" t="str">
        <f>HYPERLINK("http://exon.niaid.nih.gov/transcriptome/Anopheles_sialome/links/CULICOMORPHA/anoste_SG7-2-CULICOMORPHA.txt","putative salivary protein gSG7")</f>
        <v>putative salivary protein gSG7</v>
      </c>
      <c r="AK887" t="str">
        <f>HYPERLINK("http://www.ncbi.nlm.nih.gov/sutils/blink.cgi?pid=27372909","9E-078")</f>
        <v>9E-078</v>
      </c>
      <c r="AL887" t="str">
        <f>HYPERLINK("http://www.ncbi.nlm.nih.gov/protein/27372909","gi|27372909")</f>
        <v>gi|27372909</v>
      </c>
      <c r="AM887">
        <v>97</v>
      </c>
      <c r="AN887">
        <v>98</v>
      </c>
      <c r="AO887">
        <v>99</v>
      </c>
      <c r="AP887" t="s">
        <v>2271</v>
      </c>
      <c r="AQ887" s="2" t="str">
        <f>HYPERLINK("http://exon.niaid.nih.gov/transcriptome/Anopheles_sialome/links/NR-LIGHT/anoste_SG7-2-NR-LIGHT.txt","putative salivary protein gSG7")</f>
        <v>putative salivary protein gSG7</v>
      </c>
      <c r="AR887" t="str">
        <f>HYPERLINK("http://www.ncbi.nlm.nih.gov/sutils/blink.cgi?pid=27372909","1E-076")</f>
        <v>1E-076</v>
      </c>
      <c r="AS887" t="str">
        <f>HYPERLINK("http://www.ncbi.nlm.nih.gov/protein/27372909","gi|27372909")</f>
        <v>gi|27372909</v>
      </c>
      <c r="AT887">
        <v>97</v>
      </c>
      <c r="AU887">
        <v>98</v>
      </c>
      <c r="AV887">
        <v>99</v>
      </c>
      <c r="AW887" t="s">
        <v>2271</v>
      </c>
      <c r="AX887" s="2" t="str">
        <f>HYPERLINK("http://exon.niaid.nih.gov/transcriptome/Anopheles_sialome/links/CDD/anoste_SG7-2-CDD.txt","CeuC")</f>
        <v>CeuC</v>
      </c>
      <c r="AY887" t="str">
        <f>HYPERLINK("http://www.ncbi.nlm.nih.gov/Structure/cdd/cddsrv.cgi?uid=COG4605&amp;version=v4.0","0.21")</f>
        <v>0.21</v>
      </c>
      <c r="AZ887" t="s">
        <v>3087</v>
      </c>
      <c r="BA887" s="2" t="str">
        <f>HYPERLINK("http://exon.niaid.nih.gov/transcriptome/Anopheles_sialome/links/KOG/anoste_SG7-2-KOG.txt","Mitochondrial processing peptidase, beta subunit, and related enzymes (insulinase superfamily)")</f>
        <v>Mitochondrial processing peptidase, beta subunit, and related enzymes (insulinase superfamily)</v>
      </c>
      <c r="BB887" t="str">
        <f>HYPERLINK("http://www.ncbi.nlm.nih.gov/Structure/cdd/cddsrv.cgi?uid=KOG0960","5.4")</f>
        <v>5.4</v>
      </c>
      <c r="BC887" t="s">
        <v>2296</v>
      </c>
      <c r="BD887" t="str">
        <f>HYPERLINK("http://exon.niaid.nih.gov/transcriptome/Anopheles_sialome/links/KOG/anoste_SG7-2-KOG.txt","KOG0960")</f>
        <v>KOG0960</v>
      </c>
      <c r="BE887" t="str">
        <f>HYPERLINK("http://exon.niaid.nih.gov/transcriptome/Anopheles_sialome/links/PFAM/anoste_SG7-2-PFAM.txt","Arena_nucleocap")</f>
        <v>Arena_nucleocap</v>
      </c>
      <c r="BF887" t="str">
        <f>HYPERLINK("http://pfam.sanger.ac.uk/family?acc=PF00843","0.91")</f>
        <v>0.91</v>
      </c>
      <c r="BG887" s="2" t="str">
        <f>HYPERLINK("http://exon.niaid.nih.gov/transcriptome/Anopheles_sialome/links/SMART/anoste_SG7-2-SMART.txt","LNS2")</f>
        <v>LNS2</v>
      </c>
      <c r="BH887" t="str">
        <f>HYPERLINK("http://smart.embl-heidelberg.de/smart/do_annotation.pl?DOMAIN=LNS2&amp;BLAST=DUMMY","2.6")</f>
        <v>2.6</v>
      </c>
      <c r="BI887" t="str">
        <f>HYPERLINK("http://exon.niaid.nih.gov/transcriptome/Anopheles_sialome/links/TICK-BLOCKS/anoste_SG7-2-TICK-BLOCKS.txt","Anopheles_gSG7 |")</f>
        <v>Anopheles_gSG7 |</v>
      </c>
      <c r="BJ887" s="2" t="s">
        <v>3058</v>
      </c>
      <c r="BK887" t="s">
        <v>2135</v>
      </c>
      <c r="BL887">
        <f>HYPERLINK("http://exon.niaid.nih.gov/transcriptome/Anopheles_sialome/links/cluster-b/anopheline-sialome-cds-pep-larger-orf25-50SimCLU2.txt", 2)</f>
        <v>2</v>
      </c>
      <c r="BM887">
        <f>HYPERLINK("http://exon.niaid.nih.gov/transcriptome/Anopheles_sialome/links/cluster-b/anopheline-sialome-cds-pep-larger-orf25-50SimCLTL2.txt", 120)</f>
        <v>120</v>
      </c>
      <c r="BN887">
        <f>HYPERLINK("http://exon.niaid.nih.gov/transcriptome/Anopheles_sialome/links/cluster-b/anopheline-sialome-cds-pep-larger-orf30-50SimCLU2.txt", 2)</f>
        <v>2</v>
      </c>
      <c r="BO887">
        <f>HYPERLINK("http://exon.niaid.nih.gov/transcriptome/Anopheles_sialome/links/cluster-b/anopheline-sialome-cds-pep-larger-orf30-50SimCLTL2.txt", 120)</f>
        <v>120</v>
      </c>
      <c r="BP887">
        <f>HYPERLINK("http://exon.niaid.nih.gov/transcriptome/Anopheles_sialome/links/cluster-b/anopheline-sialome-cds-pep-larger-orf35-50SimCLU1.txt", 1)</f>
        <v>1</v>
      </c>
      <c r="BQ887">
        <f>HYPERLINK("http://exon.niaid.nih.gov/transcriptome/Anopheles_sialome/links/cluster-b/anopheline-sialome-cds-pep-larger-orf35-50SimCLTL1.txt", 120)</f>
        <v>120</v>
      </c>
      <c r="BR887">
        <f>HYPERLINK("http://exon.niaid.nih.gov/transcriptome/Anopheles_sialome/links/cluster-b/anopheline-sialome-cds-pep-larger-orf40-50SimCLU7.txt", 7)</f>
        <v>7</v>
      </c>
      <c r="BS887">
        <f>HYPERLINK("http://exon.niaid.nih.gov/transcriptome/Anopheles_sialome/links/cluster-b/anopheline-sialome-cds-pep-larger-orf40-50SimCLTL7.txt", 37)</f>
        <v>37</v>
      </c>
      <c r="BT887">
        <f>HYPERLINK("http://exon.niaid.nih.gov/transcriptome/Anopheles_sialome/links/cluster-b/anopheline-sialome-cds-pep-larger-orf45-50SimCLU6.txt", 6)</f>
        <v>6</v>
      </c>
      <c r="BU887">
        <f>HYPERLINK("http://exon.niaid.nih.gov/transcriptome/Anopheles_sialome/links/cluster-b/anopheline-sialome-cds-pep-larger-orf45-50SimCLTL6.txt", 37)</f>
        <v>37</v>
      </c>
      <c r="BV887">
        <f>HYPERLINK("http://exon.niaid.nih.gov/transcriptome/Anopheles_sialome/links/cluster-b/anopheline-sialome-cds-pep-larger-orf50-50SimCLU6.txt", 6)</f>
        <v>6</v>
      </c>
      <c r="BW887">
        <f>HYPERLINK("http://exon.niaid.nih.gov/transcriptome/Anopheles_sialome/links/cluster-b/anopheline-sialome-cds-pep-larger-orf50-50SimCLTL6.txt", 37)</f>
        <v>37</v>
      </c>
      <c r="BX887">
        <f>HYPERLINK("http://exon.niaid.nih.gov/transcriptome/Anopheles_sialome/links/cluster-b/anopheline-sialome-cds-pep-larger-orf55-50SimCLU5.txt", 5)</f>
        <v>5</v>
      </c>
      <c r="BY887">
        <f>HYPERLINK("http://exon.niaid.nih.gov/transcriptome/Anopheles_sialome/links/cluster-b/anopheline-sialome-cds-pep-larger-orf55-50SimCLTL5.txt", 37)</f>
        <v>37</v>
      </c>
      <c r="BZ887">
        <f>HYPERLINK("http://exon.niaid.nih.gov/transcriptome/Anopheles_sialome/links/cluster-b/anopheline-sialome-cds-pep-larger-orf60-50SimCLU4.txt", 4)</f>
        <v>4</v>
      </c>
      <c r="CA887">
        <f>HYPERLINK("http://exon.niaid.nih.gov/transcriptome/Anopheles_sialome/links/cluster-b/anopheline-sialome-cds-pep-larger-orf60-50SimCLTL4.txt", 37)</f>
        <v>37</v>
      </c>
      <c r="CB887">
        <f>HYPERLINK("http://exon.niaid.nih.gov/transcriptome/Anopheles_sialome/links/cluster-b/anopheline-sialome-cds-pep-larger-orf65-50SimCLU17.txt", 17)</f>
        <v>17</v>
      </c>
      <c r="CC887">
        <f>HYPERLINK("http://exon.niaid.nih.gov/transcriptome/Anopheles_sialome/links/cluster-b/anopheline-sialome-cds-pep-larger-orf65-50SimCLTL17.txt", 18)</f>
        <v>18</v>
      </c>
      <c r="CD887">
        <f>HYPERLINK("http://exon.niaid.nih.gov/transcriptome/Anopheles_sialome/links/cluster-b/anopheline-sialome-cds-pep-larger-orf70-50SimCLU16.txt", 16)</f>
        <v>16</v>
      </c>
      <c r="CE887">
        <f>HYPERLINK("http://exon.niaid.nih.gov/transcriptome/Anopheles_sialome/links/cluster-b/anopheline-sialome-cds-pep-larger-orf70-50SimCLTL16.txt", 18)</f>
        <v>18</v>
      </c>
      <c r="CF887">
        <f>HYPERLINK("http://exon.niaid.nih.gov/transcriptome/Anopheles_sialome/links/cluster-b/anopheline-sialome-cds-pep-larger-orf75-50SimCLU10.txt", 10)</f>
        <v>10</v>
      </c>
      <c r="CG887">
        <f>HYPERLINK("http://exon.niaid.nih.gov/transcriptome/Anopheles_sialome/links/cluster-b/anopheline-sialome-cds-pep-larger-orf75-50SimCLTL10.txt", 18)</f>
        <v>18</v>
      </c>
      <c r="CH887">
        <f>HYPERLINK("http://exon.niaid.nih.gov/transcriptome/Anopheles_sialome/links/cluster-b/anopheline-sialome-cds-pep-larger-orf80-50SimCLU15.txt", 15)</f>
        <v>15</v>
      </c>
      <c r="CI887">
        <f>HYPERLINK("http://exon.niaid.nih.gov/transcriptome/Anopheles_sialome/links/cluster-b/anopheline-sialome-cds-pep-larger-orf80-50SimCLTL15.txt", 14)</f>
        <v>14</v>
      </c>
      <c r="CJ887">
        <f>HYPERLINK("http://exon.niaid.nih.gov/transcriptome/Anopheles_sialome/links/cluster-b/anopheline-sialome-cds-pep-larger-orf85-50SimCLU10.txt", 10)</f>
        <v>10</v>
      </c>
      <c r="CK887">
        <f>HYPERLINK("http://exon.niaid.nih.gov/transcriptome/Anopheles_sialome/links/cluster-b/anopheline-sialome-cds-pep-larger-orf85-50SimCLTL10.txt", 14)</f>
        <v>14</v>
      </c>
      <c r="CL887">
        <v>423</v>
      </c>
      <c r="CM887">
        <v>1</v>
      </c>
      <c r="CN887">
        <v>531</v>
      </c>
      <c r="CO887">
        <v>1</v>
      </c>
    </row>
    <row r="888" spans="1:93">
      <c r="A888" s="2" t="str">
        <f>HYPERLINK("http://exon.niaid.nih.gov/transcriptome/Anopheles_sialome/links/cds/anofar_SG7-2-cds.txt","anofar_SG7-2")</f>
        <v>anofar_SG7-2</v>
      </c>
      <c r="B888">
        <v>432</v>
      </c>
      <c r="C888" t="s">
        <v>590</v>
      </c>
      <c r="D888" t="s">
        <v>4</v>
      </c>
      <c r="E888" t="s">
        <v>5</v>
      </c>
      <c r="F888" t="s">
        <v>1</v>
      </c>
      <c r="G888" t="str">
        <f>HYPERLINK("http://exon.niaid.nih.gov/transcriptome/Anopheles_sialome/links/pep/anofar_SG7-2-pep.txt","anofar_SG7-2")</f>
        <v>anofar_SG7-2</v>
      </c>
      <c r="H888">
        <v>143</v>
      </c>
      <c r="I888">
        <v>0</v>
      </c>
      <c r="J888" s="3" t="str">
        <f>HYPERLINK("http://exon.niaid.nih.gov/transcriptome/Anopheles_sialome/links/Sigp/anofar_SG7-2-SigP.txt","SIG")</f>
        <v>SIG</v>
      </c>
      <c r="K888" t="s">
        <v>1182</v>
      </c>
      <c r="L888">
        <v>16.637</v>
      </c>
      <c r="M888">
        <v>9.67</v>
      </c>
      <c r="N888">
        <v>13.827999999999999</v>
      </c>
      <c r="O888">
        <v>9.84</v>
      </c>
      <c r="P888" t="s">
        <v>2138</v>
      </c>
      <c r="Q888" s="3" t="str">
        <f>HYPERLINK("http://exon.niaid.nih.gov/transcriptome/Anopheles_sialome/links/tmhmm/anofar_SG7-2-tmhmm.txt","1")</f>
        <v>1</v>
      </c>
      <c r="R888">
        <v>11.9</v>
      </c>
      <c r="S888">
        <v>84.6</v>
      </c>
      <c r="T888">
        <v>3.5</v>
      </c>
      <c r="U888" t="s">
        <v>128</v>
      </c>
      <c r="V888">
        <v>121</v>
      </c>
      <c r="W888" s="3" t="str">
        <f>HYPERLINK("http://exon.niaid.nih.gov/transcriptome/Anopheles_sialome/links/netoglyc/anofar_SG7-2-netoglyc.txt","0")</f>
        <v>0</v>
      </c>
      <c r="X888">
        <v>9.1</v>
      </c>
      <c r="Y888">
        <v>4.9000000000000004</v>
      </c>
      <c r="Z888">
        <v>2.1</v>
      </c>
      <c r="AA888" t="s">
        <v>654</v>
      </c>
      <c r="AB888" t="s">
        <v>128</v>
      </c>
      <c r="AC888" s="2" t="str">
        <f>HYPERLINK("http://exon.niaid.nih.gov/transcriptome/Anopheles_sialome/links/DIPTERA/anofar_SG7-2-DIPTERA.txt","putative salivary protein gSG7")</f>
        <v>putative salivary protein gSG7</v>
      </c>
      <c r="AD888" t="str">
        <f>HYPERLINK("http://www.ncbi.nlm.nih.gov/sutils/blink.cgi?pid=27372909","3E-048")</f>
        <v>3E-048</v>
      </c>
      <c r="AE888" t="str">
        <f>HYPERLINK("http://www.ncbi.nlm.nih.gov/protein/27372909","gi|27372909")</f>
        <v>gi|27372909</v>
      </c>
      <c r="AF888">
        <v>62</v>
      </c>
      <c r="AG888">
        <v>79</v>
      </c>
      <c r="AH888">
        <v>98</v>
      </c>
      <c r="AI888" t="s">
        <v>2271</v>
      </c>
      <c r="AJ888" s="2" t="str">
        <f>HYPERLINK("http://exon.niaid.nih.gov/transcriptome/Anopheles_sialome/links/CULICOMORPHA/anofar_SG7-2-CULICOMORPHA.txt","putative salivary protein gSG7")</f>
        <v>putative salivary protein gSG7</v>
      </c>
      <c r="AK888" t="str">
        <f>HYPERLINK("http://www.ncbi.nlm.nih.gov/sutils/blink.cgi?pid=27372909","7E-049")</f>
        <v>7E-049</v>
      </c>
      <c r="AL888" t="str">
        <f>HYPERLINK("http://www.ncbi.nlm.nih.gov/protein/27372909","gi|27372909")</f>
        <v>gi|27372909</v>
      </c>
      <c r="AM888">
        <v>62</v>
      </c>
      <c r="AN888">
        <v>79</v>
      </c>
      <c r="AO888">
        <v>98</v>
      </c>
      <c r="AP888" t="s">
        <v>2271</v>
      </c>
      <c r="AQ888" s="2" t="str">
        <f>HYPERLINK("http://exon.niaid.nih.gov/transcriptome/Anopheles_sialome/links/NR-LIGHT/anofar_SG7-2-NR-LIGHT.txt","putative salivary protein gSG7")</f>
        <v>putative salivary protein gSG7</v>
      </c>
      <c r="AR888" t="str">
        <f>HYPERLINK("http://www.ncbi.nlm.nih.gov/sutils/blink.cgi?pid=27372909","1E-047")</f>
        <v>1E-047</v>
      </c>
      <c r="AS888" t="str">
        <f>HYPERLINK("http://www.ncbi.nlm.nih.gov/protein/27372909","gi|27372909")</f>
        <v>gi|27372909</v>
      </c>
      <c r="AT888">
        <v>62</v>
      </c>
      <c r="AU888">
        <v>79</v>
      </c>
      <c r="AV888">
        <v>98</v>
      </c>
      <c r="AW888" t="s">
        <v>2271</v>
      </c>
      <c r="AX888" s="2" t="str">
        <f>HYPERLINK("http://exon.niaid.nih.gov/transcriptome/Anopheles_sialome/links/CDD/anofar_SG7-2-CDD.txt","STKc_MSK1_N")</f>
        <v>STKc_MSK1_N</v>
      </c>
      <c r="AY888" t="str">
        <f>HYPERLINK("http://www.ncbi.nlm.nih.gov/Structure/cdd/cddsrv.cgi?uid=cd05613&amp;version=v4.0","0.98")</f>
        <v>0.98</v>
      </c>
      <c r="AZ888" t="s">
        <v>3088</v>
      </c>
      <c r="BA888" s="2" t="str">
        <f>HYPERLINK("http://exon.niaid.nih.gov/transcriptome/Anopheles_sialome/links/KOG/anofar_SG7-2-KOG.txt","Heparin sulfate cell surface proteoglycan")</f>
        <v>Heparin sulfate cell surface proteoglycan</v>
      </c>
      <c r="BB888" t="str">
        <f>HYPERLINK("http://www.ncbi.nlm.nih.gov/Structure/cdd/cddsrv.cgi?uid=KOG3821","0.009")</f>
        <v>0.009</v>
      </c>
      <c r="BC888" t="s">
        <v>2292</v>
      </c>
      <c r="BD888" t="str">
        <f>HYPERLINK("http://exon.niaid.nih.gov/transcriptome/Anopheles_sialome/links/KOG/anofar_SG7-2-KOG.txt","KOG3821")</f>
        <v>KOG3821</v>
      </c>
      <c r="BE888" t="str">
        <f>HYPERLINK("http://exon.niaid.nih.gov/transcriptome/Anopheles_sialome/links/PFAM/anofar_SG7-2-PFAM.txt","Carn_acyltransf")</f>
        <v>Carn_acyltransf</v>
      </c>
      <c r="BF888" t="str">
        <f>HYPERLINK("http://pfam.sanger.ac.uk/family?acc=PF00755","1.5")</f>
        <v>1.5</v>
      </c>
      <c r="BG888" s="2" t="str">
        <f>HYPERLINK("http://exon.niaid.nih.gov/transcriptome/Anopheles_sialome/links/SMART/anofar_SG7-2-SMART.txt","LNS2")</f>
        <v>LNS2</v>
      </c>
      <c r="BH888" t="str">
        <f>HYPERLINK("http://smart.embl-heidelberg.de/smart/do_annotation.pl?DOMAIN=LNS2&amp;BLAST=DUMMY","0.22")</f>
        <v>0.22</v>
      </c>
      <c r="BI888" t="str">
        <f>HYPERLINK("http://exon.niaid.nih.gov/transcriptome/Anopheles_sialome/links/TICK-BLOCKS/anofar_SG7-2-TICK-BLOCKS.txt","Anopheles_gSG7 |")</f>
        <v>Anopheles_gSG7 |</v>
      </c>
      <c r="BJ888" s="2" t="s">
        <v>3058</v>
      </c>
      <c r="BK888" t="s">
        <v>2137</v>
      </c>
      <c r="BL888">
        <f>HYPERLINK("http://exon.niaid.nih.gov/transcriptome/Anopheles_sialome/links/cluster-b/anopheline-sialome-cds-pep-larger-orf25-50SimCLU2.txt", 2)</f>
        <v>2</v>
      </c>
      <c r="BM888">
        <f>HYPERLINK("http://exon.niaid.nih.gov/transcriptome/Anopheles_sialome/links/cluster-b/anopheline-sialome-cds-pep-larger-orf25-50SimCLTL2.txt", 120)</f>
        <v>120</v>
      </c>
      <c r="BN888">
        <f>HYPERLINK("http://exon.niaid.nih.gov/transcriptome/Anopheles_sialome/links/cluster-b/anopheline-sialome-cds-pep-larger-orf30-50SimCLU2.txt", 2)</f>
        <v>2</v>
      </c>
      <c r="BO888">
        <f>HYPERLINK("http://exon.niaid.nih.gov/transcriptome/Anopheles_sialome/links/cluster-b/anopheline-sialome-cds-pep-larger-orf30-50SimCLTL2.txt", 120)</f>
        <v>120</v>
      </c>
      <c r="BP888">
        <f>HYPERLINK("http://exon.niaid.nih.gov/transcriptome/Anopheles_sialome/links/cluster-b/anopheline-sialome-cds-pep-larger-orf35-50SimCLU1.txt", 1)</f>
        <v>1</v>
      </c>
      <c r="BQ888">
        <f>HYPERLINK("http://exon.niaid.nih.gov/transcriptome/Anopheles_sialome/links/cluster-b/anopheline-sialome-cds-pep-larger-orf35-50SimCLTL1.txt", 120)</f>
        <v>120</v>
      </c>
      <c r="BR888">
        <f>HYPERLINK("http://exon.niaid.nih.gov/transcriptome/Anopheles_sialome/links/cluster-b/anopheline-sialome-cds-pep-larger-orf40-50SimCLU7.txt", 7)</f>
        <v>7</v>
      </c>
      <c r="BS888">
        <f>HYPERLINK("http://exon.niaid.nih.gov/transcriptome/Anopheles_sialome/links/cluster-b/anopheline-sialome-cds-pep-larger-orf40-50SimCLTL7.txt", 37)</f>
        <v>37</v>
      </c>
      <c r="BT888">
        <f>HYPERLINK("http://exon.niaid.nih.gov/transcriptome/Anopheles_sialome/links/cluster-b/anopheline-sialome-cds-pep-larger-orf45-50SimCLU6.txt", 6)</f>
        <v>6</v>
      </c>
      <c r="BU888">
        <f>HYPERLINK("http://exon.niaid.nih.gov/transcriptome/Anopheles_sialome/links/cluster-b/anopheline-sialome-cds-pep-larger-orf45-50SimCLTL6.txt", 37)</f>
        <v>37</v>
      </c>
      <c r="BV888">
        <f>HYPERLINK("http://exon.niaid.nih.gov/transcriptome/Anopheles_sialome/links/cluster-b/anopheline-sialome-cds-pep-larger-orf50-50SimCLU6.txt", 6)</f>
        <v>6</v>
      </c>
      <c r="BW888">
        <f>HYPERLINK("http://exon.niaid.nih.gov/transcriptome/Anopheles_sialome/links/cluster-b/anopheline-sialome-cds-pep-larger-orf50-50SimCLTL6.txt", 37)</f>
        <v>37</v>
      </c>
      <c r="BX888">
        <f>HYPERLINK("http://exon.niaid.nih.gov/transcriptome/Anopheles_sialome/links/cluster-b/anopheline-sialome-cds-pep-larger-orf55-50SimCLU5.txt", 5)</f>
        <v>5</v>
      </c>
      <c r="BY888">
        <f>HYPERLINK("http://exon.niaid.nih.gov/transcriptome/Anopheles_sialome/links/cluster-b/anopheline-sialome-cds-pep-larger-orf55-50SimCLTL5.txt", 37)</f>
        <v>37</v>
      </c>
      <c r="BZ888">
        <f>HYPERLINK("http://exon.niaid.nih.gov/transcriptome/Anopheles_sialome/links/cluster-b/anopheline-sialome-cds-pep-larger-orf60-50SimCLU4.txt", 4)</f>
        <v>4</v>
      </c>
      <c r="CA888">
        <f>HYPERLINK("http://exon.niaid.nih.gov/transcriptome/Anopheles_sialome/links/cluster-b/anopheline-sialome-cds-pep-larger-orf60-50SimCLTL4.txt", 37)</f>
        <v>37</v>
      </c>
      <c r="CB888">
        <f>HYPERLINK("http://exon.niaid.nih.gov/transcriptome/Anopheles_sialome/links/cluster-b/anopheline-sialome-cds-pep-larger-orf65-50SimCLU17.txt", 17)</f>
        <v>17</v>
      </c>
      <c r="CC888">
        <f>HYPERLINK("http://exon.niaid.nih.gov/transcriptome/Anopheles_sialome/links/cluster-b/anopheline-sialome-cds-pep-larger-orf65-50SimCLTL17.txt", 18)</f>
        <v>18</v>
      </c>
      <c r="CD888">
        <f>HYPERLINK("http://exon.niaid.nih.gov/transcriptome/Anopheles_sialome/links/cluster-b/anopheline-sialome-cds-pep-larger-orf70-50SimCLU16.txt", 16)</f>
        <v>16</v>
      </c>
      <c r="CE888">
        <f>HYPERLINK("http://exon.niaid.nih.gov/transcriptome/Anopheles_sialome/links/cluster-b/anopheline-sialome-cds-pep-larger-orf70-50SimCLTL16.txt", 18)</f>
        <v>18</v>
      </c>
      <c r="CF888">
        <f>HYPERLINK("http://exon.niaid.nih.gov/transcriptome/Anopheles_sialome/links/cluster-b/anopheline-sialome-cds-pep-larger-orf75-50SimCLU10.txt", 10)</f>
        <v>10</v>
      </c>
      <c r="CG888">
        <f>HYPERLINK("http://exon.niaid.nih.gov/transcriptome/Anopheles_sialome/links/cluster-b/anopheline-sialome-cds-pep-larger-orf75-50SimCLTL10.txt", 18)</f>
        <v>18</v>
      </c>
      <c r="CH888">
        <f>HYPERLINK("http://exon.niaid.nih.gov/transcriptome/Anopheles_sialome/links/cluster-b/anopheline-sialome-cds-pep-larger-orf80-50SimCLU106.txt", 106)</f>
        <v>106</v>
      </c>
      <c r="CI888">
        <f>HYPERLINK("http://exon.niaid.nih.gov/transcriptome/Anopheles_sialome/links/cluster-b/anopheline-sialome-cds-pep-larger-orf80-50SimCLTL106.txt", 2)</f>
        <v>2</v>
      </c>
      <c r="CJ888">
        <v>326</v>
      </c>
      <c r="CK888">
        <v>1</v>
      </c>
      <c r="CL888">
        <v>424</v>
      </c>
      <c r="CM888">
        <v>1</v>
      </c>
      <c r="CN888">
        <v>532</v>
      </c>
      <c r="CO888">
        <v>1</v>
      </c>
    </row>
    <row r="889" spans="1:93">
      <c r="A889" s="2" t="str">
        <f>HYPERLINK("http://exon.niaid.nih.gov/transcriptome/Anopheles_sialome/links/cds/anodir_SG7-2-cds.txt","anodir_SG7-2")</f>
        <v>anodir_SG7-2</v>
      </c>
      <c r="B889">
        <v>432</v>
      </c>
      <c r="C889" t="s">
        <v>591</v>
      </c>
      <c r="D889" t="s">
        <v>4</v>
      </c>
      <c r="E889" t="s">
        <v>5</v>
      </c>
      <c r="F889" t="s">
        <v>1</v>
      </c>
      <c r="G889" t="str">
        <f>HYPERLINK("http://exon.niaid.nih.gov/transcriptome/Anopheles_sialome/links/pep/anodir_SG7-2-pep.txt","anodir_SG7-2")</f>
        <v>anodir_SG7-2</v>
      </c>
      <c r="H889">
        <v>143</v>
      </c>
      <c r="I889">
        <v>0</v>
      </c>
      <c r="J889" s="3" t="str">
        <f>HYPERLINK("http://exon.niaid.nih.gov/transcriptome/Anopheles_sialome/links/Sigp/anodir_SG7-2-SigP.txt","SIG")</f>
        <v>SIG</v>
      </c>
      <c r="K889" t="s">
        <v>1182</v>
      </c>
      <c r="L889">
        <v>16.821999999999999</v>
      </c>
      <c r="M889">
        <v>9.85</v>
      </c>
      <c r="N889">
        <v>14.007</v>
      </c>
      <c r="O889">
        <v>9.91</v>
      </c>
      <c r="P889" t="s">
        <v>2140</v>
      </c>
      <c r="Q889" s="3" t="str">
        <f>HYPERLINK("http://exon.niaid.nih.gov/transcriptome/Anopheles_sialome/links/tmhmm/anodir_SG7-2-tmhmm.txt","1")</f>
        <v>1</v>
      </c>
      <c r="R889">
        <v>15.4</v>
      </c>
      <c r="S889">
        <v>79.7</v>
      </c>
      <c r="T889">
        <v>4.9000000000000004</v>
      </c>
      <c r="U889" t="s">
        <v>128</v>
      </c>
      <c r="V889">
        <v>114</v>
      </c>
      <c r="W889" s="3" t="str">
        <f>HYPERLINK("http://exon.niaid.nih.gov/transcriptome/Anopheles_sialome/links/netoglyc/anodir_SG7-2-netoglyc.txt","1")</f>
        <v>1</v>
      </c>
      <c r="X889">
        <v>10.5</v>
      </c>
      <c r="Y889">
        <v>2.8</v>
      </c>
      <c r="Z889">
        <v>3.5</v>
      </c>
      <c r="AA889" t="s">
        <v>654</v>
      </c>
      <c r="AB889" t="s">
        <v>128</v>
      </c>
      <c r="AC889" s="2" t="str">
        <f>HYPERLINK("http://exon.niaid.nih.gov/transcriptome/Anopheles_sialome/links/DIPTERA/anodir_SG7-2-DIPTERA.txt","putative salivary protein gSG7")</f>
        <v>putative salivary protein gSG7</v>
      </c>
      <c r="AD889" t="str">
        <f>HYPERLINK("http://www.ncbi.nlm.nih.gov/sutils/blink.cgi?pid=27372909","4E-050")</f>
        <v>4E-050</v>
      </c>
      <c r="AE889" t="str">
        <f>HYPERLINK("http://www.ncbi.nlm.nih.gov/protein/27372909","gi|27372909")</f>
        <v>gi|27372909</v>
      </c>
      <c r="AF889">
        <v>64</v>
      </c>
      <c r="AG889">
        <v>79</v>
      </c>
      <c r="AH889">
        <v>100</v>
      </c>
      <c r="AI889" t="s">
        <v>2271</v>
      </c>
      <c r="AJ889" s="2" t="str">
        <f>HYPERLINK("http://exon.niaid.nih.gov/transcriptome/Anopheles_sialome/links/CULICOMORPHA/anodir_SG7-2-CULICOMORPHA.txt","putative salivary protein gSG7")</f>
        <v>putative salivary protein gSG7</v>
      </c>
      <c r="AK889" t="str">
        <f>HYPERLINK("http://www.ncbi.nlm.nih.gov/sutils/blink.cgi?pid=27372909","7E-051")</f>
        <v>7E-051</v>
      </c>
      <c r="AL889" t="str">
        <f>HYPERLINK("http://www.ncbi.nlm.nih.gov/protein/27372909","gi|27372909")</f>
        <v>gi|27372909</v>
      </c>
      <c r="AM889">
        <v>64</v>
      </c>
      <c r="AN889">
        <v>79</v>
      </c>
      <c r="AO889">
        <v>100</v>
      </c>
      <c r="AP889" t="s">
        <v>2271</v>
      </c>
      <c r="AQ889" s="2" t="str">
        <f>HYPERLINK("http://exon.niaid.nih.gov/transcriptome/Anopheles_sialome/links/NR-LIGHT/anodir_SG7-2-NR-LIGHT.txt","putative salivary protein gSG7")</f>
        <v>putative salivary protein gSG7</v>
      </c>
      <c r="AR889" t="str">
        <f>HYPERLINK("http://www.ncbi.nlm.nih.gov/sutils/blink.cgi?pid=27372909","1E-049")</f>
        <v>1E-049</v>
      </c>
      <c r="AS889" t="str">
        <f>HYPERLINK("http://www.ncbi.nlm.nih.gov/protein/27372909","gi|27372909")</f>
        <v>gi|27372909</v>
      </c>
      <c r="AT889">
        <v>64</v>
      </c>
      <c r="AU889">
        <v>79</v>
      </c>
      <c r="AV889">
        <v>100</v>
      </c>
      <c r="AW889" t="s">
        <v>2271</v>
      </c>
      <c r="AX889" s="2" t="str">
        <f>HYPERLINK("http://exon.niaid.nih.gov/transcriptome/Anopheles_sialome/links/CDD/anodir_SG7-2-CDD.txt","Herpes_PAP")</f>
        <v>Herpes_PAP</v>
      </c>
      <c r="AY889" t="str">
        <f>HYPERLINK("http://www.ncbi.nlm.nih.gov/Structure/cdd/cddsrv.cgi?uid=pfam03325&amp;version=v4.0","0.68")</f>
        <v>0.68</v>
      </c>
      <c r="AZ889" t="s">
        <v>3089</v>
      </c>
      <c r="BA889" s="2" t="str">
        <f>HYPERLINK("http://exon.niaid.nih.gov/transcriptome/Anopheles_sialome/links/KOG/anodir_SG7-2-KOG.txt","Heparin sulfate cell surface proteoglycan")</f>
        <v>Heparin sulfate cell surface proteoglycan</v>
      </c>
      <c r="BB889" t="str">
        <f>HYPERLINK("http://www.ncbi.nlm.nih.gov/Structure/cdd/cddsrv.cgi?uid=KOG3821","0.48")</f>
        <v>0.48</v>
      </c>
      <c r="BC889" t="s">
        <v>2292</v>
      </c>
      <c r="BD889" t="str">
        <f>HYPERLINK("http://exon.niaid.nih.gov/transcriptome/Anopheles_sialome/links/KOG/anodir_SG7-2-KOG.txt","KOG3821")</f>
        <v>KOG3821</v>
      </c>
      <c r="BE889" t="str">
        <f>HYPERLINK("http://exon.niaid.nih.gov/transcriptome/Anopheles_sialome/links/PFAM/anodir_SG7-2-PFAM.txt","Herpes_PAP")</f>
        <v>Herpes_PAP</v>
      </c>
      <c r="BF889" t="str">
        <f>HYPERLINK("http://pfam.sanger.ac.uk/family?acc=PF03325","0.16")</f>
        <v>0.16</v>
      </c>
      <c r="BG889" s="2" t="str">
        <f>HYPERLINK("http://exon.niaid.nih.gov/transcriptome/Anopheles_sialome/links/SMART/anodir_SG7-2-SMART.txt","LNS2")</f>
        <v>LNS2</v>
      </c>
      <c r="BH889" t="str">
        <f>HYPERLINK("http://smart.embl-heidelberg.de/smart/do_annotation.pl?DOMAIN=LNS2&amp;BLAST=DUMMY","0.57")</f>
        <v>0.57</v>
      </c>
      <c r="BI889" t="str">
        <f>HYPERLINK("http://exon.niaid.nih.gov/transcriptome/Anopheles_sialome/links/TICK-BLOCKS/anodir_SG7-2-TICK-BLOCKS.txt","Anopheles_gSG7 |")</f>
        <v>Anopheles_gSG7 |</v>
      </c>
      <c r="BJ889" s="2" t="s">
        <v>3058</v>
      </c>
      <c r="BK889" t="s">
        <v>2139</v>
      </c>
      <c r="BL889">
        <f>HYPERLINK("http://exon.niaid.nih.gov/transcriptome/Anopheles_sialome/links/cluster-b/anopheline-sialome-cds-pep-larger-orf25-50SimCLU2.txt", 2)</f>
        <v>2</v>
      </c>
      <c r="BM889">
        <f>HYPERLINK("http://exon.niaid.nih.gov/transcriptome/Anopheles_sialome/links/cluster-b/anopheline-sialome-cds-pep-larger-orf25-50SimCLTL2.txt", 120)</f>
        <v>120</v>
      </c>
      <c r="BN889">
        <f>HYPERLINK("http://exon.niaid.nih.gov/transcriptome/Anopheles_sialome/links/cluster-b/anopheline-sialome-cds-pep-larger-orf30-50SimCLU2.txt", 2)</f>
        <v>2</v>
      </c>
      <c r="BO889">
        <f>HYPERLINK("http://exon.niaid.nih.gov/transcriptome/Anopheles_sialome/links/cluster-b/anopheline-sialome-cds-pep-larger-orf30-50SimCLTL2.txt", 120)</f>
        <v>120</v>
      </c>
      <c r="BP889">
        <f>HYPERLINK("http://exon.niaid.nih.gov/transcriptome/Anopheles_sialome/links/cluster-b/anopheline-sialome-cds-pep-larger-orf35-50SimCLU1.txt", 1)</f>
        <v>1</v>
      </c>
      <c r="BQ889">
        <f>HYPERLINK("http://exon.niaid.nih.gov/transcriptome/Anopheles_sialome/links/cluster-b/anopheline-sialome-cds-pep-larger-orf35-50SimCLTL1.txt", 120)</f>
        <v>120</v>
      </c>
      <c r="BR889">
        <f>HYPERLINK("http://exon.niaid.nih.gov/transcriptome/Anopheles_sialome/links/cluster-b/anopheline-sialome-cds-pep-larger-orf40-50SimCLU7.txt", 7)</f>
        <v>7</v>
      </c>
      <c r="BS889">
        <f>HYPERLINK("http://exon.niaid.nih.gov/transcriptome/Anopheles_sialome/links/cluster-b/anopheline-sialome-cds-pep-larger-orf40-50SimCLTL7.txt", 37)</f>
        <v>37</v>
      </c>
      <c r="BT889">
        <f>HYPERLINK("http://exon.niaid.nih.gov/transcriptome/Anopheles_sialome/links/cluster-b/anopheline-sialome-cds-pep-larger-orf45-50SimCLU6.txt", 6)</f>
        <v>6</v>
      </c>
      <c r="BU889">
        <f>HYPERLINK("http://exon.niaid.nih.gov/transcriptome/Anopheles_sialome/links/cluster-b/anopheline-sialome-cds-pep-larger-orf45-50SimCLTL6.txt", 37)</f>
        <v>37</v>
      </c>
      <c r="BV889">
        <f>HYPERLINK("http://exon.niaid.nih.gov/transcriptome/Anopheles_sialome/links/cluster-b/anopheline-sialome-cds-pep-larger-orf50-50SimCLU6.txt", 6)</f>
        <v>6</v>
      </c>
      <c r="BW889">
        <f>HYPERLINK("http://exon.niaid.nih.gov/transcriptome/Anopheles_sialome/links/cluster-b/anopheline-sialome-cds-pep-larger-orf50-50SimCLTL6.txt", 37)</f>
        <v>37</v>
      </c>
      <c r="BX889">
        <f>HYPERLINK("http://exon.niaid.nih.gov/transcriptome/Anopheles_sialome/links/cluster-b/anopheline-sialome-cds-pep-larger-orf55-50SimCLU5.txt", 5)</f>
        <v>5</v>
      </c>
      <c r="BY889">
        <f>HYPERLINK("http://exon.niaid.nih.gov/transcriptome/Anopheles_sialome/links/cluster-b/anopheline-sialome-cds-pep-larger-orf55-50SimCLTL5.txt", 37)</f>
        <v>37</v>
      </c>
      <c r="BZ889">
        <f>HYPERLINK("http://exon.niaid.nih.gov/transcriptome/Anopheles_sialome/links/cluster-b/anopheline-sialome-cds-pep-larger-orf60-50SimCLU4.txt", 4)</f>
        <v>4</v>
      </c>
      <c r="CA889">
        <f>HYPERLINK("http://exon.niaid.nih.gov/transcriptome/Anopheles_sialome/links/cluster-b/anopheline-sialome-cds-pep-larger-orf60-50SimCLTL4.txt", 37)</f>
        <v>37</v>
      </c>
      <c r="CB889">
        <f>HYPERLINK("http://exon.niaid.nih.gov/transcriptome/Anopheles_sialome/links/cluster-b/anopheline-sialome-cds-pep-larger-orf65-50SimCLU17.txt", 17)</f>
        <v>17</v>
      </c>
      <c r="CC889">
        <f>HYPERLINK("http://exon.niaid.nih.gov/transcriptome/Anopheles_sialome/links/cluster-b/anopheline-sialome-cds-pep-larger-orf65-50SimCLTL17.txt", 18)</f>
        <v>18</v>
      </c>
      <c r="CD889">
        <f>HYPERLINK("http://exon.niaid.nih.gov/transcriptome/Anopheles_sialome/links/cluster-b/anopheline-sialome-cds-pep-larger-orf70-50SimCLU16.txt", 16)</f>
        <v>16</v>
      </c>
      <c r="CE889">
        <f>HYPERLINK("http://exon.niaid.nih.gov/transcriptome/Anopheles_sialome/links/cluster-b/anopheline-sialome-cds-pep-larger-orf70-50SimCLTL16.txt", 18)</f>
        <v>18</v>
      </c>
      <c r="CF889">
        <f>HYPERLINK("http://exon.niaid.nih.gov/transcriptome/Anopheles_sialome/links/cluster-b/anopheline-sialome-cds-pep-larger-orf75-50SimCLU10.txt", 10)</f>
        <v>10</v>
      </c>
      <c r="CG889">
        <f>HYPERLINK("http://exon.niaid.nih.gov/transcriptome/Anopheles_sialome/links/cluster-b/anopheline-sialome-cds-pep-larger-orf75-50SimCLTL10.txt", 18)</f>
        <v>18</v>
      </c>
      <c r="CH889">
        <f>HYPERLINK("http://exon.niaid.nih.gov/transcriptome/Anopheles_sialome/links/cluster-b/anopheline-sialome-cds-pep-larger-orf80-50SimCLU106.txt", 106)</f>
        <v>106</v>
      </c>
      <c r="CI889">
        <f>HYPERLINK("http://exon.niaid.nih.gov/transcriptome/Anopheles_sialome/links/cluster-b/anopheline-sialome-cds-pep-larger-orf80-50SimCLTL106.txt", 2)</f>
        <v>2</v>
      </c>
      <c r="CJ889">
        <v>327</v>
      </c>
      <c r="CK889">
        <v>1</v>
      </c>
      <c r="CL889">
        <v>425</v>
      </c>
      <c r="CM889">
        <v>1</v>
      </c>
      <c r="CN889">
        <v>533</v>
      </c>
      <c r="CO889">
        <v>1</v>
      </c>
    </row>
    <row r="890" spans="1:93">
      <c r="A890" s="2" t="str">
        <f>HYPERLINK("http://exon.niaid.nih.gov/transcriptome/Anopheles_sialome/links/cds/anoatro_SG7-2-cds.txt","anoatro_SG7-2")</f>
        <v>anoatro_SG7-2</v>
      </c>
      <c r="B890">
        <v>426</v>
      </c>
      <c r="C890" t="s">
        <v>592</v>
      </c>
      <c r="D890" t="s">
        <v>4</v>
      </c>
      <c r="E890" t="s">
        <v>5</v>
      </c>
      <c r="F890" t="s">
        <v>1</v>
      </c>
      <c r="G890" t="str">
        <f>HYPERLINK("http://exon.niaid.nih.gov/transcriptome/Anopheles_sialome/links/pep/anoatro_SG7-2-pep.txt","anoatro_SG7-2")</f>
        <v>anoatro_SG7-2</v>
      </c>
      <c r="H890">
        <v>141</v>
      </c>
      <c r="I890">
        <v>0</v>
      </c>
      <c r="J890" s="3" t="str">
        <f>HYPERLINK("http://exon.niaid.nih.gov/transcriptome/Anopheles_sialome/links/Sigp/anoatro_SG7-2-SigP.txt","SIG")</f>
        <v>SIG</v>
      </c>
      <c r="K890" t="s">
        <v>787</v>
      </c>
      <c r="L890">
        <v>16.556999999999999</v>
      </c>
      <c r="M890">
        <v>9.9</v>
      </c>
      <c r="N890">
        <v>13.795999999999999</v>
      </c>
      <c r="O890">
        <v>9.9499999999999993</v>
      </c>
      <c r="P890" t="s">
        <v>2142</v>
      </c>
      <c r="Q890" s="3">
        <v>0</v>
      </c>
      <c r="R890" t="s">
        <v>128</v>
      </c>
      <c r="S890" t="s">
        <v>128</v>
      </c>
      <c r="T890" t="s">
        <v>128</v>
      </c>
      <c r="U890" t="s">
        <v>128</v>
      </c>
      <c r="V890" t="s">
        <v>128</v>
      </c>
      <c r="W890" s="3" t="str">
        <f>HYPERLINK("http://exon.niaid.nih.gov/transcriptome/Anopheles_sialome/links/netoglyc/anoatro_SG7-2-netoglyc.txt","0")</f>
        <v>0</v>
      </c>
      <c r="X890">
        <v>9.1999999999999993</v>
      </c>
      <c r="Y890">
        <v>2.8</v>
      </c>
      <c r="Z890">
        <v>1.4</v>
      </c>
      <c r="AA890" t="s">
        <v>654</v>
      </c>
      <c r="AB890" t="s">
        <v>128</v>
      </c>
      <c r="AC890" s="2" t="str">
        <f>HYPERLINK("http://exon.niaid.nih.gov/transcriptome/Anopheles_sialome/links/DIPTERA/anoatro_SG7-2-DIPTERA.txt","gSG7-2 salivary protein")</f>
        <v>gSG7-2 salivary protein</v>
      </c>
      <c r="AD890" t="str">
        <f>HYPERLINK("http://www.ncbi.nlm.nih.gov/sutils/blink.cgi?pid=114864865","6E-045")</f>
        <v>6E-045</v>
      </c>
      <c r="AE890" t="str">
        <f>HYPERLINK("http://www.ncbi.nlm.nih.gov/protein/114864865","gi|114864865")</f>
        <v>gi|114864865</v>
      </c>
      <c r="AF890">
        <v>59</v>
      </c>
      <c r="AG890">
        <v>75</v>
      </c>
      <c r="AH890">
        <v>100</v>
      </c>
      <c r="AI890" t="s">
        <v>2266</v>
      </c>
      <c r="AJ890" s="2" t="str">
        <f>HYPERLINK("http://exon.niaid.nih.gov/transcriptome/Anopheles_sialome/links/CULICOMORPHA/anoatro_SG7-2-CULICOMORPHA.txt","gSG7-2 salivary protein")</f>
        <v>gSG7-2 salivary protein</v>
      </c>
      <c r="AK890" t="str">
        <f>HYPERLINK("http://www.ncbi.nlm.nih.gov/sutils/blink.cgi?pid=114864865","1E-045")</f>
        <v>1E-045</v>
      </c>
      <c r="AL890" t="str">
        <f>HYPERLINK("http://www.ncbi.nlm.nih.gov/protein/114864865","gi|114864865")</f>
        <v>gi|114864865</v>
      </c>
      <c r="AM890">
        <v>59</v>
      </c>
      <c r="AN890">
        <v>75</v>
      </c>
      <c r="AO890">
        <v>100</v>
      </c>
      <c r="AP890" t="s">
        <v>2266</v>
      </c>
      <c r="AQ890" s="2" t="str">
        <f>HYPERLINK("http://exon.niaid.nih.gov/transcriptome/Anopheles_sialome/links/NR-LIGHT/anoatro_SG7-2-NR-LIGHT.txt","gSG7-2 salivary protein")</f>
        <v>gSG7-2 salivary protein</v>
      </c>
      <c r="AR890" t="str">
        <f>HYPERLINK("http://www.ncbi.nlm.nih.gov/sutils/blink.cgi?pid=114864865","2E-044")</f>
        <v>2E-044</v>
      </c>
      <c r="AS890" t="str">
        <f>HYPERLINK("http://www.ncbi.nlm.nih.gov/protein/114864865","gi|114864865")</f>
        <v>gi|114864865</v>
      </c>
      <c r="AT890">
        <v>59</v>
      </c>
      <c r="AU890">
        <v>75</v>
      </c>
      <c r="AV890">
        <v>100</v>
      </c>
      <c r="AW890" t="s">
        <v>2266</v>
      </c>
      <c r="AX890" s="2" t="str">
        <f>HYPERLINK("http://exon.niaid.nih.gov/transcriptome/Anopheles_sialome/links/CDD/anoatro_SG7-2-CDD.txt","PHA02828")</f>
        <v>PHA02828</v>
      </c>
      <c r="AY890" t="str">
        <f>HYPERLINK("http://www.ncbi.nlm.nih.gov/Structure/cdd/cddsrv.cgi?uid=PHA02828&amp;version=v4.0","0.51")</f>
        <v>0.51</v>
      </c>
      <c r="AZ890" t="s">
        <v>3090</v>
      </c>
      <c r="BA890" s="2" t="str">
        <f>HYPERLINK("http://exon.niaid.nih.gov/transcriptome/Anopheles_sialome/links/KOG/anoatro_SG7-2-KOG.txt","Putative Xaa-Pro aminopeptidase")</f>
        <v>Putative Xaa-Pro aminopeptidase</v>
      </c>
      <c r="BB890" t="str">
        <f>HYPERLINK("http://www.ncbi.nlm.nih.gov/Structure/cdd/cddsrv.cgi?uid=KOG2414","0.28")</f>
        <v>0.28</v>
      </c>
      <c r="BC890" t="s">
        <v>2287</v>
      </c>
      <c r="BD890" t="str">
        <f>HYPERLINK("http://exon.niaid.nih.gov/transcriptome/Anopheles_sialome/links/KOG/anoatro_SG7-2-KOG.txt","KOG2414")</f>
        <v>KOG2414</v>
      </c>
      <c r="BE890" t="str">
        <f>HYPERLINK("http://exon.niaid.nih.gov/transcriptome/Anopheles_sialome/links/PFAM/anoatro_SG7-2-PFAM.txt","Dapper")</f>
        <v>Dapper</v>
      </c>
      <c r="BF890" t="str">
        <f>HYPERLINK("http://pfam.sanger.ac.uk/family?acc=PF15268","1.6")</f>
        <v>1.6</v>
      </c>
      <c r="BG890" s="2" t="str">
        <f>HYPERLINK("http://exon.niaid.nih.gov/transcriptome/Anopheles_sialome/links/SMART/anoatro_SG7-2-SMART.txt","LNS2")</f>
        <v>LNS2</v>
      </c>
      <c r="BH890" t="str">
        <f>HYPERLINK("http://smart.embl-heidelberg.de/smart/do_annotation.pl?DOMAIN=LNS2&amp;BLAST=DUMMY","1.1")</f>
        <v>1.1</v>
      </c>
      <c r="BI890" t="s">
        <v>128</v>
      </c>
      <c r="BJ890" s="2" t="s">
        <v>128</v>
      </c>
      <c r="BK890" t="s">
        <v>2141</v>
      </c>
      <c r="BL890">
        <f>HYPERLINK("http://exon.niaid.nih.gov/transcriptome/Anopheles_sialome/links/cluster-b/anopheline-sialome-cds-pep-larger-orf25-50SimCLU2.txt", 2)</f>
        <v>2</v>
      </c>
      <c r="BM890">
        <f>HYPERLINK("http://exon.niaid.nih.gov/transcriptome/Anopheles_sialome/links/cluster-b/anopheline-sialome-cds-pep-larger-orf25-50SimCLTL2.txt", 120)</f>
        <v>120</v>
      </c>
      <c r="BN890">
        <f>HYPERLINK("http://exon.niaid.nih.gov/transcriptome/Anopheles_sialome/links/cluster-b/anopheline-sialome-cds-pep-larger-orf30-50SimCLU2.txt", 2)</f>
        <v>2</v>
      </c>
      <c r="BO890">
        <f>HYPERLINK("http://exon.niaid.nih.gov/transcriptome/Anopheles_sialome/links/cluster-b/anopheline-sialome-cds-pep-larger-orf30-50SimCLTL2.txt", 120)</f>
        <v>120</v>
      </c>
      <c r="BP890">
        <f>HYPERLINK("http://exon.niaid.nih.gov/transcriptome/Anopheles_sialome/links/cluster-b/anopheline-sialome-cds-pep-larger-orf35-50SimCLU1.txt", 1)</f>
        <v>1</v>
      </c>
      <c r="BQ890">
        <f>HYPERLINK("http://exon.niaid.nih.gov/transcriptome/Anopheles_sialome/links/cluster-b/anopheline-sialome-cds-pep-larger-orf35-50SimCLTL1.txt", 120)</f>
        <v>120</v>
      </c>
      <c r="BR890">
        <f>HYPERLINK("http://exon.niaid.nih.gov/transcriptome/Anopheles_sialome/links/cluster-b/anopheline-sialome-cds-pep-larger-orf40-50SimCLU7.txt", 7)</f>
        <v>7</v>
      </c>
      <c r="BS890">
        <f>HYPERLINK("http://exon.niaid.nih.gov/transcriptome/Anopheles_sialome/links/cluster-b/anopheline-sialome-cds-pep-larger-orf40-50SimCLTL7.txt", 37)</f>
        <v>37</v>
      </c>
      <c r="BT890">
        <f>HYPERLINK("http://exon.niaid.nih.gov/transcriptome/Anopheles_sialome/links/cluster-b/anopheline-sialome-cds-pep-larger-orf45-50SimCLU6.txt", 6)</f>
        <v>6</v>
      </c>
      <c r="BU890">
        <f>HYPERLINK("http://exon.niaid.nih.gov/transcriptome/Anopheles_sialome/links/cluster-b/anopheline-sialome-cds-pep-larger-orf45-50SimCLTL6.txt", 37)</f>
        <v>37</v>
      </c>
      <c r="BV890">
        <f>HYPERLINK("http://exon.niaid.nih.gov/transcriptome/Anopheles_sialome/links/cluster-b/anopheline-sialome-cds-pep-larger-orf50-50SimCLU6.txt", 6)</f>
        <v>6</v>
      </c>
      <c r="BW890">
        <f>HYPERLINK("http://exon.niaid.nih.gov/transcriptome/Anopheles_sialome/links/cluster-b/anopheline-sialome-cds-pep-larger-orf50-50SimCLTL6.txt", 37)</f>
        <v>37</v>
      </c>
      <c r="BX890">
        <f>HYPERLINK("http://exon.niaid.nih.gov/transcriptome/Anopheles_sialome/links/cluster-b/anopheline-sialome-cds-pep-larger-orf55-50SimCLU5.txt", 5)</f>
        <v>5</v>
      </c>
      <c r="BY890">
        <f>HYPERLINK("http://exon.niaid.nih.gov/transcriptome/Anopheles_sialome/links/cluster-b/anopheline-sialome-cds-pep-larger-orf55-50SimCLTL5.txt", 37)</f>
        <v>37</v>
      </c>
      <c r="BZ890">
        <f>HYPERLINK("http://exon.niaid.nih.gov/transcriptome/Anopheles_sialome/links/cluster-b/anopheline-sialome-cds-pep-larger-orf60-50SimCLU4.txt", 4)</f>
        <v>4</v>
      </c>
      <c r="CA890">
        <f>HYPERLINK("http://exon.niaid.nih.gov/transcriptome/Anopheles_sialome/links/cluster-b/anopheline-sialome-cds-pep-larger-orf60-50SimCLTL4.txt", 37)</f>
        <v>37</v>
      </c>
      <c r="CB890">
        <f>HYPERLINK("http://exon.niaid.nih.gov/transcriptome/Anopheles_sialome/links/cluster-b/anopheline-sialome-cds-pep-larger-orf65-50SimCLU17.txt", 17)</f>
        <v>17</v>
      </c>
      <c r="CC890">
        <f>HYPERLINK("http://exon.niaid.nih.gov/transcriptome/Anopheles_sialome/links/cluster-b/anopheline-sialome-cds-pep-larger-orf65-50SimCLTL17.txt", 18)</f>
        <v>18</v>
      </c>
      <c r="CD890">
        <f>HYPERLINK("http://exon.niaid.nih.gov/transcriptome/Anopheles_sialome/links/cluster-b/anopheline-sialome-cds-pep-larger-orf70-50SimCLU16.txt", 16)</f>
        <v>16</v>
      </c>
      <c r="CE890">
        <f>HYPERLINK("http://exon.niaid.nih.gov/transcriptome/Anopheles_sialome/links/cluster-b/anopheline-sialome-cds-pep-larger-orf70-50SimCLTL16.txt", 18)</f>
        <v>18</v>
      </c>
      <c r="CF890">
        <f>HYPERLINK("http://exon.niaid.nih.gov/transcriptome/Anopheles_sialome/links/cluster-b/anopheline-sialome-cds-pep-larger-orf75-50SimCLU10.txt", 10)</f>
        <v>10</v>
      </c>
      <c r="CG890">
        <f>HYPERLINK("http://exon.niaid.nih.gov/transcriptome/Anopheles_sialome/links/cluster-b/anopheline-sialome-cds-pep-larger-orf75-50SimCLTL10.txt", 18)</f>
        <v>18</v>
      </c>
      <c r="CH890">
        <f>HYPERLINK("http://exon.niaid.nih.gov/transcriptome/Anopheles_sialome/links/cluster-b/anopheline-sialome-cds-pep-larger-orf80-50SimCLU107.txt", 107)</f>
        <v>107</v>
      </c>
      <c r="CI890">
        <f>HYPERLINK("http://exon.niaid.nih.gov/transcriptome/Anopheles_sialome/links/cluster-b/anopheline-sialome-cds-pep-larger-orf80-50SimCLTL107.txt", 2)</f>
        <v>2</v>
      </c>
      <c r="CJ890">
        <f>HYPERLINK("http://exon.niaid.nih.gov/transcriptome/Anopheles_sialome/links/cluster-b/anopheline-sialome-cds-pep-larger-orf85-50SimCLU105.txt", 105)</f>
        <v>105</v>
      </c>
      <c r="CK890">
        <f>HYPERLINK("http://exon.niaid.nih.gov/transcriptome/Anopheles_sialome/links/cluster-b/anopheline-sialome-cds-pep-larger-orf85-50SimCLTL105.txt", 2)</f>
        <v>2</v>
      </c>
      <c r="CL890">
        <v>426</v>
      </c>
      <c r="CM890">
        <v>1</v>
      </c>
      <c r="CN890">
        <v>534</v>
      </c>
      <c r="CO890">
        <v>1</v>
      </c>
    </row>
    <row r="891" spans="1:93">
      <c r="A891" s="2" t="str">
        <f>HYPERLINK("http://exon.niaid.nih.gov/transcriptome/Anopheles_sialome/links/cds/anosin_SG7-2-cds.txt","anosin_SG7-2")</f>
        <v>anosin_SG7-2</v>
      </c>
      <c r="B891">
        <v>426</v>
      </c>
      <c r="C891" t="s">
        <v>593</v>
      </c>
      <c r="D891" t="s">
        <v>7</v>
      </c>
      <c r="E891" t="s">
        <v>5</v>
      </c>
      <c r="F891" t="s">
        <v>1</v>
      </c>
      <c r="G891" t="str">
        <f>HYPERLINK("http://exon.niaid.nih.gov/transcriptome/Anopheles_sialome/links/pep/anosin_SG7-2-pep.txt","anosin_SG7-2")</f>
        <v>anosin_SG7-2</v>
      </c>
      <c r="H891">
        <v>141</v>
      </c>
      <c r="I891">
        <v>0</v>
      </c>
      <c r="J891" s="3" t="str">
        <f>HYPERLINK("http://exon.niaid.nih.gov/transcriptome/Anopheles_sialome/links/Sigp/anosin_SG7-2-SigP.txt","SIG")</f>
        <v>SIG</v>
      </c>
      <c r="K891" t="s">
        <v>787</v>
      </c>
      <c r="L891">
        <v>16.582999999999998</v>
      </c>
      <c r="M891">
        <v>9.6</v>
      </c>
      <c r="N891">
        <v>13.826000000000001</v>
      </c>
      <c r="O891">
        <v>9.75</v>
      </c>
      <c r="P891" t="s">
        <v>2144</v>
      </c>
      <c r="Q891" s="3">
        <v>0</v>
      </c>
      <c r="R891" t="s">
        <v>128</v>
      </c>
      <c r="S891" t="s">
        <v>128</v>
      </c>
      <c r="T891" t="s">
        <v>128</v>
      </c>
      <c r="U891" t="s">
        <v>128</v>
      </c>
      <c r="V891" t="s">
        <v>128</v>
      </c>
      <c r="W891" s="3" t="str">
        <f>HYPERLINK("http://exon.niaid.nih.gov/transcriptome/Anopheles_sialome/links/netoglyc/anosin_SG7-2-netoglyc.txt","0")</f>
        <v>0</v>
      </c>
      <c r="X891">
        <v>8.5</v>
      </c>
      <c r="Y891">
        <v>2.1</v>
      </c>
      <c r="Z891">
        <v>1.4</v>
      </c>
      <c r="AA891" t="s">
        <v>654</v>
      </c>
      <c r="AB891" t="s">
        <v>128</v>
      </c>
      <c r="AC891" s="2" t="str">
        <f>HYPERLINK("http://exon.niaid.nih.gov/transcriptome/Anopheles_sialome/links/DIPTERA/anosin_SG7-2-DIPTERA.txt","gSG7-2 salivary protein")</f>
        <v>gSG7-2 salivary protein</v>
      </c>
      <c r="AD891" t="str">
        <f>HYPERLINK("http://www.ncbi.nlm.nih.gov/sutils/blink.cgi?pid=114864865","2E-043")</f>
        <v>2E-043</v>
      </c>
      <c r="AE891" t="str">
        <f>HYPERLINK("http://www.ncbi.nlm.nih.gov/protein/114864865","gi|114864865")</f>
        <v>gi|114864865</v>
      </c>
      <c r="AF891">
        <v>60</v>
      </c>
      <c r="AG891">
        <v>73</v>
      </c>
      <c r="AH891">
        <v>100</v>
      </c>
      <c r="AI891" t="s">
        <v>2266</v>
      </c>
      <c r="AJ891" s="2" t="str">
        <f>HYPERLINK("http://exon.niaid.nih.gov/transcriptome/Anopheles_sialome/links/CULICOMORPHA/anosin_SG7-2-CULICOMORPHA.txt","gSG7-2 salivary protein")</f>
        <v>gSG7-2 salivary protein</v>
      </c>
      <c r="AK891" t="str">
        <f>HYPERLINK("http://www.ncbi.nlm.nih.gov/sutils/blink.cgi?pid=114864865","4E-044")</f>
        <v>4E-044</v>
      </c>
      <c r="AL891" t="str">
        <f>HYPERLINK("http://www.ncbi.nlm.nih.gov/protein/114864865","gi|114864865")</f>
        <v>gi|114864865</v>
      </c>
      <c r="AM891">
        <v>60</v>
      </c>
      <c r="AN891">
        <v>73</v>
      </c>
      <c r="AO891">
        <v>100</v>
      </c>
      <c r="AP891" t="s">
        <v>2266</v>
      </c>
      <c r="AQ891" s="2" t="str">
        <f>HYPERLINK("http://exon.niaid.nih.gov/transcriptome/Anopheles_sialome/links/NR-LIGHT/anosin_SG7-2-NR-LIGHT.txt","gSG7-2 salivary protein")</f>
        <v>gSG7-2 salivary protein</v>
      </c>
      <c r="AR891" t="str">
        <f>HYPERLINK("http://www.ncbi.nlm.nih.gov/sutils/blink.cgi?pid=114864865","6E-043")</f>
        <v>6E-043</v>
      </c>
      <c r="AS891" t="str">
        <f>HYPERLINK("http://www.ncbi.nlm.nih.gov/protein/114864865","gi|114864865")</f>
        <v>gi|114864865</v>
      </c>
      <c r="AT891">
        <v>60</v>
      </c>
      <c r="AU891">
        <v>73</v>
      </c>
      <c r="AV891">
        <v>100</v>
      </c>
      <c r="AW891" t="s">
        <v>2266</v>
      </c>
      <c r="AX891" s="2" t="str">
        <f>HYPERLINK("http://exon.niaid.nih.gov/transcriptome/Anopheles_sialome/links/CDD/anosin_SG7-2-CDD.txt","PRK06380")</f>
        <v>PRK06380</v>
      </c>
      <c r="AY891" t="str">
        <f>HYPERLINK("http://www.ncbi.nlm.nih.gov/Structure/cdd/cddsrv.cgi?uid=PRK06380&amp;version=v4.0","0.065")</f>
        <v>0.065</v>
      </c>
      <c r="AZ891" t="s">
        <v>3091</v>
      </c>
      <c r="BA891" s="2" t="str">
        <f>HYPERLINK("http://exon.niaid.nih.gov/transcriptome/Anopheles_sialome/links/KOG/anosin_SG7-2-KOG.txt","Putative Xaa-Pro aminopeptidase")</f>
        <v>Putative Xaa-Pro aminopeptidase</v>
      </c>
      <c r="BB891" t="str">
        <f>HYPERLINK("http://www.ncbi.nlm.nih.gov/Structure/cdd/cddsrv.cgi?uid=KOG2414","0.21")</f>
        <v>0.21</v>
      </c>
      <c r="BC891" t="s">
        <v>2287</v>
      </c>
      <c r="BD891" t="str">
        <f>HYPERLINK("http://exon.niaid.nih.gov/transcriptome/Anopheles_sialome/links/KOG/anosin_SG7-2-KOG.txt","KOG2414")</f>
        <v>KOG2414</v>
      </c>
      <c r="BE891" t="str">
        <f>HYPERLINK("http://exon.niaid.nih.gov/transcriptome/Anopheles_sialome/links/PFAM/anosin_SG7-2-PFAM.txt","Oxidored_q1_C")</f>
        <v>Oxidored_q1_C</v>
      </c>
      <c r="BF891" t="str">
        <f>HYPERLINK("http://pfam.sanger.ac.uk/family?acc=PF01010","1.2")</f>
        <v>1.2</v>
      </c>
      <c r="BG891" s="2" t="str">
        <f>HYPERLINK("http://exon.niaid.nih.gov/transcriptome/Anopheles_sialome/links/SMART/anosin_SG7-2-SMART.txt","LNS2")</f>
        <v>LNS2</v>
      </c>
      <c r="BH891" t="str">
        <f>HYPERLINK("http://smart.embl-heidelberg.de/smart/do_annotation.pl?DOMAIN=LNS2&amp;BLAST=DUMMY","0.078")</f>
        <v>0.078</v>
      </c>
      <c r="BI891" t="s">
        <v>128</v>
      </c>
      <c r="BJ891" s="2" t="s">
        <v>128</v>
      </c>
      <c r="BK891" t="s">
        <v>2143</v>
      </c>
      <c r="BL891">
        <f>HYPERLINK("http://exon.niaid.nih.gov/transcriptome/Anopheles_sialome/links/cluster-b/anopheline-sialome-cds-pep-larger-orf25-50SimCLU2.txt", 2)</f>
        <v>2</v>
      </c>
      <c r="BM891">
        <f>HYPERLINK("http://exon.niaid.nih.gov/transcriptome/Anopheles_sialome/links/cluster-b/anopheline-sialome-cds-pep-larger-orf25-50SimCLTL2.txt", 120)</f>
        <v>120</v>
      </c>
      <c r="BN891">
        <f>HYPERLINK("http://exon.niaid.nih.gov/transcriptome/Anopheles_sialome/links/cluster-b/anopheline-sialome-cds-pep-larger-orf30-50SimCLU2.txt", 2)</f>
        <v>2</v>
      </c>
      <c r="BO891">
        <f>HYPERLINK("http://exon.niaid.nih.gov/transcriptome/Anopheles_sialome/links/cluster-b/anopheline-sialome-cds-pep-larger-orf30-50SimCLTL2.txt", 120)</f>
        <v>120</v>
      </c>
      <c r="BP891">
        <f>HYPERLINK("http://exon.niaid.nih.gov/transcriptome/Anopheles_sialome/links/cluster-b/anopheline-sialome-cds-pep-larger-orf35-50SimCLU1.txt", 1)</f>
        <v>1</v>
      </c>
      <c r="BQ891">
        <f>HYPERLINK("http://exon.niaid.nih.gov/transcriptome/Anopheles_sialome/links/cluster-b/anopheline-sialome-cds-pep-larger-orf35-50SimCLTL1.txt", 120)</f>
        <v>120</v>
      </c>
      <c r="BR891">
        <f>HYPERLINK("http://exon.niaid.nih.gov/transcriptome/Anopheles_sialome/links/cluster-b/anopheline-sialome-cds-pep-larger-orf40-50SimCLU7.txt", 7)</f>
        <v>7</v>
      </c>
      <c r="BS891">
        <f>HYPERLINK("http://exon.niaid.nih.gov/transcriptome/Anopheles_sialome/links/cluster-b/anopheline-sialome-cds-pep-larger-orf40-50SimCLTL7.txt", 37)</f>
        <v>37</v>
      </c>
      <c r="BT891">
        <f>HYPERLINK("http://exon.niaid.nih.gov/transcriptome/Anopheles_sialome/links/cluster-b/anopheline-sialome-cds-pep-larger-orf45-50SimCLU6.txt", 6)</f>
        <v>6</v>
      </c>
      <c r="BU891">
        <f>HYPERLINK("http://exon.niaid.nih.gov/transcriptome/Anopheles_sialome/links/cluster-b/anopheline-sialome-cds-pep-larger-orf45-50SimCLTL6.txt", 37)</f>
        <v>37</v>
      </c>
      <c r="BV891">
        <f>HYPERLINK("http://exon.niaid.nih.gov/transcriptome/Anopheles_sialome/links/cluster-b/anopheline-sialome-cds-pep-larger-orf50-50SimCLU6.txt", 6)</f>
        <v>6</v>
      </c>
      <c r="BW891">
        <f>HYPERLINK("http://exon.niaid.nih.gov/transcriptome/Anopheles_sialome/links/cluster-b/anopheline-sialome-cds-pep-larger-orf50-50SimCLTL6.txt", 37)</f>
        <v>37</v>
      </c>
      <c r="BX891">
        <f>HYPERLINK("http://exon.niaid.nih.gov/transcriptome/Anopheles_sialome/links/cluster-b/anopheline-sialome-cds-pep-larger-orf55-50SimCLU5.txt", 5)</f>
        <v>5</v>
      </c>
      <c r="BY891">
        <f>HYPERLINK("http://exon.niaid.nih.gov/transcriptome/Anopheles_sialome/links/cluster-b/anopheline-sialome-cds-pep-larger-orf55-50SimCLTL5.txt", 37)</f>
        <v>37</v>
      </c>
      <c r="BZ891">
        <f>HYPERLINK("http://exon.niaid.nih.gov/transcriptome/Anopheles_sialome/links/cluster-b/anopheline-sialome-cds-pep-larger-orf60-50SimCLU4.txt", 4)</f>
        <v>4</v>
      </c>
      <c r="CA891">
        <f>HYPERLINK("http://exon.niaid.nih.gov/transcriptome/Anopheles_sialome/links/cluster-b/anopheline-sialome-cds-pep-larger-orf60-50SimCLTL4.txt", 37)</f>
        <v>37</v>
      </c>
      <c r="CB891">
        <f>HYPERLINK("http://exon.niaid.nih.gov/transcriptome/Anopheles_sialome/links/cluster-b/anopheline-sialome-cds-pep-larger-orf65-50SimCLU17.txt", 17)</f>
        <v>17</v>
      </c>
      <c r="CC891">
        <f>HYPERLINK("http://exon.niaid.nih.gov/transcriptome/Anopheles_sialome/links/cluster-b/anopheline-sialome-cds-pep-larger-orf65-50SimCLTL17.txt", 18)</f>
        <v>18</v>
      </c>
      <c r="CD891">
        <f>HYPERLINK("http://exon.niaid.nih.gov/transcriptome/Anopheles_sialome/links/cluster-b/anopheline-sialome-cds-pep-larger-orf70-50SimCLU16.txt", 16)</f>
        <v>16</v>
      </c>
      <c r="CE891">
        <f>HYPERLINK("http://exon.niaid.nih.gov/transcriptome/Anopheles_sialome/links/cluster-b/anopheline-sialome-cds-pep-larger-orf70-50SimCLTL16.txt", 18)</f>
        <v>18</v>
      </c>
      <c r="CF891">
        <f>HYPERLINK("http://exon.niaid.nih.gov/transcriptome/Anopheles_sialome/links/cluster-b/anopheline-sialome-cds-pep-larger-orf75-50SimCLU10.txt", 10)</f>
        <v>10</v>
      </c>
      <c r="CG891">
        <f>HYPERLINK("http://exon.niaid.nih.gov/transcriptome/Anopheles_sialome/links/cluster-b/anopheline-sialome-cds-pep-larger-orf75-50SimCLTL10.txt", 18)</f>
        <v>18</v>
      </c>
      <c r="CH891">
        <f>HYPERLINK("http://exon.niaid.nih.gov/transcriptome/Anopheles_sialome/links/cluster-b/anopheline-sialome-cds-pep-larger-orf80-50SimCLU107.txt", 107)</f>
        <v>107</v>
      </c>
      <c r="CI891">
        <f>HYPERLINK("http://exon.niaid.nih.gov/transcriptome/Anopheles_sialome/links/cluster-b/anopheline-sialome-cds-pep-larger-orf80-50SimCLTL107.txt", 2)</f>
        <v>2</v>
      </c>
      <c r="CJ891">
        <f>HYPERLINK("http://exon.niaid.nih.gov/transcriptome/Anopheles_sialome/links/cluster-b/anopheline-sialome-cds-pep-larger-orf85-50SimCLU105.txt", 105)</f>
        <v>105</v>
      </c>
      <c r="CK891">
        <f>HYPERLINK("http://exon.niaid.nih.gov/transcriptome/Anopheles_sialome/links/cluster-b/anopheline-sialome-cds-pep-larger-orf85-50SimCLTL105.txt", 2)</f>
        <v>2</v>
      </c>
      <c r="CL891">
        <v>427</v>
      </c>
      <c r="CM891">
        <v>1</v>
      </c>
      <c r="CN891">
        <v>535</v>
      </c>
      <c r="CO891">
        <v>1</v>
      </c>
    </row>
    <row r="892" spans="1:93">
      <c r="A892" s="2" t="str">
        <f>HYPERLINK("http://exon.niaid.nih.gov/transcriptome/Anopheles_sialome/links/cds/anoalb_SG7-2-cds.txt","anoalb_SG7-2")</f>
        <v>anoalb_SG7-2</v>
      </c>
      <c r="B892">
        <v>432</v>
      </c>
      <c r="C892" t="s">
        <v>582</v>
      </c>
      <c r="D892" t="s">
        <v>7</v>
      </c>
      <c r="E892" t="s">
        <v>5</v>
      </c>
      <c r="F892" t="s">
        <v>1</v>
      </c>
      <c r="G892" t="str">
        <f>HYPERLINK("http://exon.niaid.nih.gov/transcriptome/Anopheles_sialome/links/pep/anoalb_SG7-2-pep.txt","anoalb_SG7-2")</f>
        <v>anoalb_SG7-2</v>
      </c>
      <c r="H892">
        <v>143</v>
      </c>
      <c r="I892">
        <v>1</v>
      </c>
      <c r="J892" s="3" t="str">
        <f>HYPERLINK("http://exon.niaid.nih.gov/transcriptome/Anopheles_sialome/links/Sigp/anoalb_SG7-2-SigP.txt","SIG")</f>
        <v>SIG</v>
      </c>
      <c r="K892" t="s">
        <v>834</v>
      </c>
      <c r="L892">
        <v>16.213999999999999</v>
      </c>
      <c r="M892">
        <v>6.41</v>
      </c>
      <c r="N892">
        <v>13.336</v>
      </c>
      <c r="O892">
        <v>7.58</v>
      </c>
      <c r="P892" t="s">
        <v>2146</v>
      </c>
      <c r="Q892" s="3">
        <v>0</v>
      </c>
      <c r="R892" t="s">
        <v>128</v>
      </c>
      <c r="S892" t="s">
        <v>128</v>
      </c>
      <c r="T892" t="s">
        <v>128</v>
      </c>
      <c r="U892" t="s">
        <v>128</v>
      </c>
      <c r="V892" t="s">
        <v>128</v>
      </c>
      <c r="W892" s="3" t="str">
        <f>HYPERLINK("http://exon.niaid.nih.gov/transcriptome/Anopheles_sialome/links/netoglyc/anoalb_SG7-2-netoglyc.txt","0")</f>
        <v>0</v>
      </c>
      <c r="X892">
        <v>9.8000000000000007</v>
      </c>
      <c r="Y892">
        <v>2.1</v>
      </c>
      <c r="Z892">
        <v>3.5</v>
      </c>
      <c r="AA892" t="s">
        <v>654</v>
      </c>
      <c r="AB892" t="s">
        <v>128</v>
      </c>
      <c r="AC892" s="2" t="str">
        <f>HYPERLINK("http://exon.niaid.nih.gov/transcriptome/Anopheles_sialome/links/DIPTERA/anoalb_SG7-2-DIPTERA.txt","putative salivary protein gSG7")</f>
        <v>putative salivary protein gSG7</v>
      </c>
      <c r="AD892" t="str">
        <f>HYPERLINK("http://www.ncbi.nlm.nih.gov/sutils/blink.cgi?pid=27372909","2E-032")</f>
        <v>2E-032</v>
      </c>
      <c r="AE892" t="str">
        <f>HYPERLINK("http://www.ncbi.nlm.nih.gov/protein/27372909","gi|27372909")</f>
        <v>gi|27372909</v>
      </c>
      <c r="AF892">
        <v>51</v>
      </c>
      <c r="AG892">
        <v>67</v>
      </c>
      <c r="AH892">
        <v>92</v>
      </c>
      <c r="AI892" t="s">
        <v>2271</v>
      </c>
      <c r="AJ892" s="2" t="str">
        <f>HYPERLINK("http://exon.niaid.nih.gov/transcriptome/Anopheles_sialome/links/CULICOMORPHA/anoalb_SG7-2-CULICOMORPHA.txt","putative salivary protein gSG7")</f>
        <v>putative salivary protein gSG7</v>
      </c>
      <c r="AK892" t="str">
        <f>HYPERLINK("http://www.ncbi.nlm.nih.gov/sutils/blink.cgi?pid=27372909","4E-033")</f>
        <v>4E-033</v>
      </c>
      <c r="AL892" t="str">
        <f>HYPERLINK("http://www.ncbi.nlm.nih.gov/protein/27372909","gi|27372909")</f>
        <v>gi|27372909</v>
      </c>
      <c r="AM892">
        <v>51</v>
      </c>
      <c r="AN892">
        <v>67</v>
      </c>
      <c r="AO892">
        <v>92</v>
      </c>
      <c r="AP892" t="s">
        <v>2271</v>
      </c>
      <c r="AQ892" s="2" t="str">
        <f>HYPERLINK("http://exon.niaid.nih.gov/transcriptome/Anopheles_sialome/links/NR-LIGHT/anoalb_SG7-2-NR-LIGHT.txt","putative salivary protein gSG7")</f>
        <v>putative salivary protein gSG7</v>
      </c>
      <c r="AR892" t="str">
        <f>HYPERLINK("http://www.ncbi.nlm.nih.gov/sutils/blink.cgi?pid=27372909","6E-032")</f>
        <v>6E-032</v>
      </c>
      <c r="AS892" t="str">
        <f>HYPERLINK("http://www.ncbi.nlm.nih.gov/protein/27372909","gi|27372909")</f>
        <v>gi|27372909</v>
      </c>
      <c r="AT892">
        <v>51</v>
      </c>
      <c r="AU892">
        <v>67</v>
      </c>
      <c r="AV892">
        <v>92</v>
      </c>
      <c r="AW892" t="s">
        <v>2271</v>
      </c>
      <c r="AX892" s="2" t="str">
        <f>HYPERLINK("http://exon.niaid.nih.gov/transcriptome/Anopheles_sialome/links/CDD/anoalb_SG7-2-CDD.txt","PRK14716")</f>
        <v>PRK14716</v>
      </c>
      <c r="AY892" t="str">
        <f>HYPERLINK("http://www.ncbi.nlm.nih.gov/Structure/cdd/cddsrv.cgi?uid=PRK14716&amp;version=v4.0","0.046")</f>
        <v>0.046</v>
      </c>
      <c r="AZ892" t="s">
        <v>3092</v>
      </c>
      <c r="BA892" s="2" t="str">
        <f>HYPERLINK("http://exon.niaid.nih.gov/transcriptome/Anopheles_sialome/links/KOG/anoalb_SG7-2-KOG.txt","Uncharacterized conserved protein")</f>
        <v>Uncharacterized conserved protein</v>
      </c>
      <c r="BB892" t="str">
        <f>HYPERLINK("http://www.ncbi.nlm.nih.gov/Structure/cdd/cddsrv.cgi?uid=KOG1248","2.0")</f>
        <v>2.0</v>
      </c>
      <c r="BC892" t="s">
        <v>2304</v>
      </c>
      <c r="BD892" t="str">
        <f>HYPERLINK("http://exon.niaid.nih.gov/transcriptome/Anopheles_sialome/links/KOG/anoalb_SG7-2-KOG.txt","KOG1248")</f>
        <v>KOG1248</v>
      </c>
      <c r="BE892" t="str">
        <f>HYPERLINK("http://exon.niaid.nih.gov/transcriptome/Anopheles_sialome/links/PFAM/anoalb_SG7-2-PFAM.txt","LNS2")</f>
        <v>LNS2</v>
      </c>
      <c r="BF892" t="str">
        <f>HYPERLINK("http://pfam.sanger.ac.uk/family?acc=PF08235","0.10")</f>
        <v>0.10</v>
      </c>
      <c r="BG892" s="2" t="str">
        <f>HYPERLINK("http://exon.niaid.nih.gov/transcriptome/Anopheles_sialome/links/SMART/anoalb_SG7-2-SMART.txt","LNS2")</f>
        <v>LNS2</v>
      </c>
      <c r="BH892" t="str">
        <f>HYPERLINK("http://smart.embl-heidelberg.de/smart/do_annotation.pl?DOMAIN=LNS2&amp;BLAST=DUMMY","0.080")</f>
        <v>0.080</v>
      </c>
      <c r="BI892" t="s">
        <v>128</v>
      </c>
      <c r="BJ892" s="2" t="s">
        <v>128</v>
      </c>
      <c r="BK892" t="s">
        <v>2145</v>
      </c>
      <c r="BL892">
        <f>HYPERLINK("http://exon.niaid.nih.gov/transcriptome/Anopheles_sialome/links/cluster-b/anopheline-sialome-cds-pep-larger-orf25-50SimCLU2.txt", 2)</f>
        <v>2</v>
      </c>
      <c r="BM892">
        <f>HYPERLINK("http://exon.niaid.nih.gov/transcriptome/Anopheles_sialome/links/cluster-b/anopheline-sialome-cds-pep-larger-orf25-50SimCLTL2.txt", 120)</f>
        <v>120</v>
      </c>
      <c r="BN892">
        <f>HYPERLINK("http://exon.niaid.nih.gov/transcriptome/Anopheles_sialome/links/cluster-b/anopheline-sialome-cds-pep-larger-orf30-50SimCLU2.txt", 2)</f>
        <v>2</v>
      </c>
      <c r="BO892">
        <f>HYPERLINK("http://exon.niaid.nih.gov/transcriptome/Anopheles_sialome/links/cluster-b/anopheline-sialome-cds-pep-larger-orf30-50SimCLTL2.txt", 120)</f>
        <v>120</v>
      </c>
      <c r="BP892">
        <f>HYPERLINK("http://exon.niaid.nih.gov/transcriptome/Anopheles_sialome/links/cluster-b/anopheline-sialome-cds-pep-larger-orf35-50SimCLU1.txt", 1)</f>
        <v>1</v>
      </c>
      <c r="BQ892">
        <f>HYPERLINK("http://exon.niaid.nih.gov/transcriptome/Anopheles_sialome/links/cluster-b/anopheline-sialome-cds-pep-larger-orf35-50SimCLTL1.txt", 120)</f>
        <v>120</v>
      </c>
      <c r="BR892">
        <f>HYPERLINK("http://exon.niaid.nih.gov/transcriptome/Anopheles_sialome/links/cluster-b/anopheline-sialome-cds-pep-larger-orf40-50SimCLU7.txt", 7)</f>
        <v>7</v>
      </c>
      <c r="BS892">
        <f>HYPERLINK("http://exon.niaid.nih.gov/transcriptome/Anopheles_sialome/links/cluster-b/anopheline-sialome-cds-pep-larger-orf40-50SimCLTL7.txt", 37)</f>
        <v>37</v>
      </c>
      <c r="BT892">
        <f>HYPERLINK("http://exon.niaid.nih.gov/transcriptome/Anopheles_sialome/links/cluster-b/anopheline-sialome-cds-pep-larger-orf45-50SimCLU6.txt", 6)</f>
        <v>6</v>
      </c>
      <c r="BU892">
        <f>HYPERLINK("http://exon.niaid.nih.gov/transcriptome/Anopheles_sialome/links/cluster-b/anopheline-sialome-cds-pep-larger-orf45-50SimCLTL6.txt", 37)</f>
        <v>37</v>
      </c>
      <c r="BV892">
        <f>HYPERLINK("http://exon.niaid.nih.gov/transcriptome/Anopheles_sialome/links/cluster-b/anopheline-sialome-cds-pep-larger-orf50-50SimCLU6.txt", 6)</f>
        <v>6</v>
      </c>
      <c r="BW892">
        <f>HYPERLINK("http://exon.niaid.nih.gov/transcriptome/Anopheles_sialome/links/cluster-b/anopheline-sialome-cds-pep-larger-orf50-50SimCLTL6.txt", 37)</f>
        <v>37</v>
      </c>
      <c r="BX892">
        <f>HYPERLINK("http://exon.niaid.nih.gov/transcriptome/Anopheles_sialome/links/cluster-b/anopheline-sialome-cds-pep-larger-orf55-50SimCLU5.txt", 5)</f>
        <v>5</v>
      </c>
      <c r="BY892">
        <f>HYPERLINK("http://exon.niaid.nih.gov/transcriptome/Anopheles_sialome/links/cluster-b/anopheline-sialome-cds-pep-larger-orf55-50SimCLTL5.txt", 37)</f>
        <v>37</v>
      </c>
      <c r="BZ892">
        <f>HYPERLINK("http://exon.niaid.nih.gov/transcriptome/Anopheles_sialome/links/cluster-b/anopheline-sialome-cds-pep-larger-orf60-50SimCLU4.txt", 4)</f>
        <v>4</v>
      </c>
      <c r="CA892">
        <f>HYPERLINK("http://exon.niaid.nih.gov/transcriptome/Anopheles_sialome/links/cluster-b/anopheline-sialome-cds-pep-larger-orf60-50SimCLTL4.txt", 37)</f>
        <v>37</v>
      </c>
      <c r="CB892">
        <v>84</v>
      </c>
      <c r="CC892">
        <v>1</v>
      </c>
      <c r="CD892">
        <v>117</v>
      </c>
      <c r="CE892">
        <v>1</v>
      </c>
      <c r="CF892">
        <v>169</v>
      </c>
      <c r="CG892">
        <v>1</v>
      </c>
      <c r="CH892">
        <v>242</v>
      </c>
      <c r="CI892">
        <v>1</v>
      </c>
      <c r="CJ892">
        <v>328</v>
      </c>
      <c r="CK892">
        <v>1</v>
      </c>
      <c r="CL892">
        <v>428</v>
      </c>
      <c r="CM892">
        <v>1</v>
      </c>
      <c r="CN892">
        <v>536</v>
      </c>
      <c r="CO892">
        <v>1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anopheline-sialome-cds-cds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Ribeiro, Jose (NIH/NIAID) [E]</dc:creator>
  <cp:lastModifiedBy>jribeiro</cp:lastModifiedBy>
  <dcterms:created xsi:type="dcterms:W3CDTF">2016-04-19T19:25:30Z</dcterms:created>
  <dcterms:modified xsi:type="dcterms:W3CDTF">2017-02-07T16:58:05Z</dcterms:modified>
</cp:coreProperties>
</file>